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25800" yWindow="60" windowWidth="32920" windowHeight="19440" firstSheet="19" activeTab="26"/>
  </bookViews>
  <sheets>
    <sheet name="Transect1_raw" sheetId="23" r:id="rId1"/>
    <sheet name="Transect 2_raw" sheetId="11" r:id="rId2"/>
    <sheet name="Transect 3_raw" sheetId="17" r:id="rId3"/>
    <sheet name="Transect 4_raw" sheetId="35" r:id="rId4"/>
    <sheet name="Transect5_raw" sheetId="41" r:id="rId5"/>
    <sheet name="Transect1_imgsummary" sheetId="24" r:id="rId6"/>
    <sheet name="Transect 2_imgsummary" sheetId="12" r:id="rId7"/>
    <sheet name="Transect 3_imgsummary" sheetId="18" r:id="rId8"/>
    <sheet name="Transect 4_imgsummary" sheetId="36" r:id="rId9"/>
    <sheet name="Transect5_imgsummary" sheetId="42" r:id="rId10"/>
    <sheet name="Transect 1_%cover" sheetId="7" r:id="rId11"/>
    <sheet name="Transect 2_%cover" sheetId="13" r:id="rId12"/>
    <sheet name="Transect 3_%cover" sheetId="19" r:id="rId13"/>
    <sheet name="Transect1_%cover" sheetId="25" r:id="rId14"/>
    <sheet name="Transect 4_%cover" sheetId="37" r:id="rId15"/>
    <sheet name="Transect5_%cover" sheetId="43" r:id="rId16"/>
    <sheet name="Transect1" sheetId="26" r:id="rId17"/>
    <sheet name="Transect 2" sheetId="14" r:id="rId18"/>
    <sheet name="Transect 3" sheetId="20" r:id="rId19"/>
    <sheet name="Transect 4" sheetId="38" r:id="rId20"/>
    <sheet name="Transect5" sheetId="44" r:id="rId21"/>
    <sheet name="Transect1_archive" sheetId="27" r:id="rId22"/>
    <sheet name="Transect 2_archive" sheetId="15" r:id="rId23"/>
    <sheet name="Transect 3_archive" sheetId="21" r:id="rId24"/>
    <sheet name="Transect 4_archive" sheetId="39" r:id="rId25"/>
    <sheet name="Transect5_archive" sheetId="45" r:id="rId26"/>
    <sheet name="Data Summary" sheetId="46" r:id="rId2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5" i="44" l="1"/>
  <c r="F203" i="46"/>
  <c r="F7" i="46"/>
  <c r="E7" i="46"/>
  <c r="D7" i="46"/>
  <c r="C7" i="46"/>
  <c r="B7" i="46"/>
  <c r="B31" i="44"/>
  <c r="F268" i="46"/>
  <c r="B29" i="44" a="1"/>
  <c r="B29" i="44"/>
  <c r="F266" i="46"/>
  <c r="B25" i="44"/>
  <c r="F150" i="46"/>
  <c r="B24" i="44"/>
  <c r="F149" i="46"/>
  <c r="B23" i="44"/>
  <c r="F148" i="46"/>
  <c r="B22" i="44"/>
  <c r="F147" i="46"/>
  <c r="B21" i="44"/>
  <c r="F146" i="46"/>
  <c r="B20" i="44"/>
  <c r="F145" i="46"/>
  <c r="B19" i="44"/>
  <c r="F144" i="46"/>
  <c r="B18" i="44"/>
  <c r="F143" i="46"/>
  <c r="F284" i="46"/>
  <c r="B17" i="44"/>
  <c r="F142" i="46"/>
  <c r="B16" i="44"/>
  <c r="F141" i="46"/>
  <c r="B10" i="44"/>
  <c r="H125" i="44"/>
  <c r="H124" i="44"/>
  <c r="F262" i="46"/>
  <c r="H123" i="44"/>
  <c r="H121" i="44"/>
  <c r="F259" i="46"/>
  <c r="H119" i="44"/>
  <c r="K119" i="44"/>
  <c r="E23" i="44"/>
  <c r="H117" i="44"/>
  <c r="F255" i="46"/>
  <c r="H115" i="44"/>
  <c r="K115" i="44"/>
  <c r="E21" i="44"/>
  <c r="H113" i="44"/>
  <c r="F251" i="46"/>
  <c r="H111" i="44"/>
  <c r="F249" i="46"/>
  <c r="H110" i="44"/>
  <c r="F248" i="46"/>
  <c r="H109" i="44"/>
  <c r="H107" i="44"/>
  <c r="H106" i="44"/>
  <c r="F244" i="46"/>
  <c r="H105" i="44"/>
  <c r="J105" i="44"/>
  <c r="H104" i="44"/>
  <c r="H103" i="44"/>
  <c r="H102" i="44"/>
  <c r="F240" i="46"/>
  <c r="H101" i="44"/>
  <c r="F239" i="46"/>
  <c r="H100" i="44"/>
  <c r="J100" i="44"/>
  <c r="H99" i="44"/>
  <c r="F237" i="46"/>
  <c r="H98" i="44"/>
  <c r="H97" i="44"/>
  <c r="J97" i="44"/>
  <c r="H96" i="44"/>
  <c r="H95" i="44"/>
  <c r="J95" i="44"/>
  <c r="H94" i="44"/>
  <c r="F232" i="46"/>
  <c r="H93" i="44"/>
  <c r="H92" i="44"/>
  <c r="H91" i="44"/>
  <c r="K91" i="44"/>
  <c r="H90" i="44"/>
  <c r="H89" i="44"/>
  <c r="H88" i="44"/>
  <c r="H87" i="44"/>
  <c r="H85" i="44"/>
  <c r="F223" i="46"/>
  <c r="H84" i="44"/>
  <c r="F222" i="46"/>
  <c r="H83" i="44"/>
  <c r="H82" i="44"/>
  <c r="J82" i="44"/>
  <c r="H81" i="44"/>
  <c r="H80" i="44"/>
  <c r="J80" i="44"/>
  <c r="H79" i="44"/>
  <c r="H78" i="44"/>
  <c r="H77" i="44"/>
  <c r="F215" i="46"/>
  <c r="H76" i="44"/>
  <c r="F214" i="46"/>
  <c r="H75" i="44"/>
  <c r="K75" i="44"/>
  <c r="H74" i="44"/>
  <c r="H72" i="44"/>
  <c r="F210" i="46"/>
  <c r="H71" i="44"/>
  <c r="H70" i="44"/>
  <c r="F208" i="46"/>
  <c r="H69" i="44"/>
  <c r="H68" i="44"/>
  <c r="F206" i="46"/>
  <c r="H67" i="44"/>
  <c r="F205" i="46"/>
  <c r="H66" i="44"/>
  <c r="H64" i="44"/>
  <c r="H63" i="44"/>
  <c r="H62" i="44"/>
  <c r="H61" i="44"/>
  <c r="F199" i="46"/>
  <c r="H60" i="44"/>
  <c r="F198" i="46"/>
  <c r="H59" i="44"/>
  <c r="K59" i="44"/>
  <c r="H58" i="44"/>
  <c r="F196" i="46"/>
  <c r="H57" i="44"/>
  <c r="H56" i="44"/>
  <c r="F194" i="46"/>
  <c r="H55" i="44"/>
  <c r="H54" i="44"/>
  <c r="H53" i="44"/>
  <c r="H52" i="44"/>
  <c r="F190" i="46"/>
  <c r="H51" i="44"/>
  <c r="H50" i="44"/>
  <c r="J50" i="44"/>
  <c r="H49" i="44"/>
  <c r="F187" i="46"/>
  <c r="H48" i="44"/>
  <c r="H47" i="44"/>
  <c r="F185" i="46"/>
  <c r="H46" i="44"/>
  <c r="F184" i="46"/>
  <c r="H45" i="44"/>
  <c r="H44" i="44"/>
  <c r="F182" i="46"/>
  <c r="H43" i="44"/>
  <c r="F181" i="46"/>
  <c r="H42" i="44"/>
  <c r="F180" i="46"/>
  <c r="H41" i="44"/>
  <c r="F179" i="46"/>
  <c r="H40" i="44"/>
  <c r="F178" i="46"/>
  <c r="H39" i="44"/>
  <c r="H38" i="44"/>
  <c r="H37" i="44"/>
  <c r="F175" i="46"/>
  <c r="H36" i="44"/>
  <c r="F174" i="46"/>
  <c r="H35" i="44"/>
  <c r="F173" i="46"/>
  <c r="H34" i="44"/>
  <c r="K34" i="44"/>
  <c r="H33" i="44"/>
  <c r="F171" i="46"/>
  <c r="H32" i="44"/>
  <c r="H31" i="44"/>
  <c r="H30" i="44"/>
  <c r="H29" i="44"/>
  <c r="H28" i="44"/>
  <c r="F166" i="46"/>
  <c r="H27" i="44"/>
  <c r="H26" i="44"/>
  <c r="H25" i="44"/>
  <c r="K25" i="44"/>
  <c r="H24" i="44"/>
  <c r="F162" i="46"/>
  <c r="H23" i="44"/>
  <c r="H22" i="44"/>
  <c r="H21" i="44"/>
  <c r="F159" i="46"/>
  <c r="H20" i="44"/>
  <c r="F158" i="46"/>
  <c r="H19" i="44"/>
  <c r="H18" i="44"/>
  <c r="F156" i="46"/>
  <c r="H17" i="44"/>
  <c r="F155" i="46"/>
  <c r="DW52" i="43"/>
  <c r="DV52" i="43"/>
  <c r="DU52" i="43"/>
  <c r="P52" i="43"/>
  <c r="DO52" i="43"/>
  <c r="DM52" i="43"/>
  <c r="DH52" i="43"/>
  <c r="DG52" i="43"/>
  <c r="CY52" i="43"/>
  <c r="CX52" i="43"/>
  <c r="CT52" i="43"/>
  <c r="CR52" i="43"/>
  <c r="CL52" i="43"/>
  <c r="CI52" i="43"/>
  <c r="CG52" i="43"/>
  <c r="CD52" i="43"/>
  <c r="BY52" i="43"/>
  <c r="BU52" i="43"/>
  <c r="BR52" i="43"/>
  <c r="BQ52" i="43"/>
  <c r="BJ52" i="43"/>
  <c r="BI52" i="43"/>
  <c r="BE52" i="43"/>
  <c r="BD52" i="43"/>
  <c r="AW52" i="43"/>
  <c r="AV52" i="43"/>
  <c r="AS52" i="43"/>
  <c r="AR52" i="43"/>
  <c r="AK52" i="43"/>
  <c r="AJ52" i="43"/>
  <c r="AF52" i="43"/>
  <c r="AD52" i="43"/>
  <c r="X52" i="43"/>
  <c r="V52" i="43"/>
  <c r="T52" i="43"/>
  <c r="N52" i="43"/>
  <c r="I52" i="43"/>
  <c r="F52" i="43"/>
  <c r="DW51" i="43"/>
  <c r="DV51" i="43"/>
  <c r="DU51" i="43"/>
  <c r="P51" i="43"/>
  <c r="DI51" i="43"/>
  <c r="CT51" i="43"/>
  <c r="CQ51" i="43"/>
  <c r="CP51" i="43"/>
  <c r="CH51" i="43"/>
  <c r="BS51" i="43"/>
  <c r="BQ51" i="43"/>
  <c r="BP51" i="43"/>
  <c r="BJ51" i="43"/>
  <c r="AW51" i="43"/>
  <c r="AU51" i="43"/>
  <c r="AT51" i="43"/>
  <c r="AN51" i="43"/>
  <c r="AC51" i="43"/>
  <c r="Y51" i="43"/>
  <c r="X51" i="43"/>
  <c r="T51" i="43"/>
  <c r="P50" i="43"/>
  <c r="DY50" i="43"/>
  <c r="DW50" i="43"/>
  <c r="DV50" i="43"/>
  <c r="DU50" i="43"/>
  <c r="DI50" i="43"/>
  <c r="DH50" i="43"/>
  <c r="DG50" i="43"/>
  <c r="DC50" i="43"/>
  <c r="DB50" i="43"/>
  <c r="CX50" i="43"/>
  <c r="CU50" i="43"/>
  <c r="CT50" i="43"/>
  <c r="CS50" i="43"/>
  <c r="CR50" i="43"/>
  <c r="CL50" i="43"/>
  <c r="CK50" i="43"/>
  <c r="CI50" i="43"/>
  <c r="CH50" i="43"/>
  <c r="CG50" i="43"/>
  <c r="CA50" i="43"/>
  <c r="BZ50" i="43"/>
  <c r="BY50" i="43"/>
  <c r="BU50" i="43"/>
  <c r="BT50" i="43"/>
  <c r="BP50" i="43"/>
  <c r="BM50" i="43"/>
  <c r="BL50" i="43"/>
  <c r="BK50" i="43"/>
  <c r="BJ50" i="43"/>
  <c r="BD50" i="43"/>
  <c r="BC50" i="43"/>
  <c r="BB50" i="43"/>
  <c r="BA50" i="43"/>
  <c r="AZ50" i="43"/>
  <c r="AT50" i="43"/>
  <c r="AS50" i="43"/>
  <c r="AR50" i="43"/>
  <c r="AO50" i="43"/>
  <c r="AN50" i="43"/>
  <c r="AJ50" i="43"/>
  <c r="AG50" i="43"/>
  <c r="AF50" i="43"/>
  <c r="AE50" i="43"/>
  <c r="AD50" i="43"/>
  <c r="X50" i="43"/>
  <c r="W50" i="43"/>
  <c r="V50" i="43"/>
  <c r="U50" i="43"/>
  <c r="T50" i="43"/>
  <c r="L50" i="43"/>
  <c r="K50" i="43"/>
  <c r="J50" i="43"/>
  <c r="I50" i="43"/>
  <c r="H50" i="43"/>
  <c r="P49" i="43"/>
  <c r="DY49" i="43"/>
  <c r="DW49" i="43"/>
  <c r="DV49" i="43"/>
  <c r="DU49" i="43"/>
  <c r="DS49" i="43"/>
  <c r="DK49" i="43"/>
  <c r="DI49" i="43"/>
  <c r="DH49" i="43"/>
  <c r="DG49" i="43"/>
  <c r="DE49" i="43"/>
  <c r="DA49" i="43"/>
  <c r="CZ49" i="43"/>
  <c r="CY49" i="43"/>
  <c r="CX49" i="43"/>
  <c r="CW49" i="43"/>
  <c r="CS49" i="43"/>
  <c r="CR49" i="43"/>
  <c r="CQ49" i="43"/>
  <c r="CP49" i="43"/>
  <c r="CO49" i="43"/>
  <c r="CK49" i="43"/>
  <c r="CI49" i="43"/>
  <c r="CH49" i="43"/>
  <c r="CG49" i="43"/>
  <c r="CF49" i="43"/>
  <c r="CB49" i="43"/>
  <c r="CA49" i="43"/>
  <c r="BZ49" i="43"/>
  <c r="BY49" i="43"/>
  <c r="BX49" i="43"/>
  <c r="BS49" i="43"/>
  <c r="BR49" i="43"/>
  <c r="BQ49" i="43"/>
  <c r="BP49" i="43"/>
  <c r="BO49" i="43"/>
  <c r="BK49" i="43"/>
  <c r="BJ49" i="43"/>
  <c r="BI49" i="43"/>
  <c r="BH49" i="43"/>
  <c r="BG49" i="43"/>
  <c r="BC49" i="43"/>
  <c r="BB49" i="43"/>
  <c r="BA49" i="43"/>
  <c r="AZ49" i="43"/>
  <c r="AY49" i="43"/>
  <c r="AU49" i="43"/>
  <c r="AT49" i="43"/>
  <c r="AS49" i="43"/>
  <c r="AR49" i="43"/>
  <c r="AQ49" i="43"/>
  <c r="AM49" i="43"/>
  <c r="AL49" i="43"/>
  <c r="AK49" i="43"/>
  <c r="AJ49" i="43"/>
  <c r="AI49" i="43"/>
  <c r="AE49" i="43"/>
  <c r="AD49" i="43"/>
  <c r="AC49" i="43"/>
  <c r="AB49" i="43"/>
  <c r="AA49" i="43"/>
  <c r="W49" i="43"/>
  <c r="V49" i="43"/>
  <c r="U49" i="43"/>
  <c r="T49" i="43"/>
  <c r="S49" i="43"/>
  <c r="L49" i="43"/>
  <c r="K49" i="43"/>
  <c r="J49" i="43"/>
  <c r="I49" i="43"/>
  <c r="H49" i="43"/>
  <c r="DQ49" i="43"/>
  <c r="P48" i="43"/>
  <c r="DY48" i="43"/>
  <c r="DW48" i="43"/>
  <c r="DV48" i="43"/>
  <c r="DU48" i="43"/>
  <c r="DS48" i="43"/>
  <c r="DK48" i="43"/>
  <c r="DI48" i="43"/>
  <c r="DH48" i="43"/>
  <c r="DG48" i="43"/>
  <c r="DE48" i="43"/>
  <c r="DA48" i="43"/>
  <c r="CZ48" i="43"/>
  <c r="CY48" i="43"/>
  <c r="CX48" i="43"/>
  <c r="CW48" i="43"/>
  <c r="CS48" i="43"/>
  <c r="CR48" i="43"/>
  <c r="CQ48" i="43"/>
  <c r="CP48" i="43"/>
  <c r="CO48" i="43"/>
  <c r="CK48" i="43"/>
  <c r="CI48" i="43"/>
  <c r="CH48" i="43"/>
  <c r="CG48" i="43"/>
  <c r="CF48" i="43"/>
  <c r="CB48" i="43"/>
  <c r="CA48" i="43"/>
  <c r="BZ48" i="43"/>
  <c r="BY48" i="43"/>
  <c r="BX48" i="43"/>
  <c r="BS48" i="43"/>
  <c r="BR48" i="43"/>
  <c r="BQ48" i="43"/>
  <c r="BP48" i="43"/>
  <c r="BO48" i="43"/>
  <c r="BK48" i="43"/>
  <c r="BJ48" i="43"/>
  <c r="BI48" i="43"/>
  <c r="BH48" i="43"/>
  <c r="BG48" i="43"/>
  <c r="BC48" i="43"/>
  <c r="BB48" i="43"/>
  <c r="BA48" i="43"/>
  <c r="AZ48" i="43"/>
  <c r="AY48" i="43"/>
  <c r="AU48" i="43"/>
  <c r="AT48" i="43"/>
  <c r="AS48" i="43"/>
  <c r="AR48" i="43"/>
  <c r="AQ48" i="43"/>
  <c r="AM48" i="43"/>
  <c r="AL48" i="43"/>
  <c r="AK48" i="43"/>
  <c r="AJ48" i="43"/>
  <c r="AI48" i="43"/>
  <c r="AE48" i="43"/>
  <c r="AD48" i="43"/>
  <c r="AC48" i="43"/>
  <c r="AB48" i="43"/>
  <c r="AA48" i="43"/>
  <c r="W48" i="43"/>
  <c r="V48" i="43"/>
  <c r="U48" i="43"/>
  <c r="T48" i="43"/>
  <c r="S48" i="43"/>
  <c r="L48" i="43"/>
  <c r="K48" i="43"/>
  <c r="J48" i="43"/>
  <c r="I48" i="43"/>
  <c r="H48" i="43"/>
  <c r="DQ48" i="43"/>
  <c r="DW47" i="43"/>
  <c r="DV47" i="43"/>
  <c r="DU47" i="43"/>
  <c r="P47" i="43"/>
  <c r="DS47" i="43"/>
  <c r="CL47" i="43"/>
  <c r="CK47" i="43"/>
  <c r="BH47" i="43"/>
  <c r="AV47" i="43"/>
  <c r="AT47" i="43"/>
  <c r="W47" i="43"/>
  <c r="M47" i="43"/>
  <c r="P46" i="43"/>
  <c r="DY46" i="43"/>
  <c r="DW46" i="43"/>
  <c r="DV46" i="43"/>
  <c r="DU46" i="43"/>
  <c r="DH46" i="43"/>
  <c r="DB46" i="43"/>
  <c r="DA46" i="43"/>
  <c r="CZ46" i="43"/>
  <c r="CY46" i="43"/>
  <c r="CQ46" i="43"/>
  <c r="CL46" i="43"/>
  <c r="CK46" i="43"/>
  <c r="CI46" i="43"/>
  <c r="CH46" i="43"/>
  <c r="BZ46" i="43"/>
  <c r="BT46" i="43"/>
  <c r="BS46" i="43"/>
  <c r="BR46" i="43"/>
  <c r="BQ46" i="43"/>
  <c r="BI46" i="43"/>
  <c r="BD46" i="43"/>
  <c r="BC46" i="43"/>
  <c r="BB46" i="43"/>
  <c r="BA46" i="43"/>
  <c r="AT46" i="43"/>
  <c r="AS46" i="43"/>
  <c r="AO46" i="43"/>
  <c r="AN46" i="43"/>
  <c r="AM46" i="43"/>
  <c r="AF46" i="43"/>
  <c r="AE46" i="43"/>
  <c r="AD46" i="43"/>
  <c r="AC46" i="43"/>
  <c r="Y46" i="43"/>
  <c r="U46" i="43"/>
  <c r="N46" i="43"/>
  <c r="M46" i="43"/>
  <c r="L46" i="43"/>
  <c r="K46" i="43"/>
  <c r="P45" i="43"/>
  <c r="DY45" i="43"/>
  <c r="DW45" i="43"/>
  <c r="DV45" i="43"/>
  <c r="DU45" i="43"/>
  <c r="DO45" i="43"/>
  <c r="DH45" i="43"/>
  <c r="DC45" i="43"/>
  <c r="DB45" i="43"/>
  <c r="DA45" i="43"/>
  <c r="CZ45" i="43"/>
  <c r="CS45" i="43"/>
  <c r="CR45" i="43"/>
  <c r="CQ45" i="43"/>
  <c r="CM45" i="43"/>
  <c r="CL45" i="43"/>
  <c r="CD45" i="43"/>
  <c r="CC45" i="43"/>
  <c r="CB45" i="43"/>
  <c r="CA45" i="43"/>
  <c r="BZ45" i="43"/>
  <c r="BR45" i="43"/>
  <c r="BQ45" i="43"/>
  <c r="BM45" i="43"/>
  <c r="BL45" i="43"/>
  <c r="BK45" i="43"/>
  <c r="BD45" i="43"/>
  <c r="BC45" i="43"/>
  <c r="BB45" i="43"/>
  <c r="BA45" i="43"/>
  <c r="AW45" i="43"/>
  <c r="AS45" i="43"/>
  <c r="AO45" i="43"/>
  <c r="AN45" i="43"/>
  <c r="AM45" i="43"/>
  <c r="AL45" i="43"/>
  <c r="AE45" i="43"/>
  <c r="AD45" i="43"/>
  <c r="AC45" i="43"/>
  <c r="Y45" i="43"/>
  <c r="X45" i="43"/>
  <c r="N45" i="43"/>
  <c r="M45" i="43"/>
  <c r="L45" i="43"/>
  <c r="K45" i="43"/>
  <c r="J45" i="43"/>
  <c r="DI45" i="43"/>
  <c r="DW44" i="43"/>
  <c r="DV44" i="43"/>
  <c r="DU44" i="43"/>
  <c r="P44" i="43"/>
  <c r="DO44" i="43"/>
  <c r="DM44" i="43"/>
  <c r="DC44" i="43"/>
  <c r="DB44" i="43"/>
  <c r="DA44" i="43"/>
  <c r="CZ44" i="43"/>
  <c r="CY44" i="43"/>
  <c r="CR44" i="43"/>
  <c r="CQ44" i="43"/>
  <c r="CM44" i="43"/>
  <c r="CL44" i="43"/>
  <c r="CK44" i="43"/>
  <c r="CC44" i="43"/>
  <c r="CB44" i="43"/>
  <c r="CA44" i="43"/>
  <c r="BZ44" i="43"/>
  <c r="BU44" i="43"/>
  <c r="BQ44" i="43"/>
  <c r="BM44" i="43"/>
  <c r="BL44" i="43"/>
  <c r="BK44" i="43"/>
  <c r="BJ44" i="43"/>
  <c r="BC44" i="43"/>
  <c r="BB44" i="43"/>
  <c r="BA44" i="43"/>
  <c r="AW44" i="43"/>
  <c r="AV44" i="43"/>
  <c r="AO44" i="43"/>
  <c r="AN44" i="43"/>
  <c r="AM44" i="43"/>
  <c r="AL44" i="43"/>
  <c r="AK44" i="43"/>
  <c r="AD44" i="43"/>
  <c r="AC44" i="43"/>
  <c r="Y44" i="43"/>
  <c r="X44" i="43"/>
  <c r="W44" i="43"/>
  <c r="M44" i="43"/>
  <c r="L44" i="43"/>
  <c r="K44" i="43"/>
  <c r="J44" i="43"/>
  <c r="F44" i="43"/>
  <c r="DI44" i="43"/>
  <c r="DW43" i="43"/>
  <c r="DV43" i="43"/>
  <c r="DU43" i="43"/>
  <c r="P43" i="43"/>
  <c r="DO43" i="43"/>
  <c r="DK43" i="43"/>
  <c r="DA43" i="43"/>
  <c r="CZ43" i="43"/>
  <c r="CY43" i="43"/>
  <c r="CS43" i="43"/>
  <c r="CQ43" i="43"/>
  <c r="CH43" i="43"/>
  <c r="CG43" i="43"/>
  <c r="CD43" i="43"/>
  <c r="CC43" i="43"/>
  <c r="BU43" i="43"/>
  <c r="BR43" i="43"/>
  <c r="BQ43" i="43"/>
  <c r="BK43" i="43"/>
  <c r="BJ43" i="43"/>
  <c r="BH43" i="43"/>
  <c r="AZ43" i="43"/>
  <c r="AW43" i="43"/>
  <c r="AV43" i="43"/>
  <c r="AU43" i="43"/>
  <c r="AN43" i="43"/>
  <c r="AK43" i="43"/>
  <c r="AE43" i="43"/>
  <c r="AD43" i="43"/>
  <c r="AC43" i="43"/>
  <c r="Y43" i="43"/>
  <c r="N43" i="43"/>
  <c r="M43" i="43"/>
  <c r="L43" i="43"/>
  <c r="F43" i="43"/>
  <c r="DC43" i="43"/>
  <c r="DW42" i="43"/>
  <c r="DV42" i="43"/>
  <c r="DU42" i="43"/>
  <c r="P42" i="43"/>
  <c r="CT42" i="43"/>
  <c r="CA42" i="43"/>
  <c r="BZ42" i="43"/>
  <c r="AV42" i="43"/>
  <c r="AT42" i="43"/>
  <c r="DW41" i="43"/>
  <c r="DV41" i="43"/>
  <c r="DU41" i="43"/>
  <c r="P41" i="43"/>
  <c r="DH41" i="43"/>
  <c r="DC41" i="43"/>
  <c r="DA41" i="43"/>
  <c r="CU41" i="43"/>
  <c r="CQ41" i="43"/>
  <c r="CM41" i="43"/>
  <c r="CH41" i="43"/>
  <c r="CD41" i="43"/>
  <c r="BT41" i="43"/>
  <c r="BS41" i="43"/>
  <c r="BQ41" i="43"/>
  <c r="BM41" i="43"/>
  <c r="BD41" i="43"/>
  <c r="BC41" i="43"/>
  <c r="BA41" i="43"/>
  <c r="AU41" i="43"/>
  <c r="AN41" i="43"/>
  <c r="AM41" i="43"/>
  <c r="AF41" i="43"/>
  <c r="AE41" i="43"/>
  <c r="V41" i="43"/>
  <c r="U41" i="43"/>
  <c r="M41" i="43"/>
  <c r="L41" i="43"/>
  <c r="DI41" i="43"/>
  <c r="DW40" i="43"/>
  <c r="DV40" i="43"/>
  <c r="DU40" i="43"/>
  <c r="P40" i="43"/>
  <c r="DO40" i="43"/>
  <c r="DI40" i="43"/>
  <c r="DB40" i="43"/>
  <c r="DA40" i="43"/>
  <c r="CU40" i="43"/>
  <c r="CT40" i="43"/>
  <c r="CL40" i="43"/>
  <c r="CK40" i="43"/>
  <c r="CH40" i="43"/>
  <c r="CG40" i="43"/>
  <c r="BY40" i="43"/>
  <c r="BU40" i="43"/>
  <c r="BS40" i="43"/>
  <c r="BP40" i="43"/>
  <c r="BJ40" i="43"/>
  <c r="BI40" i="43"/>
  <c r="BC40" i="43"/>
  <c r="BB40" i="43"/>
  <c r="AT40" i="43"/>
  <c r="AS40" i="43"/>
  <c r="AO40" i="43"/>
  <c r="AN40" i="43"/>
  <c r="AF40" i="43"/>
  <c r="AE40" i="43"/>
  <c r="AC40" i="43"/>
  <c r="X40" i="43"/>
  <c r="T40" i="43"/>
  <c r="N40" i="43"/>
  <c r="J40" i="43"/>
  <c r="I40" i="43"/>
  <c r="DY40" i="43"/>
  <c r="P39" i="43"/>
  <c r="DY39" i="43"/>
  <c r="DW39" i="43"/>
  <c r="DV39" i="43"/>
  <c r="DU39" i="43"/>
  <c r="DO39" i="43"/>
  <c r="DM39" i="43"/>
  <c r="DK39" i="43"/>
  <c r="DI39" i="43"/>
  <c r="DH39" i="43"/>
  <c r="DB39" i="43"/>
  <c r="DA39" i="43"/>
  <c r="CZ39" i="43"/>
  <c r="CY39" i="43"/>
  <c r="CX39" i="43"/>
  <c r="CV39" i="43"/>
  <c r="CS39" i="43"/>
  <c r="CR39" i="43"/>
  <c r="CQ39" i="43"/>
  <c r="CP39" i="43"/>
  <c r="CN39" i="43"/>
  <c r="CM39" i="43"/>
  <c r="CI39" i="43"/>
  <c r="CH39" i="43"/>
  <c r="CG39" i="43"/>
  <c r="CF39" i="43"/>
  <c r="CE39" i="43"/>
  <c r="CD39" i="43"/>
  <c r="CA39" i="43"/>
  <c r="BZ39" i="43"/>
  <c r="BY39" i="43"/>
  <c r="BX39" i="43"/>
  <c r="BV39" i="43"/>
  <c r="BU39" i="43"/>
  <c r="BR39" i="43"/>
  <c r="BQ39" i="43"/>
  <c r="BP39" i="43"/>
  <c r="BO39" i="43"/>
  <c r="BN39" i="43"/>
  <c r="BM39" i="43"/>
  <c r="BJ39" i="43"/>
  <c r="BI39" i="43"/>
  <c r="BH39" i="43"/>
  <c r="BG39" i="43"/>
  <c r="BF39" i="43"/>
  <c r="BE39" i="43"/>
  <c r="BB39" i="43"/>
  <c r="BA39" i="43"/>
  <c r="AZ39" i="43"/>
  <c r="AY39" i="43"/>
  <c r="AX39" i="43"/>
  <c r="AW39" i="43"/>
  <c r="AT39" i="43"/>
  <c r="AS39" i="43"/>
  <c r="AR39" i="43"/>
  <c r="AQ39" i="43"/>
  <c r="AP39" i="43"/>
  <c r="AO39" i="43"/>
  <c r="AL39" i="43"/>
  <c r="AK39" i="43"/>
  <c r="AJ39" i="43"/>
  <c r="AI39" i="43"/>
  <c r="AH39" i="43"/>
  <c r="AG39" i="43"/>
  <c r="AD39" i="43"/>
  <c r="AC39" i="43"/>
  <c r="AB39" i="43"/>
  <c r="AA39" i="43"/>
  <c r="Z39" i="43"/>
  <c r="Y39" i="43"/>
  <c r="V39" i="43"/>
  <c r="U39" i="43"/>
  <c r="T39" i="43"/>
  <c r="S39" i="43"/>
  <c r="O39" i="43"/>
  <c r="N39" i="43"/>
  <c r="K39" i="43"/>
  <c r="J39" i="43"/>
  <c r="I39" i="43"/>
  <c r="H39" i="43"/>
  <c r="G39" i="43"/>
  <c r="F39" i="43"/>
  <c r="DC39" i="43"/>
  <c r="DW38" i="43"/>
  <c r="DV38" i="43"/>
  <c r="DU38" i="43"/>
  <c r="P38" i="43"/>
  <c r="DS38" i="43"/>
  <c r="DQ38" i="43"/>
  <c r="DO38" i="43"/>
  <c r="DI38" i="43"/>
  <c r="DH38" i="43"/>
  <c r="DG38" i="43"/>
  <c r="DE38" i="43"/>
  <c r="DD38" i="43"/>
  <c r="DC38" i="43"/>
  <c r="CZ38" i="43"/>
  <c r="CY38" i="43"/>
  <c r="CX38" i="43"/>
  <c r="CW38" i="43"/>
  <c r="CV38" i="43"/>
  <c r="CU38" i="43"/>
  <c r="CR38" i="43"/>
  <c r="CQ38" i="43"/>
  <c r="CP38" i="43"/>
  <c r="CO38" i="43"/>
  <c r="CN38" i="43"/>
  <c r="CM38" i="43"/>
  <c r="CI38" i="43"/>
  <c r="CH38" i="43"/>
  <c r="CG38" i="43"/>
  <c r="CF38" i="43"/>
  <c r="CE38" i="43"/>
  <c r="CD38" i="43"/>
  <c r="CA38" i="43"/>
  <c r="BZ38" i="43"/>
  <c r="BY38" i="43"/>
  <c r="BX38" i="43"/>
  <c r="BV38" i="43"/>
  <c r="BU38" i="43"/>
  <c r="BR38" i="43"/>
  <c r="BQ38" i="43"/>
  <c r="BP38" i="43"/>
  <c r="BO38" i="43"/>
  <c r="BN38" i="43"/>
  <c r="BM38" i="43"/>
  <c r="BJ38" i="43"/>
  <c r="BI38" i="43"/>
  <c r="BH38" i="43"/>
  <c r="BG38" i="43"/>
  <c r="BF38" i="43"/>
  <c r="BE38" i="43"/>
  <c r="BB38" i="43"/>
  <c r="BA38" i="43"/>
  <c r="AZ38" i="43"/>
  <c r="AY38" i="43"/>
  <c r="AX38" i="43"/>
  <c r="AW38" i="43"/>
  <c r="AT38" i="43"/>
  <c r="AS38" i="43"/>
  <c r="AR38" i="43"/>
  <c r="AQ38" i="43"/>
  <c r="AP38" i="43"/>
  <c r="AO38" i="43"/>
  <c r="AL38" i="43"/>
  <c r="AK38" i="43"/>
  <c r="AJ38" i="43"/>
  <c r="AI38" i="43"/>
  <c r="AH38" i="43"/>
  <c r="AG38" i="43"/>
  <c r="AD38" i="43"/>
  <c r="AC38" i="43"/>
  <c r="AB38" i="43"/>
  <c r="AA38" i="43"/>
  <c r="Z38" i="43"/>
  <c r="Y38" i="43"/>
  <c r="V38" i="43"/>
  <c r="U38" i="43"/>
  <c r="T38" i="43"/>
  <c r="S38" i="43"/>
  <c r="O38" i="43"/>
  <c r="N38" i="43"/>
  <c r="K38" i="43"/>
  <c r="J38" i="43"/>
  <c r="I38" i="43"/>
  <c r="H38" i="43"/>
  <c r="G38" i="43"/>
  <c r="F38" i="43"/>
  <c r="DM38" i="43"/>
  <c r="DW37" i="43"/>
  <c r="DV37" i="43"/>
  <c r="DU37" i="43"/>
  <c r="P37" i="43"/>
  <c r="DS37" i="43"/>
  <c r="DQ37" i="43"/>
  <c r="DO37" i="43"/>
  <c r="DI37" i="43"/>
  <c r="DH37" i="43"/>
  <c r="DG37" i="43"/>
  <c r="DE37" i="43"/>
  <c r="DD37" i="43"/>
  <c r="DC37" i="43"/>
  <c r="CZ37" i="43"/>
  <c r="CY37" i="43"/>
  <c r="CX37" i="43"/>
  <c r="CW37" i="43"/>
  <c r="CV37" i="43"/>
  <c r="CU37" i="43"/>
  <c r="CR37" i="43"/>
  <c r="CQ37" i="43"/>
  <c r="CP37" i="43"/>
  <c r="CO37" i="43"/>
  <c r="CN37" i="43"/>
  <c r="CM37" i="43"/>
  <c r="CI37" i="43"/>
  <c r="CH37" i="43"/>
  <c r="CG37" i="43"/>
  <c r="CF37" i="43"/>
  <c r="CE37" i="43"/>
  <c r="CD37" i="43"/>
  <c r="CA37" i="43"/>
  <c r="BZ37" i="43"/>
  <c r="BY37" i="43"/>
  <c r="BX37" i="43"/>
  <c r="BV37" i="43"/>
  <c r="BU37" i="43"/>
  <c r="BR37" i="43"/>
  <c r="BQ37" i="43"/>
  <c r="BP37" i="43"/>
  <c r="BO37" i="43"/>
  <c r="BN37" i="43"/>
  <c r="BM37" i="43"/>
  <c r="BJ37" i="43"/>
  <c r="BI37" i="43"/>
  <c r="BH37" i="43"/>
  <c r="BG37" i="43"/>
  <c r="BF37" i="43"/>
  <c r="BE37" i="43"/>
  <c r="BB37" i="43"/>
  <c r="BA37" i="43"/>
  <c r="AZ37" i="43"/>
  <c r="AY37" i="43"/>
  <c r="AX37" i="43"/>
  <c r="AW37" i="43"/>
  <c r="AT37" i="43"/>
  <c r="AS37" i="43"/>
  <c r="AR37" i="43"/>
  <c r="AQ37" i="43"/>
  <c r="AP37" i="43"/>
  <c r="AO37" i="43"/>
  <c r="AL37" i="43"/>
  <c r="AK37" i="43"/>
  <c r="AJ37" i="43"/>
  <c r="AI37" i="43"/>
  <c r="AH37" i="43"/>
  <c r="AG37" i="43"/>
  <c r="AD37" i="43"/>
  <c r="AC37" i="43"/>
  <c r="AB37" i="43"/>
  <c r="AA37" i="43"/>
  <c r="Z37" i="43"/>
  <c r="Y37" i="43"/>
  <c r="V37" i="43"/>
  <c r="U37" i="43"/>
  <c r="T37" i="43"/>
  <c r="S37" i="43"/>
  <c r="O37" i="43"/>
  <c r="N37" i="43"/>
  <c r="K37" i="43"/>
  <c r="J37" i="43"/>
  <c r="I37" i="43"/>
  <c r="H37" i="43"/>
  <c r="G37" i="43"/>
  <c r="F37" i="43"/>
  <c r="DM37" i="43"/>
  <c r="DW36" i="43"/>
  <c r="DV36" i="43"/>
  <c r="DU36" i="43"/>
  <c r="P36" i="43"/>
  <c r="DS36" i="43"/>
  <c r="DQ36" i="43"/>
  <c r="DO36" i="43"/>
  <c r="DI36" i="43"/>
  <c r="DH36" i="43"/>
  <c r="DG36" i="43"/>
  <c r="DE36" i="43"/>
  <c r="DD36" i="43"/>
  <c r="DC36" i="43"/>
  <c r="CZ36" i="43"/>
  <c r="CY36" i="43"/>
  <c r="CX36" i="43"/>
  <c r="CW36" i="43"/>
  <c r="CV36" i="43"/>
  <c r="CU36" i="43"/>
  <c r="CR36" i="43"/>
  <c r="CQ36" i="43"/>
  <c r="CP36" i="43"/>
  <c r="CO36" i="43"/>
  <c r="CN36" i="43"/>
  <c r="CM36" i="43"/>
  <c r="CI36" i="43"/>
  <c r="CH36" i="43"/>
  <c r="CG36" i="43"/>
  <c r="CF36" i="43"/>
  <c r="CE36" i="43"/>
  <c r="CD36" i="43"/>
  <c r="CA36" i="43"/>
  <c r="BZ36" i="43"/>
  <c r="BY36" i="43"/>
  <c r="BX36" i="43"/>
  <c r="BV36" i="43"/>
  <c r="BU36" i="43"/>
  <c r="BR36" i="43"/>
  <c r="BQ36" i="43"/>
  <c r="BP36" i="43"/>
  <c r="BO36" i="43"/>
  <c r="BN36" i="43"/>
  <c r="BM36" i="43"/>
  <c r="BJ36" i="43"/>
  <c r="BI36" i="43"/>
  <c r="BH36" i="43"/>
  <c r="BG36" i="43"/>
  <c r="BF36" i="43"/>
  <c r="BE36" i="43"/>
  <c r="BB36" i="43"/>
  <c r="BA36" i="43"/>
  <c r="AZ36" i="43"/>
  <c r="AY36" i="43"/>
  <c r="AX36" i="43"/>
  <c r="AW36" i="43"/>
  <c r="AT36" i="43"/>
  <c r="AS36" i="43"/>
  <c r="AR36" i="43"/>
  <c r="AQ36" i="43"/>
  <c r="AP36" i="43"/>
  <c r="AO36" i="43"/>
  <c r="AL36" i="43"/>
  <c r="AK36" i="43"/>
  <c r="AJ36" i="43"/>
  <c r="AI36" i="43"/>
  <c r="AH36" i="43"/>
  <c r="AG36" i="43"/>
  <c r="AD36" i="43"/>
  <c r="AC36" i="43"/>
  <c r="AB36" i="43"/>
  <c r="AA36" i="43"/>
  <c r="Z36" i="43"/>
  <c r="Y36" i="43"/>
  <c r="V36" i="43"/>
  <c r="U36" i="43"/>
  <c r="T36" i="43"/>
  <c r="S36" i="43"/>
  <c r="O36" i="43"/>
  <c r="N36" i="43"/>
  <c r="K36" i="43"/>
  <c r="J36" i="43"/>
  <c r="I36" i="43"/>
  <c r="H36" i="43"/>
  <c r="G36" i="43"/>
  <c r="F36" i="43"/>
  <c r="DM36" i="43"/>
  <c r="DW35" i="43"/>
  <c r="DV35" i="43"/>
  <c r="DU35" i="43"/>
  <c r="P35" i="43"/>
  <c r="DS35" i="43"/>
  <c r="DQ35" i="43"/>
  <c r="CP35" i="43"/>
  <c r="CE35" i="43"/>
  <c r="BU35" i="43"/>
  <c r="BA35" i="43"/>
  <c r="AR35" i="43"/>
  <c r="AI35" i="43"/>
  <c r="Z35" i="43"/>
  <c r="N35" i="43"/>
  <c r="BJ35" i="43"/>
  <c r="DW34" i="43"/>
  <c r="DV34" i="43"/>
  <c r="DU34" i="43"/>
  <c r="P34" i="43"/>
  <c r="DS34" i="43"/>
  <c r="DQ34" i="43"/>
  <c r="DM34" i="43"/>
  <c r="DI34" i="43"/>
  <c r="DD34" i="43"/>
  <c r="DC34" i="43"/>
  <c r="CZ34" i="43"/>
  <c r="CY34" i="43"/>
  <c r="CU34" i="43"/>
  <c r="CT34" i="43"/>
  <c r="CQ34" i="43"/>
  <c r="CP34" i="43"/>
  <c r="CL34" i="43"/>
  <c r="CI34" i="43"/>
  <c r="CG34" i="43"/>
  <c r="CF34" i="43"/>
  <c r="CA34" i="43"/>
  <c r="BZ34" i="43"/>
  <c r="BX34" i="43"/>
  <c r="BV34" i="43"/>
  <c r="BQ34" i="43"/>
  <c r="BP34" i="43"/>
  <c r="BN34" i="43"/>
  <c r="BM34" i="43"/>
  <c r="BH34" i="43"/>
  <c r="BG34" i="43"/>
  <c r="BE34" i="43"/>
  <c r="BD34" i="43"/>
  <c r="AY34" i="43"/>
  <c r="AX34" i="43"/>
  <c r="AV34" i="43"/>
  <c r="AT34" i="43"/>
  <c r="AP34" i="43"/>
  <c r="AO34" i="43"/>
  <c r="AL34" i="43"/>
  <c r="AK34" i="43"/>
  <c r="AG34" i="43"/>
  <c r="AF34" i="43"/>
  <c r="AC34" i="43"/>
  <c r="AB34" i="43"/>
  <c r="X34" i="43"/>
  <c r="V34" i="43"/>
  <c r="T34" i="43"/>
  <c r="S34" i="43"/>
  <c r="K34" i="43"/>
  <c r="J34" i="43"/>
  <c r="H34" i="43"/>
  <c r="G34" i="43"/>
  <c r="DE34" i="43"/>
  <c r="DW33" i="43"/>
  <c r="DV33" i="43"/>
  <c r="DU33" i="43"/>
  <c r="P33" i="43"/>
  <c r="DQ33" i="43"/>
  <c r="DO33" i="43"/>
  <c r="DG33" i="43"/>
  <c r="DE33" i="43"/>
  <c r="DC33" i="43"/>
  <c r="CT33" i="43"/>
  <c r="CR33" i="43"/>
  <c r="CN33" i="43"/>
  <c r="CM33" i="43"/>
  <c r="CI33" i="43"/>
  <c r="BZ33" i="43"/>
  <c r="BY33" i="43"/>
  <c r="BT33" i="43"/>
  <c r="BR33" i="43"/>
  <c r="BP33" i="43"/>
  <c r="BG33" i="43"/>
  <c r="BF33" i="43"/>
  <c r="BA33" i="43"/>
  <c r="AZ33" i="43"/>
  <c r="AX33" i="43"/>
  <c r="AO33" i="43"/>
  <c r="AN33" i="43"/>
  <c r="AI33" i="43"/>
  <c r="AH33" i="43"/>
  <c r="AF33" i="43"/>
  <c r="V33" i="43"/>
  <c r="U33" i="43"/>
  <c r="N33" i="43"/>
  <c r="M33" i="43"/>
  <c r="J33" i="43"/>
  <c r="CV33" i="43"/>
  <c r="DW32" i="43"/>
  <c r="DV32" i="43"/>
  <c r="DU32" i="43"/>
  <c r="P32" i="43"/>
  <c r="DS32" i="43"/>
  <c r="DO32" i="43"/>
  <c r="DI32" i="43"/>
  <c r="DH32" i="43"/>
  <c r="DE32" i="43"/>
  <c r="DD32" i="43"/>
  <c r="DB32" i="43"/>
  <c r="CY32" i="43"/>
  <c r="CX32" i="43"/>
  <c r="CV32" i="43"/>
  <c r="CU32" i="43"/>
  <c r="CR32" i="43"/>
  <c r="CP32" i="43"/>
  <c r="CO32" i="43"/>
  <c r="CM32" i="43"/>
  <c r="CL32" i="43"/>
  <c r="CH32" i="43"/>
  <c r="CF32" i="43"/>
  <c r="CE32" i="43"/>
  <c r="CC32" i="43"/>
  <c r="CA32" i="43"/>
  <c r="BY32" i="43"/>
  <c r="BV32" i="43"/>
  <c r="BU32" i="43"/>
  <c r="BR32" i="43"/>
  <c r="BQ32" i="43"/>
  <c r="BO32" i="43"/>
  <c r="BM32" i="43"/>
  <c r="BL32" i="43"/>
  <c r="BI32" i="43"/>
  <c r="BH32" i="43"/>
  <c r="BF32" i="43"/>
  <c r="BD32" i="43"/>
  <c r="BB32" i="43"/>
  <c r="AZ32" i="43"/>
  <c r="AY32" i="43"/>
  <c r="AW32" i="43"/>
  <c r="AT32" i="43"/>
  <c r="AS32" i="43"/>
  <c r="AQ32" i="43"/>
  <c r="AP32" i="43"/>
  <c r="AN32" i="43"/>
  <c r="AK32" i="43"/>
  <c r="AJ32" i="43"/>
  <c r="AH32" i="43"/>
  <c r="AG32" i="43"/>
  <c r="AD32" i="43"/>
  <c r="AB32" i="43"/>
  <c r="AA32" i="43"/>
  <c r="Y32" i="43"/>
  <c r="X32" i="43"/>
  <c r="U32" i="43"/>
  <c r="T32" i="43"/>
  <c r="S32" i="43"/>
  <c r="O32" i="43"/>
  <c r="M32" i="43"/>
  <c r="K32" i="43"/>
  <c r="I32" i="43"/>
  <c r="H32" i="43"/>
  <c r="G32" i="43"/>
  <c r="F32" i="43"/>
  <c r="DW31" i="43"/>
  <c r="DV31" i="43"/>
  <c r="DU31" i="43"/>
  <c r="P31" i="43"/>
  <c r="DS31" i="43"/>
  <c r="DO31" i="43"/>
  <c r="DD31" i="43"/>
  <c r="DB31" i="43"/>
  <c r="CZ31" i="43"/>
  <c r="CX31" i="43"/>
  <c r="CW31" i="43"/>
  <c r="CO31" i="43"/>
  <c r="CN31" i="43"/>
  <c r="CL31" i="43"/>
  <c r="CH31" i="43"/>
  <c r="CG31" i="43"/>
  <c r="BY31" i="43"/>
  <c r="BX31" i="43"/>
  <c r="BU31" i="43"/>
  <c r="BT31" i="43"/>
  <c r="BQ31" i="43"/>
  <c r="BJ31" i="43"/>
  <c r="BH31" i="43"/>
  <c r="BF31" i="43"/>
  <c r="BE31" i="43"/>
  <c r="BB31" i="43"/>
  <c r="AV31" i="43"/>
  <c r="AS31" i="43"/>
  <c r="AR31" i="43"/>
  <c r="AP31" i="43"/>
  <c r="AN31" i="43"/>
  <c r="AG31" i="43"/>
  <c r="AD31" i="43"/>
  <c r="AC31" i="43"/>
  <c r="AA31" i="43"/>
  <c r="Z31" i="43"/>
  <c r="X31" i="43"/>
  <c r="O31" i="43"/>
  <c r="N31" i="43"/>
  <c r="K31" i="43"/>
  <c r="I31" i="43"/>
  <c r="H31" i="43"/>
  <c r="F31" i="43"/>
  <c r="DG31" i="43"/>
  <c r="DW30" i="43"/>
  <c r="DV30" i="43"/>
  <c r="DU30" i="43"/>
  <c r="P30" i="43"/>
  <c r="DS30" i="43"/>
  <c r="DQ30" i="43"/>
  <c r="DO30" i="43"/>
  <c r="DM30" i="43"/>
  <c r="DI30" i="43"/>
  <c r="DG30" i="43"/>
  <c r="DE30" i="43"/>
  <c r="DD30" i="43"/>
  <c r="DC30" i="43"/>
  <c r="DB30" i="43"/>
  <c r="CZ30" i="43"/>
  <c r="CY30" i="43"/>
  <c r="CW30" i="43"/>
  <c r="CV30" i="43"/>
  <c r="CU30" i="43"/>
  <c r="CT30" i="43"/>
  <c r="CR30" i="43"/>
  <c r="CQ30" i="43"/>
  <c r="CP30" i="43"/>
  <c r="CN30" i="43"/>
  <c r="CM30" i="43"/>
  <c r="CL30" i="43"/>
  <c r="CI30" i="43"/>
  <c r="CH30" i="43"/>
  <c r="CG30" i="43"/>
  <c r="CF30" i="43"/>
  <c r="CD30" i="43"/>
  <c r="CC30" i="43"/>
  <c r="CA30" i="43"/>
  <c r="BZ30" i="43"/>
  <c r="BY30" i="43"/>
  <c r="BX30" i="43"/>
  <c r="BV30" i="43"/>
  <c r="BT30" i="43"/>
  <c r="BR30" i="43"/>
  <c r="BQ30" i="43"/>
  <c r="BP30" i="43"/>
  <c r="BO30" i="43"/>
  <c r="BN30" i="43"/>
  <c r="BM30" i="43"/>
  <c r="BK30" i="43"/>
  <c r="BJ30" i="43"/>
  <c r="BI30" i="43"/>
  <c r="BH30" i="43"/>
  <c r="BG30" i="43"/>
  <c r="BF30" i="43"/>
  <c r="BE30" i="43"/>
  <c r="BC30" i="43"/>
  <c r="BB30" i="43"/>
  <c r="BA30" i="43"/>
  <c r="AZ30" i="43"/>
  <c r="AY30" i="43"/>
  <c r="AX30" i="43"/>
  <c r="AW30" i="43"/>
  <c r="AU30" i="43"/>
  <c r="AT30" i="43"/>
  <c r="AS30" i="43"/>
  <c r="AR30" i="43"/>
  <c r="AQ30" i="43"/>
  <c r="AP30" i="43"/>
  <c r="AO30" i="43"/>
  <c r="AM30" i="43"/>
  <c r="AL30" i="43"/>
  <c r="AK30" i="43"/>
  <c r="AJ30" i="43"/>
  <c r="AI30" i="43"/>
  <c r="AH30" i="43"/>
  <c r="AG30" i="43"/>
  <c r="AE30" i="43"/>
  <c r="AD30" i="43"/>
  <c r="AC30" i="43"/>
  <c r="AB30" i="43"/>
  <c r="AA30" i="43"/>
  <c r="Z30" i="43"/>
  <c r="Y30" i="43"/>
  <c r="W30" i="43"/>
  <c r="V30" i="43"/>
  <c r="U30" i="43"/>
  <c r="T30" i="43"/>
  <c r="S30" i="43"/>
  <c r="O30" i="43"/>
  <c r="N30" i="43"/>
  <c r="L30" i="43"/>
  <c r="K30" i="43"/>
  <c r="J30" i="43"/>
  <c r="I30" i="43"/>
  <c r="H30" i="43"/>
  <c r="G30" i="43"/>
  <c r="F30" i="43"/>
  <c r="P29" i="43"/>
  <c r="DY29" i="43"/>
  <c r="DW29" i="43"/>
  <c r="DV29" i="43"/>
  <c r="DU29" i="43"/>
  <c r="DS29" i="43"/>
  <c r="DQ29" i="43"/>
  <c r="DO29" i="43"/>
  <c r="DK29" i="43"/>
  <c r="DI29" i="43"/>
  <c r="DH29" i="43"/>
  <c r="DG29" i="43"/>
  <c r="DE29" i="43"/>
  <c r="DD29" i="43"/>
  <c r="DC29" i="43"/>
  <c r="DA29" i="43"/>
  <c r="CZ29" i="43"/>
  <c r="CY29" i="43"/>
  <c r="CX29" i="43"/>
  <c r="CW29" i="43"/>
  <c r="CV29" i="43"/>
  <c r="CU29" i="43"/>
  <c r="CS29" i="43"/>
  <c r="CR29" i="43"/>
  <c r="CQ29" i="43"/>
  <c r="CP29" i="43"/>
  <c r="CO29" i="43"/>
  <c r="CN29" i="43"/>
  <c r="CM29" i="43"/>
  <c r="CK29" i="43"/>
  <c r="CI29" i="43"/>
  <c r="CH29" i="43"/>
  <c r="CG29" i="43"/>
  <c r="CF29" i="43"/>
  <c r="CE29" i="43"/>
  <c r="CD29" i="43"/>
  <c r="CB29" i="43"/>
  <c r="CA29" i="43"/>
  <c r="BZ29" i="43"/>
  <c r="BY29" i="43"/>
  <c r="BX29" i="43"/>
  <c r="BV29" i="43"/>
  <c r="BU29" i="43"/>
  <c r="BS29" i="43"/>
  <c r="BR29" i="43"/>
  <c r="BQ29" i="43"/>
  <c r="BP29" i="43"/>
  <c r="BO29" i="43"/>
  <c r="BN29" i="43"/>
  <c r="BM29" i="43"/>
  <c r="BK29" i="43"/>
  <c r="BJ29" i="43"/>
  <c r="BI29" i="43"/>
  <c r="BH29" i="43"/>
  <c r="BG29" i="43"/>
  <c r="BF29" i="43"/>
  <c r="BE29" i="43"/>
  <c r="BC29" i="43"/>
  <c r="BB29" i="43"/>
  <c r="BA29" i="43"/>
  <c r="AZ29" i="43"/>
  <c r="AY29" i="43"/>
  <c r="AX29" i="43"/>
  <c r="AW29" i="43"/>
  <c r="AU29" i="43"/>
  <c r="AT29" i="43"/>
  <c r="AS29" i="43"/>
  <c r="AR29" i="43"/>
  <c r="AQ29" i="43"/>
  <c r="AP29" i="43"/>
  <c r="AO29" i="43"/>
  <c r="AM29" i="43"/>
  <c r="AL29" i="43"/>
  <c r="AK29" i="43"/>
  <c r="AJ29" i="43"/>
  <c r="AI29" i="43"/>
  <c r="AH29" i="43"/>
  <c r="AG29" i="43"/>
  <c r="AE29" i="43"/>
  <c r="AD29" i="43"/>
  <c r="AC29" i="43"/>
  <c r="AB29" i="43"/>
  <c r="AA29" i="43"/>
  <c r="Z29" i="43"/>
  <c r="Y29" i="43"/>
  <c r="W29" i="43"/>
  <c r="V29" i="43"/>
  <c r="U29" i="43"/>
  <c r="T29" i="43"/>
  <c r="S29" i="43"/>
  <c r="O29" i="43"/>
  <c r="N29" i="43"/>
  <c r="L29" i="43"/>
  <c r="K29" i="43"/>
  <c r="J29" i="43"/>
  <c r="I29" i="43"/>
  <c r="H29" i="43"/>
  <c r="G29" i="43"/>
  <c r="F29" i="43"/>
  <c r="DM29" i="43"/>
  <c r="P28" i="43"/>
  <c r="DY28" i="43"/>
  <c r="DW28" i="43"/>
  <c r="DV28" i="43"/>
  <c r="DU28" i="43"/>
  <c r="DS28" i="43"/>
  <c r="DQ28" i="43"/>
  <c r="DO28" i="43"/>
  <c r="DK28" i="43"/>
  <c r="DI28" i="43"/>
  <c r="DH28" i="43"/>
  <c r="DG28" i="43"/>
  <c r="DE28" i="43"/>
  <c r="DD28" i="43"/>
  <c r="DC28" i="43"/>
  <c r="DA28" i="43"/>
  <c r="CZ28" i="43"/>
  <c r="CY28" i="43"/>
  <c r="CX28" i="43"/>
  <c r="CW28" i="43"/>
  <c r="CV28" i="43"/>
  <c r="CU28" i="43"/>
  <c r="CS28" i="43"/>
  <c r="CR28" i="43"/>
  <c r="CQ28" i="43"/>
  <c r="CP28" i="43"/>
  <c r="CO28" i="43"/>
  <c r="CN28" i="43"/>
  <c r="CM28" i="43"/>
  <c r="CK28" i="43"/>
  <c r="CI28" i="43"/>
  <c r="CH28" i="43"/>
  <c r="CG28" i="43"/>
  <c r="CF28" i="43"/>
  <c r="CE28" i="43"/>
  <c r="CD28" i="43"/>
  <c r="CB28" i="43"/>
  <c r="CA28" i="43"/>
  <c r="BZ28" i="43"/>
  <c r="BY28" i="43"/>
  <c r="BX28" i="43"/>
  <c r="BV28" i="43"/>
  <c r="BU28" i="43"/>
  <c r="BS28" i="43"/>
  <c r="BR28" i="43"/>
  <c r="BQ28" i="43"/>
  <c r="BP28" i="43"/>
  <c r="BO28" i="43"/>
  <c r="BN28" i="43"/>
  <c r="BM28" i="43"/>
  <c r="BK28" i="43"/>
  <c r="BJ28" i="43"/>
  <c r="BI28" i="43"/>
  <c r="BH28" i="43"/>
  <c r="BG28" i="43"/>
  <c r="BF28" i="43"/>
  <c r="BE28" i="43"/>
  <c r="BC28" i="43"/>
  <c r="BB28" i="43"/>
  <c r="BA28" i="43"/>
  <c r="AZ28" i="43"/>
  <c r="AY28" i="43"/>
  <c r="AX28" i="43"/>
  <c r="AW28" i="43"/>
  <c r="AU28" i="43"/>
  <c r="AT28" i="43"/>
  <c r="AS28" i="43"/>
  <c r="AR28" i="43"/>
  <c r="AQ28" i="43"/>
  <c r="AP28" i="43"/>
  <c r="AO28" i="43"/>
  <c r="AM28" i="43"/>
  <c r="AL28" i="43"/>
  <c r="AK28" i="43"/>
  <c r="AJ28" i="43"/>
  <c r="AI28" i="43"/>
  <c r="AH28" i="43"/>
  <c r="AG28" i="43"/>
  <c r="AE28" i="43"/>
  <c r="AD28" i="43"/>
  <c r="AC28" i="43"/>
  <c r="AB28" i="43"/>
  <c r="AA28" i="43"/>
  <c r="Z28" i="43"/>
  <c r="Y28" i="43"/>
  <c r="W28" i="43"/>
  <c r="V28" i="43"/>
  <c r="U28" i="43"/>
  <c r="T28" i="43"/>
  <c r="S28" i="43"/>
  <c r="O28" i="43"/>
  <c r="N28" i="43"/>
  <c r="L28" i="43"/>
  <c r="K28" i="43"/>
  <c r="J28" i="43"/>
  <c r="I28" i="43"/>
  <c r="H28" i="43"/>
  <c r="G28" i="43"/>
  <c r="F28" i="43"/>
  <c r="DM28" i="43"/>
  <c r="P27" i="43"/>
  <c r="DY27" i="43"/>
  <c r="DW27" i="43"/>
  <c r="DV27" i="43"/>
  <c r="DU27" i="43"/>
  <c r="DS27" i="43"/>
  <c r="DQ27" i="43"/>
  <c r="DO27" i="43"/>
  <c r="DK27" i="43"/>
  <c r="DI27" i="43"/>
  <c r="DH27" i="43"/>
  <c r="DG27" i="43"/>
  <c r="DE27" i="43"/>
  <c r="DD27" i="43"/>
  <c r="DC27" i="43"/>
  <c r="DA27" i="43"/>
  <c r="CZ27" i="43"/>
  <c r="CY27" i="43"/>
  <c r="CX27" i="43"/>
  <c r="CW27" i="43"/>
  <c r="CV27" i="43"/>
  <c r="CU27" i="43"/>
  <c r="CS27" i="43"/>
  <c r="CR27" i="43"/>
  <c r="CQ27" i="43"/>
  <c r="CP27" i="43"/>
  <c r="CO27" i="43"/>
  <c r="CN27" i="43"/>
  <c r="CM27" i="43"/>
  <c r="CK27" i="43"/>
  <c r="CI27" i="43"/>
  <c r="CH27" i="43"/>
  <c r="CG27" i="43"/>
  <c r="CF27" i="43"/>
  <c r="CE27" i="43"/>
  <c r="CD27" i="43"/>
  <c r="CB27" i="43"/>
  <c r="CA27" i="43"/>
  <c r="BZ27" i="43"/>
  <c r="BY27" i="43"/>
  <c r="BX27" i="43"/>
  <c r="BV27" i="43"/>
  <c r="BU27" i="43"/>
  <c r="BS27" i="43"/>
  <c r="BR27" i="43"/>
  <c r="BQ27" i="43"/>
  <c r="BP27" i="43"/>
  <c r="BO27" i="43"/>
  <c r="BN27" i="43"/>
  <c r="BM27" i="43"/>
  <c r="BK27" i="43"/>
  <c r="BJ27" i="43"/>
  <c r="BI27" i="43"/>
  <c r="BH27" i="43"/>
  <c r="BG27" i="43"/>
  <c r="BF27" i="43"/>
  <c r="BE27" i="43"/>
  <c r="BC27" i="43"/>
  <c r="BB27" i="43"/>
  <c r="BA27" i="43"/>
  <c r="AZ27" i="43"/>
  <c r="AY27" i="43"/>
  <c r="AX27" i="43"/>
  <c r="AW27" i="43"/>
  <c r="AU27" i="43"/>
  <c r="AT27" i="43"/>
  <c r="AS27" i="43"/>
  <c r="AR27" i="43"/>
  <c r="AQ27" i="43"/>
  <c r="AP27" i="43"/>
  <c r="AO27" i="43"/>
  <c r="AM27" i="43"/>
  <c r="AL27" i="43"/>
  <c r="AK27" i="43"/>
  <c r="AJ27" i="43"/>
  <c r="AI27" i="43"/>
  <c r="AH27" i="43"/>
  <c r="AG27" i="43"/>
  <c r="AE27" i="43"/>
  <c r="AD27" i="43"/>
  <c r="AC27" i="43"/>
  <c r="AB27" i="43"/>
  <c r="AA27" i="43"/>
  <c r="Z27" i="43"/>
  <c r="Y27" i="43"/>
  <c r="W27" i="43"/>
  <c r="V27" i="43"/>
  <c r="U27" i="43"/>
  <c r="T27" i="43"/>
  <c r="S27" i="43"/>
  <c r="O27" i="43"/>
  <c r="N27" i="43"/>
  <c r="L27" i="43"/>
  <c r="K27" i="43"/>
  <c r="J27" i="43"/>
  <c r="I27" i="43"/>
  <c r="H27" i="43"/>
  <c r="G27" i="43"/>
  <c r="F27" i="43"/>
  <c r="DM27" i="43"/>
  <c r="P26" i="43"/>
  <c r="DY26" i="43"/>
  <c r="DW26" i="43"/>
  <c r="DV26" i="43"/>
  <c r="DU26" i="43"/>
  <c r="DS26" i="43"/>
  <c r="DQ26" i="43"/>
  <c r="DO26" i="43"/>
  <c r="DK26" i="43"/>
  <c r="DI26" i="43"/>
  <c r="DH26" i="43"/>
  <c r="DG26" i="43"/>
  <c r="DE26" i="43"/>
  <c r="DD26" i="43"/>
  <c r="DC26" i="43"/>
  <c r="DA26" i="43"/>
  <c r="CZ26" i="43"/>
  <c r="CY26" i="43"/>
  <c r="CX26" i="43"/>
  <c r="CW26" i="43"/>
  <c r="CV26" i="43"/>
  <c r="CU26" i="43"/>
  <c r="CS26" i="43"/>
  <c r="CR26" i="43"/>
  <c r="CQ26" i="43"/>
  <c r="CP26" i="43"/>
  <c r="CO26" i="43"/>
  <c r="CN26" i="43"/>
  <c r="CM26" i="43"/>
  <c r="CK26" i="43"/>
  <c r="CI26" i="43"/>
  <c r="CH26" i="43"/>
  <c r="CG26" i="43"/>
  <c r="CF26" i="43"/>
  <c r="CE26" i="43"/>
  <c r="CD26" i="43"/>
  <c r="CB26" i="43"/>
  <c r="CA26" i="43"/>
  <c r="BZ26" i="43"/>
  <c r="BY26" i="43"/>
  <c r="BX26" i="43"/>
  <c r="BV26" i="43"/>
  <c r="BU26" i="43"/>
  <c r="BS26" i="43"/>
  <c r="BR26" i="43"/>
  <c r="BQ26" i="43"/>
  <c r="BP26" i="43"/>
  <c r="BO26" i="43"/>
  <c r="BN26" i="43"/>
  <c r="BM26" i="43"/>
  <c r="BK26" i="43"/>
  <c r="BJ26" i="43"/>
  <c r="BI26" i="43"/>
  <c r="BH26" i="43"/>
  <c r="BG26" i="43"/>
  <c r="BF26" i="43"/>
  <c r="BE26" i="43"/>
  <c r="BC26" i="43"/>
  <c r="BB26" i="43"/>
  <c r="BA26" i="43"/>
  <c r="AZ26" i="43"/>
  <c r="AY26" i="43"/>
  <c r="AX26" i="43"/>
  <c r="AW26" i="43"/>
  <c r="AU26" i="43"/>
  <c r="AT26" i="43"/>
  <c r="AS26" i="43"/>
  <c r="AR26" i="43"/>
  <c r="AQ26" i="43"/>
  <c r="AP26" i="43"/>
  <c r="AO26" i="43"/>
  <c r="AM26" i="43"/>
  <c r="AL26" i="43"/>
  <c r="AK26" i="43"/>
  <c r="AJ26" i="43"/>
  <c r="AI26" i="43"/>
  <c r="AH26" i="43"/>
  <c r="AG26" i="43"/>
  <c r="AE26" i="43"/>
  <c r="AD26" i="43"/>
  <c r="AC26" i="43"/>
  <c r="AB26" i="43"/>
  <c r="AA26" i="43"/>
  <c r="Z26" i="43"/>
  <c r="Y26" i="43"/>
  <c r="W26" i="43"/>
  <c r="V26" i="43"/>
  <c r="U26" i="43"/>
  <c r="T26" i="43"/>
  <c r="S26" i="43"/>
  <c r="O26" i="43"/>
  <c r="N26" i="43"/>
  <c r="L26" i="43"/>
  <c r="K26" i="43"/>
  <c r="J26" i="43"/>
  <c r="I26" i="43"/>
  <c r="H26" i="43"/>
  <c r="G26" i="43"/>
  <c r="F26" i="43"/>
  <c r="DM26" i="43"/>
  <c r="P25" i="43"/>
  <c r="DY25" i="43"/>
  <c r="DW25" i="43"/>
  <c r="DV25" i="43"/>
  <c r="DU25" i="43"/>
  <c r="DS25" i="43"/>
  <c r="DQ25" i="43"/>
  <c r="DO25" i="43"/>
  <c r="DK25" i="43"/>
  <c r="DI25" i="43"/>
  <c r="DH25" i="43"/>
  <c r="DG25" i="43"/>
  <c r="DE25" i="43"/>
  <c r="DD25" i="43"/>
  <c r="DC25" i="43"/>
  <c r="DA25" i="43"/>
  <c r="CZ25" i="43"/>
  <c r="CY25" i="43"/>
  <c r="CX25" i="43"/>
  <c r="CW25" i="43"/>
  <c r="CV25" i="43"/>
  <c r="CU25" i="43"/>
  <c r="CS25" i="43"/>
  <c r="CR25" i="43"/>
  <c r="CQ25" i="43"/>
  <c r="CP25" i="43"/>
  <c r="CO25" i="43"/>
  <c r="CN25" i="43"/>
  <c r="CM25" i="43"/>
  <c r="CK25" i="43"/>
  <c r="CI25" i="43"/>
  <c r="CH25" i="43"/>
  <c r="CG25" i="43"/>
  <c r="CF25" i="43"/>
  <c r="CE25" i="43"/>
  <c r="CD25" i="43"/>
  <c r="CB25" i="43"/>
  <c r="CA25" i="43"/>
  <c r="BZ25" i="43"/>
  <c r="BY25" i="43"/>
  <c r="BX25" i="43"/>
  <c r="BV25" i="43"/>
  <c r="BU25" i="43"/>
  <c r="BS25" i="43"/>
  <c r="BR25" i="43"/>
  <c r="BQ25" i="43"/>
  <c r="BP25" i="43"/>
  <c r="BO25" i="43"/>
  <c r="BN25" i="43"/>
  <c r="BM25" i="43"/>
  <c r="BK25" i="43"/>
  <c r="BJ25" i="43"/>
  <c r="BI25" i="43"/>
  <c r="BH25" i="43"/>
  <c r="BG25" i="43"/>
  <c r="BF25" i="43"/>
  <c r="BE25" i="43"/>
  <c r="BC25" i="43"/>
  <c r="BB25" i="43"/>
  <c r="BA25" i="43"/>
  <c r="AZ25" i="43"/>
  <c r="AY25" i="43"/>
  <c r="AX25" i="43"/>
  <c r="AW25" i="43"/>
  <c r="AU25" i="43"/>
  <c r="AT25" i="43"/>
  <c r="AS25" i="43"/>
  <c r="AR25" i="43"/>
  <c r="AQ25" i="43"/>
  <c r="AP25" i="43"/>
  <c r="AO25" i="43"/>
  <c r="AM25" i="43"/>
  <c r="AL25" i="43"/>
  <c r="AK25" i="43"/>
  <c r="AJ25" i="43"/>
  <c r="AI25" i="43"/>
  <c r="AH25" i="43"/>
  <c r="AG25" i="43"/>
  <c r="AE25" i="43"/>
  <c r="AD25" i="43"/>
  <c r="AC25" i="43"/>
  <c r="AB25" i="43"/>
  <c r="AA25" i="43"/>
  <c r="Z25" i="43"/>
  <c r="Y25" i="43"/>
  <c r="W25" i="43"/>
  <c r="V25" i="43"/>
  <c r="U25" i="43"/>
  <c r="T25" i="43"/>
  <c r="S25" i="43"/>
  <c r="O25" i="43"/>
  <c r="N25" i="43"/>
  <c r="L25" i="43"/>
  <c r="K25" i="43"/>
  <c r="J25" i="43"/>
  <c r="I25" i="43"/>
  <c r="H25" i="43"/>
  <c r="G25" i="43"/>
  <c r="F25" i="43"/>
  <c r="DM25" i="43"/>
  <c r="P24" i="43"/>
  <c r="DY24" i="43"/>
  <c r="DW24" i="43"/>
  <c r="DV24" i="43"/>
  <c r="DU24" i="43"/>
  <c r="DS24" i="43"/>
  <c r="DQ24" i="43"/>
  <c r="DO24" i="43"/>
  <c r="DK24" i="43"/>
  <c r="DI24" i="43"/>
  <c r="DH24" i="43"/>
  <c r="DG24" i="43"/>
  <c r="DE24" i="43"/>
  <c r="DD24" i="43"/>
  <c r="DC24" i="43"/>
  <c r="DA24" i="43"/>
  <c r="CZ24" i="43"/>
  <c r="CY24" i="43"/>
  <c r="CX24" i="43"/>
  <c r="CW24" i="43"/>
  <c r="CV24" i="43"/>
  <c r="CU24" i="43"/>
  <c r="CS24" i="43"/>
  <c r="CR24" i="43"/>
  <c r="CQ24" i="43"/>
  <c r="CP24" i="43"/>
  <c r="CO24" i="43"/>
  <c r="CN24" i="43"/>
  <c r="CM24" i="43"/>
  <c r="CK24" i="43"/>
  <c r="CI24" i="43"/>
  <c r="CH24" i="43"/>
  <c r="CG24" i="43"/>
  <c r="CF24" i="43"/>
  <c r="CE24" i="43"/>
  <c r="CD24" i="43"/>
  <c r="CB24" i="43"/>
  <c r="CA24" i="43"/>
  <c r="BZ24" i="43"/>
  <c r="BY24" i="43"/>
  <c r="BX24" i="43"/>
  <c r="BV24" i="43"/>
  <c r="BU24" i="43"/>
  <c r="BS24" i="43"/>
  <c r="BR24" i="43"/>
  <c r="BQ24" i="43"/>
  <c r="BP24" i="43"/>
  <c r="BO24" i="43"/>
  <c r="BN24" i="43"/>
  <c r="BM24" i="43"/>
  <c r="BK24" i="43"/>
  <c r="BJ24" i="43"/>
  <c r="BI24" i="43"/>
  <c r="BH24" i="43"/>
  <c r="BG24" i="43"/>
  <c r="BF24" i="43"/>
  <c r="BE24" i="43"/>
  <c r="BC24" i="43"/>
  <c r="BB24" i="43"/>
  <c r="BA24" i="43"/>
  <c r="AZ24" i="43"/>
  <c r="AY24" i="43"/>
  <c r="AX24" i="43"/>
  <c r="AW24" i="43"/>
  <c r="AU24" i="43"/>
  <c r="AT24" i="43"/>
  <c r="AS24" i="43"/>
  <c r="AR24" i="43"/>
  <c r="AQ24" i="43"/>
  <c r="AP24" i="43"/>
  <c r="AO24" i="43"/>
  <c r="AM24" i="43"/>
  <c r="AL24" i="43"/>
  <c r="AK24" i="43"/>
  <c r="AJ24" i="43"/>
  <c r="AI24" i="43"/>
  <c r="AH24" i="43"/>
  <c r="AG24" i="43"/>
  <c r="AE24" i="43"/>
  <c r="AD24" i="43"/>
  <c r="AC24" i="43"/>
  <c r="AB24" i="43"/>
  <c r="AA24" i="43"/>
  <c r="Z24" i="43"/>
  <c r="Y24" i="43"/>
  <c r="W24" i="43"/>
  <c r="V24" i="43"/>
  <c r="U24" i="43"/>
  <c r="T24" i="43"/>
  <c r="S24" i="43"/>
  <c r="O24" i="43"/>
  <c r="N24" i="43"/>
  <c r="L24" i="43"/>
  <c r="K24" i="43"/>
  <c r="J24" i="43"/>
  <c r="I24" i="43"/>
  <c r="H24" i="43"/>
  <c r="G24" i="43"/>
  <c r="F24" i="43"/>
  <c r="DM24" i="43"/>
  <c r="DW23" i="43"/>
  <c r="DV23" i="43"/>
  <c r="DU23" i="43"/>
  <c r="P23" i="43"/>
  <c r="CN23" i="43"/>
  <c r="CB23" i="43"/>
  <c r="BF23" i="43"/>
  <c r="BE23" i="43"/>
  <c r="AO23" i="43"/>
  <c r="DW22" i="43"/>
  <c r="DV22" i="43"/>
  <c r="DU22" i="43"/>
  <c r="P22" i="43"/>
  <c r="CB22" i="43"/>
  <c r="DW21" i="43"/>
  <c r="DV21" i="43"/>
  <c r="DU21" i="43"/>
  <c r="P21" i="43"/>
  <c r="BC21" i="43"/>
  <c r="BV21" i="43"/>
  <c r="DW20" i="43"/>
  <c r="DV20" i="43"/>
  <c r="DU20" i="43"/>
  <c r="P20" i="43"/>
  <c r="BN20" i="43"/>
  <c r="AX20" i="43"/>
  <c r="AO20" i="43"/>
  <c r="BD20" i="43"/>
  <c r="DW19" i="43"/>
  <c r="DV19" i="43"/>
  <c r="DU19" i="43"/>
  <c r="P19" i="43"/>
  <c r="DQ19" i="43"/>
  <c r="DO19" i="43"/>
  <c r="DM19" i="43"/>
  <c r="DB19" i="43"/>
  <c r="CW19" i="43"/>
  <c r="CV19" i="43"/>
  <c r="CU19" i="43"/>
  <c r="CM19" i="43"/>
  <c r="CK19" i="43"/>
  <c r="CF19" i="43"/>
  <c r="CE19" i="43"/>
  <c r="BV19" i="43"/>
  <c r="BT19" i="43"/>
  <c r="BS19" i="43"/>
  <c r="BO19" i="43"/>
  <c r="BG19" i="43"/>
  <c r="BE19" i="43"/>
  <c r="BD19" i="43"/>
  <c r="AY19" i="43"/>
  <c r="AU19" i="43"/>
  <c r="AP19" i="43"/>
  <c r="AN19" i="43"/>
  <c r="AM19" i="43"/>
  <c r="AF19" i="43"/>
  <c r="Z19" i="43"/>
  <c r="Y19" i="43"/>
  <c r="X19" i="43"/>
  <c r="N19" i="43"/>
  <c r="H19" i="43"/>
  <c r="G19" i="43"/>
  <c r="F19" i="43"/>
  <c r="DE19" i="43"/>
  <c r="DW18" i="43"/>
  <c r="DV18" i="43"/>
  <c r="DU18" i="43"/>
  <c r="P18" i="43"/>
  <c r="DS18" i="43"/>
  <c r="DQ18" i="43"/>
  <c r="DO18" i="43"/>
  <c r="DM18" i="43"/>
  <c r="DE18" i="43"/>
  <c r="DC18" i="43"/>
  <c r="DB18" i="43"/>
  <c r="DA18" i="43"/>
  <c r="CW18" i="43"/>
  <c r="CV18" i="43"/>
  <c r="CU18" i="43"/>
  <c r="CO18" i="43"/>
  <c r="CN18" i="43"/>
  <c r="CM18" i="43"/>
  <c r="CL18" i="43"/>
  <c r="CK18" i="43"/>
  <c r="CF18" i="43"/>
  <c r="CE18" i="43"/>
  <c r="CB18" i="43"/>
  <c r="BX18" i="43"/>
  <c r="BV18" i="43"/>
  <c r="BU18" i="43"/>
  <c r="BT18" i="43"/>
  <c r="BS18" i="43"/>
  <c r="BN18" i="43"/>
  <c r="BL18" i="43"/>
  <c r="BK18" i="43"/>
  <c r="BG18" i="43"/>
  <c r="BF18" i="43"/>
  <c r="BE18" i="43"/>
  <c r="BC18" i="43"/>
  <c r="AY18" i="43"/>
  <c r="AW18" i="43"/>
  <c r="AV18" i="43"/>
  <c r="AU18" i="43"/>
  <c r="AQ18" i="43"/>
  <c r="AO18" i="43"/>
  <c r="AN18" i="43"/>
  <c r="AM18" i="43"/>
  <c r="AH18" i="43"/>
  <c r="AG18" i="43"/>
  <c r="AF18" i="43"/>
  <c r="AA18" i="43"/>
  <c r="Z18" i="43"/>
  <c r="Y18" i="43"/>
  <c r="X18" i="43"/>
  <c r="S18" i="43"/>
  <c r="O18" i="43"/>
  <c r="M18" i="43"/>
  <c r="L18" i="43"/>
  <c r="H18" i="43"/>
  <c r="G18" i="43"/>
  <c r="F18" i="43"/>
  <c r="DW17" i="43"/>
  <c r="DV17" i="43"/>
  <c r="DU17" i="43"/>
  <c r="P17" i="43"/>
  <c r="DS17" i="43"/>
  <c r="DQ17" i="43"/>
  <c r="DO17" i="43"/>
  <c r="DD17" i="43"/>
  <c r="DC17" i="43"/>
  <c r="DB17" i="43"/>
  <c r="DA17" i="43"/>
  <c r="CW17" i="43"/>
  <c r="CV17" i="43"/>
  <c r="CO17" i="43"/>
  <c r="CN17" i="43"/>
  <c r="CM17" i="43"/>
  <c r="CL17" i="43"/>
  <c r="CK17" i="43"/>
  <c r="CF17" i="43"/>
  <c r="CB17" i="43"/>
  <c r="BX17" i="43"/>
  <c r="BV17" i="43"/>
  <c r="BU17" i="43"/>
  <c r="BT17" i="43"/>
  <c r="BO17" i="43"/>
  <c r="BL17" i="43"/>
  <c r="BK17" i="43"/>
  <c r="BG17" i="43"/>
  <c r="BF17" i="43"/>
  <c r="BD17" i="43"/>
  <c r="BC17" i="43"/>
  <c r="AW17" i="43"/>
  <c r="AV17" i="43"/>
  <c r="AU17" i="43"/>
  <c r="AP17" i="43"/>
  <c r="AO17" i="43"/>
  <c r="AN17" i="43"/>
  <c r="AH17" i="43"/>
  <c r="AG17" i="43"/>
  <c r="AE17" i="43"/>
  <c r="AA17" i="43"/>
  <c r="Z17" i="43"/>
  <c r="Y17" i="43"/>
  <c r="S17" i="43"/>
  <c r="N17" i="43"/>
  <c r="M17" i="43"/>
  <c r="L17" i="43"/>
  <c r="H17" i="43"/>
  <c r="G17" i="43"/>
  <c r="DW16" i="43"/>
  <c r="DV16" i="43"/>
  <c r="DU16" i="43"/>
  <c r="P16" i="43"/>
  <c r="DS16" i="43"/>
  <c r="DQ16" i="43"/>
  <c r="DO16" i="43"/>
  <c r="DM16" i="43"/>
  <c r="DE16" i="43"/>
  <c r="DD16" i="43"/>
  <c r="DC16" i="43"/>
  <c r="DB16" i="43"/>
  <c r="DA16" i="43"/>
  <c r="CW16" i="43"/>
  <c r="CV16" i="43"/>
  <c r="CT16" i="43"/>
  <c r="CS16" i="43"/>
  <c r="CO16" i="43"/>
  <c r="CN16" i="43"/>
  <c r="CM16" i="43"/>
  <c r="CL16" i="43"/>
  <c r="CK16" i="43"/>
  <c r="CE16" i="43"/>
  <c r="CD16" i="43"/>
  <c r="CC16" i="43"/>
  <c r="CB16" i="43"/>
  <c r="BX16" i="43"/>
  <c r="BV16" i="43"/>
  <c r="BU16" i="43"/>
  <c r="BS16" i="43"/>
  <c r="BO16" i="43"/>
  <c r="BN16" i="43"/>
  <c r="BM16" i="43"/>
  <c r="BL16" i="43"/>
  <c r="BK16" i="43"/>
  <c r="BG16" i="43"/>
  <c r="BE16" i="43"/>
  <c r="BD16" i="43"/>
  <c r="BC16" i="43"/>
  <c r="AY16" i="43"/>
  <c r="AX16" i="43"/>
  <c r="AW16" i="43"/>
  <c r="AV16" i="43"/>
  <c r="AQ16" i="43"/>
  <c r="AP16" i="43"/>
  <c r="AO16" i="43"/>
  <c r="AN16" i="43"/>
  <c r="AM16" i="43"/>
  <c r="AI16" i="43"/>
  <c r="AH16" i="43"/>
  <c r="AF16" i="43"/>
  <c r="AE16" i="43"/>
  <c r="AA16" i="43"/>
  <c r="Z16" i="43"/>
  <c r="Y16" i="43"/>
  <c r="X16" i="43"/>
  <c r="W16" i="43"/>
  <c r="O16" i="43"/>
  <c r="N16" i="43"/>
  <c r="M16" i="43"/>
  <c r="L16" i="43"/>
  <c r="H16" i="43"/>
  <c r="G16" i="43"/>
  <c r="F16" i="43"/>
  <c r="P15" i="43"/>
  <c r="DY15" i="43"/>
  <c r="DW15" i="43"/>
  <c r="DV15" i="43"/>
  <c r="DU15" i="43"/>
  <c r="DS15" i="43"/>
  <c r="DQ15" i="43"/>
  <c r="DK15" i="43"/>
  <c r="DE15" i="43"/>
  <c r="DD15" i="43"/>
  <c r="DC15" i="43"/>
  <c r="DB15" i="43"/>
  <c r="DA15" i="43"/>
  <c r="CZ15" i="43"/>
  <c r="CU15" i="43"/>
  <c r="CT15" i="43"/>
  <c r="CS15" i="43"/>
  <c r="CR15" i="43"/>
  <c r="CO15" i="43"/>
  <c r="CN15" i="43"/>
  <c r="CL15" i="43"/>
  <c r="CI15" i="43"/>
  <c r="CF15" i="43"/>
  <c r="CE15" i="43"/>
  <c r="CD15" i="43"/>
  <c r="CC15" i="43"/>
  <c r="CA15" i="43"/>
  <c r="BX15" i="43"/>
  <c r="BU15" i="43"/>
  <c r="BT15" i="43"/>
  <c r="BS15" i="43"/>
  <c r="BR15" i="43"/>
  <c r="BN15" i="43"/>
  <c r="BM15" i="43"/>
  <c r="BL15" i="43"/>
  <c r="BJ15" i="43"/>
  <c r="BG15" i="43"/>
  <c r="BF15" i="43"/>
  <c r="BD15" i="43"/>
  <c r="BC15" i="43"/>
  <c r="BB15" i="43"/>
  <c r="AY15" i="43"/>
  <c r="AW15" i="43"/>
  <c r="AV15" i="43"/>
  <c r="AT15" i="43"/>
  <c r="AS15" i="43"/>
  <c r="AQ15" i="43"/>
  <c r="AP15" i="43"/>
  <c r="AO15" i="43"/>
  <c r="AM15" i="43"/>
  <c r="AK15" i="43"/>
  <c r="AI15" i="43"/>
  <c r="AH15" i="43"/>
  <c r="AG15" i="43"/>
  <c r="AF15" i="43"/>
  <c r="AE15" i="43"/>
  <c r="AA15" i="43"/>
  <c r="Z15" i="43"/>
  <c r="Y15" i="43"/>
  <c r="X15" i="43"/>
  <c r="W15" i="43"/>
  <c r="V15" i="43"/>
  <c r="U15" i="43"/>
  <c r="N15" i="43"/>
  <c r="M15" i="43"/>
  <c r="L15" i="43"/>
  <c r="K15" i="43"/>
  <c r="J15" i="43"/>
  <c r="H15" i="43"/>
  <c r="F15" i="43"/>
  <c r="DW14" i="43"/>
  <c r="DV14" i="43"/>
  <c r="DU14" i="43"/>
  <c r="P14" i="43"/>
  <c r="DS14" i="43"/>
  <c r="DO14" i="43"/>
  <c r="DM14" i="43"/>
  <c r="DH14" i="43"/>
  <c r="DB14" i="43"/>
  <c r="DA14" i="43"/>
  <c r="CZ14" i="43"/>
  <c r="CV14" i="43"/>
  <c r="CS14" i="43"/>
  <c r="CR14" i="43"/>
  <c r="CQ14" i="43"/>
  <c r="CL14" i="43"/>
  <c r="CH14" i="43"/>
  <c r="CF14" i="43"/>
  <c r="CE14" i="43"/>
  <c r="CD14" i="43"/>
  <c r="BZ14" i="43"/>
  <c r="BV14" i="43"/>
  <c r="BT14" i="43"/>
  <c r="BS14" i="43"/>
  <c r="BN14" i="43"/>
  <c r="BL14" i="43"/>
  <c r="BK14" i="43"/>
  <c r="BJ14" i="43"/>
  <c r="BI14" i="43"/>
  <c r="BB14" i="43"/>
  <c r="BA14" i="43"/>
  <c r="AY14" i="43"/>
  <c r="AW14" i="43"/>
  <c r="AT14" i="43"/>
  <c r="AQ14" i="43"/>
  <c r="AP14" i="43"/>
  <c r="AM14" i="43"/>
  <c r="AI14" i="43"/>
  <c r="AG14" i="43"/>
  <c r="AE14" i="43"/>
  <c r="AD14" i="43"/>
  <c r="AC14" i="43"/>
  <c r="Y14" i="43"/>
  <c r="U14" i="43"/>
  <c r="S14" i="43"/>
  <c r="O14" i="43"/>
  <c r="L14" i="43"/>
  <c r="H14" i="43"/>
  <c r="G14" i="43"/>
  <c r="F14" i="43"/>
  <c r="P13" i="43"/>
  <c r="DY13" i="43"/>
  <c r="DW13" i="43"/>
  <c r="DV13" i="43"/>
  <c r="DU13" i="43"/>
  <c r="DS13" i="43"/>
  <c r="DQ13" i="43"/>
  <c r="DO13" i="43"/>
  <c r="DM13" i="43"/>
  <c r="DK13" i="43"/>
  <c r="DI13" i="43"/>
  <c r="DE13" i="43"/>
  <c r="DD13" i="43"/>
  <c r="DC13" i="43"/>
  <c r="DB13" i="43"/>
  <c r="DA13" i="43"/>
  <c r="CZ13" i="43"/>
  <c r="CY13" i="43"/>
  <c r="CV13" i="43"/>
  <c r="CU13" i="43"/>
  <c r="CT13" i="43"/>
  <c r="CS13" i="43"/>
  <c r="CR13" i="43"/>
  <c r="CQ13" i="43"/>
  <c r="CO13" i="43"/>
  <c r="CM13" i="43"/>
  <c r="CL13" i="43"/>
  <c r="CK13" i="43"/>
  <c r="CI13" i="43"/>
  <c r="CH13" i="43"/>
  <c r="CF13" i="43"/>
  <c r="CE13" i="43"/>
  <c r="CC13" i="43"/>
  <c r="CB13" i="43"/>
  <c r="CA13" i="43"/>
  <c r="BZ13" i="43"/>
  <c r="BX13" i="43"/>
  <c r="BV13" i="43"/>
  <c r="BU13" i="43"/>
  <c r="BS13" i="43"/>
  <c r="BR13" i="43"/>
  <c r="BQ13" i="43"/>
  <c r="BO13" i="43"/>
  <c r="BN13" i="43"/>
  <c r="BM13" i="43"/>
  <c r="BL13" i="43"/>
  <c r="BJ13" i="43"/>
  <c r="BI13" i="43"/>
  <c r="BG13" i="43"/>
  <c r="BF13" i="43"/>
  <c r="BE13" i="43"/>
  <c r="BD13" i="43"/>
  <c r="BC13" i="43"/>
  <c r="BA13" i="43"/>
  <c r="AY13" i="43"/>
  <c r="AX13" i="43"/>
  <c r="AW13" i="43"/>
  <c r="AV13" i="43"/>
  <c r="AU13" i="43"/>
  <c r="AT13" i="43"/>
  <c r="AQ13" i="43"/>
  <c r="AP13" i="43"/>
  <c r="AO13" i="43"/>
  <c r="AN13" i="43"/>
  <c r="AM13" i="43"/>
  <c r="AL13" i="43"/>
  <c r="AK13" i="43"/>
  <c r="AH13" i="43"/>
  <c r="AG13" i="43"/>
  <c r="AF13" i="43"/>
  <c r="AE13" i="43"/>
  <c r="AD13" i="43"/>
  <c r="AC13" i="43"/>
  <c r="AA13" i="43"/>
  <c r="Y13" i="43"/>
  <c r="X13" i="43"/>
  <c r="W13" i="43"/>
  <c r="V13" i="43"/>
  <c r="U13" i="43"/>
  <c r="S13" i="43"/>
  <c r="O13" i="43"/>
  <c r="M13" i="43"/>
  <c r="L13" i="43"/>
  <c r="K13" i="43"/>
  <c r="J13" i="43"/>
  <c r="H13" i="43"/>
  <c r="G13" i="43"/>
  <c r="F13" i="43"/>
  <c r="DW12" i="43"/>
  <c r="DV12" i="43"/>
  <c r="DU12" i="43"/>
  <c r="P12" i="43"/>
  <c r="DS12" i="43"/>
  <c r="DQ12" i="43"/>
  <c r="DO12" i="43"/>
  <c r="DK12" i="43"/>
  <c r="DC12" i="43"/>
  <c r="DB12" i="43"/>
  <c r="CY12" i="43"/>
  <c r="CU12" i="43"/>
  <c r="CS12" i="43"/>
  <c r="CQ12" i="43"/>
  <c r="CN12" i="43"/>
  <c r="CK12" i="43"/>
  <c r="CE12" i="43"/>
  <c r="CD12" i="43"/>
  <c r="CC12" i="43"/>
  <c r="BZ12" i="43"/>
  <c r="BT12" i="43"/>
  <c r="BS12" i="43"/>
  <c r="BM12" i="43"/>
  <c r="BK12" i="43"/>
  <c r="BJ12" i="43"/>
  <c r="BI12" i="43"/>
  <c r="BD12" i="43"/>
  <c r="BB12" i="43"/>
  <c r="AZ12" i="43"/>
  <c r="AY12" i="43"/>
  <c r="AU12" i="43"/>
  <c r="AS12" i="43"/>
  <c r="AQ12" i="43"/>
  <c r="AO12" i="43"/>
  <c r="AJ12" i="43"/>
  <c r="AI12" i="43"/>
  <c r="AG12" i="43"/>
  <c r="AF12" i="43"/>
  <c r="AA12" i="43"/>
  <c r="Y12" i="43"/>
  <c r="W12" i="43"/>
  <c r="T12" i="43"/>
  <c r="N12" i="43"/>
  <c r="M12" i="43"/>
  <c r="K12" i="43"/>
  <c r="H12" i="43"/>
  <c r="DW11" i="43"/>
  <c r="DV11" i="43"/>
  <c r="DU11" i="43"/>
  <c r="P11" i="43"/>
  <c r="CP11" i="43"/>
  <c r="P10" i="43"/>
  <c r="DY10" i="43"/>
  <c r="DW10" i="43"/>
  <c r="DV10" i="43"/>
  <c r="DU10" i="43"/>
  <c r="DS10" i="43"/>
  <c r="DO10" i="43"/>
  <c r="DM10" i="43"/>
  <c r="DK10" i="43"/>
  <c r="DI10" i="43"/>
  <c r="DG10" i="43"/>
  <c r="DE10" i="43"/>
  <c r="DC10" i="43"/>
  <c r="DB10" i="43"/>
  <c r="DA10" i="43"/>
  <c r="CZ10" i="43"/>
  <c r="CY10" i="43"/>
  <c r="CW10" i="43"/>
  <c r="CU10" i="43"/>
  <c r="CT10" i="43"/>
  <c r="CS10" i="43"/>
  <c r="CR10" i="43"/>
  <c r="CQ10" i="43"/>
  <c r="CP10" i="43"/>
  <c r="CM10" i="43"/>
  <c r="CL10" i="43"/>
  <c r="CK10" i="43"/>
  <c r="CI10" i="43"/>
  <c r="CH10" i="43"/>
  <c r="CG10" i="43"/>
  <c r="CF10" i="43"/>
  <c r="CC10" i="43"/>
  <c r="CB10" i="43"/>
  <c r="CA10" i="43"/>
  <c r="BZ10" i="43"/>
  <c r="BY10" i="43"/>
  <c r="BX10" i="43"/>
  <c r="BU10" i="43"/>
  <c r="BS10" i="43"/>
  <c r="BR10" i="43"/>
  <c r="BQ10" i="43"/>
  <c r="BP10" i="43"/>
  <c r="BO10" i="43"/>
  <c r="BM10" i="43"/>
  <c r="BL10" i="43"/>
  <c r="BJ10" i="43"/>
  <c r="BI10" i="43"/>
  <c r="BH10" i="43"/>
  <c r="BG10" i="43"/>
  <c r="BE10" i="43"/>
  <c r="BD10" i="43"/>
  <c r="BC10" i="43"/>
  <c r="BA10" i="43"/>
  <c r="AZ10" i="43"/>
  <c r="AY10" i="43"/>
  <c r="AW10" i="43"/>
  <c r="AV10" i="43"/>
  <c r="AU10" i="43"/>
  <c r="AT10" i="43"/>
  <c r="AR10" i="43"/>
  <c r="AQ10" i="43"/>
  <c r="AO10" i="43"/>
  <c r="AN10" i="43"/>
  <c r="AM10" i="43"/>
  <c r="AL10" i="43"/>
  <c r="AK10" i="43"/>
  <c r="AI10" i="43"/>
  <c r="AG10" i="43"/>
  <c r="AF10" i="43"/>
  <c r="AE10" i="43"/>
  <c r="AD10" i="43"/>
  <c r="AC10" i="43"/>
  <c r="AB10" i="43"/>
  <c r="Y10" i="43"/>
  <c r="X10" i="43"/>
  <c r="W10" i="43"/>
  <c r="V10" i="43"/>
  <c r="U10" i="43"/>
  <c r="T10" i="43"/>
  <c r="S10" i="43"/>
  <c r="M10" i="43"/>
  <c r="L10" i="43"/>
  <c r="K10" i="43"/>
  <c r="J10" i="43"/>
  <c r="I10" i="43"/>
  <c r="H10" i="43"/>
  <c r="F10" i="43"/>
  <c r="DW9" i="43"/>
  <c r="DV9" i="43"/>
  <c r="DU9" i="43"/>
  <c r="P9" i="43"/>
  <c r="DM9" i="43"/>
  <c r="DA9" i="43"/>
  <c r="CO9" i="43"/>
  <c r="CH9" i="43"/>
  <c r="BR9" i="43"/>
  <c r="BK9" i="43"/>
  <c r="AZ9" i="43"/>
  <c r="AQ9" i="43"/>
  <c r="AF9" i="43"/>
  <c r="X9" i="43"/>
  <c r="J9" i="43"/>
  <c r="DW8" i="43"/>
  <c r="DV8" i="43"/>
  <c r="DU8" i="43"/>
  <c r="P8" i="43"/>
  <c r="DK8" i="43"/>
  <c r="DW7" i="43"/>
  <c r="DV7" i="43"/>
  <c r="DU7" i="43"/>
  <c r="P7" i="43"/>
  <c r="DK7" i="43"/>
  <c r="DE7" i="43"/>
  <c r="CT7" i="43"/>
  <c r="CQ7" i="43"/>
  <c r="CG7" i="43"/>
  <c r="CA7" i="43"/>
  <c r="BQ7" i="43"/>
  <c r="BK7" i="43"/>
  <c r="BB7" i="43"/>
  <c r="AY7" i="43"/>
  <c r="AN7" i="43"/>
  <c r="AJ7" i="43"/>
  <c r="AA7" i="43"/>
  <c r="U7" i="43"/>
  <c r="I7" i="43"/>
  <c r="P6" i="43"/>
  <c r="DY6" i="43"/>
  <c r="DW6" i="43"/>
  <c r="DV6" i="43"/>
  <c r="DU6" i="43"/>
  <c r="DK6" i="43"/>
  <c r="DE6" i="43"/>
  <c r="CW6" i="43"/>
  <c r="CP6" i="43"/>
  <c r="CG6" i="43"/>
  <c r="CA6" i="43"/>
  <c r="BQ6" i="43"/>
  <c r="BK6" i="43"/>
  <c r="BC6" i="43"/>
  <c r="AV6" i="43"/>
  <c r="AN6" i="43"/>
  <c r="AJ6" i="43"/>
  <c r="AA6" i="43"/>
  <c r="U6" i="43"/>
  <c r="J6" i="43"/>
  <c r="DW5" i="43"/>
  <c r="DV5" i="43"/>
  <c r="DU5" i="43"/>
  <c r="P5" i="43"/>
  <c r="DK5" i="43"/>
  <c r="DI5" i="43"/>
  <c r="DE5" i="43"/>
  <c r="DB5" i="43"/>
  <c r="CT5" i="43"/>
  <c r="CS5" i="43"/>
  <c r="CQ5" i="43"/>
  <c r="CO5" i="43"/>
  <c r="CG5" i="43"/>
  <c r="CF5" i="43"/>
  <c r="CA5" i="43"/>
  <c r="BY5" i="43"/>
  <c r="BQ5" i="43"/>
  <c r="BP5" i="43"/>
  <c r="BK5" i="43"/>
  <c r="BJ5" i="43"/>
  <c r="BB5" i="43"/>
  <c r="BA5" i="43"/>
  <c r="AY5" i="43"/>
  <c r="AU5" i="43"/>
  <c r="AN5" i="43"/>
  <c r="AM5" i="43"/>
  <c r="AJ5" i="43"/>
  <c r="AF5" i="43"/>
  <c r="AA5" i="43"/>
  <c r="X5" i="43"/>
  <c r="U5" i="43"/>
  <c r="T5" i="43"/>
  <c r="I5" i="43"/>
  <c r="H5" i="43"/>
  <c r="P4" i="43"/>
  <c r="DY4" i="43"/>
  <c r="DW4" i="43"/>
  <c r="DV4" i="43"/>
  <c r="DU4" i="43"/>
  <c r="DK4" i="43"/>
  <c r="DI4" i="43"/>
  <c r="DE4" i="43"/>
  <c r="DB4" i="43"/>
  <c r="CW4" i="43"/>
  <c r="CS4" i="43"/>
  <c r="CP4" i="43"/>
  <c r="CO4" i="43"/>
  <c r="CG4" i="43"/>
  <c r="CC4" i="43"/>
  <c r="CA4" i="43"/>
  <c r="BZ4" i="43"/>
  <c r="BQ4" i="43"/>
  <c r="BP4" i="43"/>
  <c r="BK4" i="43"/>
  <c r="BJ4" i="43"/>
  <c r="BC4" i="43"/>
  <c r="BA4" i="43"/>
  <c r="AV4" i="43"/>
  <c r="AU4" i="43"/>
  <c r="AN4" i="43"/>
  <c r="AL4" i="43"/>
  <c r="AJ4" i="43"/>
  <c r="AI4" i="43"/>
  <c r="AA4" i="43"/>
  <c r="X4" i="43"/>
  <c r="U4" i="43"/>
  <c r="T4" i="43"/>
  <c r="J4" i="43"/>
  <c r="H4" i="43"/>
  <c r="DW3" i="43"/>
  <c r="DV3" i="43"/>
  <c r="DU3" i="43"/>
  <c r="P3" i="43"/>
  <c r="DG3" i="43"/>
  <c r="DB3" i="43"/>
  <c r="DA3" i="43"/>
  <c r="CR3" i="43"/>
  <c r="CO3" i="43"/>
  <c r="CL3" i="43"/>
  <c r="CB3" i="43"/>
  <c r="BZ3" i="43"/>
  <c r="BY3" i="43"/>
  <c r="BP3" i="43"/>
  <c r="BL3" i="43"/>
  <c r="BK3" i="43"/>
  <c r="BC3" i="43"/>
  <c r="BA3" i="43"/>
  <c r="AZ3" i="43"/>
  <c r="AR3" i="43"/>
  <c r="AN3" i="43"/>
  <c r="AM3" i="43"/>
  <c r="AE3" i="43"/>
  <c r="AC3" i="43"/>
  <c r="AA3" i="43"/>
  <c r="T3" i="43"/>
  <c r="L3" i="43"/>
  <c r="K3" i="43"/>
  <c r="DE3" i="43"/>
  <c r="F220" i="46"/>
  <c r="F238" i="46"/>
  <c r="F163" i="46"/>
  <c r="F229" i="46"/>
  <c r="F172" i="46"/>
  <c r="F197" i="46"/>
  <c r="F257" i="46"/>
  <c r="F276" i="46"/>
  <c r="F287" i="46"/>
  <c r="J45" i="44"/>
  <c r="F183" i="46"/>
  <c r="K53" i="44"/>
  <c r="F191" i="46"/>
  <c r="K69" i="44"/>
  <c r="F207" i="46"/>
  <c r="K78" i="44"/>
  <c r="F216" i="46"/>
  <c r="K87" i="44"/>
  <c r="F225" i="46"/>
  <c r="J103" i="44"/>
  <c r="F241" i="46"/>
  <c r="F289" i="46"/>
  <c r="F278" i="46"/>
  <c r="K29" i="44"/>
  <c r="F167" i="46"/>
  <c r="K30" i="44"/>
  <c r="F168" i="46"/>
  <c r="K62" i="44"/>
  <c r="F200" i="46"/>
  <c r="K79" i="44"/>
  <c r="F217" i="46"/>
  <c r="K88" i="44"/>
  <c r="F226" i="46"/>
  <c r="J104" i="44"/>
  <c r="F242" i="46"/>
  <c r="F253" i="46"/>
  <c r="K22" i="44"/>
  <c r="F160" i="46"/>
  <c r="K38" i="44"/>
  <c r="F176" i="46"/>
  <c r="K54" i="44"/>
  <c r="F192" i="46"/>
  <c r="J96" i="44"/>
  <c r="F234" i="46"/>
  <c r="F233" i="46"/>
  <c r="J23" i="44"/>
  <c r="F161" i="46"/>
  <c r="J55" i="44"/>
  <c r="F193" i="46"/>
  <c r="K64" i="44"/>
  <c r="F202" i="46"/>
  <c r="J90" i="44"/>
  <c r="F228" i="46"/>
  <c r="K98" i="44"/>
  <c r="F236" i="46"/>
  <c r="F188" i="46"/>
  <c r="F213" i="46"/>
  <c r="K57" i="44"/>
  <c r="F195" i="46"/>
  <c r="K74" i="44"/>
  <c r="F212" i="46"/>
  <c r="K107" i="44"/>
  <c r="F245" i="46"/>
  <c r="F235" i="46"/>
  <c r="F243" i="46"/>
  <c r="J31" i="44"/>
  <c r="F169" i="46"/>
  <c r="J71" i="44"/>
  <c r="F209" i="46"/>
  <c r="J89" i="44"/>
  <c r="F227" i="46"/>
  <c r="K32" i="44"/>
  <c r="F170" i="46"/>
  <c r="K81" i="44"/>
  <c r="F219" i="46"/>
  <c r="K26" i="44"/>
  <c r="F164" i="46"/>
  <c r="K92" i="44"/>
  <c r="F230" i="46"/>
  <c r="K109" i="44"/>
  <c r="F247" i="46"/>
  <c r="K123" i="44"/>
  <c r="F261" i="46"/>
  <c r="K19" i="44"/>
  <c r="F157" i="46"/>
  <c r="K51" i="44"/>
  <c r="F189" i="46"/>
  <c r="K93" i="44"/>
  <c r="F231" i="46"/>
  <c r="J39" i="44"/>
  <c r="F177" i="46"/>
  <c r="J63" i="44"/>
  <c r="F201" i="46"/>
  <c r="K48" i="44"/>
  <c r="F186" i="46"/>
  <c r="K66" i="44"/>
  <c r="F204" i="46"/>
  <c r="K83" i="44"/>
  <c r="F221" i="46"/>
  <c r="F218" i="46"/>
  <c r="K27" i="44"/>
  <c r="F165" i="46"/>
  <c r="K125" i="44"/>
  <c r="F263" i="46"/>
  <c r="F283" i="46"/>
  <c r="F272" i="46"/>
  <c r="F273" i="46"/>
  <c r="F151" i="46"/>
  <c r="K42" i="44"/>
  <c r="K61" i="44"/>
  <c r="K18" i="44"/>
  <c r="K41" i="44"/>
  <c r="K37" i="44"/>
  <c r="J47" i="44"/>
  <c r="K58" i="44"/>
  <c r="K70" i="44"/>
  <c r="J117" i="44"/>
  <c r="D22" i="44"/>
  <c r="K46" i="44"/>
  <c r="C31" i="44"/>
  <c r="F138" i="46"/>
  <c r="K55" i="44"/>
  <c r="K104" i="44"/>
  <c r="K113" i="44"/>
  <c r="E20" i="44"/>
  <c r="K21" i="44"/>
  <c r="K63" i="44"/>
  <c r="K71" i="44"/>
  <c r="K31" i="44"/>
  <c r="K80" i="44"/>
  <c r="K117" i="44"/>
  <c r="E22" i="44"/>
  <c r="K39" i="44"/>
  <c r="K89" i="44"/>
  <c r="K23" i="44"/>
  <c r="K100" i="44"/>
  <c r="K47" i="44"/>
  <c r="K96" i="44"/>
  <c r="J78" i="44"/>
  <c r="J87" i="44"/>
  <c r="J25" i="44"/>
  <c r="J29" i="44"/>
  <c r="J32" i="44"/>
  <c r="J37" i="44"/>
  <c r="K45" i="44"/>
  <c r="J61" i="44"/>
  <c r="J113" i="44"/>
  <c r="D20" i="44"/>
  <c r="J22" i="44"/>
  <c r="J26" i="44"/>
  <c r="J42" i="44"/>
  <c r="J46" i="44"/>
  <c r="K50" i="44"/>
  <c r="J54" i="44"/>
  <c r="J58" i="44"/>
  <c r="J75" i="44"/>
  <c r="J79" i="44"/>
  <c r="J83" i="44"/>
  <c r="J88" i="44"/>
  <c r="K95" i="44"/>
  <c r="K103" i="44"/>
  <c r="J53" i="44"/>
  <c r="J69" i="44"/>
  <c r="J18" i="44"/>
  <c r="J30" i="44"/>
  <c r="J34" i="44"/>
  <c r="J38" i="44"/>
  <c r="J62" i="44"/>
  <c r="J66" i="44"/>
  <c r="J70" i="44"/>
  <c r="J92" i="44"/>
  <c r="J109" i="44"/>
  <c r="J115" i="44"/>
  <c r="D21" i="44"/>
  <c r="K97" i="44"/>
  <c r="K105" i="44"/>
  <c r="J57" i="44"/>
  <c r="J64" i="44"/>
  <c r="J91" i="44"/>
  <c r="J98" i="44"/>
  <c r="AK8" i="43"/>
  <c r="AE11" i="43"/>
  <c r="CS22" i="43"/>
  <c r="DQ6" i="43"/>
  <c r="DD6" i="43"/>
  <c r="CV6" i="43"/>
  <c r="CN6" i="43"/>
  <c r="CE6" i="43"/>
  <c r="BV6" i="43"/>
  <c r="BN6" i="43"/>
  <c r="BF6" i="43"/>
  <c r="AX6" i="43"/>
  <c r="AP6" i="43"/>
  <c r="AH6" i="43"/>
  <c r="Z6" i="43"/>
  <c r="O6" i="43"/>
  <c r="G6" i="43"/>
  <c r="DO6" i="43"/>
  <c r="CU6" i="43"/>
  <c r="CD6" i="43"/>
  <c r="BU6" i="43"/>
  <c r="BE6" i="43"/>
  <c r="AO6" i="43"/>
  <c r="Y6" i="43"/>
  <c r="F6" i="43"/>
  <c r="DC6" i="43"/>
  <c r="CM6" i="43"/>
  <c r="BM6" i="43"/>
  <c r="AW6" i="43"/>
  <c r="AG6" i="43"/>
  <c r="N6" i="43"/>
  <c r="DG6" i="43"/>
  <c r="CT6" i="43"/>
  <c r="CI6" i="43"/>
  <c r="BY6" i="43"/>
  <c r="BL6" i="43"/>
  <c r="BB6" i="43"/>
  <c r="AR6" i="43"/>
  <c r="AF6" i="43"/>
  <c r="V6" i="43"/>
  <c r="I6" i="43"/>
  <c r="DS6" i="43"/>
  <c r="DA6" i="43"/>
  <c r="CQ6" i="43"/>
  <c r="CF6" i="43"/>
  <c r="BS6" i="43"/>
  <c r="BI6" i="43"/>
  <c r="AY6" i="43"/>
  <c r="AM6" i="43"/>
  <c r="AC6" i="43"/>
  <c r="S6" i="43"/>
  <c r="W6" i="43"/>
  <c r="AK6" i="43"/>
  <c r="AZ6" i="43"/>
  <c r="BO6" i="43"/>
  <c r="CB6" i="43"/>
  <c r="CR6" i="43"/>
  <c r="DH6" i="43"/>
  <c r="DQ7" i="43"/>
  <c r="DD7" i="43"/>
  <c r="CV7" i="43"/>
  <c r="CN7" i="43"/>
  <c r="CE7" i="43"/>
  <c r="BV7" i="43"/>
  <c r="BN7" i="43"/>
  <c r="BF7" i="43"/>
  <c r="AX7" i="43"/>
  <c r="AP7" i="43"/>
  <c r="AH7" i="43"/>
  <c r="Z7" i="43"/>
  <c r="O7" i="43"/>
  <c r="G7" i="43"/>
  <c r="DO7" i="43"/>
  <c r="CU7" i="43"/>
  <c r="CM7" i="43"/>
  <c r="BU7" i="43"/>
  <c r="BM7" i="43"/>
  <c r="AW7" i="43"/>
  <c r="AO7" i="43"/>
  <c r="Y7" i="43"/>
  <c r="N7" i="43"/>
  <c r="DC7" i="43"/>
  <c r="CD7" i="43"/>
  <c r="BE7" i="43"/>
  <c r="AG7" i="43"/>
  <c r="F7" i="43"/>
  <c r="DM7" i="43"/>
  <c r="CZ7" i="43"/>
  <c r="CP7" i="43"/>
  <c r="CC7" i="43"/>
  <c r="BR7" i="43"/>
  <c r="BH7" i="43"/>
  <c r="AV7" i="43"/>
  <c r="AL7" i="43"/>
  <c r="AB7" i="43"/>
  <c r="M7" i="43"/>
  <c r="DY7" i="43"/>
  <c r="DH7" i="43"/>
  <c r="CW7" i="43"/>
  <c r="CK7" i="43"/>
  <c r="BZ7" i="43"/>
  <c r="BO7" i="43"/>
  <c r="BC7" i="43"/>
  <c r="AS7" i="43"/>
  <c r="AI7" i="43"/>
  <c r="W7" i="43"/>
  <c r="J7" i="43"/>
  <c r="V7" i="43"/>
  <c r="AK7" i="43"/>
  <c r="AZ7" i="43"/>
  <c r="BL7" i="43"/>
  <c r="CB7" i="43"/>
  <c r="CR7" i="43"/>
  <c r="DG7" i="43"/>
  <c r="H8" i="43"/>
  <c r="X8" i="43"/>
  <c r="AL8" i="43"/>
  <c r="BA8" i="43"/>
  <c r="BR8" i="43"/>
  <c r="CG8" i="43"/>
  <c r="CZ8" i="43"/>
  <c r="DQ9" i="43"/>
  <c r="DD9" i="43"/>
  <c r="CV9" i="43"/>
  <c r="CN9" i="43"/>
  <c r="CE9" i="43"/>
  <c r="BV9" i="43"/>
  <c r="BN9" i="43"/>
  <c r="BF9" i="43"/>
  <c r="AX9" i="43"/>
  <c r="AP9" i="43"/>
  <c r="AH9" i="43"/>
  <c r="Z9" i="43"/>
  <c r="O9" i="43"/>
  <c r="G9" i="43"/>
  <c r="DK9" i="43"/>
  <c r="CZ9" i="43"/>
  <c r="CQ9" i="43"/>
  <c r="CG9" i="43"/>
  <c r="BX9" i="43"/>
  <c r="BM9" i="43"/>
  <c r="BD9" i="43"/>
  <c r="AU9" i="43"/>
  <c r="AL9" i="43"/>
  <c r="AC9" i="43"/>
  <c r="T9" i="43"/>
  <c r="H9" i="43"/>
  <c r="DY9" i="43"/>
  <c r="CY9" i="43"/>
  <c r="CP9" i="43"/>
  <c r="BU9" i="43"/>
  <c r="BL9" i="43"/>
  <c r="AT9" i="43"/>
  <c r="AB9" i="43"/>
  <c r="F9" i="43"/>
  <c r="DI9" i="43"/>
  <c r="CF9" i="43"/>
  <c r="BC9" i="43"/>
  <c r="AK9" i="43"/>
  <c r="S9" i="43"/>
  <c r="DG9" i="43"/>
  <c r="CW9" i="43"/>
  <c r="CM9" i="43"/>
  <c r="CC9" i="43"/>
  <c r="BS9" i="43"/>
  <c r="BJ9" i="43"/>
  <c r="BA9" i="43"/>
  <c r="AR9" i="43"/>
  <c r="AI9" i="43"/>
  <c r="Y9" i="43"/>
  <c r="M9" i="43"/>
  <c r="DH9" i="43"/>
  <c r="CS9" i="43"/>
  <c r="CB9" i="43"/>
  <c r="BO9" i="43"/>
  <c r="AY9" i="43"/>
  <c r="AJ9" i="43"/>
  <c r="V9" i="43"/>
  <c r="DB9" i="43"/>
  <c r="CL9" i="43"/>
  <c r="BY9" i="43"/>
  <c r="BH9" i="43"/>
  <c r="AS9" i="43"/>
  <c r="AE9" i="43"/>
  <c r="L9" i="43"/>
  <c r="AA9" i="43"/>
  <c r="AV9" i="43"/>
  <c r="BP9" i="43"/>
  <c r="CI9" i="43"/>
  <c r="DC9" i="43"/>
  <c r="F11" i="43"/>
  <c r="AI11" i="43"/>
  <c r="BD11" i="43"/>
  <c r="CD11" i="43"/>
  <c r="DB11" i="43"/>
  <c r="BU21" i="43"/>
  <c r="F22" i="43"/>
  <c r="DD22" i="43"/>
  <c r="S3" i="43"/>
  <c r="AD3" i="43"/>
  <c r="AQ3" i="43"/>
  <c r="BB3" i="43"/>
  <c r="BO3" i="43"/>
  <c r="CA3" i="43"/>
  <c r="CQ3" i="43"/>
  <c r="DQ4" i="43"/>
  <c r="DD4" i="43"/>
  <c r="CV4" i="43"/>
  <c r="CN4" i="43"/>
  <c r="CE4" i="43"/>
  <c r="BV4" i="43"/>
  <c r="BN4" i="43"/>
  <c r="BF4" i="43"/>
  <c r="AX4" i="43"/>
  <c r="AP4" i="43"/>
  <c r="AH4" i="43"/>
  <c r="Z4" i="43"/>
  <c r="O4" i="43"/>
  <c r="G4" i="43"/>
  <c r="DO4" i="43"/>
  <c r="CU4" i="43"/>
  <c r="CM4" i="43"/>
  <c r="BU4" i="43"/>
  <c r="BE4" i="43"/>
  <c r="AO4" i="43"/>
  <c r="Y4" i="43"/>
  <c r="F4" i="43"/>
  <c r="DC4" i="43"/>
  <c r="CD4" i="43"/>
  <c r="BM4" i="43"/>
  <c r="AW4" i="43"/>
  <c r="AG4" i="43"/>
  <c r="N4" i="43"/>
  <c r="DG4" i="43"/>
  <c r="CT4" i="43"/>
  <c r="CI4" i="43"/>
  <c r="BY4" i="43"/>
  <c r="BL4" i="43"/>
  <c r="BB4" i="43"/>
  <c r="AR4" i="43"/>
  <c r="AF4" i="43"/>
  <c r="V4" i="43"/>
  <c r="I4" i="43"/>
  <c r="DS4" i="43"/>
  <c r="DA4" i="43"/>
  <c r="CQ4" i="43"/>
  <c r="CF4" i="43"/>
  <c r="BS4" i="43"/>
  <c r="BI4" i="43"/>
  <c r="AY4" i="43"/>
  <c r="AM4" i="43"/>
  <c r="AC4" i="43"/>
  <c r="S4" i="43"/>
  <c r="W4" i="43"/>
  <c r="AK4" i="43"/>
  <c r="AZ4" i="43"/>
  <c r="BO4" i="43"/>
  <c r="CB4" i="43"/>
  <c r="CR4" i="43"/>
  <c r="DH4" i="43"/>
  <c r="DQ5" i="43"/>
  <c r="DD5" i="43"/>
  <c r="CV5" i="43"/>
  <c r="CN5" i="43"/>
  <c r="CE5" i="43"/>
  <c r="BV5" i="43"/>
  <c r="BN5" i="43"/>
  <c r="BF5" i="43"/>
  <c r="AX5" i="43"/>
  <c r="AP5" i="43"/>
  <c r="AH5" i="43"/>
  <c r="Z5" i="43"/>
  <c r="O5" i="43"/>
  <c r="G5" i="43"/>
  <c r="DO5" i="43"/>
  <c r="CU5" i="43"/>
  <c r="CM5" i="43"/>
  <c r="BU5" i="43"/>
  <c r="BM5" i="43"/>
  <c r="AW5" i="43"/>
  <c r="AG5" i="43"/>
  <c r="N5" i="43"/>
  <c r="DC5" i="43"/>
  <c r="CD5" i="43"/>
  <c r="BE5" i="43"/>
  <c r="AO5" i="43"/>
  <c r="Y5" i="43"/>
  <c r="F5" i="43"/>
  <c r="DM5" i="43"/>
  <c r="CZ5" i="43"/>
  <c r="CP5" i="43"/>
  <c r="CC5" i="43"/>
  <c r="BR5" i="43"/>
  <c r="BH5" i="43"/>
  <c r="AV5" i="43"/>
  <c r="AL5" i="43"/>
  <c r="AB5" i="43"/>
  <c r="M5" i="43"/>
  <c r="DY5" i="43"/>
  <c r="DH5" i="43"/>
  <c r="CW5" i="43"/>
  <c r="CK5" i="43"/>
  <c r="BZ5" i="43"/>
  <c r="BO5" i="43"/>
  <c r="BC5" i="43"/>
  <c r="AS5" i="43"/>
  <c r="AI5" i="43"/>
  <c r="W5" i="43"/>
  <c r="J5" i="43"/>
  <c r="V5" i="43"/>
  <c r="AK5" i="43"/>
  <c r="AZ5" i="43"/>
  <c r="BL5" i="43"/>
  <c r="CB5" i="43"/>
  <c r="CR5" i="43"/>
  <c r="DG5" i="43"/>
  <c r="H6" i="43"/>
  <c r="X6" i="43"/>
  <c r="AL6" i="43"/>
  <c r="BA6" i="43"/>
  <c r="BP6" i="43"/>
  <c r="CC6" i="43"/>
  <c r="CS6" i="43"/>
  <c r="DI6" i="43"/>
  <c r="H7" i="43"/>
  <c r="X7" i="43"/>
  <c r="AM7" i="43"/>
  <c r="BA7" i="43"/>
  <c r="BP7" i="43"/>
  <c r="CF7" i="43"/>
  <c r="CS7" i="43"/>
  <c r="DI7" i="43"/>
  <c r="J8" i="43"/>
  <c r="AA8" i="43"/>
  <c r="AN8" i="43"/>
  <c r="BC8" i="43"/>
  <c r="BS8" i="43"/>
  <c r="CL8" i="43"/>
  <c r="DE8" i="43"/>
  <c r="I9" i="43"/>
  <c r="AD9" i="43"/>
  <c r="AW9" i="43"/>
  <c r="BQ9" i="43"/>
  <c r="CK9" i="43"/>
  <c r="DE9" i="43"/>
  <c r="J11" i="43"/>
  <c r="AK11" i="43"/>
  <c r="BJ11" i="43"/>
  <c r="CF11" i="43"/>
  <c r="DG11" i="43"/>
  <c r="AN22" i="43"/>
  <c r="W8" i="43"/>
  <c r="BQ8" i="43"/>
  <c r="CF8" i="43"/>
  <c r="BB11" i="43"/>
  <c r="CY11" i="43"/>
  <c r="DI21" i="43"/>
  <c r="CZ21" i="43"/>
  <c r="CR21" i="43"/>
  <c r="CI21" i="43"/>
  <c r="CA21" i="43"/>
  <c r="BR21" i="43"/>
  <c r="BJ21" i="43"/>
  <c r="BB21" i="43"/>
  <c r="AT21" i="43"/>
  <c r="AL21" i="43"/>
  <c r="AD21" i="43"/>
  <c r="V21" i="43"/>
  <c r="K21" i="43"/>
  <c r="DH21" i="43"/>
  <c r="CY21" i="43"/>
  <c r="CQ21" i="43"/>
  <c r="CH21" i="43"/>
  <c r="BZ21" i="43"/>
  <c r="BQ21" i="43"/>
  <c r="BI21" i="43"/>
  <c r="BA21" i="43"/>
  <c r="AS21" i="43"/>
  <c r="AK21" i="43"/>
  <c r="AC21" i="43"/>
  <c r="U21" i="43"/>
  <c r="J21" i="43"/>
  <c r="DG21" i="43"/>
  <c r="CX21" i="43"/>
  <c r="CP21" i="43"/>
  <c r="CG21" i="43"/>
  <c r="BY21" i="43"/>
  <c r="BP21" i="43"/>
  <c r="BH21" i="43"/>
  <c r="AZ21" i="43"/>
  <c r="AR21" i="43"/>
  <c r="AJ21" i="43"/>
  <c r="AB21" i="43"/>
  <c r="T21" i="43"/>
  <c r="I21" i="43"/>
  <c r="DQ21" i="43"/>
  <c r="DA21" i="43"/>
  <c r="CM21" i="43"/>
  <c r="BX21" i="43"/>
  <c r="BL21" i="43"/>
  <c r="AX21" i="43"/>
  <c r="AM21" i="43"/>
  <c r="Y21" i="43"/>
  <c r="H21" i="43"/>
  <c r="DY21" i="43"/>
  <c r="DK21" i="43"/>
  <c r="CU21" i="43"/>
  <c r="CF21" i="43"/>
  <c r="BT21" i="43"/>
  <c r="BF21" i="43"/>
  <c r="AU21" i="43"/>
  <c r="DB21" i="43"/>
  <c r="CK21" i="43"/>
  <c r="BO21" i="43"/>
  <c r="AY21" i="43"/>
  <c r="AH21" i="43"/>
  <c r="S21" i="43"/>
  <c r="CW21" i="43"/>
  <c r="CE21" i="43"/>
  <c r="BN21" i="43"/>
  <c r="AW21" i="43"/>
  <c r="AG21" i="43"/>
  <c r="O21" i="43"/>
  <c r="DO21" i="43"/>
  <c r="CC21" i="43"/>
  <c r="BK21" i="43"/>
  <c r="AE21" i="43"/>
  <c r="M21" i="43"/>
  <c r="DS21" i="43"/>
  <c r="CV21" i="43"/>
  <c r="CD21" i="43"/>
  <c r="BM21" i="43"/>
  <c r="AV21" i="43"/>
  <c r="AF21" i="43"/>
  <c r="N21" i="43"/>
  <c r="CT21" i="43"/>
  <c r="AQ21" i="43"/>
  <c r="DM21" i="43"/>
  <c r="CS21" i="43"/>
  <c r="CB21" i="43"/>
  <c r="BG21" i="43"/>
  <c r="AP21" i="43"/>
  <c r="AA21" i="43"/>
  <c r="L21" i="43"/>
  <c r="DE21" i="43"/>
  <c r="BS21" i="43"/>
  <c r="X21" i="43"/>
  <c r="DD21" i="43"/>
  <c r="BE21" i="43"/>
  <c r="W21" i="43"/>
  <c r="DC21" i="43"/>
  <c r="BD21" i="43"/>
  <c r="G21" i="43"/>
  <c r="CL21" i="43"/>
  <c r="AN21" i="43"/>
  <c r="AO22" i="43"/>
  <c r="DQ3" i="43"/>
  <c r="DD3" i="43"/>
  <c r="CV3" i="43"/>
  <c r="CN3" i="43"/>
  <c r="CE3" i="43"/>
  <c r="BV3" i="43"/>
  <c r="BN3" i="43"/>
  <c r="BF3" i="43"/>
  <c r="AX3" i="43"/>
  <c r="AP3" i="43"/>
  <c r="AH3" i="43"/>
  <c r="Z3" i="43"/>
  <c r="O3" i="43"/>
  <c r="G3" i="43"/>
  <c r="DC3" i="43"/>
  <c r="CU3" i="43"/>
  <c r="CD3" i="43"/>
  <c r="BM3" i="43"/>
  <c r="AW3" i="43"/>
  <c r="AO3" i="43"/>
  <c r="Y3" i="43"/>
  <c r="N3" i="43"/>
  <c r="DO3" i="43"/>
  <c r="CM3" i="43"/>
  <c r="BU3" i="43"/>
  <c r="BE3" i="43"/>
  <c r="AG3" i="43"/>
  <c r="F3" i="43"/>
  <c r="DM3" i="43"/>
  <c r="CZ3" i="43"/>
  <c r="CP3" i="43"/>
  <c r="CC3" i="43"/>
  <c r="BR3" i="43"/>
  <c r="BH3" i="43"/>
  <c r="AV3" i="43"/>
  <c r="AL3" i="43"/>
  <c r="AB3" i="43"/>
  <c r="M3" i="43"/>
  <c r="DY3" i="43"/>
  <c r="DH3" i="43"/>
  <c r="CW3" i="43"/>
  <c r="CK3" i="43"/>
  <c r="AF3" i="43"/>
  <c r="BQ3" i="43"/>
  <c r="CF3" i="43"/>
  <c r="CS3" i="43"/>
  <c r="DI3" i="43"/>
  <c r="AQ6" i="43"/>
  <c r="CX6" i="43"/>
  <c r="AC7" i="43"/>
  <c r="BS7" i="43"/>
  <c r="DS7" i="43"/>
  <c r="AD8" i="43"/>
  <c r="BX8" i="43"/>
  <c r="K9" i="43"/>
  <c r="CR9" i="43"/>
  <c r="DI20" i="43"/>
  <c r="CZ20" i="43"/>
  <c r="CR20" i="43"/>
  <c r="CI20" i="43"/>
  <c r="CA20" i="43"/>
  <c r="BR20" i="43"/>
  <c r="BJ20" i="43"/>
  <c r="BB20" i="43"/>
  <c r="AT20" i="43"/>
  <c r="AL20" i="43"/>
  <c r="AD20" i="43"/>
  <c r="V20" i="43"/>
  <c r="K20" i="43"/>
  <c r="DH20" i="43"/>
  <c r="CY20" i="43"/>
  <c r="CQ20" i="43"/>
  <c r="CH20" i="43"/>
  <c r="BZ20" i="43"/>
  <c r="BQ20" i="43"/>
  <c r="BI20" i="43"/>
  <c r="BA20" i="43"/>
  <c r="AS20" i="43"/>
  <c r="AK20" i="43"/>
  <c r="AC20" i="43"/>
  <c r="U20" i="43"/>
  <c r="J20" i="43"/>
  <c r="DG20" i="43"/>
  <c r="CX20" i="43"/>
  <c r="CP20" i="43"/>
  <c r="CG20" i="43"/>
  <c r="BY20" i="43"/>
  <c r="BP20" i="43"/>
  <c r="BH20" i="43"/>
  <c r="AZ20" i="43"/>
  <c r="AR20" i="43"/>
  <c r="AJ20" i="43"/>
  <c r="AB20" i="43"/>
  <c r="T20" i="43"/>
  <c r="I20" i="43"/>
  <c r="DS20" i="43"/>
  <c r="DB20" i="43"/>
  <c r="CN20" i="43"/>
  <c r="CB20" i="43"/>
  <c r="BM20" i="43"/>
  <c r="AY20" i="43"/>
  <c r="AN20" i="43"/>
  <c r="Z20" i="43"/>
  <c r="L20" i="43"/>
  <c r="DY20" i="43"/>
  <c r="DE20" i="43"/>
  <c r="CS20" i="43"/>
  <c r="CC20" i="43"/>
  <c r="BL20" i="43"/>
  <c r="AW20" i="43"/>
  <c r="AH20" i="43"/>
  <c r="S20" i="43"/>
  <c r="DD20" i="43"/>
  <c r="CO20" i="43"/>
  <c r="BX20" i="43"/>
  <c r="BK20" i="43"/>
  <c r="AV20" i="43"/>
  <c r="AG20" i="43"/>
  <c r="O20" i="43"/>
  <c r="N20" i="43"/>
  <c r="DA20" i="43"/>
  <c r="BF20" i="43"/>
  <c r="AE20" i="43"/>
  <c r="DC20" i="43"/>
  <c r="CM20" i="43"/>
  <c r="BV20" i="43"/>
  <c r="BG20" i="43"/>
  <c r="AU20" i="43"/>
  <c r="AF20" i="43"/>
  <c r="CL20" i="43"/>
  <c r="BU20" i="43"/>
  <c r="AQ20" i="43"/>
  <c r="M20" i="43"/>
  <c r="DQ20" i="43"/>
  <c r="CW20" i="43"/>
  <c r="CK20" i="43"/>
  <c r="BT20" i="43"/>
  <c r="BE20" i="43"/>
  <c r="AP20" i="43"/>
  <c r="AA20" i="43"/>
  <c r="H20" i="43"/>
  <c r="DO20" i="43"/>
  <c r="CD20" i="43"/>
  <c r="AM20" i="43"/>
  <c r="DM20" i="43"/>
  <c r="BS20" i="43"/>
  <c r="AI20" i="43"/>
  <c r="DK20" i="43"/>
  <c r="BO20" i="43"/>
  <c r="Y20" i="43"/>
  <c r="CT20" i="43"/>
  <c r="BC20" i="43"/>
  <c r="G20" i="43"/>
  <c r="V3" i="43"/>
  <c r="BS3" i="43"/>
  <c r="K4" i="43"/>
  <c r="BR4" i="43"/>
  <c r="DM4" i="43"/>
  <c r="AQ5" i="43"/>
  <c r="DS5" i="43"/>
  <c r="L7" i="43"/>
  <c r="AD7" i="43"/>
  <c r="AR7" i="43"/>
  <c r="BG7" i="43"/>
  <c r="BT7" i="43"/>
  <c r="CI7" i="43"/>
  <c r="CY7" i="43"/>
  <c r="M8" i="43"/>
  <c r="AT8" i="43"/>
  <c r="CA8" i="43"/>
  <c r="AM9" i="43"/>
  <c r="BE9" i="43"/>
  <c r="BZ9" i="43"/>
  <c r="CT9" i="43"/>
  <c r="V11" i="43"/>
  <c r="AT11" i="43"/>
  <c r="BP11" i="43"/>
  <c r="F20" i="43"/>
  <c r="CF20" i="43"/>
  <c r="Z21" i="43"/>
  <c r="BF22" i="43"/>
  <c r="DM23" i="43"/>
  <c r="DB23" i="43"/>
  <c r="DK23" i="43"/>
  <c r="CZ23" i="43"/>
  <c r="CR23" i="43"/>
  <c r="CI23" i="43"/>
  <c r="CA23" i="43"/>
  <c r="BR23" i="43"/>
  <c r="BJ23" i="43"/>
  <c r="BB23" i="43"/>
  <c r="AT23" i="43"/>
  <c r="AL23" i="43"/>
  <c r="AD23" i="43"/>
  <c r="V23" i="43"/>
  <c r="K23" i="43"/>
  <c r="DY23" i="43"/>
  <c r="DI23" i="43"/>
  <c r="CY23" i="43"/>
  <c r="CQ23" i="43"/>
  <c r="CH23" i="43"/>
  <c r="BZ23" i="43"/>
  <c r="BQ23" i="43"/>
  <c r="BI23" i="43"/>
  <c r="BA23" i="43"/>
  <c r="AS23" i="43"/>
  <c r="AK23" i="43"/>
  <c r="AC23" i="43"/>
  <c r="U23" i="43"/>
  <c r="J23" i="43"/>
  <c r="DH23" i="43"/>
  <c r="CX23" i="43"/>
  <c r="CP23" i="43"/>
  <c r="CG23" i="43"/>
  <c r="BY23" i="43"/>
  <c r="BP23" i="43"/>
  <c r="BH23" i="43"/>
  <c r="AZ23" i="43"/>
  <c r="AR23" i="43"/>
  <c r="AJ23" i="43"/>
  <c r="AB23" i="43"/>
  <c r="T23" i="43"/>
  <c r="I23" i="43"/>
  <c r="DQ23" i="43"/>
  <c r="CV23" i="43"/>
  <c r="CK23" i="43"/>
  <c r="BU23" i="43"/>
  <c r="BG23" i="43"/>
  <c r="AV23" i="43"/>
  <c r="AH23" i="43"/>
  <c r="W23" i="43"/>
  <c r="F23" i="43"/>
  <c r="DE23" i="43"/>
  <c r="CS23" i="43"/>
  <c r="CD23" i="43"/>
  <c r="BO23" i="43"/>
  <c r="BD23" i="43"/>
  <c r="AP23" i="43"/>
  <c r="AE23" i="43"/>
  <c r="N23" i="43"/>
  <c r="DD23" i="43"/>
  <c r="CM23" i="43"/>
  <c r="BT23" i="43"/>
  <c r="BC23" i="43"/>
  <c r="AM23" i="43"/>
  <c r="S23" i="43"/>
  <c r="DC23" i="43"/>
  <c r="CL23" i="43"/>
  <c r="BS23" i="43"/>
  <c r="AY23" i="43"/>
  <c r="AI23" i="43"/>
  <c r="O23" i="43"/>
  <c r="CW23" i="43"/>
  <c r="CE23" i="43"/>
  <c r="BM23" i="43"/>
  <c r="AW23" i="43"/>
  <c r="AF23" i="43"/>
  <c r="L23" i="43"/>
  <c r="DA23" i="43"/>
  <c r="CF23" i="43"/>
  <c r="BN23" i="43"/>
  <c r="AX23" i="43"/>
  <c r="AG23" i="43"/>
  <c r="M23" i="43"/>
  <c r="CU23" i="43"/>
  <c r="CC23" i="43"/>
  <c r="BL23" i="43"/>
  <c r="AU23" i="43"/>
  <c r="AA23" i="43"/>
  <c r="H23" i="43"/>
  <c r="BX23" i="43"/>
  <c r="Z23" i="43"/>
  <c r="DS23" i="43"/>
  <c r="BV23" i="43"/>
  <c r="Y23" i="43"/>
  <c r="DO23" i="43"/>
  <c r="BK23" i="43"/>
  <c r="X23" i="43"/>
  <c r="CO23" i="43"/>
  <c r="AQ23" i="43"/>
  <c r="CT23" i="43"/>
  <c r="DQ8" i="43"/>
  <c r="DD8" i="43"/>
  <c r="CV8" i="43"/>
  <c r="CN8" i="43"/>
  <c r="CE8" i="43"/>
  <c r="BV8" i="43"/>
  <c r="BN8" i="43"/>
  <c r="BF8" i="43"/>
  <c r="DO8" i="43"/>
  <c r="DB8" i="43"/>
  <c r="CS8" i="43"/>
  <c r="CI8" i="43"/>
  <c r="BZ8" i="43"/>
  <c r="BP8" i="43"/>
  <c r="BG8" i="43"/>
  <c r="AX8" i="43"/>
  <c r="AP8" i="43"/>
  <c r="AH8" i="43"/>
  <c r="Z8" i="43"/>
  <c r="O8" i="43"/>
  <c r="G8" i="43"/>
  <c r="DA8" i="43"/>
  <c r="CH8" i="43"/>
  <c r="BY8" i="43"/>
  <c r="BE8" i="43"/>
  <c r="AO8" i="43"/>
  <c r="AG8" i="43"/>
  <c r="N8" i="43"/>
  <c r="DM8" i="43"/>
  <c r="CR8" i="43"/>
  <c r="BO8" i="43"/>
  <c r="AW8" i="43"/>
  <c r="Y8" i="43"/>
  <c r="F8" i="43"/>
  <c r="DY8" i="43"/>
  <c r="DI8" i="43"/>
  <c r="CY8" i="43"/>
  <c r="DC8" i="43"/>
  <c r="CO8" i="43"/>
  <c r="CB8" i="43"/>
  <c r="BM8" i="43"/>
  <c r="BB8" i="43"/>
  <c r="AR8" i="43"/>
  <c r="AF8" i="43"/>
  <c r="V8" i="43"/>
  <c r="I8" i="43"/>
  <c r="DS8" i="43"/>
  <c r="CW8" i="43"/>
  <c r="CK8" i="43"/>
  <c r="BU8" i="43"/>
  <c r="BJ8" i="43"/>
  <c r="AY8" i="43"/>
  <c r="AM8" i="43"/>
  <c r="AC8" i="43"/>
  <c r="S8" i="43"/>
  <c r="DQ11" i="43"/>
  <c r="DD11" i="43"/>
  <c r="CV11" i="43"/>
  <c r="CN11" i="43"/>
  <c r="CE11" i="43"/>
  <c r="BV11" i="43"/>
  <c r="BN11" i="43"/>
  <c r="BF11" i="43"/>
  <c r="AX11" i="43"/>
  <c r="AP11" i="43"/>
  <c r="AH11" i="43"/>
  <c r="Z11" i="43"/>
  <c r="O11" i="43"/>
  <c r="G11" i="43"/>
  <c r="DE11" i="43"/>
  <c r="CU11" i="43"/>
  <c r="CL11" i="43"/>
  <c r="CB11" i="43"/>
  <c r="BR11" i="43"/>
  <c r="BI11" i="43"/>
  <c r="AZ11" i="43"/>
  <c r="AQ11" i="43"/>
  <c r="AG11" i="43"/>
  <c r="X11" i="43"/>
  <c r="L11" i="43"/>
  <c r="DS11" i="43"/>
  <c r="CT11" i="43"/>
  <c r="CA11" i="43"/>
  <c r="BQ11" i="43"/>
  <c r="AY11" i="43"/>
  <c r="AF11" i="43"/>
  <c r="K11" i="43"/>
  <c r="DC11" i="43"/>
  <c r="CK11" i="43"/>
  <c r="BH11" i="43"/>
  <c r="AO11" i="43"/>
  <c r="W11" i="43"/>
  <c r="DM11" i="43"/>
  <c r="DA11" i="43"/>
  <c r="CR11" i="43"/>
  <c r="CH11" i="43"/>
  <c r="BY11" i="43"/>
  <c r="BO11" i="43"/>
  <c r="BE11" i="43"/>
  <c r="AV11" i="43"/>
  <c r="AM11" i="43"/>
  <c r="AD11" i="43"/>
  <c r="U11" i="43"/>
  <c r="I11" i="43"/>
  <c r="CZ11" i="43"/>
  <c r="CM11" i="43"/>
  <c r="BU11" i="43"/>
  <c r="BG11" i="43"/>
  <c r="AS11" i="43"/>
  <c r="AC11" i="43"/>
  <c r="M11" i="43"/>
  <c r="DO11" i="43"/>
  <c r="CX11" i="43"/>
  <c r="CG11" i="43"/>
  <c r="BS11" i="43"/>
  <c r="BC11" i="43"/>
  <c r="AN11" i="43"/>
  <c r="AA11" i="43"/>
  <c r="H11" i="43"/>
  <c r="DH11" i="43"/>
  <c r="CQ11" i="43"/>
  <c r="CC11" i="43"/>
  <c r="BL11" i="43"/>
  <c r="AW11" i="43"/>
  <c r="AJ11" i="43"/>
  <c r="T11" i="43"/>
  <c r="BZ11" i="43"/>
  <c r="DY11" i="43"/>
  <c r="AB8" i="43"/>
  <c r="AQ8" i="43"/>
  <c r="BD8" i="43"/>
  <c r="BT8" i="43"/>
  <c r="CM8" i="43"/>
  <c r="DG8" i="43"/>
  <c r="N11" i="43"/>
  <c r="CI11" i="43"/>
  <c r="CN21" i="43"/>
  <c r="AS3" i="43"/>
  <c r="K6" i="43"/>
  <c r="BD6" i="43"/>
  <c r="CH6" i="43"/>
  <c r="K7" i="43"/>
  <c r="BD7" i="43"/>
  <c r="CH7" i="43"/>
  <c r="L8" i="43"/>
  <c r="BH8" i="43"/>
  <c r="DH8" i="43"/>
  <c r="AG9" i="43"/>
  <c r="BT9" i="43"/>
  <c r="DO9" i="43"/>
  <c r="S11" i="43"/>
  <c r="BM11" i="43"/>
  <c r="CO11" i="43"/>
  <c r="DK11" i="43"/>
  <c r="H3" i="43"/>
  <c r="AI3" i="43"/>
  <c r="AT3" i="43"/>
  <c r="BG3" i="43"/>
  <c r="CG3" i="43"/>
  <c r="CT3" i="43"/>
  <c r="DK3" i="43"/>
  <c r="AB4" i="43"/>
  <c r="AQ4" i="43"/>
  <c r="BD4" i="43"/>
  <c r="CH4" i="43"/>
  <c r="CX4" i="43"/>
  <c r="K5" i="43"/>
  <c r="AC5" i="43"/>
  <c r="BD5" i="43"/>
  <c r="BS5" i="43"/>
  <c r="CH5" i="43"/>
  <c r="CX5" i="43"/>
  <c r="L6" i="43"/>
  <c r="AD6" i="43"/>
  <c r="AS6" i="43"/>
  <c r="BG6" i="43"/>
  <c r="BT6" i="43"/>
  <c r="CK6" i="43"/>
  <c r="CY6" i="43"/>
  <c r="AE8" i="43"/>
  <c r="BI8" i="43"/>
  <c r="CQ8" i="43"/>
  <c r="N9" i="43"/>
  <c r="DS9" i="43"/>
  <c r="I3" i="43"/>
  <c r="W3" i="43"/>
  <c r="AJ3" i="43"/>
  <c r="AU3" i="43"/>
  <c r="BI3" i="43"/>
  <c r="BT3" i="43"/>
  <c r="CH3" i="43"/>
  <c r="CX3" i="43"/>
  <c r="DS3" i="43"/>
  <c r="L4" i="43"/>
  <c r="AD4" i="43"/>
  <c r="AS4" i="43"/>
  <c r="BG4" i="43"/>
  <c r="BT4" i="43"/>
  <c r="CK4" i="43"/>
  <c r="CY4" i="43"/>
  <c r="L5" i="43"/>
  <c r="AD5" i="43"/>
  <c r="AR5" i="43"/>
  <c r="BG5" i="43"/>
  <c r="BT5" i="43"/>
  <c r="CI5" i="43"/>
  <c r="CY5" i="43"/>
  <c r="M6" i="43"/>
  <c r="AE6" i="43"/>
  <c r="AT6" i="43"/>
  <c r="BH6" i="43"/>
  <c r="BX6" i="43"/>
  <c r="CL6" i="43"/>
  <c r="CZ6" i="43"/>
  <c r="S7" i="43"/>
  <c r="AE7" i="43"/>
  <c r="AT7" i="43"/>
  <c r="BI7" i="43"/>
  <c r="BX7" i="43"/>
  <c r="CL7" i="43"/>
  <c r="DA7" i="43"/>
  <c r="T8" i="43"/>
  <c r="AI8" i="43"/>
  <c r="AU8" i="43"/>
  <c r="BK8" i="43"/>
  <c r="CC8" i="43"/>
  <c r="CT8" i="43"/>
  <c r="U9" i="43"/>
  <c r="AN9" i="43"/>
  <c r="BG9" i="43"/>
  <c r="CA9" i="43"/>
  <c r="CU9" i="43"/>
  <c r="Y11" i="43"/>
  <c r="AU11" i="43"/>
  <c r="BT11" i="43"/>
  <c r="CS11" i="43"/>
  <c r="W20" i="43"/>
  <c r="CU20" i="43"/>
  <c r="AI21" i="43"/>
  <c r="G23" i="43"/>
  <c r="DG23" i="43"/>
  <c r="AZ8" i="43"/>
  <c r="CX8" i="43"/>
  <c r="DI22" i="43"/>
  <c r="CZ22" i="43"/>
  <c r="CR22" i="43"/>
  <c r="CI22" i="43"/>
  <c r="CA22" i="43"/>
  <c r="BR22" i="43"/>
  <c r="BJ22" i="43"/>
  <c r="BB22" i="43"/>
  <c r="AT22" i="43"/>
  <c r="AL22" i="43"/>
  <c r="AD22" i="43"/>
  <c r="V22" i="43"/>
  <c r="K22" i="43"/>
  <c r="DH22" i="43"/>
  <c r="CY22" i="43"/>
  <c r="CQ22" i="43"/>
  <c r="CH22" i="43"/>
  <c r="BZ22" i="43"/>
  <c r="BQ22" i="43"/>
  <c r="BI22" i="43"/>
  <c r="BA22" i="43"/>
  <c r="AS22" i="43"/>
  <c r="AK22" i="43"/>
  <c r="AC22" i="43"/>
  <c r="U22" i="43"/>
  <c r="J22" i="43"/>
  <c r="DG22" i="43"/>
  <c r="CX22" i="43"/>
  <c r="CP22" i="43"/>
  <c r="CG22" i="43"/>
  <c r="BY22" i="43"/>
  <c r="BP22" i="43"/>
  <c r="BH22" i="43"/>
  <c r="AZ22" i="43"/>
  <c r="AR22" i="43"/>
  <c r="AJ22" i="43"/>
  <c r="AB22" i="43"/>
  <c r="T22" i="43"/>
  <c r="I22" i="43"/>
  <c r="DO22" i="43"/>
  <c r="CW22" i="43"/>
  <c r="CL22" i="43"/>
  <c r="BV22" i="43"/>
  <c r="BK22" i="43"/>
  <c r="AW22" i="43"/>
  <c r="AI22" i="43"/>
  <c r="X22" i="43"/>
  <c r="G22" i="43"/>
  <c r="DE22" i="43"/>
  <c r="CT22" i="43"/>
  <c r="CE22" i="43"/>
  <c r="BS22" i="43"/>
  <c r="BE22" i="43"/>
  <c r="AQ22" i="43"/>
  <c r="AF22" i="43"/>
  <c r="O22" i="43"/>
  <c r="DC22" i="43"/>
  <c r="CM22" i="43"/>
  <c r="BT22" i="43"/>
  <c r="BC22" i="43"/>
  <c r="AM22" i="43"/>
  <c r="S22" i="43"/>
  <c r="DB22" i="43"/>
  <c r="CK22" i="43"/>
  <c r="BO22" i="43"/>
  <c r="AY22" i="43"/>
  <c r="AH22" i="43"/>
  <c r="N22" i="43"/>
  <c r="DS22" i="43"/>
  <c r="CV22" i="43"/>
  <c r="CD22" i="43"/>
  <c r="AV22" i="43"/>
  <c r="AE22" i="43"/>
  <c r="L22" i="43"/>
  <c r="DA22" i="43"/>
  <c r="CF22" i="43"/>
  <c r="BN22" i="43"/>
  <c r="AX22" i="43"/>
  <c r="AG22" i="43"/>
  <c r="M22" i="43"/>
  <c r="BM22" i="43"/>
  <c r="DQ22" i="43"/>
  <c r="CU22" i="43"/>
  <c r="CC22" i="43"/>
  <c r="BL22" i="43"/>
  <c r="AU22" i="43"/>
  <c r="AA22" i="43"/>
  <c r="H22" i="43"/>
  <c r="BX22" i="43"/>
  <c r="Z22" i="43"/>
  <c r="DM22" i="43"/>
  <c r="BU22" i="43"/>
  <c r="Y22" i="43"/>
  <c r="DK22" i="43"/>
  <c r="BG22" i="43"/>
  <c r="W22" i="43"/>
  <c r="DY22" i="43"/>
  <c r="CO22" i="43"/>
  <c r="AP22" i="43"/>
  <c r="K8" i="43"/>
  <c r="AL11" i="43"/>
  <c r="BK11" i="43"/>
  <c r="DI11" i="43"/>
  <c r="U3" i="43"/>
  <c r="BD3" i="43"/>
  <c r="AB6" i="43"/>
  <c r="BR6" i="43"/>
  <c r="DM6" i="43"/>
  <c r="AQ7" i="43"/>
  <c r="CX7" i="43"/>
  <c r="AS8" i="43"/>
  <c r="CP8" i="43"/>
  <c r="BB9" i="43"/>
  <c r="AR11" i="43"/>
  <c r="CE20" i="43"/>
  <c r="F21" i="43"/>
  <c r="CO21" i="43"/>
  <c r="BD22" i="43"/>
  <c r="J3" i="43"/>
  <c r="X3" i="43"/>
  <c r="AK3" i="43"/>
  <c r="AY3" i="43"/>
  <c r="BJ3" i="43"/>
  <c r="BX3" i="43"/>
  <c r="CI3" i="43"/>
  <c r="CY3" i="43"/>
  <c r="M4" i="43"/>
  <c r="AE4" i="43"/>
  <c r="AT4" i="43"/>
  <c r="BH4" i="43"/>
  <c r="BX4" i="43"/>
  <c r="CL4" i="43"/>
  <c r="CZ4" i="43"/>
  <c r="S5" i="43"/>
  <c r="AE5" i="43"/>
  <c r="AT5" i="43"/>
  <c r="BI5" i="43"/>
  <c r="BX5" i="43"/>
  <c r="CL5" i="43"/>
  <c r="DA5" i="43"/>
  <c r="T6" i="43"/>
  <c r="AI6" i="43"/>
  <c r="AU6" i="43"/>
  <c r="BJ6" i="43"/>
  <c r="BZ6" i="43"/>
  <c r="CO6" i="43"/>
  <c r="DB6" i="43"/>
  <c r="T7" i="43"/>
  <c r="AF7" i="43"/>
  <c r="AU7" i="43"/>
  <c r="BJ7" i="43"/>
  <c r="BY7" i="43"/>
  <c r="CO7" i="43"/>
  <c r="DB7" i="43"/>
  <c r="U8" i="43"/>
  <c r="AJ8" i="43"/>
  <c r="AV8" i="43"/>
  <c r="BL8" i="43"/>
  <c r="CD8" i="43"/>
  <c r="CU8" i="43"/>
  <c r="W9" i="43"/>
  <c r="AO9" i="43"/>
  <c r="BI9" i="43"/>
  <c r="CD9" i="43"/>
  <c r="CX9" i="43"/>
  <c r="AB11" i="43"/>
  <c r="BA11" i="43"/>
  <c r="BX11" i="43"/>
  <c r="CW11" i="43"/>
  <c r="X20" i="43"/>
  <c r="CV20" i="43"/>
  <c r="AO21" i="43"/>
  <c r="CN22" i="43"/>
  <c r="AN23" i="43"/>
  <c r="DG12" i="43"/>
  <c r="CX12" i="43"/>
  <c r="CP12" i="43"/>
  <c r="CG12" i="43"/>
  <c r="BY12" i="43"/>
  <c r="BP12" i="43"/>
  <c r="DM12" i="43"/>
  <c r="DA12" i="43"/>
  <c r="CR12" i="43"/>
  <c r="CH12" i="43"/>
  <c r="BX12" i="43"/>
  <c r="BN12" i="43"/>
  <c r="BF12" i="43"/>
  <c r="AX12" i="43"/>
  <c r="AP12" i="43"/>
  <c r="AH12" i="43"/>
  <c r="Z12" i="43"/>
  <c r="O12" i="43"/>
  <c r="G12" i="43"/>
  <c r="DY12" i="43"/>
  <c r="DI12" i="43"/>
  <c r="CW12" i="43"/>
  <c r="CM12" i="43"/>
  <c r="CB12" i="43"/>
  <c r="BQ12" i="43"/>
  <c r="BG12" i="43"/>
  <c r="AW12" i="43"/>
  <c r="AN12" i="43"/>
  <c r="AE12" i="43"/>
  <c r="V12" i="43"/>
  <c r="J12" i="43"/>
  <c r="DH12" i="43"/>
  <c r="CL12" i="43"/>
  <c r="CA12" i="43"/>
  <c r="BE12" i="43"/>
  <c r="AV12" i="43"/>
  <c r="AD12" i="43"/>
  <c r="U12" i="43"/>
  <c r="CV12" i="43"/>
  <c r="BO12" i="43"/>
  <c r="AM12" i="43"/>
  <c r="I12" i="43"/>
  <c r="DD12" i="43"/>
  <c r="CT12" i="43"/>
  <c r="CI12" i="43"/>
  <c r="BV12" i="43"/>
  <c r="BL12" i="43"/>
  <c r="BC12" i="43"/>
  <c r="AT12" i="43"/>
  <c r="AK12" i="43"/>
  <c r="AB12" i="43"/>
  <c r="S12" i="43"/>
  <c r="F12" i="43"/>
  <c r="X12" i="43"/>
  <c r="AL12" i="43"/>
  <c r="BA12" i="43"/>
  <c r="BR12" i="43"/>
  <c r="CF12" i="43"/>
  <c r="CZ12" i="43"/>
  <c r="L12" i="43"/>
  <c r="AC12" i="43"/>
  <c r="AR12" i="43"/>
  <c r="BH12" i="43"/>
  <c r="BU12" i="43"/>
  <c r="CO12" i="43"/>
  <c r="DE12" i="43"/>
  <c r="DG14" i="43"/>
  <c r="CX14" i="43"/>
  <c r="CP14" i="43"/>
  <c r="CG14" i="43"/>
  <c r="BY14" i="43"/>
  <c r="BP14" i="43"/>
  <c r="BH14" i="43"/>
  <c r="AZ14" i="43"/>
  <c r="AR14" i="43"/>
  <c r="AJ14" i="43"/>
  <c r="AB14" i="43"/>
  <c r="T14" i="43"/>
  <c r="I14" i="43"/>
  <c r="DQ14" i="43"/>
  <c r="DC14" i="43"/>
  <c r="CT14" i="43"/>
  <c r="CK14" i="43"/>
  <c r="CA14" i="43"/>
  <c r="BQ14" i="43"/>
  <c r="BG14" i="43"/>
  <c r="AX14" i="43"/>
  <c r="AO14" i="43"/>
  <c r="AF14" i="43"/>
  <c r="W14" i="43"/>
  <c r="K14" i="43"/>
  <c r="DK14" i="43"/>
  <c r="CY14" i="43"/>
  <c r="CN14" i="43"/>
  <c r="CC14" i="43"/>
  <c r="BR14" i="43"/>
  <c r="BF14" i="43"/>
  <c r="AV14" i="43"/>
  <c r="AL14" i="43"/>
  <c r="AA14" i="43"/>
  <c r="N14" i="43"/>
  <c r="DY14" i="43"/>
  <c r="DI14" i="43"/>
  <c r="CW14" i="43"/>
  <c r="CM14" i="43"/>
  <c r="CB14" i="43"/>
  <c r="BO14" i="43"/>
  <c r="AU14" i="43"/>
  <c r="AK14" i="43"/>
  <c r="Z14" i="43"/>
  <c r="M14" i="43"/>
  <c r="BE14" i="43"/>
  <c r="DE14" i="43"/>
  <c r="CU14" i="43"/>
  <c r="CI14" i="43"/>
  <c r="BX14" i="43"/>
  <c r="BM14" i="43"/>
  <c r="BC14" i="43"/>
  <c r="AS14" i="43"/>
  <c r="AH14" i="43"/>
  <c r="X14" i="43"/>
  <c r="J14" i="43"/>
  <c r="V14" i="43"/>
  <c r="AN14" i="43"/>
  <c r="BD14" i="43"/>
  <c r="BU14" i="43"/>
  <c r="CO14" i="43"/>
  <c r="DD14" i="43"/>
  <c r="L19" i="43"/>
  <c r="AE19" i="43"/>
  <c r="AQ19" i="43"/>
  <c r="BF19" i="43"/>
  <c r="BU19" i="43"/>
  <c r="CL19" i="43"/>
  <c r="DA19" i="43"/>
  <c r="DS19" i="43"/>
  <c r="AJ35" i="43"/>
  <c r="CZ35" i="43"/>
  <c r="DI17" i="43"/>
  <c r="CZ17" i="43"/>
  <c r="CR17" i="43"/>
  <c r="CI17" i="43"/>
  <c r="CA17" i="43"/>
  <c r="BR17" i="43"/>
  <c r="BJ17" i="43"/>
  <c r="BB17" i="43"/>
  <c r="AT17" i="43"/>
  <c r="AL17" i="43"/>
  <c r="AD17" i="43"/>
  <c r="V17" i="43"/>
  <c r="K17" i="43"/>
  <c r="DH17" i="43"/>
  <c r="CY17" i="43"/>
  <c r="CQ17" i="43"/>
  <c r="CH17" i="43"/>
  <c r="BZ17" i="43"/>
  <c r="BQ17" i="43"/>
  <c r="BI17" i="43"/>
  <c r="BA17" i="43"/>
  <c r="AS17" i="43"/>
  <c r="AK17" i="43"/>
  <c r="AC17" i="43"/>
  <c r="U17" i="43"/>
  <c r="J17" i="43"/>
  <c r="DG17" i="43"/>
  <c r="CX17" i="43"/>
  <c r="CP17" i="43"/>
  <c r="CG17" i="43"/>
  <c r="BY17" i="43"/>
  <c r="BP17" i="43"/>
  <c r="BH17" i="43"/>
  <c r="AZ17" i="43"/>
  <c r="AR17" i="43"/>
  <c r="AJ17" i="43"/>
  <c r="AB17" i="43"/>
  <c r="T17" i="43"/>
  <c r="I17" i="43"/>
  <c r="DE17" i="43"/>
  <c r="CT17" i="43"/>
  <c r="CE17" i="43"/>
  <c r="BS17" i="43"/>
  <c r="BE17" i="43"/>
  <c r="AQ17" i="43"/>
  <c r="AF17" i="43"/>
  <c r="O17" i="43"/>
  <c r="AI17" i="43"/>
  <c r="BM17" i="43"/>
  <c r="CS17" i="43"/>
  <c r="DY17" i="43"/>
  <c r="O19" i="43"/>
  <c r="AG19" i="43"/>
  <c r="AV19" i="43"/>
  <c r="BK19" i="43"/>
  <c r="BX19" i="43"/>
  <c r="CN19" i="43"/>
  <c r="DD19" i="43"/>
  <c r="W17" i="43"/>
  <c r="AX17" i="43"/>
  <c r="CC17" i="43"/>
  <c r="DK17" i="43"/>
  <c r="DQ10" i="43"/>
  <c r="DD10" i="43"/>
  <c r="CV10" i="43"/>
  <c r="CN10" i="43"/>
  <c r="CE10" i="43"/>
  <c r="BV10" i="43"/>
  <c r="BN10" i="43"/>
  <c r="BF10" i="43"/>
  <c r="AX10" i="43"/>
  <c r="AP10" i="43"/>
  <c r="AH10" i="43"/>
  <c r="Z10" i="43"/>
  <c r="O10" i="43"/>
  <c r="G10" i="43"/>
  <c r="N10" i="43"/>
  <c r="AA10" i="43"/>
  <c r="AJ10" i="43"/>
  <c r="AS10" i="43"/>
  <c r="BB10" i="43"/>
  <c r="BK10" i="43"/>
  <c r="BT10" i="43"/>
  <c r="CD10" i="43"/>
  <c r="CO10" i="43"/>
  <c r="CX10" i="43"/>
  <c r="DH10" i="43"/>
  <c r="DI15" i="43"/>
  <c r="DH15" i="43"/>
  <c r="CY15" i="43"/>
  <c r="CQ15" i="43"/>
  <c r="CH15" i="43"/>
  <c r="BZ15" i="43"/>
  <c r="BQ15" i="43"/>
  <c r="BI15" i="43"/>
  <c r="BA15" i="43"/>
  <c r="DG15" i="43"/>
  <c r="CX15" i="43"/>
  <c r="CP15" i="43"/>
  <c r="CG15" i="43"/>
  <c r="BY15" i="43"/>
  <c r="BP15" i="43"/>
  <c r="BH15" i="43"/>
  <c r="AZ15" i="43"/>
  <c r="AR15" i="43"/>
  <c r="AJ15" i="43"/>
  <c r="AB15" i="43"/>
  <c r="T15" i="43"/>
  <c r="I15" i="43"/>
  <c r="DM15" i="43"/>
  <c r="CW15" i="43"/>
  <c r="CM15" i="43"/>
  <c r="CB15" i="43"/>
  <c r="BO15" i="43"/>
  <c r="BE15" i="43"/>
  <c r="AU15" i="43"/>
  <c r="AL15" i="43"/>
  <c r="AC15" i="43"/>
  <c r="S15" i="43"/>
  <c r="G15" i="43"/>
  <c r="O15" i="43"/>
  <c r="AD15" i="43"/>
  <c r="AN15" i="43"/>
  <c r="AX15" i="43"/>
  <c r="BK15" i="43"/>
  <c r="BV15" i="43"/>
  <c r="CK15" i="43"/>
  <c r="CV15" i="43"/>
  <c r="DO15" i="43"/>
  <c r="F17" i="43"/>
  <c r="X17" i="43"/>
  <c r="AM17" i="43"/>
  <c r="AY17" i="43"/>
  <c r="BN17" i="43"/>
  <c r="CD17" i="43"/>
  <c r="CU17" i="43"/>
  <c r="DM17" i="43"/>
  <c r="DI18" i="43"/>
  <c r="CZ18" i="43"/>
  <c r="CR18" i="43"/>
  <c r="CI18" i="43"/>
  <c r="CA18" i="43"/>
  <c r="BR18" i="43"/>
  <c r="BJ18" i="43"/>
  <c r="BB18" i="43"/>
  <c r="AT18" i="43"/>
  <c r="AL18" i="43"/>
  <c r="AD18" i="43"/>
  <c r="V18" i="43"/>
  <c r="K18" i="43"/>
  <c r="DH18" i="43"/>
  <c r="CY18" i="43"/>
  <c r="CQ18" i="43"/>
  <c r="CH18" i="43"/>
  <c r="BZ18" i="43"/>
  <c r="BQ18" i="43"/>
  <c r="BI18" i="43"/>
  <c r="BA18" i="43"/>
  <c r="AS18" i="43"/>
  <c r="AK18" i="43"/>
  <c r="AC18" i="43"/>
  <c r="U18" i="43"/>
  <c r="J18" i="43"/>
  <c r="DG18" i="43"/>
  <c r="CX18" i="43"/>
  <c r="CP18" i="43"/>
  <c r="CG18" i="43"/>
  <c r="BY18" i="43"/>
  <c r="BP18" i="43"/>
  <c r="BH18" i="43"/>
  <c r="AZ18" i="43"/>
  <c r="AR18" i="43"/>
  <c r="AJ18" i="43"/>
  <c r="AB18" i="43"/>
  <c r="T18" i="43"/>
  <c r="I18" i="43"/>
  <c r="DD18" i="43"/>
  <c r="CS18" i="43"/>
  <c r="CD18" i="43"/>
  <c r="BO18" i="43"/>
  <c r="BD18" i="43"/>
  <c r="AP18" i="43"/>
  <c r="AE18" i="43"/>
  <c r="N18" i="43"/>
  <c r="W18" i="43"/>
  <c r="AI18" i="43"/>
  <c r="AX18" i="43"/>
  <c r="BM18" i="43"/>
  <c r="CC18" i="43"/>
  <c r="CT18" i="43"/>
  <c r="DK18" i="43"/>
  <c r="DY18" i="43"/>
  <c r="S19" i="43"/>
  <c r="AH19" i="43"/>
  <c r="AW19" i="43"/>
  <c r="BL19" i="43"/>
  <c r="CB19" i="43"/>
  <c r="CS19" i="43"/>
  <c r="DI19" i="43"/>
  <c r="CZ19" i="43"/>
  <c r="CR19" i="43"/>
  <c r="CI19" i="43"/>
  <c r="CA19" i="43"/>
  <c r="BR19" i="43"/>
  <c r="BJ19" i="43"/>
  <c r="BB19" i="43"/>
  <c r="AT19" i="43"/>
  <c r="AL19" i="43"/>
  <c r="AD19" i="43"/>
  <c r="V19" i="43"/>
  <c r="K19" i="43"/>
  <c r="DH19" i="43"/>
  <c r="CY19" i="43"/>
  <c r="CQ19" i="43"/>
  <c r="CH19" i="43"/>
  <c r="BZ19" i="43"/>
  <c r="BQ19" i="43"/>
  <c r="BI19" i="43"/>
  <c r="BA19" i="43"/>
  <c r="AS19" i="43"/>
  <c r="AK19" i="43"/>
  <c r="AC19" i="43"/>
  <c r="U19" i="43"/>
  <c r="J19" i="43"/>
  <c r="DG19" i="43"/>
  <c r="CX19" i="43"/>
  <c r="CP19" i="43"/>
  <c r="CG19" i="43"/>
  <c r="BY19" i="43"/>
  <c r="BP19" i="43"/>
  <c r="BH19" i="43"/>
  <c r="AZ19" i="43"/>
  <c r="AR19" i="43"/>
  <c r="AJ19" i="43"/>
  <c r="AB19" i="43"/>
  <c r="T19" i="43"/>
  <c r="I19" i="43"/>
  <c r="DC19" i="43"/>
  <c r="CO19" i="43"/>
  <c r="CC19" i="43"/>
  <c r="BN19" i="43"/>
  <c r="BC19" i="43"/>
  <c r="AO19" i="43"/>
  <c r="AA19" i="43"/>
  <c r="M19" i="43"/>
  <c r="W19" i="43"/>
  <c r="AI19" i="43"/>
  <c r="AX19" i="43"/>
  <c r="BM19" i="43"/>
  <c r="CD19" i="43"/>
  <c r="CT19" i="43"/>
  <c r="DK19" i="43"/>
  <c r="DY19" i="43"/>
  <c r="DM35" i="43"/>
  <c r="DB35" i="43"/>
  <c r="CT35" i="43"/>
  <c r="CL35" i="43"/>
  <c r="CC35" i="43"/>
  <c r="DY35" i="43"/>
  <c r="DK35" i="43"/>
  <c r="DA35" i="43"/>
  <c r="CS35" i="43"/>
  <c r="CK35" i="43"/>
  <c r="CB35" i="43"/>
  <c r="BS35" i="43"/>
  <c r="BK35" i="43"/>
  <c r="BC35" i="43"/>
  <c r="AU35" i="43"/>
  <c r="AM35" i="43"/>
  <c r="AE35" i="43"/>
  <c r="W35" i="43"/>
  <c r="L35" i="43"/>
  <c r="DO35" i="43"/>
  <c r="CY35" i="43"/>
  <c r="CO35" i="43"/>
  <c r="CD35" i="43"/>
  <c r="BR35" i="43"/>
  <c r="BI35" i="43"/>
  <c r="AZ35" i="43"/>
  <c r="AQ35" i="43"/>
  <c r="AH35" i="43"/>
  <c r="Y35" i="43"/>
  <c r="M35" i="43"/>
  <c r="DI35" i="43"/>
  <c r="CX35" i="43"/>
  <c r="CN35" i="43"/>
  <c r="CA35" i="43"/>
  <c r="BQ35" i="43"/>
  <c r="BH35" i="43"/>
  <c r="AY35" i="43"/>
  <c r="AP35" i="43"/>
  <c r="AG35" i="43"/>
  <c r="X35" i="43"/>
  <c r="K35" i="43"/>
  <c r="DH35" i="43"/>
  <c r="CW35" i="43"/>
  <c r="CM35" i="43"/>
  <c r="BZ35" i="43"/>
  <c r="BP35" i="43"/>
  <c r="BG35" i="43"/>
  <c r="AX35" i="43"/>
  <c r="AO35" i="43"/>
  <c r="AF35" i="43"/>
  <c r="V35" i="43"/>
  <c r="J35" i="43"/>
  <c r="DD35" i="43"/>
  <c r="CR35" i="43"/>
  <c r="CG35" i="43"/>
  <c r="BV35" i="43"/>
  <c r="BM35" i="43"/>
  <c r="BD35" i="43"/>
  <c r="AT35" i="43"/>
  <c r="AK35" i="43"/>
  <c r="AB35" i="43"/>
  <c r="S35" i="43"/>
  <c r="G35" i="43"/>
  <c r="DG35" i="43"/>
  <c r="CI35" i="43"/>
  <c r="BO35" i="43"/>
  <c r="AW35" i="43"/>
  <c r="AD35" i="43"/>
  <c r="I35" i="43"/>
  <c r="DE35" i="43"/>
  <c r="CH35" i="43"/>
  <c r="BN35" i="43"/>
  <c r="AV35" i="43"/>
  <c r="AC35" i="43"/>
  <c r="H35" i="43"/>
  <c r="DC35" i="43"/>
  <c r="CF35" i="43"/>
  <c r="BL35" i="43"/>
  <c r="AS35" i="43"/>
  <c r="AA35" i="43"/>
  <c r="F35" i="43"/>
  <c r="CU35" i="43"/>
  <c r="BX35" i="43"/>
  <c r="BE35" i="43"/>
  <c r="AL35" i="43"/>
  <c r="T35" i="43"/>
  <c r="CV35" i="43"/>
  <c r="BF35" i="43"/>
  <c r="U35" i="43"/>
  <c r="CQ35" i="43"/>
  <c r="BB35" i="43"/>
  <c r="O35" i="43"/>
  <c r="BY35" i="43"/>
  <c r="AN35" i="43"/>
  <c r="BT35" i="43"/>
  <c r="K106" i="44"/>
  <c r="J106" i="44"/>
  <c r="H126" i="44"/>
  <c r="K121" i="44"/>
  <c r="E24" i="44"/>
  <c r="J121" i="44"/>
  <c r="D24" i="44"/>
  <c r="DS42" i="43"/>
  <c r="DE42" i="43"/>
  <c r="CW42" i="43"/>
  <c r="CO42" i="43"/>
  <c r="CF42" i="43"/>
  <c r="BX42" i="43"/>
  <c r="BO42" i="43"/>
  <c r="BG42" i="43"/>
  <c r="DQ42" i="43"/>
  <c r="DD42" i="43"/>
  <c r="CV42" i="43"/>
  <c r="CN42" i="43"/>
  <c r="CE42" i="43"/>
  <c r="BV42" i="43"/>
  <c r="BN42" i="43"/>
  <c r="BF42" i="43"/>
  <c r="DB42" i="43"/>
  <c r="CR42" i="43"/>
  <c r="CG42" i="43"/>
  <c r="BT42" i="43"/>
  <c r="BJ42" i="43"/>
  <c r="AZ42" i="43"/>
  <c r="AR42" i="43"/>
  <c r="AJ42" i="43"/>
  <c r="AB42" i="43"/>
  <c r="T42" i="43"/>
  <c r="I42" i="43"/>
  <c r="DO42" i="43"/>
  <c r="DA42" i="43"/>
  <c r="CQ42" i="43"/>
  <c r="CD42" i="43"/>
  <c r="BS42" i="43"/>
  <c r="BI42" i="43"/>
  <c r="AY42" i="43"/>
  <c r="AQ42" i="43"/>
  <c r="AI42" i="43"/>
  <c r="AA42" i="43"/>
  <c r="S42" i="43"/>
  <c r="H42" i="43"/>
  <c r="DM42" i="43"/>
  <c r="CZ42" i="43"/>
  <c r="CP42" i="43"/>
  <c r="CC42" i="43"/>
  <c r="BR42" i="43"/>
  <c r="BH42" i="43"/>
  <c r="AX42" i="43"/>
  <c r="AP42" i="43"/>
  <c r="AH42" i="43"/>
  <c r="Z42" i="43"/>
  <c r="O42" i="43"/>
  <c r="G42" i="43"/>
  <c r="DG42" i="43"/>
  <c r="CL42" i="43"/>
  <c r="BU42" i="43"/>
  <c r="BC42" i="43"/>
  <c r="AO42" i="43"/>
  <c r="AD42" i="43"/>
  <c r="M42" i="43"/>
  <c r="CY42" i="43"/>
  <c r="CI42" i="43"/>
  <c r="BP42" i="43"/>
  <c r="BA42" i="43"/>
  <c r="AM42" i="43"/>
  <c r="Y42" i="43"/>
  <c r="K42" i="43"/>
  <c r="CX42" i="43"/>
  <c r="CH42" i="43"/>
  <c r="BM42" i="43"/>
  <c r="AW42" i="43"/>
  <c r="AL42" i="43"/>
  <c r="X42" i="43"/>
  <c r="J42" i="43"/>
  <c r="CM42" i="43"/>
  <c r="BK42" i="43"/>
  <c r="AN42" i="43"/>
  <c r="U42" i="43"/>
  <c r="DK42" i="43"/>
  <c r="CK42" i="43"/>
  <c r="BE42" i="43"/>
  <c r="AK42" i="43"/>
  <c r="N42" i="43"/>
  <c r="DI42" i="43"/>
  <c r="CB42" i="43"/>
  <c r="BD42" i="43"/>
  <c r="AG42" i="43"/>
  <c r="L42" i="43"/>
  <c r="DY42" i="43"/>
  <c r="CU42" i="43"/>
  <c r="BY42" i="43"/>
  <c r="AU42" i="43"/>
  <c r="AC42" i="43"/>
  <c r="BQ42" i="43"/>
  <c r="W42" i="43"/>
  <c r="BL42" i="43"/>
  <c r="V42" i="43"/>
  <c r="DH42" i="43"/>
  <c r="BB42" i="43"/>
  <c r="F42" i="43"/>
  <c r="CS42" i="43"/>
  <c r="AS42" i="43"/>
  <c r="DC42" i="43"/>
  <c r="DG13" i="43"/>
  <c r="CX13" i="43"/>
  <c r="CP13" i="43"/>
  <c r="CG13" i="43"/>
  <c r="BY13" i="43"/>
  <c r="BP13" i="43"/>
  <c r="BH13" i="43"/>
  <c r="AZ13" i="43"/>
  <c r="AR13" i="43"/>
  <c r="AJ13" i="43"/>
  <c r="AB13" i="43"/>
  <c r="T13" i="43"/>
  <c r="I13" i="43"/>
  <c r="N13" i="43"/>
  <c r="Z13" i="43"/>
  <c r="AI13" i="43"/>
  <c r="AS13" i="43"/>
  <c r="BB13" i="43"/>
  <c r="BK13" i="43"/>
  <c r="BT13" i="43"/>
  <c r="CD13" i="43"/>
  <c r="CN13" i="43"/>
  <c r="CW13" i="43"/>
  <c r="DH13" i="43"/>
  <c r="DI16" i="43"/>
  <c r="CZ16" i="43"/>
  <c r="CR16" i="43"/>
  <c r="CI16" i="43"/>
  <c r="CA16" i="43"/>
  <c r="BR16" i="43"/>
  <c r="BJ16" i="43"/>
  <c r="BB16" i="43"/>
  <c r="AT16" i="43"/>
  <c r="AL16" i="43"/>
  <c r="AD16" i="43"/>
  <c r="V16" i="43"/>
  <c r="K16" i="43"/>
  <c r="DH16" i="43"/>
  <c r="CY16" i="43"/>
  <c r="CQ16" i="43"/>
  <c r="CH16" i="43"/>
  <c r="BZ16" i="43"/>
  <c r="BQ16" i="43"/>
  <c r="BI16" i="43"/>
  <c r="BA16" i="43"/>
  <c r="AS16" i="43"/>
  <c r="AK16" i="43"/>
  <c r="AC16" i="43"/>
  <c r="U16" i="43"/>
  <c r="J16" i="43"/>
  <c r="DG16" i="43"/>
  <c r="CX16" i="43"/>
  <c r="CP16" i="43"/>
  <c r="CG16" i="43"/>
  <c r="BY16" i="43"/>
  <c r="BP16" i="43"/>
  <c r="BH16" i="43"/>
  <c r="AZ16" i="43"/>
  <c r="AR16" i="43"/>
  <c r="AJ16" i="43"/>
  <c r="AB16" i="43"/>
  <c r="T16" i="43"/>
  <c r="I16" i="43"/>
  <c r="S16" i="43"/>
  <c r="AG16" i="43"/>
  <c r="AU16" i="43"/>
  <c r="BF16" i="43"/>
  <c r="BT16" i="43"/>
  <c r="CF16" i="43"/>
  <c r="CU16" i="43"/>
  <c r="DK16" i="43"/>
  <c r="DY16" i="43"/>
  <c r="AE42" i="43"/>
  <c r="AF42" i="43"/>
  <c r="T31" i="43"/>
  <c r="AI31" i="43"/>
  <c r="AW31" i="43"/>
  <c r="BL31" i="43"/>
  <c r="CA31" i="43"/>
  <c r="CQ31" i="43"/>
  <c r="Y33" i="43"/>
  <c r="AQ33" i="43"/>
  <c r="BI33" i="43"/>
  <c r="CC33" i="43"/>
  <c r="DY31" i="43"/>
  <c r="DK31" i="43"/>
  <c r="DA31" i="43"/>
  <c r="CS31" i="43"/>
  <c r="CK31" i="43"/>
  <c r="CB31" i="43"/>
  <c r="BS31" i="43"/>
  <c r="BK31" i="43"/>
  <c r="BC31" i="43"/>
  <c r="AU31" i="43"/>
  <c r="AM31" i="43"/>
  <c r="AE31" i="43"/>
  <c r="W31" i="43"/>
  <c r="L31" i="43"/>
  <c r="DE31" i="43"/>
  <c r="CV31" i="43"/>
  <c r="CM31" i="43"/>
  <c r="CC31" i="43"/>
  <c r="BR31" i="43"/>
  <c r="BI31" i="43"/>
  <c r="AZ31" i="43"/>
  <c r="AQ31" i="43"/>
  <c r="AH31" i="43"/>
  <c r="Y31" i="43"/>
  <c r="M31" i="43"/>
  <c r="DQ31" i="43"/>
  <c r="DC31" i="43"/>
  <c r="CT31" i="43"/>
  <c r="CI31" i="43"/>
  <c r="BZ31" i="43"/>
  <c r="BP31" i="43"/>
  <c r="BG31" i="43"/>
  <c r="AX31" i="43"/>
  <c r="AO31" i="43"/>
  <c r="AF31" i="43"/>
  <c r="V31" i="43"/>
  <c r="J31" i="43"/>
  <c r="DI31" i="43"/>
  <c r="CY31" i="43"/>
  <c r="CP31" i="43"/>
  <c r="CF31" i="43"/>
  <c r="BV31" i="43"/>
  <c r="BM31" i="43"/>
  <c r="BD31" i="43"/>
  <c r="AT31" i="43"/>
  <c r="AK31" i="43"/>
  <c r="AB31" i="43"/>
  <c r="S31" i="43"/>
  <c r="G31" i="43"/>
  <c r="U31" i="43"/>
  <c r="AJ31" i="43"/>
  <c r="AY31" i="43"/>
  <c r="BN31" i="43"/>
  <c r="CD31" i="43"/>
  <c r="CR31" i="43"/>
  <c r="DH31" i="43"/>
  <c r="DY33" i="43"/>
  <c r="DK33" i="43"/>
  <c r="DA33" i="43"/>
  <c r="CS33" i="43"/>
  <c r="CK33" i="43"/>
  <c r="CB33" i="43"/>
  <c r="BS33" i="43"/>
  <c r="BK33" i="43"/>
  <c r="BC33" i="43"/>
  <c r="AU33" i="43"/>
  <c r="AM33" i="43"/>
  <c r="AE33" i="43"/>
  <c r="W33" i="43"/>
  <c r="L33" i="43"/>
  <c r="DM33" i="43"/>
  <c r="CZ33" i="43"/>
  <c r="CQ33" i="43"/>
  <c r="CG33" i="43"/>
  <c r="BX33" i="43"/>
  <c r="BN33" i="43"/>
  <c r="BE33" i="43"/>
  <c r="AV33" i="43"/>
  <c r="AL33" i="43"/>
  <c r="AC33" i="43"/>
  <c r="T33" i="43"/>
  <c r="H33" i="43"/>
  <c r="DI33" i="43"/>
  <c r="CY33" i="43"/>
  <c r="CP33" i="43"/>
  <c r="CF33" i="43"/>
  <c r="BV33" i="43"/>
  <c r="BM33" i="43"/>
  <c r="BD33" i="43"/>
  <c r="AT33" i="43"/>
  <c r="AK33" i="43"/>
  <c r="AB33" i="43"/>
  <c r="S33" i="43"/>
  <c r="G33" i="43"/>
  <c r="DH33" i="43"/>
  <c r="CX33" i="43"/>
  <c r="CO33" i="43"/>
  <c r="CE33" i="43"/>
  <c r="BU33" i="43"/>
  <c r="BL33" i="43"/>
  <c r="BB33" i="43"/>
  <c r="AS33" i="43"/>
  <c r="AJ33" i="43"/>
  <c r="AA33" i="43"/>
  <c r="O33" i="43"/>
  <c r="F33" i="43"/>
  <c r="DS33" i="43"/>
  <c r="DD33" i="43"/>
  <c r="CU33" i="43"/>
  <c r="CL33" i="43"/>
  <c r="CA33" i="43"/>
  <c r="BQ33" i="43"/>
  <c r="BH33" i="43"/>
  <c r="AY33" i="43"/>
  <c r="AP33" i="43"/>
  <c r="AG33" i="43"/>
  <c r="X33" i="43"/>
  <c r="K33" i="43"/>
  <c r="Z33" i="43"/>
  <c r="AR33" i="43"/>
  <c r="BJ33" i="43"/>
  <c r="CD33" i="43"/>
  <c r="CW33" i="43"/>
  <c r="AL31" i="43"/>
  <c r="BA31" i="43"/>
  <c r="BO31" i="43"/>
  <c r="CE31" i="43"/>
  <c r="CU31" i="43"/>
  <c r="DM31" i="43"/>
  <c r="I33" i="43"/>
  <c r="AD33" i="43"/>
  <c r="AW33" i="43"/>
  <c r="BO33" i="43"/>
  <c r="CH33" i="43"/>
  <c r="DB33" i="43"/>
  <c r="DY32" i="43"/>
  <c r="DK32" i="43"/>
  <c r="DA32" i="43"/>
  <c r="CS32" i="43"/>
  <c r="CK32" i="43"/>
  <c r="CB32" i="43"/>
  <c r="BS32" i="43"/>
  <c r="BK32" i="43"/>
  <c r="BC32" i="43"/>
  <c r="AU32" i="43"/>
  <c r="AM32" i="43"/>
  <c r="AE32" i="43"/>
  <c r="W32" i="43"/>
  <c r="L32" i="43"/>
  <c r="N32" i="43"/>
  <c r="Z32" i="43"/>
  <c r="AI32" i="43"/>
  <c r="AR32" i="43"/>
  <c r="BA32" i="43"/>
  <c r="BJ32" i="43"/>
  <c r="BT32" i="43"/>
  <c r="CD32" i="43"/>
  <c r="CN32" i="43"/>
  <c r="CW32" i="43"/>
  <c r="DG32" i="43"/>
  <c r="I34" i="43"/>
  <c r="U34" i="43"/>
  <c r="AD34" i="43"/>
  <c r="AN34" i="43"/>
  <c r="AW34" i="43"/>
  <c r="BF34" i="43"/>
  <c r="BO34" i="43"/>
  <c r="BY34" i="43"/>
  <c r="CH34" i="43"/>
  <c r="CR34" i="43"/>
  <c r="DB34" i="43"/>
  <c r="DO34" i="43"/>
  <c r="K40" i="43"/>
  <c r="AD40" i="43"/>
  <c r="AR40" i="43"/>
  <c r="BD40" i="43"/>
  <c r="BT40" i="43"/>
  <c r="CI40" i="43"/>
  <c r="CX40" i="43"/>
  <c r="N41" i="43"/>
  <c r="AG41" i="43"/>
  <c r="BB41" i="43"/>
  <c r="BR41" i="43"/>
  <c r="CI41" i="43"/>
  <c r="DB41" i="43"/>
  <c r="DY41" i="43"/>
  <c r="DQ47" i="43"/>
  <c r="DD47" i="43"/>
  <c r="CV47" i="43"/>
  <c r="CN47" i="43"/>
  <c r="CE47" i="43"/>
  <c r="BV47" i="43"/>
  <c r="BN47" i="43"/>
  <c r="BF47" i="43"/>
  <c r="AX47" i="43"/>
  <c r="AP47" i="43"/>
  <c r="AH47" i="43"/>
  <c r="Z47" i="43"/>
  <c r="O47" i="43"/>
  <c r="DO47" i="43"/>
  <c r="DC47" i="43"/>
  <c r="CU47" i="43"/>
  <c r="CM47" i="43"/>
  <c r="CD47" i="43"/>
  <c r="BU47" i="43"/>
  <c r="BM47" i="43"/>
  <c r="BE47" i="43"/>
  <c r="AW47" i="43"/>
  <c r="AO47" i="43"/>
  <c r="AG47" i="43"/>
  <c r="Y47" i="43"/>
  <c r="N47" i="43"/>
  <c r="DM47" i="43"/>
  <c r="DB47" i="43"/>
  <c r="DH47" i="43"/>
  <c r="CT47" i="43"/>
  <c r="CI47" i="43"/>
  <c r="BY47" i="43"/>
  <c r="BL47" i="43"/>
  <c r="BB47" i="43"/>
  <c r="AR47" i="43"/>
  <c r="AF47" i="43"/>
  <c r="V47" i="43"/>
  <c r="I47" i="43"/>
  <c r="DY47" i="43"/>
  <c r="DG47" i="43"/>
  <c r="CS47" i="43"/>
  <c r="CH47" i="43"/>
  <c r="BX47" i="43"/>
  <c r="BK47" i="43"/>
  <c r="BA47" i="43"/>
  <c r="AQ47" i="43"/>
  <c r="AE47" i="43"/>
  <c r="U47" i="43"/>
  <c r="H47" i="43"/>
  <c r="DE47" i="43"/>
  <c r="CR47" i="43"/>
  <c r="CG47" i="43"/>
  <c r="BT47" i="43"/>
  <c r="BJ47" i="43"/>
  <c r="AZ47" i="43"/>
  <c r="AN47" i="43"/>
  <c r="AD47" i="43"/>
  <c r="T47" i="43"/>
  <c r="G47" i="43"/>
  <c r="DA47" i="43"/>
  <c r="CQ47" i="43"/>
  <c r="CF47" i="43"/>
  <c r="BS47" i="43"/>
  <c r="BI47" i="43"/>
  <c r="AY47" i="43"/>
  <c r="AM47" i="43"/>
  <c r="AC47" i="43"/>
  <c r="S47" i="43"/>
  <c r="F47" i="43"/>
  <c r="CY47" i="43"/>
  <c r="CB47" i="43"/>
  <c r="BG47" i="43"/>
  <c r="AK47" i="43"/>
  <c r="L47" i="43"/>
  <c r="CX47" i="43"/>
  <c r="CA47" i="43"/>
  <c r="BD47" i="43"/>
  <c r="AJ47" i="43"/>
  <c r="K47" i="43"/>
  <c r="CW47" i="43"/>
  <c r="BZ47" i="43"/>
  <c r="BC47" i="43"/>
  <c r="AI47" i="43"/>
  <c r="J47" i="43"/>
  <c r="DK47" i="43"/>
  <c r="BR47" i="43"/>
  <c r="AS47" i="43"/>
  <c r="DI47" i="43"/>
  <c r="BQ47" i="43"/>
  <c r="AL47" i="43"/>
  <c r="CZ47" i="43"/>
  <c r="BP47" i="43"/>
  <c r="AB47" i="43"/>
  <c r="CP47" i="43"/>
  <c r="BO47" i="43"/>
  <c r="AA47" i="43"/>
  <c r="CC47" i="43"/>
  <c r="AC32" i="43"/>
  <c r="AL32" i="43"/>
  <c r="AV32" i="43"/>
  <c r="BE32" i="43"/>
  <c r="BN32" i="43"/>
  <c r="BX32" i="43"/>
  <c r="CG32" i="43"/>
  <c r="CQ32" i="43"/>
  <c r="CZ32" i="43"/>
  <c r="DM32" i="43"/>
  <c r="M34" i="43"/>
  <c r="Y34" i="43"/>
  <c r="AH34" i="43"/>
  <c r="AQ34" i="43"/>
  <c r="AZ34" i="43"/>
  <c r="BI34" i="43"/>
  <c r="BR34" i="43"/>
  <c r="CC34" i="43"/>
  <c r="CM34" i="43"/>
  <c r="CV34" i="43"/>
  <c r="U40" i="43"/>
  <c r="AG40" i="43"/>
  <c r="AW40" i="43"/>
  <c r="BK40" i="43"/>
  <c r="BZ40" i="43"/>
  <c r="CQ40" i="43"/>
  <c r="DC40" i="43"/>
  <c r="Y41" i="43"/>
  <c r="AO41" i="43"/>
  <c r="BE41" i="43"/>
  <c r="CA41" i="43"/>
  <c r="CR41" i="43"/>
  <c r="X47" i="43"/>
  <c r="CO47" i="43"/>
  <c r="DY34" i="43"/>
  <c r="DK34" i="43"/>
  <c r="DA34" i="43"/>
  <c r="CS34" i="43"/>
  <c r="CK34" i="43"/>
  <c r="CB34" i="43"/>
  <c r="BS34" i="43"/>
  <c r="BK34" i="43"/>
  <c r="BC34" i="43"/>
  <c r="AU34" i="43"/>
  <c r="AM34" i="43"/>
  <c r="AE34" i="43"/>
  <c r="W34" i="43"/>
  <c r="L34" i="43"/>
  <c r="N34" i="43"/>
  <c r="Z34" i="43"/>
  <c r="AI34" i="43"/>
  <c r="AR34" i="43"/>
  <c r="BA34" i="43"/>
  <c r="BJ34" i="43"/>
  <c r="BT34" i="43"/>
  <c r="CD34" i="43"/>
  <c r="CN34" i="43"/>
  <c r="CW34" i="43"/>
  <c r="DG34" i="43"/>
  <c r="DS40" i="43"/>
  <c r="DE40" i="43"/>
  <c r="CW40" i="43"/>
  <c r="CO40" i="43"/>
  <c r="CF40" i="43"/>
  <c r="BX40" i="43"/>
  <c r="BO40" i="43"/>
  <c r="BG40" i="43"/>
  <c r="AY40" i="43"/>
  <c r="AQ40" i="43"/>
  <c r="AI40" i="43"/>
  <c r="AA40" i="43"/>
  <c r="S40" i="43"/>
  <c r="H40" i="43"/>
  <c r="DQ40" i="43"/>
  <c r="DD40" i="43"/>
  <c r="CV40" i="43"/>
  <c r="CN40" i="43"/>
  <c r="CE40" i="43"/>
  <c r="BV40" i="43"/>
  <c r="BN40" i="43"/>
  <c r="BF40" i="43"/>
  <c r="AX40" i="43"/>
  <c r="AP40" i="43"/>
  <c r="AH40" i="43"/>
  <c r="Z40" i="43"/>
  <c r="O40" i="43"/>
  <c r="G40" i="43"/>
  <c r="DM40" i="43"/>
  <c r="CZ40" i="43"/>
  <c r="CP40" i="43"/>
  <c r="CC40" i="43"/>
  <c r="BR40" i="43"/>
  <c r="BH40" i="43"/>
  <c r="AV40" i="43"/>
  <c r="AL40" i="43"/>
  <c r="AB40" i="43"/>
  <c r="M40" i="43"/>
  <c r="DK40" i="43"/>
  <c r="CY40" i="43"/>
  <c r="CM40" i="43"/>
  <c r="CB40" i="43"/>
  <c r="BQ40" i="43"/>
  <c r="BE40" i="43"/>
  <c r="AU40" i="43"/>
  <c r="AK40" i="43"/>
  <c r="Y40" i="43"/>
  <c r="L40" i="43"/>
  <c r="V40" i="43"/>
  <c r="AJ40" i="43"/>
  <c r="AZ40" i="43"/>
  <c r="BL40" i="43"/>
  <c r="CA40" i="43"/>
  <c r="CR40" i="43"/>
  <c r="DG40" i="43"/>
  <c r="DG41" i="43"/>
  <c r="CX41" i="43"/>
  <c r="CP41" i="43"/>
  <c r="CG41" i="43"/>
  <c r="BY41" i="43"/>
  <c r="BP41" i="43"/>
  <c r="BH41" i="43"/>
  <c r="AZ41" i="43"/>
  <c r="AR41" i="43"/>
  <c r="AJ41" i="43"/>
  <c r="AB41" i="43"/>
  <c r="T41" i="43"/>
  <c r="I41" i="43"/>
  <c r="DS41" i="43"/>
  <c r="DE41" i="43"/>
  <c r="CW41" i="43"/>
  <c r="CO41" i="43"/>
  <c r="CF41" i="43"/>
  <c r="BX41" i="43"/>
  <c r="BO41" i="43"/>
  <c r="BG41" i="43"/>
  <c r="AY41" i="43"/>
  <c r="AQ41" i="43"/>
  <c r="AI41" i="43"/>
  <c r="AA41" i="43"/>
  <c r="S41" i="43"/>
  <c r="H41" i="43"/>
  <c r="DQ41" i="43"/>
  <c r="DD41" i="43"/>
  <c r="CV41" i="43"/>
  <c r="CN41" i="43"/>
  <c r="CE41" i="43"/>
  <c r="BV41" i="43"/>
  <c r="BN41" i="43"/>
  <c r="BF41" i="43"/>
  <c r="AX41" i="43"/>
  <c r="AP41" i="43"/>
  <c r="AH41" i="43"/>
  <c r="Z41" i="43"/>
  <c r="O41" i="43"/>
  <c r="G41" i="43"/>
  <c r="DO41" i="43"/>
  <c r="CZ41" i="43"/>
  <c r="CL41" i="43"/>
  <c r="BZ41" i="43"/>
  <c r="BK41" i="43"/>
  <c r="AW41" i="43"/>
  <c r="AL41" i="43"/>
  <c r="X41" i="43"/>
  <c r="J41" i="43"/>
  <c r="DM41" i="43"/>
  <c r="CY41" i="43"/>
  <c r="CK41" i="43"/>
  <c r="BU41" i="43"/>
  <c r="BJ41" i="43"/>
  <c r="AV41" i="43"/>
  <c r="AK41" i="43"/>
  <c r="W41" i="43"/>
  <c r="F41" i="43"/>
  <c r="AC41" i="43"/>
  <c r="AS41" i="43"/>
  <c r="BI41" i="43"/>
  <c r="CB41" i="43"/>
  <c r="CS41" i="43"/>
  <c r="DK41" i="43"/>
  <c r="M24" i="43"/>
  <c r="X24" i="43"/>
  <c r="AF24" i="43"/>
  <c r="AN24" i="43"/>
  <c r="AV24" i="43"/>
  <c r="BD24" i="43"/>
  <c r="BL24" i="43"/>
  <c r="BT24" i="43"/>
  <c r="CC24" i="43"/>
  <c r="CL24" i="43"/>
  <c r="CT24" i="43"/>
  <c r="DB24" i="43"/>
  <c r="M25" i="43"/>
  <c r="X25" i="43"/>
  <c r="AF25" i="43"/>
  <c r="AN25" i="43"/>
  <c r="AV25" i="43"/>
  <c r="BD25" i="43"/>
  <c r="BL25" i="43"/>
  <c r="BT25" i="43"/>
  <c r="CC25" i="43"/>
  <c r="CL25" i="43"/>
  <c r="CT25" i="43"/>
  <c r="DB25" i="43"/>
  <c r="M26" i="43"/>
  <c r="X26" i="43"/>
  <c r="AF26" i="43"/>
  <c r="AN26" i="43"/>
  <c r="AV26" i="43"/>
  <c r="BD26" i="43"/>
  <c r="BL26" i="43"/>
  <c r="BT26" i="43"/>
  <c r="CC26" i="43"/>
  <c r="CL26" i="43"/>
  <c r="CT26" i="43"/>
  <c r="DB26" i="43"/>
  <c r="M27" i="43"/>
  <c r="X27" i="43"/>
  <c r="AF27" i="43"/>
  <c r="AN27" i="43"/>
  <c r="AV27" i="43"/>
  <c r="BD27" i="43"/>
  <c r="BL27" i="43"/>
  <c r="BT27" i="43"/>
  <c r="CC27" i="43"/>
  <c r="CL27" i="43"/>
  <c r="CT27" i="43"/>
  <c r="DB27" i="43"/>
  <c r="M28" i="43"/>
  <c r="X28" i="43"/>
  <c r="AF28" i="43"/>
  <c r="AN28" i="43"/>
  <c r="AV28" i="43"/>
  <c r="BD28" i="43"/>
  <c r="BL28" i="43"/>
  <c r="BT28" i="43"/>
  <c r="CC28" i="43"/>
  <c r="CL28" i="43"/>
  <c r="CT28" i="43"/>
  <c r="DB28" i="43"/>
  <c r="M29" i="43"/>
  <c r="X29" i="43"/>
  <c r="AF29" i="43"/>
  <c r="AN29" i="43"/>
  <c r="AV29" i="43"/>
  <c r="BD29" i="43"/>
  <c r="BL29" i="43"/>
  <c r="BT29" i="43"/>
  <c r="CC29" i="43"/>
  <c r="CL29" i="43"/>
  <c r="CT29" i="43"/>
  <c r="DB29" i="43"/>
  <c r="DY30" i="43"/>
  <c r="DK30" i="43"/>
  <c r="DA30" i="43"/>
  <c r="CS30" i="43"/>
  <c r="CK30" i="43"/>
  <c r="CB30" i="43"/>
  <c r="BS30" i="43"/>
  <c r="M30" i="43"/>
  <c r="X30" i="43"/>
  <c r="AF30" i="43"/>
  <c r="AN30" i="43"/>
  <c r="AV30" i="43"/>
  <c r="BD30" i="43"/>
  <c r="BL30" i="43"/>
  <c r="BU30" i="43"/>
  <c r="CE30" i="43"/>
  <c r="CO30" i="43"/>
  <c r="CX30" i="43"/>
  <c r="DH30" i="43"/>
  <c r="J32" i="43"/>
  <c r="V32" i="43"/>
  <c r="AF32" i="43"/>
  <c r="AO32" i="43"/>
  <c r="AX32" i="43"/>
  <c r="BG32" i="43"/>
  <c r="BP32" i="43"/>
  <c r="BZ32" i="43"/>
  <c r="CI32" i="43"/>
  <c r="CT32" i="43"/>
  <c r="DC32" i="43"/>
  <c r="DQ32" i="43"/>
  <c r="F34" i="43"/>
  <c r="O34" i="43"/>
  <c r="AA34" i="43"/>
  <c r="AJ34" i="43"/>
  <c r="AS34" i="43"/>
  <c r="BB34" i="43"/>
  <c r="BL34" i="43"/>
  <c r="BU34" i="43"/>
  <c r="CE34" i="43"/>
  <c r="CO34" i="43"/>
  <c r="CX34" i="43"/>
  <c r="DH34" i="43"/>
  <c r="F40" i="43"/>
  <c r="W40" i="43"/>
  <c r="AM40" i="43"/>
  <c r="BA40" i="43"/>
  <c r="BM40" i="43"/>
  <c r="CD40" i="43"/>
  <c r="CS40" i="43"/>
  <c r="DH40" i="43"/>
  <c r="K41" i="43"/>
  <c r="AD41" i="43"/>
  <c r="AT41" i="43"/>
  <c r="BL41" i="43"/>
  <c r="CC41" i="43"/>
  <c r="CT41" i="43"/>
  <c r="AU47" i="43"/>
  <c r="L36" i="43"/>
  <c r="W36" i="43"/>
  <c r="AE36" i="43"/>
  <c r="AM36" i="43"/>
  <c r="AU36" i="43"/>
  <c r="BC36" i="43"/>
  <c r="BK36" i="43"/>
  <c r="BS36" i="43"/>
  <c r="CB36" i="43"/>
  <c r="CK36" i="43"/>
  <c r="CS36" i="43"/>
  <c r="DA36" i="43"/>
  <c r="DK36" i="43"/>
  <c r="DY36" i="43"/>
  <c r="L37" i="43"/>
  <c r="W37" i="43"/>
  <c r="AE37" i="43"/>
  <c r="AM37" i="43"/>
  <c r="AU37" i="43"/>
  <c r="BC37" i="43"/>
  <c r="BK37" i="43"/>
  <c r="BS37" i="43"/>
  <c r="CB37" i="43"/>
  <c r="CK37" i="43"/>
  <c r="CS37" i="43"/>
  <c r="DA37" i="43"/>
  <c r="DK37" i="43"/>
  <c r="DY37" i="43"/>
  <c r="L38" i="43"/>
  <c r="W38" i="43"/>
  <c r="AE38" i="43"/>
  <c r="AM38" i="43"/>
  <c r="AU38" i="43"/>
  <c r="BC38" i="43"/>
  <c r="BK38" i="43"/>
  <c r="BS38" i="43"/>
  <c r="CB38" i="43"/>
  <c r="CK38" i="43"/>
  <c r="CS38" i="43"/>
  <c r="DA38" i="43"/>
  <c r="DK38" i="43"/>
  <c r="DY38" i="43"/>
  <c r="L39" i="43"/>
  <c r="W39" i="43"/>
  <c r="AE39" i="43"/>
  <c r="AM39" i="43"/>
  <c r="AU39" i="43"/>
  <c r="BC39" i="43"/>
  <c r="BK39" i="43"/>
  <c r="BS39" i="43"/>
  <c r="CB39" i="43"/>
  <c r="CK39" i="43"/>
  <c r="CT39" i="43"/>
  <c r="T43" i="43"/>
  <c r="AL43" i="43"/>
  <c r="BA43" i="43"/>
  <c r="BS43" i="43"/>
  <c r="CM43" i="43"/>
  <c r="DB43" i="43"/>
  <c r="K65" i="44"/>
  <c r="J65" i="44"/>
  <c r="M36" i="43"/>
  <c r="X36" i="43"/>
  <c r="AF36" i="43"/>
  <c r="AN36" i="43"/>
  <c r="AV36" i="43"/>
  <c r="BD36" i="43"/>
  <c r="BL36" i="43"/>
  <c r="BT36" i="43"/>
  <c r="CC36" i="43"/>
  <c r="CL36" i="43"/>
  <c r="CT36" i="43"/>
  <c r="DB36" i="43"/>
  <c r="M37" i="43"/>
  <c r="X37" i="43"/>
  <c r="AF37" i="43"/>
  <c r="AN37" i="43"/>
  <c r="AV37" i="43"/>
  <c r="BD37" i="43"/>
  <c r="BL37" i="43"/>
  <c r="BT37" i="43"/>
  <c r="CC37" i="43"/>
  <c r="CL37" i="43"/>
  <c r="CT37" i="43"/>
  <c r="DB37" i="43"/>
  <c r="M38" i="43"/>
  <c r="X38" i="43"/>
  <c r="AF38" i="43"/>
  <c r="AN38" i="43"/>
  <c r="AV38" i="43"/>
  <c r="BD38" i="43"/>
  <c r="BL38" i="43"/>
  <c r="BT38" i="43"/>
  <c r="CC38" i="43"/>
  <c r="CL38" i="43"/>
  <c r="CT38" i="43"/>
  <c r="DB38" i="43"/>
  <c r="DS39" i="43"/>
  <c r="DE39" i="43"/>
  <c r="CW39" i="43"/>
  <c r="CO39" i="43"/>
  <c r="DQ39" i="43"/>
  <c r="DD39" i="43"/>
  <c r="M39" i="43"/>
  <c r="X39" i="43"/>
  <c r="AF39" i="43"/>
  <c r="AN39" i="43"/>
  <c r="AV39" i="43"/>
  <c r="BD39" i="43"/>
  <c r="BL39" i="43"/>
  <c r="BT39" i="43"/>
  <c r="CC39" i="43"/>
  <c r="CL39" i="43"/>
  <c r="CU39" i="43"/>
  <c r="DG39" i="43"/>
  <c r="U43" i="43"/>
  <c r="AM43" i="43"/>
  <c r="BE43" i="43"/>
  <c r="BT43" i="43"/>
  <c r="CP43" i="43"/>
  <c r="K99" i="44"/>
  <c r="J99" i="44"/>
  <c r="DS43" i="43"/>
  <c r="DE43" i="43"/>
  <c r="CW43" i="43"/>
  <c r="CO43" i="43"/>
  <c r="CF43" i="43"/>
  <c r="BX43" i="43"/>
  <c r="BO43" i="43"/>
  <c r="BG43" i="43"/>
  <c r="AY43" i="43"/>
  <c r="AQ43" i="43"/>
  <c r="AI43" i="43"/>
  <c r="AA43" i="43"/>
  <c r="S43" i="43"/>
  <c r="H43" i="43"/>
  <c r="DQ43" i="43"/>
  <c r="DD43" i="43"/>
  <c r="CV43" i="43"/>
  <c r="CN43" i="43"/>
  <c r="CE43" i="43"/>
  <c r="BV43" i="43"/>
  <c r="BN43" i="43"/>
  <c r="BF43" i="43"/>
  <c r="AX43" i="43"/>
  <c r="AP43" i="43"/>
  <c r="AH43" i="43"/>
  <c r="Z43" i="43"/>
  <c r="O43" i="43"/>
  <c r="G43" i="43"/>
  <c r="DI43" i="43"/>
  <c r="CX43" i="43"/>
  <c r="CL43" i="43"/>
  <c r="CA43" i="43"/>
  <c r="BP43" i="43"/>
  <c r="BD43" i="43"/>
  <c r="AT43" i="43"/>
  <c r="AJ43" i="43"/>
  <c r="X43" i="43"/>
  <c r="K43" i="43"/>
  <c r="DY43" i="43"/>
  <c r="DH43" i="43"/>
  <c r="CU43" i="43"/>
  <c r="CK43" i="43"/>
  <c r="BZ43" i="43"/>
  <c r="BM43" i="43"/>
  <c r="BC43" i="43"/>
  <c r="AS43" i="43"/>
  <c r="AG43" i="43"/>
  <c r="W43" i="43"/>
  <c r="J43" i="43"/>
  <c r="DG43" i="43"/>
  <c r="CT43" i="43"/>
  <c r="CI43" i="43"/>
  <c r="BY43" i="43"/>
  <c r="BL43" i="43"/>
  <c r="BB43" i="43"/>
  <c r="AR43" i="43"/>
  <c r="AF43" i="43"/>
  <c r="V43" i="43"/>
  <c r="I43" i="43"/>
  <c r="AB43" i="43"/>
  <c r="AO43" i="43"/>
  <c r="BI43" i="43"/>
  <c r="CB43" i="43"/>
  <c r="CR43" i="43"/>
  <c r="DM43" i="43"/>
  <c r="N44" i="43"/>
  <c r="AE44" i="43"/>
  <c r="AS44" i="43"/>
  <c r="BD44" i="43"/>
  <c r="BR44" i="43"/>
  <c r="CD44" i="43"/>
  <c r="CS44" i="43"/>
  <c r="DH44" i="43"/>
  <c r="DY44" i="43"/>
  <c r="U45" i="43"/>
  <c r="AF45" i="43"/>
  <c r="AT45" i="43"/>
  <c r="BE45" i="43"/>
  <c r="BS45" i="43"/>
  <c r="CH45" i="43"/>
  <c r="CT45" i="43"/>
  <c r="DG46" i="43"/>
  <c r="CX46" i="43"/>
  <c r="CP46" i="43"/>
  <c r="CG46" i="43"/>
  <c r="BY46" i="43"/>
  <c r="BP46" i="43"/>
  <c r="BH46" i="43"/>
  <c r="AZ46" i="43"/>
  <c r="AR46" i="43"/>
  <c r="AJ46" i="43"/>
  <c r="AB46" i="43"/>
  <c r="T46" i="43"/>
  <c r="I46" i="43"/>
  <c r="DS46" i="43"/>
  <c r="DE46" i="43"/>
  <c r="CW46" i="43"/>
  <c r="CO46" i="43"/>
  <c r="CF46" i="43"/>
  <c r="BX46" i="43"/>
  <c r="BO46" i="43"/>
  <c r="BG46" i="43"/>
  <c r="AY46" i="43"/>
  <c r="AQ46" i="43"/>
  <c r="AI46" i="43"/>
  <c r="AA46" i="43"/>
  <c r="S46" i="43"/>
  <c r="H46" i="43"/>
  <c r="DQ46" i="43"/>
  <c r="DD46" i="43"/>
  <c r="CV46" i="43"/>
  <c r="CN46" i="43"/>
  <c r="CE46" i="43"/>
  <c r="BV46" i="43"/>
  <c r="BN46" i="43"/>
  <c r="BF46" i="43"/>
  <c r="AX46" i="43"/>
  <c r="AP46" i="43"/>
  <c r="AH46" i="43"/>
  <c r="Z46" i="43"/>
  <c r="O46" i="43"/>
  <c r="G46" i="43"/>
  <c r="DO46" i="43"/>
  <c r="DC46" i="43"/>
  <c r="CU46" i="43"/>
  <c r="CM46" i="43"/>
  <c r="CD46" i="43"/>
  <c r="BU46" i="43"/>
  <c r="BM46" i="43"/>
  <c r="BE46" i="43"/>
  <c r="V46" i="43"/>
  <c r="AG46" i="43"/>
  <c r="AU46" i="43"/>
  <c r="BJ46" i="43"/>
  <c r="CA46" i="43"/>
  <c r="CR46" i="43"/>
  <c r="DI46" i="43"/>
  <c r="J43" i="44"/>
  <c r="U44" i="43"/>
  <c r="AF44" i="43"/>
  <c r="AT44" i="43"/>
  <c r="BE44" i="43"/>
  <c r="BS44" i="43"/>
  <c r="CH44" i="43"/>
  <c r="CT44" i="43"/>
  <c r="DG45" i="43"/>
  <c r="CX45" i="43"/>
  <c r="CP45" i="43"/>
  <c r="CG45" i="43"/>
  <c r="BY45" i="43"/>
  <c r="BP45" i="43"/>
  <c r="BH45" i="43"/>
  <c r="AZ45" i="43"/>
  <c r="AR45" i="43"/>
  <c r="AJ45" i="43"/>
  <c r="AB45" i="43"/>
  <c r="T45" i="43"/>
  <c r="I45" i="43"/>
  <c r="DS45" i="43"/>
  <c r="DE45" i="43"/>
  <c r="CW45" i="43"/>
  <c r="CO45" i="43"/>
  <c r="CF45" i="43"/>
  <c r="BX45" i="43"/>
  <c r="BO45" i="43"/>
  <c r="BG45" i="43"/>
  <c r="AY45" i="43"/>
  <c r="AQ45" i="43"/>
  <c r="AI45" i="43"/>
  <c r="AA45" i="43"/>
  <c r="S45" i="43"/>
  <c r="H45" i="43"/>
  <c r="DQ45" i="43"/>
  <c r="DD45" i="43"/>
  <c r="CV45" i="43"/>
  <c r="CN45" i="43"/>
  <c r="CE45" i="43"/>
  <c r="BV45" i="43"/>
  <c r="BN45" i="43"/>
  <c r="BF45" i="43"/>
  <c r="AX45" i="43"/>
  <c r="AP45" i="43"/>
  <c r="AH45" i="43"/>
  <c r="Z45" i="43"/>
  <c r="O45" i="43"/>
  <c r="G45" i="43"/>
  <c r="V45" i="43"/>
  <c r="AG45" i="43"/>
  <c r="AU45" i="43"/>
  <c r="BI45" i="43"/>
  <c r="BT45" i="43"/>
  <c r="CI45" i="43"/>
  <c r="CU45" i="43"/>
  <c r="DK45" i="43"/>
  <c r="F46" i="43"/>
  <c r="W46" i="43"/>
  <c r="AK46" i="43"/>
  <c r="AV46" i="43"/>
  <c r="BK46" i="43"/>
  <c r="CB46" i="43"/>
  <c r="CS46" i="43"/>
  <c r="DK46" i="43"/>
  <c r="K24" i="44"/>
  <c r="J35" i="44"/>
  <c r="K35" i="44"/>
  <c r="K43" i="44"/>
  <c r="J76" i="44"/>
  <c r="K76" i="44"/>
  <c r="DG44" i="43"/>
  <c r="CX44" i="43"/>
  <c r="CP44" i="43"/>
  <c r="CG44" i="43"/>
  <c r="BY44" i="43"/>
  <c r="BP44" i="43"/>
  <c r="BH44" i="43"/>
  <c r="AZ44" i="43"/>
  <c r="AR44" i="43"/>
  <c r="AJ44" i="43"/>
  <c r="AB44" i="43"/>
  <c r="T44" i="43"/>
  <c r="I44" i="43"/>
  <c r="DS44" i="43"/>
  <c r="DE44" i="43"/>
  <c r="CW44" i="43"/>
  <c r="CO44" i="43"/>
  <c r="CF44" i="43"/>
  <c r="BX44" i="43"/>
  <c r="BO44" i="43"/>
  <c r="BG44" i="43"/>
  <c r="AY44" i="43"/>
  <c r="AQ44" i="43"/>
  <c r="AI44" i="43"/>
  <c r="AA44" i="43"/>
  <c r="S44" i="43"/>
  <c r="H44" i="43"/>
  <c r="DQ44" i="43"/>
  <c r="DD44" i="43"/>
  <c r="CV44" i="43"/>
  <c r="CN44" i="43"/>
  <c r="CE44" i="43"/>
  <c r="BV44" i="43"/>
  <c r="BN44" i="43"/>
  <c r="BF44" i="43"/>
  <c r="AX44" i="43"/>
  <c r="AP44" i="43"/>
  <c r="AH44" i="43"/>
  <c r="Z44" i="43"/>
  <c r="O44" i="43"/>
  <c r="G44" i="43"/>
  <c r="V44" i="43"/>
  <c r="AG44" i="43"/>
  <c r="AU44" i="43"/>
  <c r="BI44" i="43"/>
  <c r="BT44" i="43"/>
  <c r="CI44" i="43"/>
  <c r="CU44" i="43"/>
  <c r="DK44" i="43"/>
  <c r="F45" i="43"/>
  <c r="W45" i="43"/>
  <c r="AK45" i="43"/>
  <c r="AV45" i="43"/>
  <c r="BJ45" i="43"/>
  <c r="BU45" i="43"/>
  <c r="CK45" i="43"/>
  <c r="CY45" i="43"/>
  <c r="DM45" i="43"/>
  <c r="J46" i="43"/>
  <c r="X46" i="43"/>
  <c r="AL46" i="43"/>
  <c r="AW46" i="43"/>
  <c r="BL46" i="43"/>
  <c r="CC46" i="43"/>
  <c r="CT46" i="43"/>
  <c r="DM46" i="43"/>
  <c r="K17" i="44"/>
  <c r="J24" i="44"/>
  <c r="K28" i="44"/>
  <c r="J28" i="44"/>
  <c r="K36" i="44"/>
  <c r="J36" i="44"/>
  <c r="J17" i="44"/>
  <c r="J21" i="44"/>
  <c r="K40" i="44"/>
  <c r="J40" i="44"/>
  <c r="DS51" i="43"/>
  <c r="DE51" i="43"/>
  <c r="CW51" i="43"/>
  <c r="CO51" i="43"/>
  <c r="CF51" i="43"/>
  <c r="BX51" i="43"/>
  <c r="BO51" i="43"/>
  <c r="BG51" i="43"/>
  <c r="AY51" i="43"/>
  <c r="AQ51" i="43"/>
  <c r="AI51" i="43"/>
  <c r="AA51" i="43"/>
  <c r="S51" i="43"/>
  <c r="H51" i="43"/>
  <c r="DQ51" i="43"/>
  <c r="DD51" i="43"/>
  <c r="CV51" i="43"/>
  <c r="CN51" i="43"/>
  <c r="CE51" i="43"/>
  <c r="BV51" i="43"/>
  <c r="BN51" i="43"/>
  <c r="BF51" i="43"/>
  <c r="AX51" i="43"/>
  <c r="AP51" i="43"/>
  <c r="AH51" i="43"/>
  <c r="Z51" i="43"/>
  <c r="O51" i="43"/>
  <c r="G51" i="43"/>
  <c r="DY51" i="43"/>
  <c r="DK51" i="43"/>
  <c r="DA51" i="43"/>
  <c r="CS51" i="43"/>
  <c r="CK51" i="43"/>
  <c r="CB51" i="43"/>
  <c r="CZ51" i="43"/>
  <c r="CM51" i="43"/>
  <c r="BZ51" i="43"/>
  <c r="BM51" i="43"/>
  <c r="BC51" i="43"/>
  <c r="AS51" i="43"/>
  <c r="AG51" i="43"/>
  <c r="W51" i="43"/>
  <c r="J51" i="43"/>
  <c r="DO51" i="43"/>
  <c r="CY51" i="43"/>
  <c r="CL51" i="43"/>
  <c r="BY51" i="43"/>
  <c r="BL51" i="43"/>
  <c r="BB51" i="43"/>
  <c r="AR51" i="43"/>
  <c r="AF51" i="43"/>
  <c r="V51" i="43"/>
  <c r="I51" i="43"/>
  <c r="DM51" i="43"/>
  <c r="CX51" i="43"/>
  <c r="CI51" i="43"/>
  <c r="BU51" i="43"/>
  <c r="BK51" i="43"/>
  <c r="BA51" i="43"/>
  <c r="AO51" i="43"/>
  <c r="AE51" i="43"/>
  <c r="U51" i="43"/>
  <c r="F51" i="43"/>
  <c r="DG51" i="43"/>
  <c r="CR51" i="43"/>
  <c r="CD51" i="43"/>
  <c r="BR51" i="43"/>
  <c r="BH51" i="43"/>
  <c r="AV51" i="43"/>
  <c r="AL51" i="43"/>
  <c r="AB51" i="43"/>
  <c r="M51" i="43"/>
  <c r="AD51" i="43"/>
  <c r="AZ51" i="43"/>
  <c r="BT51" i="43"/>
  <c r="CU51" i="43"/>
  <c r="K49" i="44"/>
  <c r="K56" i="44"/>
  <c r="J67" i="44"/>
  <c r="K67" i="44"/>
  <c r="K51" i="43"/>
  <c r="AJ51" i="43"/>
  <c r="BD51" i="43"/>
  <c r="CA51" i="43"/>
  <c r="DB51" i="43"/>
  <c r="K33" i="44"/>
  <c r="J33" i="44"/>
  <c r="J49" i="44"/>
  <c r="J56" i="44"/>
  <c r="K60" i="44"/>
  <c r="J60" i="44"/>
  <c r="K68" i="44"/>
  <c r="J68" i="44"/>
  <c r="J110" i="44"/>
  <c r="I124" i="44"/>
  <c r="F132" i="46"/>
  <c r="K124" i="44"/>
  <c r="L51" i="43"/>
  <c r="AK51" i="43"/>
  <c r="BE51" i="43"/>
  <c r="CC51" i="43"/>
  <c r="DC51" i="43"/>
  <c r="K72" i="44"/>
  <c r="J72" i="44"/>
  <c r="K90" i="44"/>
  <c r="J101" i="44"/>
  <c r="K101" i="44"/>
  <c r="K110" i="44"/>
  <c r="N51" i="43"/>
  <c r="AM51" i="43"/>
  <c r="BI51" i="43"/>
  <c r="CG51" i="43"/>
  <c r="DH51" i="43"/>
  <c r="K82" i="44"/>
  <c r="K94" i="44"/>
  <c r="J94" i="44"/>
  <c r="K102" i="44"/>
  <c r="J102" i="44"/>
  <c r="DS52" i="43"/>
  <c r="DE52" i="43"/>
  <c r="CW52" i="43"/>
  <c r="CO52" i="43"/>
  <c r="CF52" i="43"/>
  <c r="BX52" i="43"/>
  <c r="BO52" i="43"/>
  <c r="BG52" i="43"/>
  <c r="AY52" i="43"/>
  <c r="AQ52" i="43"/>
  <c r="AI52" i="43"/>
  <c r="AA52" i="43"/>
  <c r="S52" i="43"/>
  <c r="H52" i="43"/>
  <c r="DQ52" i="43"/>
  <c r="DD52" i="43"/>
  <c r="CV52" i="43"/>
  <c r="CN52" i="43"/>
  <c r="CE52" i="43"/>
  <c r="BV52" i="43"/>
  <c r="BN52" i="43"/>
  <c r="BF52" i="43"/>
  <c r="AX52" i="43"/>
  <c r="AP52" i="43"/>
  <c r="AH52" i="43"/>
  <c r="Z52" i="43"/>
  <c r="O52" i="43"/>
  <c r="G52" i="43"/>
  <c r="DY52" i="43"/>
  <c r="DK52" i="43"/>
  <c r="DA52" i="43"/>
  <c r="CS52" i="43"/>
  <c r="CK52" i="43"/>
  <c r="CB52" i="43"/>
  <c r="BS52" i="43"/>
  <c r="BK52" i="43"/>
  <c r="BC52" i="43"/>
  <c r="AU52" i="43"/>
  <c r="AM52" i="43"/>
  <c r="AE52" i="43"/>
  <c r="W52" i="43"/>
  <c r="L52" i="43"/>
  <c r="U52" i="43"/>
  <c r="AG52" i="43"/>
  <c r="AT52" i="43"/>
  <c r="BH52" i="43"/>
  <c r="BT52" i="43"/>
  <c r="CH52" i="43"/>
  <c r="CU52" i="43"/>
  <c r="DI52" i="43"/>
  <c r="I123" i="44"/>
  <c r="F131" i="46"/>
  <c r="B26" i="44"/>
  <c r="M48" i="43"/>
  <c r="X48" i="43"/>
  <c r="AF48" i="43"/>
  <c r="AN48" i="43"/>
  <c r="AV48" i="43"/>
  <c r="BD48" i="43"/>
  <c r="BL48" i="43"/>
  <c r="BT48" i="43"/>
  <c r="CC48" i="43"/>
  <c r="CL48" i="43"/>
  <c r="CT48" i="43"/>
  <c r="DB48" i="43"/>
  <c r="DM48" i="43"/>
  <c r="M49" i="43"/>
  <c r="X49" i="43"/>
  <c r="AF49" i="43"/>
  <c r="AN49" i="43"/>
  <c r="AV49" i="43"/>
  <c r="BD49" i="43"/>
  <c r="BL49" i="43"/>
  <c r="BT49" i="43"/>
  <c r="CC49" i="43"/>
  <c r="CL49" i="43"/>
  <c r="CT49" i="43"/>
  <c r="DB49" i="43"/>
  <c r="DM49" i="43"/>
  <c r="DS50" i="43"/>
  <c r="DE50" i="43"/>
  <c r="CW50" i="43"/>
  <c r="CO50" i="43"/>
  <c r="CF50" i="43"/>
  <c r="BX50" i="43"/>
  <c r="BO50" i="43"/>
  <c r="BG50" i="43"/>
  <c r="AY50" i="43"/>
  <c r="AQ50" i="43"/>
  <c r="AI50" i="43"/>
  <c r="AA50" i="43"/>
  <c r="DQ50" i="43"/>
  <c r="DD50" i="43"/>
  <c r="CV50" i="43"/>
  <c r="CN50" i="43"/>
  <c r="CE50" i="43"/>
  <c r="BV50" i="43"/>
  <c r="BN50" i="43"/>
  <c r="BF50" i="43"/>
  <c r="AX50" i="43"/>
  <c r="AP50" i="43"/>
  <c r="AH50" i="43"/>
  <c r="Z50" i="43"/>
  <c r="O50" i="43"/>
  <c r="M50" i="43"/>
  <c r="Y50" i="43"/>
  <c r="AK50" i="43"/>
  <c r="AU50" i="43"/>
  <c r="BE50" i="43"/>
  <c r="BQ50" i="43"/>
  <c r="CB50" i="43"/>
  <c r="CM50" i="43"/>
  <c r="CY50" i="43"/>
  <c r="DK50" i="43"/>
  <c r="J52" i="43"/>
  <c r="Y52" i="43"/>
  <c r="AL52" i="43"/>
  <c r="AZ52" i="43"/>
  <c r="BL52" i="43"/>
  <c r="BZ52" i="43"/>
  <c r="CM52" i="43"/>
  <c r="CZ52" i="43"/>
  <c r="J19" i="44"/>
  <c r="K44" i="44"/>
  <c r="J44" i="44"/>
  <c r="J51" i="44"/>
  <c r="K77" i="44"/>
  <c r="J77" i="44"/>
  <c r="J84" i="44"/>
  <c r="K111" i="44"/>
  <c r="J111" i="44"/>
  <c r="F48" i="43"/>
  <c r="N48" i="43"/>
  <c r="Y48" i="43"/>
  <c r="AG48" i="43"/>
  <c r="AO48" i="43"/>
  <c r="AW48" i="43"/>
  <c r="BE48" i="43"/>
  <c r="BM48" i="43"/>
  <c r="BU48" i="43"/>
  <c r="CD48" i="43"/>
  <c r="CM48" i="43"/>
  <c r="CU48" i="43"/>
  <c r="DC48" i="43"/>
  <c r="DO48" i="43"/>
  <c r="F49" i="43"/>
  <c r="N49" i="43"/>
  <c r="Y49" i="43"/>
  <c r="AG49" i="43"/>
  <c r="AO49" i="43"/>
  <c r="AW49" i="43"/>
  <c r="BE49" i="43"/>
  <c r="BM49" i="43"/>
  <c r="BU49" i="43"/>
  <c r="CD49" i="43"/>
  <c r="CM49" i="43"/>
  <c r="CU49" i="43"/>
  <c r="DC49" i="43"/>
  <c r="DO49" i="43"/>
  <c r="F50" i="43"/>
  <c r="N50" i="43"/>
  <c r="AB50" i="43"/>
  <c r="AL50" i="43"/>
  <c r="AV50" i="43"/>
  <c r="BH50" i="43"/>
  <c r="BR50" i="43"/>
  <c r="CC50" i="43"/>
  <c r="CP50" i="43"/>
  <c r="CZ50" i="43"/>
  <c r="DM50" i="43"/>
  <c r="K52" i="43"/>
  <c r="AB52" i="43"/>
  <c r="AN52" i="43"/>
  <c r="BA52" i="43"/>
  <c r="BM52" i="43"/>
  <c r="CA52" i="43"/>
  <c r="CP52" i="43"/>
  <c r="DB52" i="43"/>
  <c r="K84" i="44"/>
  <c r="I125" i="44"/>
  <c r="F133" i="46"/>
  <c r="G48" i="43"/>
  <c r="O48" i="43"/>
  <c r="Z48" i="43"/>
  <c r="AH48" i="43"/>
  <c r="AP48" i="43"/>
  <c r="AX48" i="43"/>
  <c r="BF48" i="43"/>
  <c r="BN48" i="43"/>
  <c r="BV48" i="43"/>
  <c r="CE48" i="43"/>
  <c r="CN48" i="43"/>
  <c r="CV48" i="43"/>
  <c r="DD48" i="43"/>
  <c r="G49" i="43"/>
  <c r="O49" i="43"/>
  <c r="Z49" i="43"/>
  <c r="AH49" i="43"/>
  <c r="AP49" i="43"/>
  <c r="AX49" i="43"/>
  <c r="BF49" i="43"/>
  <c r="BN49" i="43"/>
  <c r="BV49" i="43"/>
  <c r="CE49" i="43"/>
  <c r="CN49" i="43"/>
  <c r="CV49" i="43"/>
  <c r="DD49" i="43"/>
  <c r="G50" i="43"/>
  <c r="S50" i="43"/>
  <c r="AC50" i="43"/>
  <c r="AM50" i="43"/>
  <c r="AW50" i="43"/>
  <c r="BI50" i="43"/>
  <c r="BS50" i="43"/>
  <c r="CD50" i="43"/>
  <c r="CQ50" i="43"/>
  <c r="DA50" i="43"/>
  <c r="DO50" i="43"/>
  <c r="M52" i="43"/>
  <c r="AC52" i="43"/>
  <c r="AO52" i="43"/>
  <c r="BB52" i="43"/>
  <c r="BP52" i="43"/>
  <c r="CC52" i="43"/>
  <c r="CQ52" i="43"/>
  <c r="DC52" i="43"/>
  <c r="K20" i="44"/>
  <c r="J20" i="44"/>
  <c r="J27" i="44"/>
  <c r="J41" i="44"/>
  <c r="J48" i="44"/>
  <c r="K52" i="44"/>
  <c r="J52" i="44"/>
  <c r="J59" i="44"/>
  <c r="J74" i="44"/>
  <c r="J81" i="44"/>
  <c r="K85" i="44"/>
  <c r="J85" i="44"/>
  <c r="J93" i="44"/>
  <c r="J107" i="44"/>
  <c r="J119" i="44"/>
  <c r="D23" i="44"/>
  <c r="B31" i="38"/>
  <c r="E268" i="46"/>
  <c r="B29" i="38" a="1"/>
  <c r="B29" i="38"/>
  <c r="E266" i="46"/>
  <c r="B25" i="38"/>
  <c r="E150" i="46"/>
  <c r="B24" i="38"/>
  <c r="E149" i="46"/>
  <c r="B23" i="38"/>
  <c r="E148" i="46"/>
  <c r="B22" i="38"/>
  <c r="E147" i="46"/>
  <c r="B21" i="38"/>
  <c r="E146" i="46"/>
  <c r="E287" i="46"/>
  <c r="B20" i="38"/>
  <c r="E145" i="46"/>
  <c r="B19" i="38"/>
  <c r="E144" i="46"/>
  <c r="B18" i="38"/>
  <c r="E143" i="46"/>
  <c r="E284" i="46"/>
  <c r="B17" i="38"/>
  <c r="E142" i="46"/>
  <c r="B16" i="38"/>
  <c r="E141" i="46"/>
  <c r="B10" i="38"/>
  <c r="H125" i="38"/>
  <c r="E263" i="46"/>
  <c r="H124" i="38"/>
  <c r="E262" i="46"/>
  <c r="H123" i="38"/>
  <c r="E261" i="46"/>
  <c r="H121" i="38"/>
  <c r="E259" i="46"/>
  <c r="H119" i="38"/>
  <c r="E257" i="46"/>
  <c r="H117" i="38"/>
  <c r="E255" i="46"/>
  <c r="H115" i="38"/>
  <c r="E253" i="46"/>
  <c r="H113" i="38"/>
  <c r="E251" i="46"/>
  <c r="H111" i="38"/>
  <c r="E249" i="46"/>
  <c r="H110" i="38"/>
  <c r="E248" i="46"/>
  <c r="H109" i="38"/>
  <c r="H107" i="38"/>
  <c r="E245" i="46"/>
  <c r="H106" i="38"/>
  <c r="H105" i="38"/>
  <c r="H104" i="38"/>
  <c r="E242" i="46"/>
  <c r="H103" i="38"/>
  <c r="E241" i="46"/>
  <c r="H102" i="38"/>
  <c r="E240" i="46"/>
  <c r="H101" i="38"/>
  <c r="H100" i="38"/>
  <c r="E238" i="46"/>
  <c r="H99" i="38"/>
  <c r="E237" i="46"/>
  <c r="H98" i="38"/>
  <c r="E236" i="46"/>
  <c r="H97" i="38"/>
  <c r="E235" i="46"/>
  <c r="H96" i="38"/>
  <c r="E234" i="46"/>
  <c r="H95" i="38"/>
  <c r="H94" i="38"/>
  <c r="E232" i="46"/>
  <c r="H93" i="38"/>
  <c r="E231" i="46"/>
  <c r="H92" i="38"/>
  <c r="H91" i="38"/>
  <c r="E229" i="46"/>
  <c r="H90" i="38"/>
  <c r="E228" i="46"/>
  <c r="H89" i="38"/>
  <c r="E227" i="46"/>
  <c r="H88" i="38"/>
  <c r="E226" i="46"/>
  <c r="H87" i="38"/>
  <c r="E225" i="46"/>
  <c r="H85" i="38"/>
  <c r="E223" i="46"/>
  <c r="H84" i="38"/>
  <c r="H83" i="38"/>
  <c r="E221" i="46"/>
  <c r="H82" i="38"/>
  <c r="E220" i="46"/>
  <c r="H81" i="38"/>
  <c r="E219" i="46"/>
  <c r="H80" i="38"/>
  <c r="E218" i="46"/>
  <c r="H79" i="38"/>
  <c r="E217" i="46"/>
  <c r="H78" i="38"/>
  <c r="H77" i="38"/>
  <c r="E215" i="46"/>
  <c r="H76" i="38"/>
  <c r="H75" i="38"/>
  <c r="H74" i="38"/>
  <c r="E212" i="46"/>
  <c r="H72" i="38"/>
  <c r="E210" i="46"/>
  <c r="H71" i="38"/>
  <c r="E209" i="46"/>
  <c r="H70" i="38"/>
  <c r="E208" i="46"/>
  <c r="H69" i="38"/>
  <c r="E207" i="46"/>
  <c r="H68" i="38"/>
  <c r="E206" i="46"/>
  <c r="H67" i="38"/>
  <c r="E205" i="46"/>
  <c r="H66" i="38"/>
  <c r="E204" i="46"/>
  <c r="H65" i="38"/>
  <c r="E203" i="46"/>
  <c r="H64" i="38"/>
  <c r="E202" i="46"/>
  <c r="H63" i="38"/>
  <c r="E201" i="46"/>
  <c r="H62" i="38"/>
  <c r="E200" i="46"/>
  <c r="H61" i="38"/>
  <c r="E199" i="46"/>
  <c r="H60" i="38"/>
  <c r="E198" i="46"/>
  <c r="H59" i="38"/>
  <c r="E197" i="46"/>
  <c r="H58" i="38"/>
  <c r="E196" i="46"/>
  <c r="H57" i="38"/>
  <c r="E195" i="46"/>
  <c r="H56" i="38"/>
  <c r="E194" i="46"/>
  <c r="H55" i="38"/>
  <c r="E193" i="46"/>
  <c r="H54" i="38"/>
  <c r="E192" i="46"/>
  <c r="H53" i="38"/>
  <c r="E191" i="46"/>
  <c r="H52" i="38"/>
  <c r="E190" i="46"/>
  <c r="H51" i="38"/>
  <c r="E189" i="46"/>
  <c r="H50" i="38"/>
  <c r="H49" i="38"/>
  <c r="E187" i="46"/>
  <c r="H48" i="38"/>
  <c r="E186" i="46"/>
  <c r="H47" i="38"/>
  <c r="H46" i="38"/>
  <c r="E184" i="46"/>
  <c r="H45" i="38"/>
  <c r="E183" i="46"/>
  <c r="H44" i="38"/>
  <c r="E182" i="46"/>
  <c r="H43" i="38"/>
  <c r="E181" i="46"/>
  <c r="H42" i="38"/>
  <c r="E180" i="46"/>
  <c r="H41" i="38"/>
  <c r="E179" i="46"/>
  <c r="H40" i="38"/>
  <c r="E178" i="46"/>
  <c r="H39" i="38"/>
  <c r="E177" i="46"/>
  <c r="H38" i="38"/>
  <c r="E176" i="46"/>
  <c r="H37" i="38"/>
  <c r="E175" i="46"/>
  <c r="H36" i="38"/>
  <c r="E174" i="46"/>
  <c r="H35" i="38"/>
  <c r="H34" i="38"/>
  <c r="E172" i="46"/>
  <c r="H33" i="38"/>
  <c r="H32" i="38"/>
  <c r="E170" i="46"/>
  <c r="H31" i="38"/>
  <c r="E169" i="46"/>
  <c r="H30" i="38"/>
  <c r="E168" i="46"/>
  <c r="H29" i="38"/>
  <c r="E167" i="46"/>
  <c r="H28" i="38"/>
  <c r="E166" i="46"/>
  <c r="H27" i="38"/>
  <c r="H26" i="38"/>
  <c r="H25" i="38"/>
  <c r="E163" i="46"/>
  <c r="H24" i="38"/>
  <c r="E162" i="46"/>
  <c r="H23" i="38"/>
  <c r="E161" i="46"/>
  <c r="H22" i="38"/>
  <c r="E160" i="46"/>
  <c r="H21" i="38"/>
  <c r="E159" i="46"/>
  <c r="H20" i="38"/>
  <c r="E158" i="46"/>
  <c r="H19" i="38"/>
  <c r="H18" i="38"/>
  <c r="E156" i="46"/>
  <c r="H17" i="38"/>
  <c r="E155" i="46"/>
  <c r="DW52" i="37"/>
  <c r="DV52" i="37"/>
  <c r="DU52" i="37"/>
  <c r="P52" i="37"/>
  <c r="DM52" i="37"/>
  <c r="DC52" i="37"/>
  <c r="DA52" i="37"/>
  <c r="CX52" i="37"/>
  <c r="CU52" i="37"/>
  <c r="CT52" i="37"/>
  <c r="CQ52" i="37"/>
  <c r="CH52" i="37"/>
  <c r="CG52" i="37"/>
  <c r="CC52" i="37"/>
  <c r="BZ52" i="37"/>
  <c r="BU52" i="37"/>
  <c r="BT52" i="37"/>
  <c r="BL52" i="37"/>
  <c r="BI52" i="37"/>
  <c r="BH52" i="37"/>
  <c r="BE52" i="37"/>
  <c r="BC52" i="37"/>
  <c r="AZ52" i="37"/>
  <c r="AS52" i="37"/>
  <c r="AO52" i="37"/>
  <c r="AM52" i="37"/>
  <c r="AJ52" i="37"/>
  <c r="AG52" i="37"/>
  <c r="AF52" i="37"/>
  <c r="W52" i="37"/>
  <c r="U52" i="37"/>
  <c r="T52" i="37"/>
  <c r="M52" i="37"/>
  <c r="J52" i="37"/>
  <c r="F52" i="37"/>
  <c r="DH52" i="37"/>
  <c r="DW51" i="37"/>
  <c r="DV51" i="37"/>
  <c r="DU51" i="37"/>
  <c r="P51" i="37"/>
  <c r="DO51" i="37"/>
  <c r="DH51" i="37"/>
  <c r="CY51" i="37"/>
  <c r="CU51" i="37"/>
  <c r="CT51" i="37"/>
  <c r="CS51" i="37"/>
  <c r="CL51" i="37"/>
  <c r="CD51" i="37"/>
  <c r="CB51" i="37"/>
  <c r="BY51" i="37"/>
  <c r="BT51" i="37"/>
  <c r="BQ51" i="37"/>
  <c r="BH51" i="37"/>
  <c r="BE51" i="37"/>
  <c r="BD51" i="37"/>
  <c r="BA51" i="37"/>
  <c r="AU51" i="37"/>
  <c r="AN51" i="37"/>
  <c r="AK51" i="37"/>
  <c r="AG51" i="37"/>
  <c r="AF51" i="37"/>
  <c r="AB51" i="37"/>
  <c r="T51" i="37"/>
  <c r="N51" i="37"/>
  <c r="L51" i="37"/>
  <c r="I51" i="37"/>
  <c r="P50" i="37"/>
  <c r="DY50" i="37"/>
  <c r="DW50" i="37"/>
  <c r="DV50" i="37"/>
  <c r="DU50" i="37"/>
  <c r="DM50" i="37"/>
  <c r="DI50" i="37"/>
  <c r="DH50" i="37"/>
  <c r="DG50" i="37"/>
  <c r="DB50" i="37"/>
  <c r="CZ50" i="37"/>
  <c r="CX50" i="37"/>
  <c r="CU50" i="37"/>
  <c r="CT50" i="37"/>
  <c r="CR50" i="37"/>
  <c r="CP50" i="37"/>
  <c r="CL50" i="37"/>
  <c r="CK50" i="37"/>
  <c r="CI50" i="37"/>
  <c r="CG50" i="37"/>
  <c r="CC50" i="37"/>
  <c r="CA50" i="37"/>
  <c r="BZ50" i="37"/>
  <c r="BY50" i="37"/>
  <c r="BT50" i="37"/>
  <c r="BR50" i="37"/>
  <c r="BP50" i="37"/>
  <c r="BM50" i="37"/>
  <c r="BL50" i="37"/>
  <c r="BJ50" i="37"/>
  <c r="BH50" i="37"/>
  <c r="BD50" i="37"/>
  <c r="BC50" i="37"/>
  <c r="BB50" i="37"/>
  <c r="AZ50" i="37"/>
  <c r="AV50" i="37"/>
  <c r="AT50" i="37"/>
  <c r="AS50" i="37"/>
  <c r="AR50" i="37"/>
  <c r="AN50" i="37"/>
  <c r="AL50" i="37"/>
  <c r="AJ50" i="37"/>
  <c r="AG50" i="37"/>
  <c r="AF50" i="37"/>
  <c r="AD50" i="37"/>
  <c r="AB50" i="37"/>
  <c r="X50" i="37"/>
  <c r="W50" i="37"/>
  <c r="V50" i="37"/>
  <c r="T50" i="37"/>
  <c r="M50" i="37"/>
  <c r="K50" i="37"/>
  <c r="J50" i="37"/>
  <c r="I50" i="37"/>
  <c r="F50" i="37"/>
  <c r="DK50" i="37"/>
  <c r="P49" i="37"/>
  <c r="DY49" i="37"/>
  <c r="DW49" i="37"/>
  <c r="DV49" i="37"/>
  <c r="DU49" i="37"/>
  <c r="DS49" i="37"/>
  <c r="DO49" i="37"/>
  <c r="DK49" i="37"/>
  <c r="DH49" i="37"/>
  <c r="DG49" i="37"/>
  <c r="DE49" i="37"/>
  <c r="DC49" i="37"/>
  <c r="DA49" i="37"/>
  <c r="CY49" i="37"/>
  <c r="CX49" i="37"/>
  <c r="CW49" i="37"/>
  <c r="CU49" i="37"/>
  <c r="CS49" i="37"/>
  <c r="CQ49" i="37"/>
  <c r="CP49" i="37"/>
  <c r="CO49" i="37"/>
  <c r="CM49" i="37"/>
  <c r="CK49" i="37"/>
  <c r="CH49" i="37"/>
  <c r="CG49" i="37"/>
  <c r="CF49" i="37"/>
  <c r="CD49" i="37"/>
  <c r="CB49" i="37"/>
  <c r="BZ49" i="37"/>
  <c r="BY49" i="37"/>
  <c r="BX49" i="37"/>
  <c r="BU49" i="37"/>
  <c r="BS49" i="37"/>
  <c r="BQ49" i="37"/>
  <c r="BP49" i="37"/>
  <c r="BO49" i="37"/>
  <c r="BM49" i="37"/>
  <c r="BK49" i="37"/>
  <c r="BI49" i="37"/>
  <c r="BH49" i="37"/>
  <c r="BG49" i="37"/>
  <c r="BE49" i="37"/>
  <c r="BC49" i="37"/>
  <c r="BA49" i="37"/>
  <c r="AZ49" i="37"/>
  <c r="AY49" i="37"/>
  <c r="AW49" i="37"/>
  <c r="AU49" i="37"/>
  <c r="AS49" i="37"/>
  <c r="AR49" i="37"/>
  <c r="AQ49" i="37"/>
  <c r="AO49" i="37"/>
  <c r="AM49" i="37"/>
  <c r="AK49" i="37"/>
  <c r="AJ49" i="37"/>
  <c r="AI49" i="37"/>
  <c r="AG49" i="37"/>
  <c r="AE49" i="37"/>
  <c r="AC49" i="37"/>
  <c r="AB49" i="37"/>
  <c r="AA49" i="37"/>
  <c r="Y49" i="37"/>
  <c r="W49" i="37"/>
  <c r="V49" i="37"/>
  <c r="U49" i="37"/>
  <c r="T49" i="37"/>
  <c r="S49" i="37"/>
  <c r="N49" i="37"/>
  <c r="L49" i="37"/>
  <c r="K49" i="37"/>
  <c r="J49" i="37"/>
  <c r="I49" i="37"/>
  <c r="H49" i="37"/>
  <c r="F49" i="37"/>
  <c r="DM49" i="37"/>
  <c r="DW48" i="37"/>
  <c r="DV48" i="37"/>
  <c r="DU48" i="37"/>
  <c r="P48" i="37"/>
  <c r="DS48" i="37"/>
  <c r="DO48" i="37"/>
  <c r="DM48" i="37"/>
  <c r="DK48" i="37"/>
  <c r="DG48" i="37"/>
  <c r="DE48" i="37"/>
  <c r="DC48" i="37"/>
  <c r="DB48" i="37"/>
  <c r="DA48" i="37"/>
  <c r="CZ48" i="37"/>
  <c r="CW48" i="37"/>
  <c r="CU48" i="37"/>
  <c r="CT48" i="37"/>
  <c r="CS48" i="37"/>
  <c r="CR48" i="37"/>
  <c r="CQ48" i="37"/>
  <c r="CM48" i="37"/>
  <c r="CL48" i="37"/>
  <c r="CK48" i="37"/>
  <c r="CI48" i="37"/>
  <c r="CH48" i="37"/>
  <c r="CG48" i="37"/>
  <c r="CC48" i="37"/>
  <c r="CB48" i="37"/>
  <c r="CA48" i="37"/>
  <c r="BZ48" i="37"/>
  <c r="BY48" i="37"/>
  <c r="BX48" i="37"/>
  <c r="BS48" i="37"/>
  <c r="BR48" i="37"/>
  <c r="BQ48" i="37"/>
  <c r="BP48" i="37"/>
  <c r="BO48" i="37"/>
  <c r="BM48" i="37"/>
  <c r="BJ48" i="37"/>
  <c r="BI48" i="37"/>
  <c r="BH48" i="37"/>
  <c r="BG48" i="37"/>
  <c r="BE48" i="37"/>
  <c r="BD48" i="37"/>
  <c r="BA48" i="37"/>
  <c r="AZ48" i="37"/>
  <c r="AY48" i="37"/>
  <c r="AW48" i="37"/>
  <c r="AV48" i="37"/>
  <c r="AU48" i="37"/>
  <c r="AR48" i="37"/>
  <c r="AQ48" i="37"/>
  <c r="AO48" i="37"/>
  <c r="AN48" i="37"/>
  <c r="AM48" i="37"/>
  <c r="AL48" i="37"/>
  <c r="AI48" i="37"/>
  <c r="AG48" i="37"/>
  <c r="AF48" i="37"/>
  <c r="AE48" i="37"/>
  <c r="AD48" i="37"/>
  <c r="AC48" i="37"/>
  <c r="Y48" i="37"/>
  <c r="X48" i="37"/>
  <c r="W48" i="37"/>
  <c r="V48" i="37"/>
  <c r="U48" i="37"/>
  <c r="T48" i="37"/>
  <c r="M48" i="37"/>
  <c r="L48" i="37"/>
  <c r="K48" i="37"/>
  <c r="J48" i="37"/>
  <c r="I48" i="37"/>
  <c r="H48" i="37"/>
  <c r="P47" i="37"/>
  <c r="DY47" i="37"/>
  <c r="DW47" i="37"/>
  <c r="DV47" i="37"/>
  <c r="DU47" i="37"/>
  <c r="DS47" i="37"/>
  <c r="DO47" i="37"/>
  <c r="DI47" i="37"/>
  <c r="DH47" i="37"/>
  <c r="DG47" i="37"/>
  <c r="DE47" i="37"/>
  <c r="DC47" i="37"/>
  <c r="DB47" i="37"/>
  <c r="CY47" i="37"/>
  <c r="CX47" i="37"/>
  <c r="CW47" i="37"/>
  <c r="CU47" i="37"/>
  <c r="CT47" i="37"/>
  <c r="CS47" i="37"/>
  <c r="CP47" i="37"/>
  <c r="CO47" i="37"/>
  <c r="CM47" i="37"/>
  <c r="CL47" i="37"/>
  <c r="CK47" i="37"/>
  <c r="CI47" i="37"/>
  <c r="CF47" i="37"/>
  <c r="CD47" i="37"/>
  <c r="CC47" i="37"/>
  <c r="CB47" i="37"/>
  <c r="CA47" i="37"/>
  <c r="BZ47" i="37"/>
  <c r="BU47" i="37"/>
  <c r="BT47" i="37"/>
  <c r="BS47" i="37"/>
  <c r="BR47" i="37"/>
  <c r="BQ47" i="37"/>
  <c r="BP47" i="37"/>
  <c r="BL47" i="37"/>
  <c r="BK47" i="37"/>
  <c r="BJ47" i="37"/>
  <c r="BI47" i="37"/>
  <c r="BH47" i="37"/>
  <c r="BG47" i="37"/>
  <c r="BC47" i="37"/>
  <c r="BB47" i="37"/>
  <c r="BA47" i="37"/>
  <c r="AZ47" i="37"/>
  <c r="AY47" i="37"/>
  <c r="AX47" i="37"/>
  <c r="AU47" i="37"/>
  <c r="AT47" i="37"/>
  <c r="AS47" i="37"/>
  <c r="AR47" i="37"/>
  <c r="AQ47" i="37"/>
  <c r="AP47" i="37"/>
  <c r="AM47" i="37"/>
  <c r="AL47" i="37"/>
  <c r="AK47" i="37"/>
  <c r="AJ47" i="37"/>
  <c r="AI47" i="37"/>
  <c r="AH47" i="37"/>
  <c r="AE47" i="37"/>
  <c r="AD47" i="37"/>
  <c r="AC47" i="37"/>
  <c r="AB47" i="37"/>
  <c r="AA47" i="37"/>
  <c r="Z47" i="37"/>
  <c r="W47" i="37"/>
  <c r="V47" i="37"/>
  <c r="U47" i="37"/>
  <c r="T47" i="37"/>
  <c r="S47" i="37"/>
  <c r="O47" i="37"/>
  <c r="L47" i="37"/>
  <c r="K47" i="37"/>
  <c r="J47" i="37"/>
  <c r="I47" i="37"/>
  <c r="H47" i="37"/>
  <c r="G47" i="37"/>
  <c r="P46" i="37"/>
  <c r="DY46" i="37"/>
  <c r="DW46" i="37"/>
  <c r="DV46" i="37"/>
  <c r="DU46" i="37"/>
  <c r="DS46" i="37"/>
  <c r="DQ46" i="37"/>
  <c r="DK46" i="37"/>
  <c r="DI46" i="37"/>
  <c r="DH46" i="37"/>
  <c r="DG46" i="37"/>
  <c r="DE46" i="37"/>
  <c r="DD46" i="37"/>
  <c r="DA46" i="37"/>
  <c r="CZ46" i="37"/>
  <c r="CY46" i="37"/>
  <c r="CX46" i="37"/>
  <c r="CW46" i="37"/>
  <c r="CV46" i="37"/>
  <c r="CS46" i="37"/>
  <c r="CR46" i="37"/>
  <c r="CQ46" i="37"/>
  <c r="CP46" i="37"/>
  <c r="CO46" i="37"/>
  <c r="CN46" i="37"/>
  <c r="CK46" i="37"/>
  <c r="CI46" i="37"/>
  <c r="CH46" i="37"/>
  <c r="CG46" i="37"/>
  <c r="CF46" i="37"/>
  <c r="CE46" i="37"/>
  <c r="CB46" i="37"/>
  <c r="CA46" i="37"/>
  <c r="BZ46" i="37"/>
  <c r="BY46" i="37"/>
  <c r="BX46" i="37"/>
  <c r="BV46" i="37"/>
  <c r="BS46" i="37"/>
  <c r="BR46" i="37"/>
  <c r="BQ46" i="37"/>
  <c r="BP46" i="37"/>
  <c r="BO46" i="37"/>
  <c r="BN46" i="37"/>
  <c r="BK46" i="37"/>
  <c r="BJ46" i="37"/>
  <c r="BI46" i="37"/>
  <c r="BH46" i="37"/>
  <c r="BG46" i="37"/>
  <c r="BF46" i="37"/>
  <c r="BC46" i="37"/>
  <c r="BB46" i="37"/>
  <c r="BA46" i="37"/>
  <c r="AZ46" i="37"/>
  <c r="AY46" i="37"/>
  <c r="AX46" i="37"/>
  <c r="AU46" i="37"/>
  <c r="AT46" i="37"/>
  <c r="AS46" i="37"/>
  <c r="AR46" i="37"/>
  <c r="AQ46" i="37"/>
  <c r="AP46" i="37"/>
  <c r="AM46" i="37"/>
  <c r="AL46" i="37"/>
  <c r="AK46" i="37"/>
  <c r="AJ46" i="37"/>
  <c r="AI46" i="37"/>
  <c r="AH46" i="37"/>
  <c r="AE46" i="37"/>
  <c r="AD46" i="37"/>
  <c r="AC46" i="37"/>
  <c r="AB46" i="37"/>
  <c r="AA46" i="37"/>
  <c r="Z46" i="37"/>
  <c r="W46" i="37"/>
  <c r="V46" i="37"/>
  <c r="U46" i="37"/>
  <c r="T46" i="37"/>
  <c r="S46" i="37"/>
  <c r="O46" i="37"/>
  <c r="L46" i="37"/>
  <c r="K46" i="37"/>
  <c r="J46" i="37"/>
  <c r="I46" i="37"/>
  <c r="H46" i="37"/>
  <c r="G46" i="37"/>
  <c r="DO46" i="37"/>
  <c r="P45" i="37"/>
  <c r="DY45" i="37"/>
  <c r="DW45" i="37"/>
  <c r="DV45" i="37"/>
  <c r="DU45" i="37"/>
  <c r="DS45" i="37"/>
  <c r="DQ45" i="37"/>
  <c r="DK45" i="37"/>
  <c r="DI45" i="37"/>
  <c r="DH45" i="37"/>
  <c r="DG45" i="37"/>
  <c r="DE45" i="37"/>
  <c r="DD45" i="37"/>
  <c r="DA45" i="37"/>
  <c r="CZ45" i="37"/>
  <c r="CY45" i="37"/>
  <c r="CX45" i="37"/>
  <c r="CW45" i="37"/>
  <c r="CV45" i="37"/>
  <c r="CS45" i="37"/>
  <c r="CR45" i="37"/>
  <c r="CQ45" i="37"/>
  <c r="CP45" i="37"/>
  <c r="CO45" i="37"/>
  <c r="CN45" i="37"/>
  <c r="CK45" i="37"/>
  <c r="CI45" i="37"/>
  <c r="CH45" i="37"/>
  <c r="CG45" i="37"/>
  <c r="CF45" i="37"/>
  <c r="CE45" i="37"/>
  <c r="CB45" i="37"/>
  <c r="CA45" i="37"/>
  <c r="BZ45" i="37"/>
  <c r="BY45" i="37"/>
  <c r="BX45" i="37"/>
  <c r="BV45" i="37"/>
  <c r="BS45" i="37"/>
  <c r="BR45" i="37"/>
  <c r="BQ45" i="37"/>
  <c r="BP45" i="37"/>
  <c r="BO45" i="37"/>
  <c r="BN45" i="37"/>
  <c r="BK45" i="37"/>
  <c r="BJ45" i="37"/>
  <c r="BI45" i="37"/>
  <c r="BH45" i="37"/>
  <c r="BG45" i="37"/>
  <c r="BF45" i="37"/>
  <c r="BC45" i="37"/>
  <c r="BB45" i="37"/>
  <c r="BA45" i="37"/>
  <c r="AZ45" i="37"/>
  <c r="AY45" i="37"/>
  <c r="AX45" i="37"/>
  <c r="AU45" i="37"/>
  <c r="AT45" i="37"/>
  <c r="AS45" i="37"/>
  <c r="AR45" i="37"/>
  <c r="AQ45" i="37"/>
  <c r="AP45" i="37"/>
  <c r="AM45" i="37"/>
  <c r="AL45" i="37"/>
  <c r="AK45" i="37"/>
  <c r="AJ45" i="37"/>
  <c r="AI45" i="37"/>
  <c r="AH45" i="37"/>
  <c r="AE45" i="37"/>
  <c r="AD45" i="37"/>
  <c r="AC45" i="37"/>
  <c r="AB45" i="37"/>
  <c r="AA45" i="37"/>
  <c r="Z45" i="37"/>
  <c r="W45" i="37"/>
  <c r="V45" i="37"/>
  <c r="U45" i="37"/>
  <c r="T45" i="37"/>
  <c r="S45" i="37"/>
  <c r="O45" i="37"/>
  <c r="L45" i="37"/>
  <c r="K45" i="37"/>
  <c r="J45" i="37"/>
  <c r="I45" i="37"/>
  <c r="H45" i="37"/>
  <c r="G45" i="37"/>
  <c r="DO45" i="37"/>
  <c r="DW44" i="37"/>
  <c r="DV44" i="37"/>
  <c r="DU44" i="37"/>
  <c r="P44" i="37"/>
  <c r="DH44" i="37"/>
  <c r="DG44" i="37"/>
  <c r="DD44" i="37"/>
  <c r="CZ44" i="37"/>
  <c r="CT44" i="37"/>
  <c r="CS44" i="37"/>
  <c r="CR44" i="37"/>
  <c r="CO44" i="37"/>
  <c r="CH44" i="37"/>
  <c r="CG44" i="37"/>
  <c r="CE44" i="37"/>
  <c r="CA44" i="37"/>
  <c r="BV44" i="37"/>
  <c r="BS44" i="37"/>
  <c r="BQ44" i="37"/>
  <c r="BO44" i="37"/>
  <c r="BH44" i="37"/>
  <c r="BG44" i="37"/>
  <c r="BF44" i="37"/>
  <c r="BC44" i="37"/>
  <c r="AV44" i="37"/>
  <c r="AU44" i="37"/>
  <c r="AT44" i="37"/>
  <c r="AR44" i="37"/>
  <c r="AK44" i="37"/>
  <c r="AJ44" i="37"/>
  <c r="AI44" i="37"/>
  <c r="AE44" i="37"/>
  <c r="Z44" i="37"/>
  <c r="W44" i="37"/>
  <c r="V44" i="37"/>
  <c r="S44" i="37"/>
  <c r="J44" i="37"/>
  <c r="I44" i="37"/>
  <c r="H44" i="37"/>
  <c r="DW43" i="37"/>
  <c r="DV43" i="37"/>
  <c r="DU43" i="37"/>
  <c r="P43" i="37"/>
  <c r="DS43" i="37"/>
  <c r="DQ43" i="37"/>
  <c r="CY43" i="37"/>
  <c r="CC43" i="37"/>
  <c r="CB43" i="37"/>
  <c r="BS43" i="37"/>
  <c r="BR43" i="37"/>
  <c r="BG43" i="37"/>
  <c r="AM43" i="37"/>
  <c r="AK43" i="37"/>
  <c r="AD43" i="37"/>
  <c r="AA43" i="37"/>
  <c r="N43" i="37"/>
  <c r="CN43" i="37"/>
  <c r="P42" i="37"/>
  <c r="DY42" i="37"/>
  <c r="DW42" i="37"/>
  <c r="DV42" i="37"/>
  <c r="DU42" i="37"/>
  <c r="DK42" i="37"/>
  <c r="DI42" i="37"/>
  <c r="DH42" i="37"/>
  <c r="DE42" i="37"/>
  <c r="DD42" i="37"/>
  <c r="CY42" i="37"/>
  <c r="CW42" i="37"/>
  <c r="CV42" i="37"/>
  <c r="CU42" i="37"/>
  <c r="CS42" i="37"/>
  <c r="CN42" i="37"/>
  <c r="CM42" i="37"/>
  <c r="CL42" i="37"/>
  <c r="CI42" i="37"/>
  <c r="CH42" i="37"/>
  <c r="CC42" i="37"/>
  <c r="CB42" i="37"/>
  <c r="BZ42" i="37"/>
  <c r="BX42" i="37"/>
  <c r="BV42" i="37"/>
  <c r="BR42" i="37"/>
  <c r="BO42" i="37"/>
  <c r="BN42" i="37"/>
  <c r="BM42" i="37"/>
  <c r="BL42" i="37"/>
  <c r="BF42" i="37"/>
  <c r="BE42" i="37"/>
  <c r="BD42" i="37"/>
  <c r="BC42" i="37"/>
  <c r="BB42" i="37"/>
  <c r="AV42" i="37"/>
  <c r="AU42" i="37"/>
  <c r="AT42" i="37"/>
  <c r="AS42" i="37"/>
  <c r="AQ42" i="37"/>
  <c r="AL42" i="37"/>
  <c r="AK42" i="37"/>
  <c r="AI42" i="37"/>
  <c r="AH42" i="37"/>
  <c r="AG42" i="37"/>
  <c r="AA42" i="37"/>
  <c r="Z42" i="37"/>
  <c r="Y42" i="37"/>
  <c r="X42" i="37"/>
  <c r="V42" i="37"/>
  <c r="N42" i="37"/>
  <c r="M42" i="37"/>
  <c r="L42" i="37"/>
  <c r="J42" i="37"/>
  <c r="H42" i="37"/>
  <c r="P41" i="37"/>
  <c r="DY41" i="37"/>
  <c r="DW41" i="37"/>
  <c r="DV41" i="37"/>
  <c r="DU41" i="37"/>
  <c r="DS41" i="37"/>
  <c r="DQ41" i="37"/>
  <c r="DO41" i="37"/>
  <c r="DM41" i="37"/>
  <c r="DK41" i="37"/>
  <c r="DI41" i="37"/>
  <c r="DE41" i="37"/>
  <c r="DD41" i="37"/>
  <c r="DC41" i="37"/>
  <c r="DB41" i="37"/>
  <c r="DA41" i="37"/>
  <c r="CZ41" i="37"/>
  <c r="CY41" i="37"/>
  <c r="CV41" i="37"/>
  <c r="CU41" i="37"/>
  <c r="CT41" i="37"/>
  <c r="CS41" i="37"/>
  <c r="CR41" i="37"/>
  <c r="CQ41" i="37"/>
  <c r="CO41" i="37"/>
  <c r="CM41" i="37"/>
  <c r="CL41" i="37"/>
  <c r="CK41" i="37"/>
  <c r="CI41" i="37"/>
  <c r="CH41" i="37"/>
  <c r="CF41" i="37"/>
  <c r="CE41" i="37"/>
  <c r="CC41" i="37"/>
  <c r="CB41" i="37"/>
  <c r="CA41" i="37"/>
  <c r="BZ41" i="37"/>
  <c r="BX41" i="37"/>
  <c r="BV41" i="37"/>
  <c r="BU41" i="37"/>
  <c r="BS41" i="37"/>
  <c r="BR41" i="37"/>
  <c r="BQ41" i="37"/>
  <c r="BO41" i="37"/>
  <c r="BN41" i="37"/>
  <c r="BM41" i="37"/>
  <c r="BL41" i="37"/>
  <c r="BJ41" i="37"/>
  <c r="BI41" i="37"/>
  <c r="BG41" i="37"/>
  <c r="BF41" i="37"/>
  <c r="BE41" i="37"/>
  <c r="BD41" i="37"/>
  <c r="BC41" i="37"/>
  <c r="BA41" i="37"/>
  <c r="AY41" i="37"/>
  <c r="AX41" i="37"/>
  <c r="AW41" i="37"/>
  <c r="AV41" i="37"/>
  <c r="AU41" i="37"/>
  <c r="AT41" i="37"/>
  <c r="AQ41" i="37"/>
  <c r="AP41" i="37"/>
  <c r="AO41" i="37"/>
  <c r="AN41" i="37"/>
  <c r="AM41" i="37"/>
  <c r="AL41" i="37"/>
  <c r="AK41" i="37"/>
  <c r="AH41" i="37"/>
  <c r="AG41" i="37"/>
  <c r="AF41" i="37"/>
  <c r="AE41" i="37"/>
  <c r="AD41" i="37"/>
  <c r="AC41" i="37"/>
  <c r="AA41" i="37"/>
  <c r="Y41" i="37"/>
  <c r="X41" i="37"/>
  <c r="W41" i="37"/>
  <c r="V41" i="37"/>
  <c r="U41" i="37"/>
  <c r="S41" i="37"/>
  <c r="O41" i="37"/>
  <c r="M41" i="37"/>
  <c r="L41" i="37"/>
  <c r="K41" i="37"/>
  <c r="J41" i="37"/>
  <c r="H41" i="37"/>
  <c r="G41" i="37"/>
  <c r="F41" i="37"/>
  <c r="P40" i="37"/>
  <c r="DY40" i="37"/>
  <c r="DW40" i="37"/>
  <c r="DV40" i="37"/>
  <c r="DU40" i="37"/>
  <c r="DS40" i="37"/>
  <c r="DK40" i="37"/>
  <c r="DI40" i="37"/>
  <c r="DH40" i="37"/>
  <c r="DE40" i="37"/>
  <c r="DD40" i="37"/>
  <c r="DC40" i="37"/>
  <c r="CY40" i="37"/>
  <c r="CW40" i="37"/>
  <c r="CV40" i="37"/>
  <c r="CU40" i="37"/>
  <c r="CT40" i="37"/>
  <c r="CS40" i="37"/>
  <c r="CN40" i="37"/>
  <c r="CM40" i="37"/>
  <c r="CL40" i="37"/>
  <c r="CK40" i="37"/>
  <c r="CI40" i="37"/>
  <c r="CF40" i="37"/>
  <c r="CC40" i="37"/>
  <c r="CB40" i="37"/>
  <c r="CA40" i="37"/>
  <c r="BZ40" i="37"/>
  <c r="BV40" i="37"/>
  <c r="BU40" i="37"/>
  <c r="BR40" i="37"/>
  <c r="BQ40" i="37"/>
  <c r="BO40" i="37"/>
  <c r="BM40" i="37"/>
  <c r="BL40" i="37"/>
  <c r="BK40" i="37"/>
  <c r="BG40" i="37"/>
  <c r="BF40" i="37"/>
  <c r="BD40" i="37"/>
  <c r="BC40" i="37"/>
  <c r="BB40" i="37"/>
  <c r="BA40" i="37"/>
  <c r="AW40" i="37"/>
  <c r="AU40" i="37"/>
  <c r="AT40" i="37"/>
  <c r="AS40" i="37"/>
  <c r="AQ40" i="37"/>
  <c r="AP40" i="37"/>
  <c r="AL40" i="37"/>
  <c r="AK40" i="37"/>
  <c r="AI40" i="37"/>
  <c r="AH40" i="37"/>
  <c r="AG40" i="37"/>
  <c r="AF40" i="37"/>
  <c r="AA40" i="37"/>
  <c r="Z40" i="37"/>
  <c r="Y40" i="37"/>
  <c r="X40" i="37"/>
  <c r="W40" i="37"/>
  <c r="V40" i="37"/>
  <c r="N40" i="37"/>
  <c r="M40" i="37"/>
  <c r="L40" i="37"/>
  <c r="K40" i="37"/>
  <c r="J40" i="37"/>
  <c r="G40" i="37"/>
  <c r="P39" i="37"/>
  <c r="DY39" i="37"/>
  <c r="DW39" i="37"/>
  <c r="DV39" i="37"/>
  <c r="DU39" i="37"/>
  <c r="DQ39" i="37"/>
  <c r="DO39" i="37"/>
  <c r="DK39" i="37"/>
  <c r="DI39" i="37"/>
  <c r="DH39" i="37"/>
  <c r="DE39" i="37"/>
  <c r="DC39" i="37"/>
  <c r="DB39" i="37"/>
  <c r="DA39" i="37"/>
  <c r="CY39" i="37"/>
  <c r="CW39" i="37"/>
  <c r="CV39" i="37"/>
  <c r="CT39" i="37"/>
  <c r="CS39" i="37"/>
  <c r="CR39" i="37"/>
  <c r="CQ39" i="37"/>
  <c r="CN39" i="37"/>
  <c r="CM39" i="37"/>
  <c r="CK39" i="37"/>
  <c r="CI39" i="37"/>
  <c r="CH39" i="37"/>
  <c r="CF39" i="37"/>
  <c r="CE39" i="37"/>
  <c r="CC39" i="37"/>
  <c r="CA39" i="37"/>
  <c r="BZ39" i="37"/>
  <c r="BX39" i="37"/>
  <c r="BV39" i="37"/>
  <c r="BU39" i="37"/>
  <c r="BT39" i="37"/>
  <c r="BQ39" i="37"/>
  <c r="BO39" i="37"/>
  <c r="BN39" i="37"/>
  <c r="BM39" i="37"/>
  <c r="BL39" i="37"/>
  <c r="BK39" i="37"/>
  <c r="BJ39" i="37"/>
  <c r="BF39" i="37"/>
  <c r="BE39" i="37"/>
  <c r="BD39" i="37"/>
  <c r="BC39" i="37"/>
  <c r="BB39" i="37"/>
  <c r="BA39" i="37"/>
  <c r="AX39" i="37"/>
  <c r="AV39" i="37"/>
  <c r="AU39" i="37"/>
  <c r="AT39" i="37"/>
  <c r="AS39" i="37"/>
  <c r="AQ39" i="37"/>
  <c r="AO39" i="37"/>
  <c r="AN39" i="37"/>
  <c r="AL39" i="37"/>
  <c r="AK39" i="37"/>
  <c r="AI39" i="37"/>
  <c r="AH39" i="37"/>
  <c r="AF39" i="37"/>
  <c r="AE39" i="37"/>
  <c r="AD39" i="37"/>
  <c r="AA39" i="37"/>
  <c r="Z39" i="37"/>
  <c r="Y39" i="37"/>
  <c r="W39" i="37"/>
  <c r="V39" i="37"/>
  <c r="U39" i="37"/>
  <c r="S39" i="37"/>
  <c r="N39" i="37"/>
  <c r="M39" i="37"/>
  <c r="K39" i="37"/>
  <c r="J39" i="37"/>
  <c r="H39" i="37"/>
  <c r="G39" i="37"/>
  <c r="F39" i="37"/>
  <c r="P38" i="37"/>
  <c r="DY38" i="37"/>
  <c r="DW38" i="37"/>
  <c r="DV38" i="37"/>
  <c r="DU38" i="37"/>
  <c r="DS38" i="37"/>
  <c r="DQ38" i="37"/>
  <c r="DO38" i="37"/>
  <c r="DM38" i="37"/>
  <c r="DK38" i="37"/>
  <c r="DH38" i="37"/>
  <c r="DE38" i="37"/>
  <c r="DD38" i="37"/>
  <c r="DC38" i="37"/>
  <c r="DB38" i="37"/>
  <c r="DA38" i="37"/>
  <c r="CZ38" i="37"/>
  <c r="CW38" i="37"/>
  <c r="CV38" i="37"/>
  <c r="CU38" i="37"/>
  <c r="CT38" i="37"/>
  <c r="CS38" i="37"/>
  <c r="CR38" i="37"/>
  <c r="CQ38" i="37"/>
  <c r="CN38" i="37"/>
  <c r="CM38" i="37"/>
  <c r="CL38" i="37"/>
  <c r="CK38" i="37"/>
  <c r="CI38" i="37"/>
  <c r="CH38" i="37"/>
  <c r="CF38" i="37"/>
  <c r="CD38" i="37"/>
  <c r="CC38" i="37"/>
  <c r="CB38" i="37"/>
  <c r="CA38" i="37"/>
  <c r="BZ38" i="37"/>
  <c r="BX38" i="37"/>
  <c r="BV38" i="37"/>
  <c r="BT38" i="37"/>
  <c r="BS38" i="37"/>
  <c r="BR38" i="37"/>
  <c r="BQ38" i="37"/>
  <c r="BO38" i="37"/>
  <c r="BN38" i="37"/>
  <c r="BM38" i="37"/>
  <c r="BK38" i="37"/>
  <c r="BJ38" i="37"/>
  <c r="BI38" i="37"/>
  <c r="BH38" i="37"/>
  <c r="BG38" i="37"/>
  <c r="BF38" i="37"/>
  <c r="BE38" i="37"/>
  <c r="BC38" i="37"/>
  <c r="BB38" i="37"/>
  <c r="BA38" i="37"/>
  <c r="AZ38" i="37"/>
  <c r="AY38" i="37"/>
  <c r="AX38" i="37"/>
  <c r="AW38" i="37"/>
  <c r="AU38" i="37"/>
  <c r="AT38" i="37"/>
  <c r="AS38" i="37"/>
  <c r="AR38" i="37"/>
  <c r="AQ38" i="37"/>
  <c r="AP38" i="37"/>
  <c r="AO38" i="37"/>
  <c r="AM38" i="37"/>
  <c r="AL38" i="37"/>
  <c r="AK38" i="37"/>
  <c r="AJ38" i="37"/>
  <c r="AI38" i="37"/>
  <c r="AH38" i="37"/>
  <c r="AG38" i="37"/>
  <c r="AE38" i="37"/>
  <c r="AD38" i="37"/>
  <c r="AC38" i="37"/>
  <c r="AB38" i="37"/>
  <c r="AA38" i="37"/>
  <c r="Z38" i="37"/>
  <c r="Y38" i="37"/>
  <c r="W38" i="37"/>
  <c r="V38" i="37"/>
  <c r="U38" i="37"/>
  <c r="T38" i="37"/>
  <c r="S38" i="37"/>
  <c r="O38" i="37"/>
  <c r="N38" i="37"/>
  <c r="L38" i="37"/>
  <c r="K38" i="37"/>
  <c r="J38" i="37"/>
  <c r="I38" i="37"/>
  <c r="H38" i="37"/>
  <c r="G38" i="37"/>
  <c r="F38" i="37"/>
  <c r="P37" i="37"/>
  <c r="DY37" i="37"/>
  <c r="DW37" i="37"/>
  <c r="DV37" i="37"/>
  <c r="DU37" i="37"/>
  <c r="DS37" i="37"/>
  <c r="DQ37" i="37"/>
  <c r="DO37" i="37"/>
  <c r="DK37" i="37"/>
  <c r="DI37" i="37"/>
  <c r="DH37" i="37"/>
  <c r="DG37" i="37"/>
  <c r="DE37" i="37"/>
  <c r="DD37" i="37"/>
  <c r="DC37" i="37"/>
  <c r="DA37" i="37"/>
  <c r="CZ37" i="37"/>
  <c r="CY37" i="37"/>
  <c r="CX37" i="37"/>
  <c r="CW37" i="37"/>
  <c r="CV37" i="37"/>
  <c r="CU37" i="37"/>
  <c r="CS37" i="37"/>
  <c r="CR37" i="37"/>
  <c r="CQ37" i="37"/>
  <c r="CP37" i="37"/>
  <c r="CO37" i="37"/>
  <c r="CN37" i="37"/>
  <c r="CM37" i="37"/>
  <c r="CK37" i="37"/>
  <c r="CI37" i="37"/>
  <c r="CH37" i="37"/>
  <c r="CG37" i="37"/>
  <c r="CF37" i="37"/>
  <c r="CE37" i="37"/>
  <c r="CD37" i="37"/>
  <c r="CB37" i="37"/>
  <c r="CA37" i="37"/>
  <c r="BZ37" i="37"/>
  <c r="BY37" i="37"/>
  <c r="BX37" i="37"/>
  <c r="BV37" i="37"/>
  <c r="BU37" i="37"/>
  <c r="BS37" i="37"/>
  <c r="BR37" i="37"/>
  <c r="BQ37" i="37"/>
  <c r="BP37" i="37"/>
  <c r="BO37" i="37"/>
  <c r="BN37" i="37"/>
  <c r="BM37" i="37"/>
  <c r="BK37" i="37"/>
  <c r="BJ37" i="37"/>
  <c r="BI37" i="37"/>
  <c r="BH37" i="37"/>
  <c r="BG37" i="37"/>
  <c r="BF37" i="37"/>
  <c r="BE37" i="37"/>
  <c r="BC37" i="37"/>
  <c r="BB37" i="37"/>
  <c r="BA37" i="37"/>
  <c r="AZ37" i="37"/>
  <c r="AY37" i="37"/>
  <c r="AX37" i="37"/>
  <c r="AW37" i="37"/>
  <c r="AU37" i="37"/>
  <c r="AT37" i="37"/>
  <c r="AS37" i="37"/>
  <c r="AR37" i="37"/>
  <c r="AQ37" i="37"/>
  <c r="AP37" i="37"/>
  <c r="AO37" i="37"/>
  <c r="AM37" i="37"/>
  <c r="AL37" i="37"/>
  <c r="AK37" i="37"/>
  <c r="AJ37" i="37"/>
  <c r="AI37" i="37"/>
  <c r="AH37" i="37"/>
  <c r="AG37" i="37"/>
  <c r="AE37" i="37"/>
  <c r="AD37" i="37"/>
  <c r="AC37" i="37"/>
  <c r="AB37" i="37"/>
  <c r="AA37" i="37"/>
  <c r="Z37" i="37"/>
  <c r="Y37" i="37"/>
  <c r="W37" i="37"/>
  <c r="V37" i="37"/>
  <c r="U37" i="37"/>
  <c r="T37" i="37"/>
  <c r="S37" i="37"/>
  <c r="O37" i="37"/>
  <c r="N37" i="37"/>
  <c r="L37" i="37"/>
  <c r="K37" i="37"/>
  <c r="J37" i="37"/>
  <c r="I37" i="37"/>
  <c r="H37" i="37"/>
  <c r="G37" i="37"/>
  <c r="F37" i="37"/>
  <c r="DM37" i="37"/>
  <c r="P36" i="37"/>
  <c r="DY36" i="37"/>
  <c r="DW36" i="37"/>
  <c r="DV36" i="37"/>
  <c r="DU36" i="37"/>
  <c r="DS36" i="37"/>
  <c r="DQ36" i="37"/>
  <c r="DO36" i="37"/>
  <c r="DK36" i="37"/>
  <c r="DI36" i="37"/>
  <c r="DH36" i="37"/>
  <c r="DG36" i="37"/>
  <c r="DE36" i="37"/>
  <c r="DD36" i="37"/>
  <c r="DC36" i="37"/>
  <c r="DA36" i="37"/>
  <c r="CZ36" i="37"/>
  <c r="CY36" i="37"/>
  <c r="CX36" i="37"/>
  <c r="CW36" i="37"/>
  <c r="CV36" i="37"/>
  <c r="CU36" i="37"/>
  <c r="CS36" i="37"/>
  <c r="CR36" i="37"/>
  <c r="CQ36" i="37"/>
  <c r="CP36" i="37"/>
  <c r="CO36" i="37"/>
  <c r="CN36" i="37"/>
  <c r="CM36" i="37"/>
  <c r="CK36" i="37"/>
  <c r="CI36" i="37"/>
  <c r="CH36" i="37"/>
  <c r="CG36" i="37"/>
  <c r="CF36" i="37"/>
  <c r="CE36" i="37"/>
  <c r="CD36" i="37"/>
  <c r="CB36" i="37"/>
  <c r="CA36" i="37"/>
  <c r="BZ36" i="37"/>
  <c r="BY36" i="37"/>
  <c r="BX36" i="37"/>
  <c r="BV36" i="37"/>
  <c r="BU36" i="37"/>
  <c r="BS36" i="37"/>
  <c r="BR36" i="37"/>
  <c r="BQ36" i="37"/>
  <c r="BP36" i="37"/>
  <c r="BO36" i="37"/>
  <c r="BN36" i="37"/>
  <c r="BM36" i="37"/>
  <c r="BK36" i="37"/>
  <c r="BJ36" i="37"/>
  <c r="BI36" i="37"/>
  <c r="BH36" i="37"/>
  <c r="BG36" i="37"/>
  <c r="BF36" i="37"/>
  <c r="BE36" i="37"/>
  <c r="BC36" i="37"/>
  <c r="BB36" i="37"/>
  <c r="BA36" i="37"/>
  <c r="AZ36" i="37"/>
  <c r="AY36" i="37"/>
  <c r="AX36" i="37"/>
  <c r="AW36" i="37"/>
  <c r="AU36" i="37"/>
  <c r="AT36" i="37"/>
  <c r="AS36" i="37"/>
  <c r="AR36" i="37"/>
  <c r="AQ36" i="37"/>
  <c r="AP36" i="37"/>
  <c r="AO36" i="37"/>
  <c r="AM36" i="37"/>
  <c r="AL36" i="37"/>
  <c r="AK36" i="37"/>
  <c r="AJ36" i="37"/>
  <c r="AI36" i="37"/>
  <c r="AH36" i="37"/>
  <c r="AG36" i="37"/>
  <c r="AE36" i="37"/>
  <c r="AD36" i="37"/>
  <c r="AC36" i="37"/>
  <c r="AB36" i="37"/>
  <c r="AA36" i="37"/>
  <c r="Z36" i="37"/>
  <c r="Y36" i="37"/>
  <c r="W36" i="37"/>
  <c r="V36" i="37"/>
  <c r="U36" i="37"/>
  <c r="T36" i="37"/>
  <c r="S36" i="37"/>
  <c r="O36" i="37"/>
  <c r="N36" i="37"/>
  <c r="L36" i="37"/>
  <c r="K36" i="37"/>
  <c r="J36" i="37"/>
  <c r="I36" i="37"/>
  <c r="H36" i="37"/>
  <c r="G36" i="37"/>
  <c r="F36" i="37"/>
  <c r="DM36" i="37"/>
  <c r="P35" i="37"/>
  <c r="DY35" i="37"/>
  <c r="DW35" i="37"/>
  <c r="DV35" i="37"/>
  <c r="DU35" i="37"/>
  <c r="DS35" i="37"/>
  <c r="DQ35" i="37"/>
  <c r="DO35" i="37"/>
  <c r="DK35" i="37"/>
  <c r="DI35" i="37"/>
  <c r="DH35" i="37"/>
  <c r="DG35" i="37"/>
  <c r="DE35" i="37"/>
  <c r="DD35" i="37"/>
  <c r="DC35" i="37"/>
  <c r="DA35" i="37"/>
  <c r="CZ35" i="37"/>
  <c r="CY35" i="37"/>
  <c r="CX35" i="37"/>
  <c r="CW35" i="37"/>
  <c r="CV35" i="37"/>
  <c r="CU35" i="37"/>
  <c r="CS35" i="37"/>
  <c r="CR35" i="37"/>
  <c r="CQ35" i="37"/>
  <c r="CP35" i="37"/>
  <c r="CO35" i="37"/>
  <c r="CN35" i="37"/>
  <c r="CM35" i="37"/>
  <c r="CK35" i="37"/>
  <c r="CI35" i="37"/>
  <c r="CH35" i="37"/>
  <c r="CG35" i="37"/>
  <c r="CF35" i="37"/>
  <c r="CE35" i="37"/>
  <c r="CD35" i="37"/>
  <c r="CB35" i="37"/>
  <c r="CA35" i="37"/>
  <c r="BZ35" i="37"/>
  <c r="BY35" i="37"/>
  <c r="BX35" i="37"/>
  <c r="BV35" i="37"/>
  <c r="BU35" i="37"/>
  <c r="BS35" i="37"/>
  <c r="BR35" i="37"/>
  <c r="BQ35" i="37"/>
  <c r="BP35" i="37"/>
  <c r="BO35" i="37"/>
  <c r="BN35" i="37"/>
  <c r="BM35" i="37"/>
  <c r="BK35" i="37"/>
  <c r="BJ35" i="37"/>
  <c r="BI35" i="37"/>
  <c r="BH35" i="37"/>
  <c r="BG35" i="37"/>
  <c r="BF35" i="37"/>
  <c r="BE35" i="37"/>
  <c r="BC35" i="37"/>
  <c r="BB35" i="37"/>
  <c r="BA35" i="37"/>
  <c r="AZ35" i="37"/>
  <c r="AY35" i="37"/>
  <c r="AX35" i="37"/>
  <c r="AW35" i="37"/>
  <c r="AU35" i="37"/>
  <c r="AT35" i="37"/>
  <c r="AS35" i="37"/>
  <c r="AR35" i="37"/>
  <c r="AQ35" i="37"/>
  <c r="AP35" i="37"/>
  <c r="AO35" i="37"/>
  <c r="AM35" i="37"/>
  <c r="AL35" i="37"/>
  <c r="AK35" i="37"/>
  <c r="AJ35" i="37"/>
  <c r="AI35" i="37"/>
  <c r="AH35" i="37"/>
  <c r="AG35" i="37"/>
  <c r="AE35" i="37"/>
  <c r="AD35" i="37"/>
  <c r="AC35" i="37"/>
  <c r="AB35" i="37"/>
  <c r="AA35" i="37"/>
  <c r="Z35" i="37"/>
  <c r="Y35" i="37"/>
  <c r="W35" i="37"/>
  <c r="V35" i="37"/>
  <c r="U35" i="37"/>
  <c r="T35" i="37"/>
  <c r="S35" i="37"/>
  <c r="O35" i="37"/>
  <c r="N35" i="37"/>
  <c r="L35" i="37"/>
  <c r="K35" i="37"/>
  <c r="J35" i="37"/>
  <c r="I35" i="37"/>
  <c r="H35" i="37"/>
  <c r="G35" i="37"/>
  <c r="F35" i="37"/>
  <c r="DM35" i="37"/>
  <c r="P34" i="37"/>
  <c r="DY34" i="37"/>
  <c r="DW34" i="37"/>
  <c r="DV34" i="37"/>
  <c r="DU34" i="37"/>
  <c r="DS34" i="37"/>
  <c r="DQ34" i="37"/>
  <c r="DO34" i="37"/>
  <c r="DK34" i="37"/>
  <c r="DI34" i="37"/>
  <c r="DH34" i="37"/>
  <c r="DG34" i="37"/>
  <c r="DE34" i="37"/>
  <c r="DD34" i="37"/>
  <c r="DC34" i="37"/>
  <c r="DA34" i="37"/>
  <c r="CZ34" i="37"/>
  <c r="CY34" i="37"/>
  <c r="CX34" i="37"/>
  <c r="CW34" i="37"/>
  <c r="CV34" i="37"/>
  <c r="CU34" i="37"/>
  <c r="CS34" i="37"/>
  <c r="CR34" i="37"/>
  <c r="CQ34" i="37"/>
  <c r="CP34" i="37"/>
  <c r="CO34" i="37"/>
  <c r="CN34" i="37"/>
  <c r="CM34" i="37"/>
  <c r="CK34" i="37"/>
  <c r="CI34" i="37"/>
  <c r="CH34" i="37"/>
  <c r="CG34" i="37"/>
  <c r="CF34" i="37"/>
  <c r="CE34" i="37"/>
  <c r="CD34" i="37"/>
  <c r="CB34" i="37"/>
  <c r="CA34" i="37"/>
  <c r="BZ34" i="37"/>
  <c r="BY34" i="37"/>
  <c r="BX34" i="37"/>
  <c r="BV34" i="37"/>
  <c r="BU34" i="37"/>
  <c r="BS34" i="37"/>
  <c r="BR34" i="37"/>
  <c r="BQ34" i="37"/>
  <c r="BP34" i="37"/>
  <c r="BO34" i="37"/>
  <c r="BN34" i="37"/>
  <c r="BM34" i="37"/>
  <c r="BK34" i="37"/>
  <c r="BJ34" i="37"/>
  <c r="BI34" i="37"/>
  <c r="BH34" i="37"/>
  <c r="BG34" i="37"/>
  <c r="BF34" i="37"/>
  <c r="BE34" i="37"/>
  <c r="BC34" i="37"/>
  <c r="BB34" i="37"/>
  <c r="BA34" i="37"/>
  <c r="AZ34" i="37"/>
  <c r="AY34" i="37"/>
  <c r="AX34" i="37"/>
  <c r="AW34" i="37"/>
  <c r="AU34" i="37"/>
  <c r="AT34" i="37"/>
  <c r="AS34" i="37"/>
  <c r="AR34" i="37"/>
  <c r="AQ34" i="37"/>
  <c r="AP34" i="37"/>
  <c r="AO34" i="37"/>
  <c r="AM34" i="37"/>
  <c r="AL34" i="37"/>
  <c r="AK34" i="37"/>
  <c r="AJ34" i="37"/>
  <c r="AI34" i="37"/>
  <c r="AH34" i="37"/>
  <c r="AG34" i="37"/>
  <c r="AE34" i="37"/>
  <c r="AD34" i="37"/>
  <c r="AC34" i="37"/>
  <c r="AB34" i="37"/>
  <c r="AA34" i="37"/>
  <c r="Z34" i="37"/>
  <c r="Y34" i="37"/>
  <c r="W34" i="37"/>
  <c r="V34" i="37"/>
  <c r="U34" i="37"/>
  <c r="T34" i="37"/>
  <c r="S34" i="37"/>
  <c r="O34" i="37"/>
  <c r="N34" i="37"/>
  <c r="L34" i="37"/>
  <c r="K34" i="37"/>
  <c r="J34" i="37"/>
  <c r="I34" i="37"/>
  <c r="H34" i="37"/>
  <c r="G34" i="37"/>
  <c r="F34" i="37"/>
  <c r="DM34" i="37"/>
  <c r="P33" i="37"/>
  <c r="DY33" i="37"/>
  <c r="DW33" i="37"/>
  <c r="DV33" i="37"/>
  <c r="DU33" i="37"/>
  <c r="DS33" i="37"/>
  <c r="DQ33" i="37"/>
  <c r="DO33" i="37"/>
  <c r="DK33" i="37"/>
  <c r="DI33" i="37"/>
  <c r="DH33" i="37"/>
  <c r="DG33" i="37"/>
  <c r="DE33" i="37"/>
  <c r="DD33" i="37"/>
  <c r="DC33" i="37"/>
  <c r="DA33" i="37"/>
  <c r="CZ33" i="37"/>
  <c r="CY33" i="37"/>
  <c r="CX33" i="37"/>
  <c r="CW33" i="37"/>
  <c r="CV33" i="37"/>
  <c r="CU33" i="37"/>
  <c r="CS33" i="37"/>
  <c r="CR33" i="37"/>
  <c r="CQ33" i="37"/>
  <c r="CP33" i="37"/>
  <c r="CO33" i="37"/>
  <c r="CN33" i="37"/>
  <c r="CM33" i="37"/>
  <c r="CK33" i="37"/>
  <c r="CI33" i="37"/>
  <c r="CH33" i="37"/>
  <c r="CG33" i="37"/>
  <c r="CF33" i="37"/>
  <c r="CE33" i="37"/>
  <c r="CD33" i="37"/>
  <c r="CB33" i="37"/>
  <c r="CA33" i="37"/>
  <c r="BZ33" i="37"/>
  <c r="BY33" i="37"/>
  <c r="BX33" i="37"/>
  <c r="BV33" i="37"/>
  <c r="BU33" i="37"/>
  <c r="BS33" i="37"/>
  <c r="BR33" i="37"/>
  <c r="BQ33" i="37"/>
  <c r="BP33" i="37"/>
  <c r="BO33" i="37"/>
  <c r="BN33" i="37"/>
  <c r="BM33" i="37"/>
  <c r="BK33" i="37"/>
  <c r="BJ33" i="37"/>
  <c r="BI33" i="37"/>
  <c r="BH33" i="37"/>
  <c r="BG33" i="37"/>
  <c r="BF33" i="37"/>
  <c r="BE33" i="37"/>
  <c r="BC33" i="37"/>
  <c r="BB33" i="37"/>
  <c r="BA33" i="37"/>
  <c r="AZ33" i="37"/>
  <c r="AY33" i="37"/>
  <c r="AX33" i="37"/>
  <c r="AW33" i="37"/>
  <c r="AU33" i="37"/>
  <c r="AT33" i="37"/>
  <c r="AS33" i="37"/>
  <c r="AR33" i="37"/>
  <c r="AQ33" i="37"/>
  <c r="AP33" i="37"/>
  <c r="AO33" i="37"/>
  <c r="AM33" i="37"/>
  <c r="AL33" i="37"/>
  <c r="AK33" i="37"/>
  <c r="AJ33" i="37"/>
  <c r="AI33" i="37"/>
  <c r="AH33" i="37"/>
  <c r="AG33" i="37"/>
  <c r="AE33" i="37"/>
  <c r="AD33" i="37"/>
  <c r="AC33" i="37"/>
  <c r="AB33" i="37"/>
  <c r="AA33" i="37"/>
  <c r="Z33" i="37"/>
  <c r="Y33" i="37"/>
  <c r="W33" i="37"/>
  <c r="V33" i="37"/>
  <c r="U33" i="37"/>
  <c r="T33" i="37"/>
  <c r="S33" i="37"/>
  <c r="O33" i="37"/>
  <c r="N33" i="37"/>
  <c r="L33" i="37"/>
  <c r="K33" i="37"/>
  <c r="J33" i="37"/>
  <c r="I33" i="37"/>
  <c r="H33" i="37"/>
  <c r="G33" i="37"/>
  <c r="F33" i="37"/>
  <c r="DM33" i="37"/>
  <c r="P32" i="37"/>
  <c r="DY32" i="37"/>
  <c r="DW32" i="37"/>
  <c r="DV32" i="37"/>
  <c r="DU32" i="37"/>
  <c r="DS32" i="37"/>
  <c r="DQ32" i="37"/>
  <c r="DO32" i="37"/>
  <c r="DK32" i="37"/>
  <c r="DI32" i="37"/>
  <c r="DH32" i="37"/>
  <c r="DG32" i="37"/>
  <c r="DE32" i="37"/>
  <c r="DD32" i="37"/>
  <c r="DC32" i="37"/>
  <c r="DA32" i="37"/>
  <c r="CZ32" i="37"/>
  <c r="CY32" i="37"/>
  <c r="CX32" i="37"/>
  <c r="CW32" i="37"/>
  <c r="CV32" i="37"/>
  <c r="CU32" i="37"/>
  <c r="CS32" i="37"/>
  <c r="CR32" i="37"/>
  <c r="CQ32" i="37"/>
  <c r="CP32" i="37"/>
  <c r="CO32" i="37"/>
  <c r="CN32" i="37"/>
  <c r="CM32" i="37"/>
  <c r="CK32" i="37"/>
  <c r="CI32" i="37"/>
  <c r="CH32" i="37"/>
  <c r="CG32" i="37"/>
  <c r="CF32" i="37"/>
  <c r="CE32" i="37"/>
  <c r="CD32" i="37"/>
  <c r="CB32" i="37"/>
  <c r="CA32" i="37"/>
  <c r="BZ32" i="37"/>
  <c r="BY32" i="37"/>
  <c r="BX32" i="37"/>
  <c r="BV32" i="37"/>
  <c r="BU32" i="37"/>
  <c r="BS32" i="37"/>
  <c r="BR32" i="37"/>
  <c r="BQ32" i="37"/>
  <c r="BP32" i="37"/>
  <c r="BO32" i="37"/>
  <c r="BN32" i="37"/>
  <c r="BM32" i="37"/>
  <c r="BK32" i="37"/>
  <c r="BJ32" i="37"/>
  <c r="BI32" i="37"/>
  <c r="BH32" i="37"/>
  <c r="BG32" i="37"/>
  <c r="BF32" i="37"/>
  <c r="BE32" i="37"/>
  <c r="BC32" i="37"/>
  <c r="BB32" i="37"/>
  <c r="BA32" i="37"/>
  <c r="AZ32" i="37"/>
  <c r="AY32" i="37"/>
  <c r="AX32" i="37"/>
  <c r="AW32" i="37"/>
  <c r="AU32" i="37"/>
  <c r="AT32" i="37"/>
  <c r="AS32" i="37"/>
  <c r="AR32" i="37"/>
  <c r="AQ32" i="37"/>
  <c r="AP32" i="37"/>
  <c r="AO32" i="37"/>
  <c r="AM32" i="37"/>
  <c r="AL32" i="37"/>
  <c r="AK32" i="37"/>
  <c r="AJ32" i="37"/>
  <c r="AI32" i="37"/>
  <c r="AH32" i="37"/>
  <c r="AG32" i="37"/>
  <c r="AE32" i="37"/>
  <c r="AD32" i="37"/>
  <c r="AC32" i="37"/>
  <c r="AB32" i="37"/>
  <c r="AA32" i="37"/>
  <c r="Z32" i="37"/>
  <c r="Y32" i="37"/>
  <c r="W32" i="37"/>
  <c r="V32" i="37"/>
  <c r="U32" i="37"/>
  <c r="T32" i="37"/>
  <c r="S32" i="37"/>
  <c r="O32" i="37"/>
  <c r="N32" i="37"/>
  <c r="L32" i="37"/>
  <c r="K32" i="37"/>
  <c r="J32" i="37"/>
  <c r="I32" i="37"/>
  <c r="H32" i="37"/>
  <c r="G32" i="37"/>
  <c r="F32" i="37"/>
  <c r="DM32" i="37"/>
  <c r="DW31" i="37"/>
  <c r="DV31" i="37"/>
  <c r="DU31" i="37"/>
  <c r="P31" i="37"/>
  <c r="DS31" i="37"/>
  <c r="DQ31" i="37"/>
  <c r="DO31" i="37"/>
  <c r="DG31" i="37"/>
  <c r="DE31" i="37"/>
  <c r="DC31" i="37"/>
  <c r="DA31" i="37"/>
  <c r="CW31" i="37"/>
  <c r="CV31" i="37"/>
  <c r="CU31" i="37"/>
  <c r="CS31" i="37"/>
  <c r="CR31" i="37"/>
  <c r="CM31" i="37"/>
  <c r="CK31" i="37"/>
  <c r="CI31" i="37"/>
  <c r="CH31" i="37"/>
  <c r="CD31" i="37"/>
  <c r="CB31" i="37"/>
  <c r="CA31" i="37"/>
  <c r="BY31" i="37"/>
  <c r="BS31" i="37"/>
  <c r="BR31" i="37"/>
  <c r="BQ31" i="37"/>
  <c r="BP31" i="37"/>
  <c r="BO31" i="37"/>
  <c r="BJ31" i="37"/>
  <c r="BH31" i="37"/>
  <c r="BG31" i="37"/>
  <c r="BF31" i="37"/>
  <c r="BA31" i="37"/>
  <c r="AZ31" i="37"/>
  <c r="AY31" i="37"/>
  <c r="AX31" i="37"/>
  <c r="AR31" i="37"/>
  <c r="AQ31" i="37"/>
  <c r="AP31" i="37"/>
  <c r="AO31" i="37"/>
  <c r="AM31" i="37"/>
  <c r="AI31" i="37"/>
  <c r="AH31" i="37"/>
  <c r="AF31" i="37"/>
  <c r="AE31" i="37"/>
  <c r="AA31" i="37"/>
  <c r="Z31" i="37"/>
  <c r="Y31" i="37"/>
  <c r="X31" i="37"/>
  <c r="W31" i="37"/>
  <c r="O31" i="37"/>
  <c r="N31" i="37"/>
  <c r="M31" i="37"/>
  <c r="L31" i="37"/>
  <c r="H31" i="37"/>
  <c r="G31" i="37"/>
  <c r="F31" i="37"/>
  <c r="DW30" i="37"/>
  <c r="DV30" i="37"/>
  <c r="DU30" i="37"/>
  <c r="P30" i="37"/>
  <c r="CU30" i="37"/>
  <c r="CO30" i="37"/>
  <c r="BS30" i="37"/>
  <c r="BO30" i="37"/>
  <c r="AP30" i="37"/>
  <c r="AO30" i="37"/>
  <c r="S30" i="37"/>
  <c r="O30" i="37"/>
  <c r="P29" i="37"/>
  <c r="DY29" i="37"/>
  <c r="DW29" i="37"/>
  <c r="DV29" i="37"/>
  <c r="DU29" i="37"/>
  <c r="DS29" i="37"/>
  <c r="DQ29" i="37"/>
  <c r="DO29" i="37"/>
  <c r="DM29" i="37"/>
  <c r="DK29" i="37"/>
  <c r="DE29" i="37"/>
  <c r="DB29" i="37"/>
  <c r="DA29" i="37"/>
  <c r="CX29" i="37"/>
  <c r="CW29" i="37"/>
  <c r="CU29" i="37"/>
  <c r="CT29" i="37"/>
  <c r="CO29" i="37"/>
  <c r="CN29" i="37"/>
  <c r="CM29" i="37"/>
  <c r="CK29" i="37"/>
  <c r="CG29" i="37"/>
  <c r="CF29" i="37"/>
  <c r="CC29" i="37"/>
  <c r="CB29" i="37"/>
  <c r="BX29" i="37"/>
  <c r="BV29" i="37"/>
  <c r="BU29" i="37"/>
  <c r="BT29" i="37"/>
  <c r="BO29" i="37"/>
  <c r="BM29" i="37"/>
  <c r="BL29" i="37"/>
  <c r="BK29" i="37"/>
  <c r="BH29" i="37"/>
  <c r="BG29" i="37"/>
  <c r="BC29" i="37"/>
  <c r="AZ29" i="37"/>
  <c r="AY29" i="37"/>
  <c r="AX29" i="37"/>
  <c r="AW29" i="37"/>
  <c r="AV29" i="37"/>
  <c r="AP29" i="37"/>
  <c r="AO29" i="37"/>
  <c r="AN29" i="37"/>
  <c r="AM29" i="37"/>
  <c r="AJ29" i="37"/>
  <c r="AI29" i="37"/>
  <c r="AE29" i="37"/>
  <c r="AB29" i="37"/>
  <c r="AA29" i="37"/>
  <c r="Z29" i="37"/>
  <c r="Y29" i="37"/>
  <c r="W29" i="37"/>
  <c r="O29" i="37"/>
  <c r="N29" i="37"/>
  <c r="M29" i="37"/>
  <c r="L29" i="37"/>
  <c r="H29" i="37"/>
  <c r="G29" i="37"/>
  <c r="P28" i="37"/>
  <c r="DY28" i="37"/>
  <c r="DW28" i="37"/>
  <c r="DV28" i="37"/>
  <c r="DU28" i="37"/>
  <c r="DS28" i="37"/>
  <c r="DQ28" i="37"/>
  <c r="DK28" i="37"/>
  <c r="DG28" i="37"/>
  <c r="DE28" i="37"/>
  <c r="DA28" i="37"/>
  <c r="CV28" i="37"/>
  <c r="CU28" i="37"/>
  <c r="CS28" i="37"/>
  <c r="CP28" i="37"/>
  <c r="CO28" i="37"/>
  <c r="CF28" i="37"/>
  <c r="CE28" i="37"/>
  <c r="CD28" i="37"/>
  <c r="CC28" i="37"/>
  <c r="CB28" i="37"/>
  <c r="BU28" i="37"/>
  <c r="BP28" i="37"/>
  <c r="BO28" i="37"/>
  <c r="BN28" i="37"/>
  <c r="BH28" i="37"/>
  <c r="BG28" i="37"/>
  <c r="BF28" i="37"/>
  <c r="BC28" i="37"/>
  <c r="AW28" i="37"/>
  <c r="AV28" i="37"/>
  <c r="AU28" i="37"/>
  <c r="AR28" i="37"/>
  <c r="AQ28" i="37"/>
  <c r="AI28" i="37"/>
  <c r="AH28" i="37"/>
  <c r="AG28" i="37"/>
  <c r="AE28" i="37"/>
  <c r="AB28" i="37"/>
  <c r="Y28" i="37"/>
  <c r="S28" i="37"/>
  <c r="O28" i="37"/>
  <c r="N28" i="37"/>
  <c r="I28" i="37"/>
  <c r="H28" i="37"/>
  <c r="F28" i="37"/>
  <c r="DB28" i="37"/>
  <c r="P27" i="37"/>
  <c r="DY27" i="37"/>
  <c r="DW27" i="37"/>
  <c r="DV27" i="37"/>
  <c r="DU27" i="37"/>
  <c r="DS27" i="37"/>
  <c r="DO27" i="37"/>
  <c r="DM27" i="37"/>
  <c r="DK27" i="37"/>
  <c r="DG27" i="37"/>
  <c r="DE27" i="37"/>
  <c r="DD27" i="37"/>
  <c r="DC27" i="37"/>
  <c r="DA27" i="37"/>
  <c r="CX27" i="37"/>
  <c r="CW27" i="37"/>
  <c r="CV27" i="37"/>
  <c r="CU27" i="37"/>
  <c r="CT27" i="37"/>
  <c r="CS27" i="37"/>
  <c r="CO27" i="37"/>
  <c r="CN27" i="37"/>
  <c r="CM27" i="37"/>
  <c r="CL27" i="37"/>
  <c r="CK27" i="37"/>
  <c r="CG27" i="37"/>
  <c r="CF27" i="37"/>
  <c r="CD27" i="37"/>
  <c r="CC27" i="37"/>
  <c r="CB27" i="37"/>
  <c r="BY27" i="37"/>
  <c r="BX27" i="37"/>
  <c r="BV27" i="37"/>
  <c r="BU27" i="37"/>
  <c r="BS27" i="37"/>
  <c r="BP27" i="37"/>
  <c r="BO27" i="37"/>
  <c r="BN27" i="37"/>
  <c r="BM27" i="37"/>
  <c r="BL27" i="37"/>
  <c r="BK27" i="37"/>
  <c r="BG27" i="37"/>
  <c r="BF27" i="37"/>
  <c r="BE27" i="37"/>
  <c r="BD27" i="37"/>
  <c r="BC27" i="37"/>
  <c r="AZ27" i="37"/>
  <c r="AY27" i="37"/>
  <c r="AW27" i="37"/>
  <c r="AV27" i="37"/>
  <c r="AU27" i="37"/>
  <c r="AR27" i="37"/>
  <c r="AQ27" i="37"/>
  <c r="AP27" i="37"/>
  <c r="AO27" i="37"/>
  <c r="AM27" i="37"/>
  <c r="AJ27" i="37"/>
  <c r="AI27" i="37"/>
  <c r="AH27" i="37"/>
  <c r="AG27" i="37"/>
  <c r="AF27" i="37"/>
  <c r="AE27" i="37"/>
  <c r="AA27" i="37"/>
  <c r="Z27" i="37"/>
  <c r="Y27" i="37"/>
  <c r="X27" i="37"/>
  <c r="W27" i="37"/>
  <c r="T27" i="37"/>
  <c r="S27" i="37"/>
  <c r="N27" i="37"/>
  <c r="M27" i="37"/>
  <c r="L27" i="37"/>
  <c r="I27" i="37"/>
  <c r="H27" i="37"/>
  <c r="G27" i="37"/>
  <c r="F27" i="37"/>
  <c r="P26" i="37"/>
  <c r="DY26" i="37"/>
  <c r="DW26" i="37"/>
  <c r="DV26" i="37"/>
  <c r="DU26" i="37"/>
  <c r="DS26" i="37"/>
  <c r="DQ26" i="37"/>
  <c r="DO26" i="37"/>
  <c r="DK26" i="37"/>
  <c r="DG26" i="37"/>
  <c r="DE26" i="37"/>
  <c r="DD26" i="37"/>
  <c r="DC26" i="37"/>
  <c r="DB26" i="37"/>
  <c r="DA26" i="37"/>
  <c r="CW26" i="37"/>
  <c r="CV26" i="37"/>
  <c r="CU26" i="37"/>
  <c r="CT26" i="37"/>
  <c r="CS26" i="37"/>
  <c r="CP26" i="37"/>
  <c r="CO26" i="37"/>
  <c r="CM26" i="37"/>
  <c r="CL26" i="37"/>
  <c r="CK26" i="37"/>
  <c r="CH26" i="37"/>
  <c r="CG26" i="37"/>
  <c r="CF26" i="37"/>
  <c r="CE26" i="37"/>
  <c r="CC26" i="37"/>
  <c r="CB26" i="37"/>
  <c r="BZ26" i="37"/>
  <c r="BY26" i="37"/>
  <c r="BX26" i="37"/>
  <c r="BV26" i="37"/>
  <c r="BU26" i="37"/>
  <c r="BS26" i="37"/>
  <c r="BQ26" i="37"/>
  <c r="BP26" i="37"/>
  <c r="BO26" i="37"/>
  <c r="BN26" i="37"/>
  <c r="BM26" i="37"/>
  <c r="BL26" i="37"/>
  <c r="BI26" i="37"/>
  <c r="BH26" i="37"/>
  <c r="BG26" i="37"/>
  <c r="BF26" i="37"/>
  <c r="BE26" i="37"/>
  <c r="BD26" i="37"/>
  <c r="BC26" i="37"/>
  <c r="AZ26" i="37"/>
  <c r="AY26" i="37"/>
  <c r="AX26" i="37"/>
  <c r="AW26" i="37"/>
  <c r="AV26" i="37"/>
  <c r="AU26" i="37"/>
  <c r="AS26" i="37"/>
  <c r="AQ26" i="37"/>
  <c r="AP26" i="37"/>
  <c r="AO26" i="37"/>
  <c r="AN26" i="37"/>
  <c r="AM26" i="37"/>
  <c r="AK26" i="37"/>
  <c r="AJ26" i="37"/>
  <c r="AH26" i="37"/>
  <c r="AG26" i="37"/>
  <c r="AF26" i="37"/>
  <c r="AE26" i="37"/>
  <c r="AC26" i="37"/>
  <c r="AB26" i="37"/>
  <c r="AA26" i="37"/>
  <c r="Y26" i="37"/>
  <c r="X26" i="37"/>
  <c r="W26" i="37"/>
  <c r="U26" i="37"/>
  <c r="T26" i="37"/>
  <c r="S26" i="37"/>
  <c r="O26" i="37"/>
  <c r="M26" i="37"/>
  <c r="L26" i="37"/>
  <c r="J26" i="37"/>
  <c r="I26" i="37"/>
  <c r="H26" i="37"/>
  <c r="G26" i="37"/>
  <c r="F26" i="37"/>
  <c r="DW25" i="37"/>
  <c r="DV25" i="37"/>
  <c r="DU25" i="37"/>
  <c r="P25" i="37"/>
  <c r="DH25" i="37"/>
  <c r="CP25" i="37"/>
  <c r="CN25" i="37"/>
  <c r="BU25" i="37"/>
  <c r="BL25" i="37"/>
  <c r="AX25" i="37"/>
  <c r="AU25" i="37"/>
  <c r="Z25" i="37"/>
  <c r="U25" i="37"/>
  <c r="DY25" i="37"/>
  <c r="P24" i="37"/>
  <c r="DY24" i="37"/>
  <c r="DW24" i="37"/>
  <c r="DV24" i="37"/>
  <c r="DU24" i="37"/>
  <c r="DQ24" i="37"/>
  <c r="DO24" i="37"/>
  <c r="DM24" i="37"/>
  <c r="DK24" i="37"/>
  <c r="DH24" i="37"/>
  <c r="DG24" i="37"/>
  <c r="DB24" i="37"/>
  <c r="DA24" i="37"/>
  <c r="CY24" i="37"/>
  <c r="CX24" i="37"/>
  <c r="CW24" i="37"/>
  <c r="CV24" i="37"/>
  <c r="CQ24" i="37"/>
  <c r="CP24" i="37"/>
  <c r="CO24" i="37"/>
  <c r="CN24" i="37"/>
  <c r="CM24" i="37"/>
  <c r="CK24" i="37"/>
  <c r="CF24" i="37"/>
  <c r="CE24" i="37"/>
  <c r="CD24" i="37"/>
  <c r="CC24" i="37"/>
  <c r="BZ24" i="37"/>
  <c r="BY24" i="37"/>
  <c r="BU24" i="37"/>
  <c r="BT24" i="37"/>
  <c r="BS24" i="37"/>
  <c r="BP24" i="37"/>
  <c r="BO24" i="37"/>
  <c r="BN24" i="37"/>
  <c r="BK24" i="37"/>
  <c r="BI24" i="37"/>
  <c r="BG24" i="37"/>
  <c r="BF24" i="37"/>
  <c r="BE24" i="37"/>
  <c r="BD24" i="37"/>
  <c r="AZ24" i="37"/>
  <c r="AY24" i="37"/>
  <c r="AX24" i="37"/>
  <c r="AW24" i="37"/>
  <c r="AV24" i="37"/>
  <c r="AU24" i="37"/>
  <c r="AQ24" i="37"/>
  <c r="AP24" i="37"/>
  <c r="AO24" i="37"/>
  <c r="AN24" i="37"/>
  <c r="AM24" i="37"/>
  <c r="AK24" i="37"/>
  <c r="AH24" i="37"/>
  <c r="AG24" i="37"/>
  <c r="AF24" i="37"/>
  <c r="AE24" i="37"/>
  <c r="AC24" i="37"/>
  <c r="AB24" i="37"/>
  <c r="Y24" i="37"/>
  <c r="X24" i="37"/>
  <c r="W24" i="37"/>
  <c r="U24" i="37"/>
  <c r="T24" i="37"/>
  <c r="S24" i="37"/>
  <c r="M24" i="37"/>
  <c r="L24" i="37"/>
  <c r="J24" i="37"/>
  <c r="I24" i="37"/>
  <c r="H24" i="37"/>
  <c r="G24" i="37"/>
  <c r="DW23" i="37"/>
  <c r="DV23" i="37"/>
  <c r="DU23" i="37"/>
  <c r="P23" i="37"/>
  <c r="DC23" i="37"/>
  <c r="CV23" i="37"/>
  <c r="CK23" i="37"/>
  <c r="CE23" i="37"/>
  <c r="BS23" i="37"/>
  <c r="BP23" i="37"/>
  <c r="BC23" i="37"/>
  <c r="AX23" i="37"/>
  <c r="AJ23" i="37"/>
  <c r="AH23" i="37"/>
  <c r="W23" i="37"/>
  <c r="O23" i="37"/>
  <c r="DH23" i="37"/>
  <c r="P22" i="37"/>
  <c r="DY22" i="37"/>
  <c r="DW22" i="37"/>
  <c r="DV22" i="37"/>
  <c r="DU22" i="37"/>
  <c r="DQ22" i="37"/>
  <c r="DO22" i="37"/>
  <c r="DM22" i="37"/>
  <c r="DK22" i="37"/>
  <c r="DH22" i="37"/>
  <c r="DB22" i="37"/>
  <c r="DA22" i="37"/>
  <c r="CY22" i="37"/>
  <c r="CX22" i="37"/>
  <c r="CW22" i="37"/>
  <c r="CT22" i="37"/>
  <c r="CQ22" i="37"/>
  <c r="CP22" i="37"/>
  <c r="CO22" i="37"/>
  <c r="CL22" i="37"/>
  <c r="CK22" i="37"/>
  <c r="CI22" i="37"/>
  <c r="CF22" i="37"/>
  <c r="CC22" i="37"/>
  <c r="CB22" i="37"/>
  <c r="CA22" i="37"/>
  <c r="BZ22" i="37"/>
  <c r="BY22" i="37"/>
  <c r="BS22" i="37"/>
  <c r="BR22" i="37"/>
  <c r="BQ22" i="37"/>
  <c r="BP22" i="37"/>
  <c r="BO22" i="37"/>
  <c r="BL22" i="37"/>
  <c r="BI22" i="37"/>
  <c r="BH22" i="37"/>
  <c r="BG22" i="37"/>
  <c r="BD22" i="37"/>
  <c r="BC22" i="37"/>
  <c r="BB22" i="37"/>
  <c r="AY22" i="37"/>
  <c r="AV22" i="37"/>
  <c r="AU22" i="37"/>
  <c r="AT22" i="37"/>
  <c r="AS22" i="37"/>
  <c r="AR22" i="37"/>
  <c r="AM22" i="37"/>
  <c r="AL22" i="37"/>
  <c r="AK22" i="37"/>
  <c r="AJ22" i="37"/>
  <c r="AI22" i="37"/>
  <c r="AF22" i="37"/>
  <c r="AC22" i="37"/>
  <c r="AB22" i="37"/>
  <c r="AA22" i="37"/>
  <c r="X22" i="37"/>
  <c r="W22" i="37"/>
  <c r="V22" i="37"/>
  <c r="S22" i="37"/>
  <c r="M22" i="37"/>
  <c r="L22" i="37"/>
  <c r="K22" i="37"/>
  <c r="J22" i="37"/>
  <c r="I22" i="37"/>
  <c r="P21" i="37"/>
  <c r="DY21" i="37"/>
  <c r="DW21" i="37"/>
  <c r="DV21" i="37"/>
  <c r="DU21" i="37"/>
  <c r="DE21" i="37"/>
  <c r="DA21" i="37"/>
  <c r="CQ21" i="37"/>
  <c r="CK21" i="37"/>
  <c r="BZ21" i="37"/>
  <c r="BX21" i="37"/>
  <c r="BK21" i="37"/>
  <c r="BI21" i="37"/>
  <c r="AY21" i="37"/>
  <c r="AS21" i="37"/>
  <c r="AI21" i="37"/>
  <c r="AE21" i="37"/>
  <c r="U21" i="37"/>
  <c r="S21" i="37"/>
  <c r="DS21" i="37"/>
  <c r="P20" i="37"/>
  <c r="DY20" i="37"/>
  <c r="DW20" i="37"/>
  <c r="DV20" i="37"/>
  <c r="DU20" i="37"/>
  <c r="DS20" i="37"/>
  <c r="DM20" i="37"/>
  <c r="DK20" i="37"/>
  <c r="DI20" i="37"/>
  <c r="DH20" i="37"/>
  <c r="DG20" i="37"/>
  <c r="DA20" i="37"/>
  <c r="CZ20" i="37"/>
  <c r="CY20" i="37"/>
  <c r="CX20" i="37"/>
  <c r="CW20" i="37"/>
  <c r="CT20" i="37"/>
  <c r="CQ20" i="37"/>
  <c r="CP20" i="37"/>
  <c r="CO20" i="37"/>
  <c r="CL20" i="37"/>
  <c r="CK20" i="37"/>
  <c r="CI20" i="37"/>
  <c r="CF20" i="37"/>
  <c r="CC20" i="37"/>
  <c r="CB20" i="37"/>
  <c r="CA20" i="37"/>
  <c r="BZ20" i="37"/>
  <c r="BY20" i="37"/>
  <c r="BS20" i="37"/>
  <c r="BR20" i="37"/>
  <c r="BQ20" i="37"/>
  <c r="BP20" i="37"/>
  <c r="BO20" i="37"/>
  <c r="BL20" i="37"/>
  <c r="BI20" i="37"/>
  <c r="BH20" i="37"/>
  <c r="BG20" i="37"/>
  <c r="BD20" i="37"/>
  <c r="BC20" i="37"/>
  <c r="BB20" i="37"/>
  <c r="AY20" i="37"/>
  <c r="AV20" i="37"/>
  <c r="AU20" i="37"/>
  <c r="AT20" i="37"/>
  <c r="AS20" i="37"/>
  <c r="AR20" i="37"/>
  <c r="AM20" i="37"/>
  <c r="AL20" i="37"/>
  <c r="AK20" i="37"/>
  <c r="AJ20" i="37"/>
  <c r="AI20" i="37"/>
  <c r="AF20" i="37"/>
  <c r="AC20" i="37"/>
  <c r="AB20" i="37"/>
  <c r="AA20" i="37"/>
  <c r="X20" i="37"/>
  <c r="W20" i="37"/>
  <c r="V20" i="37"/>
  <c r="S20" i="37"/>
  <c r="M20" i="37"/>
  <c r="L20" i="37"/>
  <c r="K20" i="37"/>
  <c r="J20" i="37"/>
  <c r="I20" i="37"/>
  <c r="DW19" i="37"/>
  <c r="DV19" i="37"/>
  <c r="DU19" i="37"/>
  <c r="P19" i="37"/>
  <c r="BL19" i="37"/>
  <c r="AZ19" i="37"/>
  <c r="AL19" i="37"/>
  <c r="V19" i="37"/>
  <c r="DW18" i="37"/>
  <c r="DV18" i="37"/>
  <c r="DU18" i="37"/>
  <c r="P18" i="37"/>
  <c r="DI18" i="37"/>
  <c r="CU18" i="37"/>
  <c r="CG18" i="37"/>
  <c r="BT18" i="37"/>
  <c r="BI18" i="37"/>
  <c r="AU18" i="37"/>
  <c r="AJ18" i="37"/>
  <c r="X18" i="37"/>
  <c r="H18" i="37"/>
  <c r="DW17" i="37"/>
  <c r="DV17" i="37"/>
  <c r="DU17" i="37"/>
  <c r="P17" i="37"/>
  <c r="DS17" i="37"/>
  <c r="DO17" i="37"/>
  <c r="DK17" i="37"/>
  <c r="DA17" i="37"/>
  <c r="CZ17" i="37"/>
  <c r="CX17" i="37"/>
  <c r="CP17" i="37"/>
  <c r="CO17" i="37"/>
  <c r="CI17" i="37"/>
  <c r="CA17" i="37"/>
  <c r="BZ17" i="37"/>
  <c r="BX17" i="37"/>
  <c r="BO17" i="37"/>
  <c r="BM17" i="37"/>
  <c r="BK17" i="37"/>
  <c r="BC17" i="37"/>
  <c r="BB17" i="37"/>
  <c r="AW17" i="37"/>
  <c r="AO17" i="37"/>
  <c r="AN17" i="37"/>
  <c r="AL17" i="37"/>
  <c r="AD17" i="37"/>
  <c r="AC17" i="37"/>
  <c r="AA17" i="37"/>
  <c r="S17" i="37"/>
  <c r="N17" i="37"/>
  <c r="J17" i="37"/>
  <c r="DC17" i="37"/>
  <c r="DW16" i="37"/>
  <c r="DV16" i="37"/>
  <c r="DU16" i="37"/>
  <c r="P16" i="37"/>
  <c r="DS16" i="37"/>
  <c r="DO16" i="37"/>
  <c r="DM16" i="37"/>
  <c r="DK16" i="37"/>
  <c r="DG16" i="37"/>
  <c r="DE16" i="37"/>
  <c r="DC16" i="37"/>
  <c r="DB16" i="37"/>
  <c r="DA16" i="37"/>
  <c r="CZ16" i="37"/>
  <c r="CW16" i="37"/>
  <c r="CU16" i="37"/>
  <c r="CT16" i="37"/>
  <c r="CS16" i="37"/>
  <c r="CR16" i="37"/>
  <c r="CQ16" i="37"/>
  <c r="CM16" i="37"/>
  <c r="CL16" i="37"/>
  <c r="CK16" i="37"/>
  <c r="CI16" i="37"/>
  <c r="CH16" i="37"/>
  <c r="CG16" i="37"/>
  <c r="CC16" i="37"/>
  <c r="CB16" i="37"/>
  <c r="CA16" i="37"/>
  <c r="BZ16" i="37"/>
  <c r="BY16" i="37"/>
  <c r="BX16" i="37"/>
  <c r="BS16" i="37"/>
  <c r="BR16" i="37"/>
  <c r="BQ16" i="37"/>
  <c r="BP16" i="37"/>
  <c r="BO16" i="37"/>
  <c r="BM16" i="37"/>
  <c r="BJ16" i="37"/>
  <c r="BI16" i="37"/>
  <c r="BH16" i="37"/>
  <c r="BG16" i="37"/>
  <c r="BE16" i="37"/>
  <c r="BD16" i="37"/>
  <c r="BA16" i="37"/>
  <c r="AZ16" i="37"/>
  <c r="AY16" i="37"/>
  <c r="AW16" i="37"/>
  <c r="AV16" i="37"/>
  <c r="AU16" i="37"/>
  <c r="AR16" i="37"/>
  <c r="AQ16" i="37"/>
  <c r="AO16" i="37"/>
  <c r="AN16" i="37"/>
  <c r="AM16" i="37"/>
  <c r="AL16" i="37"/>
  <c r="AI16" i="37"/>
  <c r="AG16" i="37"/>
  <c r="AF16" i="37"/>
  <c r="AE16" i="37"/>
  <c r="AD16" i="37"/>
  <c r="AC16" i="37"/>
  <c r="Y16" i="37"/>
  <c r="X16" i="37"/>
  <c r="W16" i="37"/>
  <c r="V16" i="37"/>
  <c r="U16" i="37"/>
  <c r="T16" i="37"/>
  <c r="M16" i="37"/>
  <c r="L16" i="37"/>
  <c r="K16" i="37"/>
  <c r="J16" i="37"/>
  <c r="I16" i="37"/>
  <c r="H16" i="37"/>
  <c r="DW15" i="37"/>
  <c r="DV15" i="37"/>
  <c r="DU15" i="37"/>
  <c r="P15" i="37"/>
  <c r="DH15" i="37"/>
  <c r="CU15" i="37"/>
  <c r="CI15" i="37"/>
  <c r="BT15" i="37"/>
  <c r="BI15" i="37"/>
  <c r="AW15" i="37"/>
  <c r="AJ15" i="37"/>
  <c r="X15" i="37"/>
  <c r="J15" i="37"/>
  <c r="DW14" i="37"/>
  <c r="DV14" i="37"/>
  <c r="DU14" i="37"/>
  <c r="P14" i="37"/>
  <c r="DM14" i="37"/>
  <c r="DK14" i="37"/>
  <c r="DI14" i="37"/>
  <c r="DH14" i="37"/>
  <c r="DA14" i="37"/>
  <c r="CZ14" i="37"/>
  <c r="CY14" i="37"/>
  <c r="CX14" i="37"/>
  <c r="CW14" i="37"/>
  <c r="CU14" i="37"/>
  <c r="CP14" i="37"/>
  <c r="CO14" i="37"/>
  <c r="CM14" i="37"/>
  <c r="CL14" i="37"/>
  <c r="CH14" i="37"/>
  <c r="CG14" i="37"/>
  <c r="CC14" i="37"/>
  <c r="CB14" i="37"/>
  <c r="BY14" i="37"/>
  <c r="BX14" i="37"/>
  <c r="BU14" i="37"/>
  <c r="BT14" i="37"/>
  <c r="BO14" i="37"/>
  <c r="BM14" i="37"/>
  <c r="BL14" i="37"/>
  <c r="BK14" i="37"/>
  <c r="BJ14" i="37"/>
  <c r="BI14" i="37"/>
  <c r="BC14" i="37"/>
  <c r="BB14" i="37"/>
  <c r="BA14" i="37"/>
  <c r="AZ14" i="37"/>
  <c r="AV14" i="37"/>
  <c r="AU14" i="37"/>
  <c r="AR14" i="37"/>
  <c r="AQ14" i="37"/>
  <c r="AM14" i="37"/>
  <c r="AL14" i="37"/>
  <c r="AK14" i="37"/>
  <c r="AJ14" i="37"/>
  <c r="AD14" i="37"/>
  <c r="AC14" i="37"/>
  <c r="AB14" i="37"/>
  <c r="AA14" i="37"/>
  <c r="Y14" i="37"/>
  <c r="X14" i="37"/>
  <c r="S14" i="37"/>
  <c r="N14" i="37"/>
  <c r="M14" i="37"/>
  <c r="L14" i="37"/>
  <c r="I14" i="37"/>
  <c r="H14" i="37"/>
  <c r="DW13" i="37"/>
  <c r="DV13" i="37"/>
  <c r="DU13" i="37"/>
  <c r="P13" i="37"/>
  <c r="AS13" i="37"/>
  <c r="AE13" i="37"/>
  <c r="DW12" i="37"/>
  <c r="DV12" i="37"/>
  <c r="DU12" i="37"/>
  <c r="P12" i="37"/>
  <c r="DS12" i="37"/>
  <c r="DO12" i="37"/>
  <c r="DM12" i="37"/>
  <c r="DK12" i="37"/>
  <c r="DG12" i="37"/>
  <c r="DE12" i="37"/>
  <c r="DC12" i="37"/>
  <c r="DB12" i="37"/>
  <c r="DA12" i="37"/>
  <c r="CZ12" i="37"/>
  <c r="CW12" i="37"/>
  <c r="CU12" i="37"/>
  <c r="CT12" i="37"/>
  <c r="CS12" i="37"/>
  <c r="CR12" i="37"/>
  <c r="CQ12" i="37"/>
  <c r="CM12" i="37"/>
  <c r="CL12" i="37"/>
  <c r="CK12" i="37"/>
  <c r="CI12" i="37"/>
  <c r="CH12" i="37"/>
  <c r="CG12" i="37"/>
  <c r="CC12" i="37"/>
  <c r="CB12" i="37"/>
  <c r="CA12" i="37"/>
  <c r="BZ12" i="37"/>
  <c r="BY12" i="37"/>
  <c r="BX12" i="37"/>
  <c r="BS12" i="37"/>
  <c r="BR12" i="37"/>
  <c r="BQ12" i="37"/>
  <c r="BP12" i="37"/>
  <c r="BO12" i="37"/>
  <c r="BM12" i="37"/>
  <c r="BJ12" i="37"/>
  <c r="BI12" i="37"/>
  <c r="BH12" i="37"/>
  <c r="BG12" i="37"/>
  <c r="BE12" i="37"/>
  <c r="BD12" i="37"/>
  <c r="BA12" i="37"/>
  <c r="AZ12" i="37"/>
  <c r="AY12" i="37"/>
  <c r="AW12" i="37"/>
  <c r="AV12" i="37"/>
  <c r="AU12" i="37"/>
  <c r="AR12" i="37"/>
  <c r="AQ12" i="37"/>
  <c r="AO12" i="37"/>
  <c r="AN12" i="37"/>
  <c r="AM12" i="37"/>
  <c r="AL12" i="37"/>
  <c r="AI12" i="37"/>
  <c r="AG12" i="37"/>
  <c r="AF12" i="37"/>
  <c r="AE12" i="37"/>
  <c r="AD12" i="37"/>
  <c r="AC12" i="37"/>
  <c r="Y12" i="37"/>
  <c r="X12" i="37"/>
  <c r="W12" i="37"/>
  <c r="V12" i="37"/>
  <c r="U12" i="37"/>
  <c r="T12" i="37"/>
  <c r="M12" i="37"/>
  <c r="L12" i="37"/>
  <c r="K12" i="37"/>
  <c r="J12" i="37"/>
  <c r="I12" i="37"/>
  <c r="H12" i="37"/>
  <c r="DW11" i="37"/>
  <c r="DV11" i="37"/>
  <c r="DU11" i="37"/>
  <c r="P11" i="37"/>
  <c r="DO11" i="37"/>
  <c r="AN11" i="37"/>
  <c r="AC11" i="37"/>
  <c r="P10" i="37"/>
  <c r="DY10" i="37"/>
  <c r="DW10" i="37"/>
  <c r="DV10" i="37"/>
  <c r="DU10" i="37"/>
  <c r="DM10" i="37"/>
  <c r="DK10" i="37"/>
  <c r="DI10" i="37"/>
  <c r="DH10" i="37"/>
  <c r="DG10" i="37"/>
  <c r="CZ10" i="37"/>
  <c r="CY10" i="37"/>
  <c r="CX10" i="37"/>
  <c r="CW10" i="37"/>
  <c r="CU10" i="37"/>
  <c r="CP10" i="37"/>
  <c r="CO10" i="37"/>
  <c r="CM10" i="37"/>
  <c r="CL10" i="37"/>
  <c r="CI10" i="37"/>
  <c r="CD10" i="37"/>
  <c r="CC10" i="37"/>
  <c r="CB10" i="37"/>
  <c r="BZ10" i="37"/>
  <c r="BY10" i="37"/>
  <c r="BS10" i="37"/>
  <c r="BR10" i="37"/>
  <c r="BQ10" i="37"/>
  <c r="BP10" i="37"/>
  <c r="BO10" i="37"/>
  <c r="BJ10" i="37"/>
  <c r="BI10" i="37"/>
  <c r="BH10" i="37"/>
  <c r="BG10" i="37"/>
  <c r="BE10" i="37"/>
  <c r="BA10" i="37"/>
  <c r="AZ10" i="37"/>
  <c r="AY10" i="37"/>
  <c r="AW10" i="37"/>
  <c r="AV10" i="37"/>
  <c r="AR10" i="37"/>
  <c r="AQ10" i="37"/>
  <c r="AO10" i="37"/>
  <c r="AN10" i="37"/>
  <c r="AM10" i="37"/>
  <c r="AI10" i="37"/>
  <c r="AG10" i="37"/>
  <c r="AF10" i="37"/>
  <c r="AE10" i="37"/>
  <c r="AD10" i="37"/>
  <c r="Y10" i="37"/>
  <c r="X10" i="37"/>
  <c r="W10" i="37"/>
  <c r="V10" i="37"/>
  <c r="U10" i="37"/>
  <c r="M10" i="37"/>
  <c r="L10" i="37"/>
  <c r="K10" i="37"/>
  <c r="J10" i="37"/>
  <c r="I10" i="37"/>
  <c r="DW9" i="37"/>
  <c r="DV9" i="37"/>
  <c r="DU9" i="37"/>
  <c r="P9" i="37"/>
  <c r="DS9" i="37"/>
  <c r="DG9" i="37"/>
  <c r="DC9" i="37"/>
  <c r="CW9" i="37"/>
  <c r="CT9" i="37"/>
  <c r="CM9" i="37"/>
  <c r="CK9" i="37"/>
  <c r="CC9" i="37"/>
  <c r="CA9" i="37"/>
  <c r="BS9" i="37"/>
  <c r="BQ9" i="37"/>
  <c r="BJ9" i="37"/>
  <c r="BH9" i="37"/>
  <c r="BA9" i="37"/>
  <c r="AY9" i="37"/>
  <c r="AR9" i="37"/>
  <c r="AO9" i="37"/>
  <c r="AI9" i="37"/>
  <c r="AF9" i="37"/>
  <c r="Y9" i="37"/>
  <c r="W9" i="37"/>
  <c r="M9" i="37"/>
  <c r="K9" i="37"/>
  <c r="DE9" i="37"/>
  <c r="P8" i="37"/>
  <c r="DY8" i="37"/>
  <c r="DW8" i="37"/>
  <c r="DV8" i="37"/>
  <c r="DU8" i="37"/>
  <c r="DM8" i="37"/>
  <c r="DK8" i="37"/>
  <c r="DI8" i="37"/>
  <c r="DG8" i="37"/>
  <c r="DA8" i="37"/>
  <c r="CZ8" i="37"/>
  <c r="CY8" i="37"/>
  <c r="CW8" i="37"/>
  <c r="CR8" i="37"/>
  <c r="CQ8" i="37"/>
  <c r="CP8" i="37"/>
  <c r="CM8" i="37"/>
  <c r="CH8" i="37"/>
  <c r="CG8" i="37"/>
  <c r="CF8" i="37"/>
  <c r="CC8" i="37"/>
  <c r="BY8" i="37"/>
  <c r="BX8" i="37"/>
  <c r="BU8" i="37"/>
  <c r="BS8" i="37"/>
  <c r="BO8" i="37"/>
  <c r="BM8" i="37"/>
  <c r="BL8" i="37"/>
  <c r="BJ8" i="37"/>
  <c r="BE8" i="37"/>
  <c r="BD8" i="37"/>
  <c r="BC8" i="37"/>
  <c r="BA8" i="37"/>
  <c r="AV8" i="37"/>
  <c r="AU8" i="37"/>
  <c r="AT8" i="37"/>
  <c r="AR8" i="37"/>
  <c r="AM8" i="37"/>
  <c r="AL8" i="37"/>
  <c r="AK8" i="37"/>
  <c r="AI8" i="37"/>
  <c r="AD8" i="37"/>
  <c r="AC8" i="37"/>
  <c r="AB8" i="37"/>
  <c r="Y8" i="37"/>
  <c r="U8" i="37"/>
  <c r="T8" i="37"/>
  <c r="S8" i="37"/>
  <c r="M8" i="37"/>
  <c r="I8" i="37"/>
  <c r="H8" i="37"/>
  <c r="F8" i="37"/>
  <c r="P7" i="37"/>
  <c r="DY7" i="37"/>
  <c r="DW7" i="37"/>
  <c r="DV7" i="37"/>
  <c r="DU7" i="37"/>
  <c r="DS7" i="37"/>
  <c r="DO7" i="37"/>
  <c r="DM7" i="37"/>
  <c r="DK7" i="37"/>
  <c r="DI7" i="37"/>
  <c r="DE7" i="37"/>
  <c r="DC7" i="37"/>
  <c r="DB7" i="37"/>
  <c r="DA7" i="37"/>
  <c r="CZ7" i="37"/>
  <c r="CY7" i="37"/>
  <c r="CU7" i="37"/>
  <c r="CT7" i="37"/>
  <c r="CS7" i="37"/>
  <c r="CR7" i="37"/>
  <c r="CQ7" i="37"/>
  <c r="CP7" i="37"/>
  <c r="CL7" i="37"/>
  <c r="CK7" i="37"/>
  <c r="CI7" i="37"/>
  <c r="CH7" i="37"/>
  <c r="CG7" i="37"/>
  <c r="CF7" i="37"/>
  <c r="CB7" i="37"/>
  <c r="CA7" i="37"/>
  <c r="BZ7" i="37"/>
  <c r="BY7" i="37"/>
  <c r="BX7" i="37"/>
  <c r="BU7" i="37"/>
  <c r="BR7" i="37"/>
  <c r="BQ7" i="37"/>
  <c r="BP7" i="37"/>
  <c r="BO7" i="37"/>
  <c r="BM7" i="37"/>
  <c r="BL7" i="37"/>
  <c r="BI7" i="37"/>
  <c r="BH7" i="37"/>
  <c r="BG7" i="37"/>
  <c r="BE7" i="37"/>
  <c r="BD7" i="37"/>
  <c r="BC7" i="37"/>
  <c r="AZ7" i="37"/>
  <c r="AY7" i="37"/>
  <c r="AW7" i="37"/>
  <c r="AV7" i="37"/>
  <c r="AU7" i="37"/>
  <c r="AT7" i="37"/>
  <c r="AQ7" i="37"/>
  <c r="AO7" i="37"/>
  <c r="AN7" i="37"/>
  <c r="AM7" i="37"/>
  <c r="AL7" i="37"/>
  <c r="AK7" i="37"/>
  <c r="AG7" i="37"/>
  <c r="AF7" i="37"/>
  <c r="AE7" i="37"/>
  <c r="AD7" i="37"/>
  <c r="AC7" i="37"/>
  <c r="AB7" i="37"/>
  <c r="X7" i="37"/>
  <c r="W7" i="37"/>
  <c r="V7" i="37"/>
  <c r="U7" i="37"/>
  <c r="T7" i="37"/>
  <c r="S7" i="37"/>
  <c r="L7" i="37"/>
  <c r="K7" i="37"/>
  <c r="J7" i="37"/>
  <c r="I7" i="37"/>
  <c r="H7" i="37"/>
  <c r="F7" i="37"/>
  <c r="DG7" i="37"/>
  <c r="DW6" i="37"/>
  <c r="DV6" i="37"/>
  <c r="DU6" i="37"/>
  <c r="P6" i="37"/>
  <c r="DS6" i="37"/>
  <c r="DO6" i="37"/>
  <c r="DM6" i="37"/>
  <c r="DG6" i="37"/>
  <c r="DE6" i="37"/>
  <c r="DC6" i="37"/>
  <c r="DB6" i="37"/>
  <c r="DA6" i="37"/>
  <c r="CW6" i="37"/>
  <c r="CU6" i="37"/>
  <c r="CT6" i="37"/>
  <c r="CS6" i="37"/>
  <c r="CR6" i="37"/>
  <c r="CM6" i="37"/>
  <c r="CL6" i="37"/>
  <c r="CK6" i="37"/>
  <c r="CI6" i="37"/>
  <c r="CH6" i="37"/>
  <c r="CC6" i="37"/>
  <c r="CB6" i="37"/>
  <c r="CA6" i="37"/>
  <c r="BZ6" i="37"/>
  <c r="BY6" i="37"/>
  <c r="BS6" i="37"/>
  <c r="BR6" i="37"/>
  <c r="BQ6" i="37"/>
  <c r="BP6" i="37"/>
  <c r="BO6" i="37"/>
  <c r="BJ6" i="37"/>
  <c r="BI6" i="37"/>
  <c r="BH6" i="37"/>
  <c r="BG6" i="37"/>
  <c r="BE6" i="37"/>
  <c r="BA6" i="37"/>
  <c r="AZ6" i="37"/>
  <c r="AY6" i="37"/>
  <c r="AW6" i="37"/>
  <c r="AV6" i="37"/>
  <c r="AR6" i="37"/>
  <c r="AQ6" i="37"/>
  <c r="AO6" i="37"/>
  <c r="AN6" i="37"/>
  <c r="AM6" i="37"/>
  <c r="AI6" i="37"/>
  <c r="AG6" i="37"/>
  <c r="AF6" i="37"/>
  <c r="AE6" i="37"/>
  <c r="AD6" i="37"/>
  <c r="Y6" i="37"/>
  <c r="X6" i="37"/>
  <c r="W6" i="37"/>
  <c r="V6" i="37"/>
  <c r="U6" i="37"/>
  <c r="M6" i="37"/>
  <c r="L6" i="37"/>
  <c r="K6" i="37"/>
  <c r="J6" i="37"/>
  <c r="I6" i="37"/>
  <c r="DW5" i="37"/>
  <c r="DV5" i="37"/>
  <c r="DU5" i="37"/>
  <c r="P5" i="37"/>
  <c r="DS5" i="37"/>
  <c r="DG5" i="37"/>
  <c r="DC5" i="37"/>
  <c r="CW5" i="37"/>
  <c r="CT5" i="37"/>
  <c r="CM5" i="37"/>
  <c r="CK5" i="37"/>
  <c r="CC5" i="37"/>
  <c r="CA5" i="37"/>
  <c r="BS5" i="37"/>
  <c r="BQ5" i="37"/>
  <c r="BJ5" i="37"/>
  <c r="BH5" i="37"/>
  <c r="BA5" i="37"/>
  <c r="AY5" i="37"/>
  <c r="AR5" i="37"/>
  <c r="AO5" i="37"/>
  <c r="AI5" i="37"/>
  <c r="AF5" i="37"/>
  <c r="Y5" i="37"/>
  <c r="W5" i="37"/>
  <c r="M5" i="37"/>
  <c r="K5" i="37"/>
  <c r="DM5" i="37"/>
  <c r="P4" i="37"/>
  <c r="DY4" i="37"/>
  <c r="DW4" i="37"/>
  <c r="DV4" i="37"/>
  <c r="DU4" i="37"/>
  <c r="DM4" i="37"/>
  <c r="DK4" i="37"/>
  <c r="DI4" i="37"/>
  <c r="DG4" i="37"/>
  <c r="DA4" i="37"/>
  <c r="CZ4" i="37"/>
  <c r="CY4" i="37"/>
  <c r="CW4" i="37"/>
  <c r="CR4" i="37"/>
  <c r="CQ4" i="37"/>
  <c r="CP4" i="37"/>
  <c r="CM4" i="37"/>
  <c r="CH4" i="37"/>
  <c r="CG4" i="37"/>
  <c r="CF4" i="37"/>
  <c r="CC4" i="37"/>
  <c r="BY4" i="37"/>
  <c r="BX4" i="37"/>
  <c r="BU4" i="37"/>
  <c r="BS4" i="37"/>
  <c r="BO4" i="37"/>
  <c r="BM4" i="37"/>
  <c r="BL4" i="37"/>
  <c r="BJ4" i="37"/>
  <c r="BE4" i="37"/>
  <c r="BD4" i="37"/>
  <c r="BC4" i="37"/>
  <c r="BA4" i="37"/>
  <c r="AV4" i="37"/>
  <c r="AU4" i="37"/>
  <c r="AT4" i="37"/>
  <c r="AR4" i="37"/>
  <c r="AM4" i="37"/>
  <c r="AL4" i="37"/>
  <c r="AK4" i="37"/>
  <c r="AI4" i="37"/>
  <c r="AD4" i="37"/>
  <c r="AC4" i="37"/>
  <c r="AB4" i="37"/>
  <c r="Y4" i="37"/>
  <c r="U4" i="37"/>
  <c r="T4" i="37"/>
  <c r="S4" i="37"/>
  <c r="M4" i="37"/>
  <c r="I4" i="37"/>
  <c r="H4" i="37"/>
  <c r="F4" i="37"/>
  <c r="P3" i="37"/>
  <c r="DY3" i="37"/>
  <c r="DW3" i="37"/>
  <c r="DV3" i="37"/>
  <c r="DU3" i="37"/>
  <c r="DS3" i="37"/>
  <c r="DO3" i="37"/>
  <c r="DM3" i="37"/>
  <c r="DK3" i="37"/>
  <c r="DI3" i="37"/>
  <c r="DE3" i="37"/>
  <c r="DC3" i="37"/>
  <c r="DB3" i="37"/>
  <c r="DA3" i="37"/>
  <c r="CZ3" i="37"/>
  <c r="CY3" i="37"/>
  <c r="CU3" i="37"/>
  <c r="CT3" i="37"/>
  <c r="CS3" i="37"/>
  <c r="CR3" i="37"/>
  <c r="CQ3" i="37"/>
  <c r="CP3" i="37"/>
  <c r="CL3" i="37"/>
  <c r="CK3" i="37"/>
  <c r="CI3" i="37"/>
  <c r="CH3" i="37"/>
  <c r="CG3" i="37"/>
  <c r="CF3" i="37"/>
  <c r="CB3" i="37"/>
  <c r="CA3" i="37"/>
  <c r="BZ3" i="37"/>
  <c r="BY3" i="37"/>
  <c r="BX3" i="37"/>
  <c r="BU3" i="37"/>
  <c r="BR3" i="37"/>
  <c r="BQ3" i="37"/>
  <c r="BP3" i="37"/>
  <c r="BO3" i="37"/>
  <c r="BM3" i="37"/>
  <c r="BL3" i="37"/>
  <c r="BI3" i="37"/>
  <c r="BH3" i="37"/>
  <c r="BG3" i="37"/>
  <c r="BE3" i="37"/>
  <c r="BD3" i="37"/>
  <c r="BC3" i="37"/>
  <c r="BB3" i="37"/>
  <c r="AZ3" i="37"/>
  <c r="AY3" i="37"/>
  <c r="AW3" i="37"/>
  <c r="AV3" i="37"/>
  <c r="AU3" i="37"/>
  <c r="AT3" i="37"/>
  <c r="AS3" i="37"/>
  <c r="AQ3" i="37"/>
  <c r="AO3" i="37"/>
  <c r="AN3" i="37"/>
  <c r="AM3" i="37"/>
  <c r="AL3" i="37"/>
  <c r="AK3" i="37"/>
  <c r="AJ3" i="37"/>
  <c r="AG3" i="37"/>
  <c r="AF3" i="37"/>
  <c r="AE3" i="37"/>
  <c r="AD3" i="37"/>
  <c r="AC3" i="37"/>
  <c r="AB3" i="37"/>
  <c r="AA3" i="37"/>
  <c r="X3" i="37"/>
  <c r="W3" i="37"/>
  <c r="V3" i="37"/>
  <c r="U3" i="37"/>
  <c r="T3" i="37"/>
  <c r="S3" i="37"/>
  <c r="N3" i="37"/>
  <c r="L3" i="37"/>
  <c r="K3" i="37"/>
  <c r="J3" i="37"/>
  <c r="I3" i="37"/>
  <c r="H3" i="37"/>
  <c r="G3" i="37"/>
  <c r="F3" i="37"/>
  <c r="J105" i="38"/>
  <c r="E243" i="46"/>
  <c r="E272" i="46"/>
  <c r="E283" i="46"/>
  <c r="E151" i="46"/>
  <c r="I109" i="44"/>
  <c r="F117" i="46"/>
  <c r="F9" i="46"/>
  <c r="J47" i="38"/>
  <c r="E185" i="46"/>
  <c r="J106" i="38"/>
  <c r="E244" i="46"/>
  <c r="K33" i="38"/>
  <c r="E171" i="46"/>
  <c r="J50" i="38"/>
  <c r="E188" i="46"/>
  <c r="J75" i="38"/>
  <c r="E213" i="46"/>
  <c r="K92" i="38"/>
  <c r="E230" i="46"/>
  <c r="K109" i="38"/>
  <c r="E247" i="46"/>
  <c r="J19" i="38"/>
  <c r="E157" i="46"/>
  <c r="K27" i="38"/>
  <c r="E165" i="46"/>
  <c r="K35" i="38"/>
  <c r="E173" i="46"/>
  <c r="K76" i="38"/>
  <c r="E214" i="46"/>
  <c r="J84" i="38"/>
  <c r="E222" i="46"/>
  <c r="J101" i="38"/>
  <c r="E239" i="46"/>
  <c r="E276" i="46"/>
  <c r="K78" i="38"/>
  <c r="E216" i="46"/>
  <c r="K95" i="38"/>
  <c r="E233" i="46"/>
  <c r="E289" i="46"/>
  <c r="E278" i="46"/>
  <c r="C25" i="44"/>
  <c r="F20" i="46"/>
  <c r="F8" i="46"/>
  <c r="K26" i="38"/>
  <c r="E164" i="46"/>
  <c r="E273" i="46"/>
  <c r="I93" i="44"/>
  <c r="F101" i="46"/>
  <c r="I77" i="44"/>
  <c r="F85" i="46"/>
  <c r="I17" i="44"/>
  <c r="F25" i="46"/>
  <c r="I117" i="44"/>
  <c r="F125" i="46"/>
  <c r="I49" i="44"/>
  <c r="F57" i="46"/>
  <c r="I92" i="44"/>
  <c r="F100" i="46"/>
  <c r="I71" i="44"/>
  <c r="F79" i="46"/>
  <c r="I100" i="44"/>
  <c r="F108" i="46"/>
  <c r="I68" i="44"/>
  <c r="F76" i="46"/>
  <c r="I63" i="44"/>
  <c r="F71" i="46"/>
  <c r="I101" i="44"/>
  <c r="F109" i="46"/>
  <c r="C29" i="44"/>
  <c r="F136" i="46"/>
  <c r="I121" i="44"/>
  <c r="F129" i="46"/>
  <c r="E19" i="44"/>
  <c r="I90" i="44"/>
  <c r="F98" i="46"/>
  <c r="I58" i="44"/>
  <c r="F66" i="46"/>
  <c r="I47" i="44"/>
  <c r="F55" i="46"/>
  <c r="I27" i="44"/>
  <c r="F35" i="46"/>
  <c r="I102" i="44"/>
  <c r="F110" i="46"/>
  <c r="D19" i="44"/>
  <c r="I21" i="44"/>
  <c r="F29" i="46"/>
  <c r="I119" i="44"/>
  <c r="F127" i="46"/>
  <c r="I44" i="44"/>
  <c r="F52" i="46"/>
  <c r="I110" i="44"/>
  <c r="F118" i="46"/>
  <c r="I42" i="44"/>
  <c r="F50" i="46"/>
  <c r="I59" i="44"/>
  <c r="F67" i="46"/>
  <c r="I98" i="44"/>
  <c r="F106" i="46"/>
  <c r="I84" i="44"/>
  <c r="F92" i="46"/>
  <c r="I43" i="44"/>
  <c r="F51" i="46"/>
  <c r="I55" i="44"/>
  <c r="F63" i="46"/>
  <c r="I66" i="44"/>
  <c r="F74" i="46"/>
  <c r="D18" i="44"/>
  <c r="I20" i="44"/>
  <c r="F28" i="46"/>
  <c r="I81" i="44"/>
  <c r="F89" i="46"/>
  <c r="I19" i="44"/>
  <c r="F27" i="46"/>
  <c r="E17" i="44"/>
  <c r="I33" i="44"/>
  <c r="F41" i="46"/>
  <c r="I28" i="44"/>
  <c r="F36" i="46"/>
  <c r="I76" i="44"/>
  <c r="F84" i="46"/>
  <c r="I65" i="44"/>
  <c r="F73" i="46"/>
  <c r="E18" i="44"/>
  <c r="I105" i="44"/>
  <c r="F113" i="46"/>
  <c r="I39" i="44"/>
  <c r="F47" i="46"/>
  <c r="I52" i="44"/>
  <c r="F60" i="46"/>
  <c r="I64" i="44"/>
  <c r="F72" i="46"/>
  <c r="I34" i="44"/>
  <c r="F42" i="46"/>
  <c r="I83" i="44"/>
  <c r="F91" i="46"/>
  <c r="I72" i="44"/>
  <c r="F80" i="46"/>
  <c r="C17" i="44"/>
  <c r="F12" i="46"/>
  <c r="I106" i="44"/>
  <c r="F114" i="46"/>
  <c r="I97" i="44"/>
  <c r="F105" i="46"/>
  <c r="I31" i="44"/>
  <c r="F39" i="46"/>
  <c r="I85" i="44"/>
  <c r="F93" i="46"/>
  <c r="I48" i="44"/>
  <c r="F56" i="46"/>
  <c r="I51" i="44"/>
  <c r="F59" i="46"/>
  <c r="I50" i="44"/>
  <c r="F58" i="46"/>
  <c r="I26" i="44"/>
  <c r="F34" i="46"/>
  <c r="I67" i="44"/>
  <c r="F75" i="46"/>
  <c r="I36" i="44"/>
  <c r="F44" i="46"/>
  <c r="I35" i="44"/>
  <c r="F43" i="46"/>
  <c r="D16" i="44"/>
  <c r="C24" i="44"/>
  <c r="F19" i="46"/>
  <c r="I115" i="44"/>
  <c r="F123" i="46"/>
  <c r="I96" i="44"/>
  <c r="F104" i="46"/>
  <c r="I79" i="44"/>
  <c r="F87" i="46"/>
  <c r="I62" i="44"/>
  <c r="F70" i="46"/>
  <c r="I46" i="44"/>
  <c r="F54" i="46"/>
  <c r="I30" i="44"/>
  <c r="F38" i="46"/>
  <c r="C20" i="44"/>
  <c r="F15" i="46"/>
  <c r="C22" i="44"/>
  <c r="F17" i="46"/>
  <c r="I113" i="44"/>
  <c r="F121" i="46"/>
  <c r="I78" i="44"/>
  <c r="F86" i="46"/>
  <c r="I45" i="44"/>
  <c r="F53" i="46"/>
  <c r="C18" i="44"/>
  <c r="F13" i="46"/>
  <c r="I107" i="44"/>
  <c r="F115" i="46"/>
  <c r="I74" i="44"/>
  <c r="F82" i="46"/>
  <c r="I41" i="44"/>
  <c r="F49" i="46"/>
  <c r="I104" i="44"/>
  <c r="F112" i="46"/>
  <c r="I70" i="44"/>
  <c r="F78" i="46"/>
  <c r="I38" i="44"/>
  <c r="F46" i="46"/>
  <c r="C21" i="44"/>
  <c r="F16" i="46"/>
  <c r="I103" i="44"/>
  <c r="F111" i="46"/>
  <c r="I69" i="44"/>
  <c r="F77" i="46"/>
  <c r="I37" i="44"/>
  <c r="F45" i="46"/>
  <c r="I95" i="44"/>
  <c r="F103" i="46"/>
  <c r="I29" i="44"/>
  <c r="F37" i="46"/>
  <c r="I91" i="44"/>
  <c r="F99" i="46"/>
  <c r="I25" i="44"/>
  <c r="F33" i="46"/>
  <c r="I88" i="44"/>
  <c r="F96" i="46"/>
  <c r="I22" i="44"/>
  <c r="F30" i="46"/>
  <c r="I87" i="44"/>
  <c r="F95" i="46"/>
  <c r="I61" i="44"/>
  <c r="F69" i="46"/>
  <c r="I57" i="44"/>
  <c r="F65" i="46"/>
  <c r="I54" i="44"/>
  <c r="F62" i="46"/>
  <c r="C16" i="44"/>
  <c r="F11" i="46"/>
  <c r="I53" i="44"/>
  <c r="F61" i="46"/>
  <c r="C19" i="44"/>
  <c r="F14" i="46"/>
  <c r="I89" i="44"/>
  <c r="F97" i="46"/>
  <c r="I23" i="44"/>
  <c r="F31" i="46"/>
  <c r="I32" i="44"/>
  <c r="F40" i="46"/>
  <c r="I111" i="44"/>
  <c r="F119" i="46"/>
  <c r="I18" i="44"/>
  <c r="F26" i="46"/>
  <c r="I94" i="44"/>
  <c r="F102" i="46"/>
  <c r="I60" i="44"/>
  <c r="F68" i="46"/>
  <c r="I56" i="44"/>
  <c r="F64" i="46"/>
  <c r="I40" i="44"/>
  <c r="F48" i="46"/>
  <c r="C23" i="44"/>
  <c r="F18" i="46"/>
  <c r="I24" i="44"/>
  <c r="F32" i="46"/>
  <c r="I75" i="44"/>
  <c r="F83" i="46"/>
  <c r="E16" i="44"/>
  <c r="I80" i="44"/>
  <c r="F88" i="46"/>
  <c r="D17" i="44"/>
  <c r="I82" i="44"/>
  <c r="F90" i="46"/>
  <c r="I99" i="44"/>
  <c r="F107" i="46"/>
  <c r="K38" i="38"/>
  <c r="J70" i="38"/>
  <c r="J104" i="38"/>
  <c r="J55" i="38"/>
  <c r="J89" i="38"/>
  <c r="J54" i="38"/>
  <c r="J88" i="38"/>
  <c r="J80" i="38"/>
  <c r="J72" i="38"/>
  <c r="J22" i="38"/>
  <c r="J46" i="38"/>
  <c r="J79" i="38"/>
  <c r="J115" i="38"/>
  <c r="D21" i="38"/>
  <c r="J23" i="38"/>
  <c r="J63" i="38"/>
  <c r="J97" i="38"/>
  <c r="K125" i="38"/>
  <c r="J30" i="38"/>
  <c r="J62" i="38"/>
  <c r="J96" i="38"/>
  <c r="J39" i="38"/>
  <c r="K29" i="38"/>
  <c r="K45" i="38"/>
  <c r="K53" i="38"/>
  <c r="K61" i="38"/>
  <c r="K69" i="38"/>
  <c r="K87" i="38"/>
  <c r="K103" i="38"/>
  <c r="K65" i="38"/>
  <c r="K99" i="38"/>
  <c r="K34" i="38"/>
  <c r="J66" i="38"/>
  <c r="J83" i="38"/>
  <c r="K100" i="38"/>
  <c r="K123" i="38"/>
  <c r="K51" i="38"/>
  <c r="K59" i="38"/>
  <c r="K67" i="38"/>
  <c r="J93" i="38"/>
  <c r="J71" i="38"/>
  <c r="J31" i="38"/>
  <c r="K42" i="38"/>
  <c r="J40" i="38"/>
  <c r="K58" i="38"/>
  <c r="K37" i="38"/>
  <c r="K43" i="38"/>
  <c r="J117" i="38"/>
  <c r="D22" i="38"/>
  <c r="K21" i="38"/>
  <c r="J110" i="38"/>
  <c r="K110" i="38"/>
  <c r="K113" i="38"/>
  <c r="E20" i="38"/>
  <c r="K75" i="38"/>
  <c r="J18" i="38"/>
  <c r="K62" i="38"/>
  <c r="K66" i="38"/>
  <c r="K96" i="38"/>
  <c r="J42" i="38"/>
  <c r="K93" i="38"/>
  <c r="K97" i="38"/>
  <c r="K84" i="38"/>
  <c r="K50" i="38"/>
  <c r="K104" i="38"/>
  <c r="J26" i="38"/>
  <c r="J58" i="38"/>
  <c r="J34" i="38"/>
  <c r="J53" i="38"/>
  <c r="K70" i="38"/>
  <c r="K89" i="38"/>
  <c r="K101" i="38"/>
  <c r="K19" i="38"/>
  <c r="K105" i="38"/>
  <c r="K83" i="38"/>
  <c r="B26" i="38"/>
  <c r="E8" i="46"/>
  <c r="J29" i="38"/>
  <c r="J37" i="38"/>
  <c r="J45" i="38"/>
  <c r="K117" i="38"/>
  <c r="E22" i="38"/>
  <c r="J59" i="38"/>
  <c r="J67" i="38"/>
  <c r="J76" i="38"/>
  <c r="K80" i="38"/>
  <c r="K30" i="38"/>
  <c r="J51" i="38"/>
  <c r="K63" i="38"/>
  <c r="K71" i="38"/>
  <c r="K18" i="38"/>
  <c r="J27" i="38"/>
  <c r="J35" i="38"/>
  <c r="J43" i="38"/>
  <c r="K47" i="38"/>
  <c r="J95" i="38"/>
  <c r="J103" i="38"/>
  <c r="J113" i="38"/>
  <c r="D20" i="38"/>
  <c r="J38" i="38"/>
  <c r="K23" i="38"/>
  <c r="K31" i="38"/>
  <c r="K39" i="38"/>
  <c r="J87" i="38"/>
  <c r="J92" i="38"/>
  <c r="J100" i="38"/>
  <c r="J109" i="38"/>
  <c r="K55" i="38"/>
  <c r="J61" i="38"/>
  <c r="J69" i="38"/>
  <c r="J78" i="38"/>
  <c r="C31" i="38"/>
  <c r="E138" i="46"/>
  <c r="DQ11" i="37"/>
  <c r="DD11" i="37"/>
  <c r="CV11" i="37"/>
  <c r="CN11" i="37"/>
  <c r="CE11" i="37"/>
  <c r="BV11" i="37"/>
  <c r="BN11" i="37"/>
  <c r="BF11" i="37"/>
  <c r="AX11" i="37"/>
  <c r="AP11" i="37"/>
  <c r="AH11" i="37"/>
  <c r="Z11" i="37"/>
  <c r="O11" i="37"/>
  <c r="G11" i="37"/>
  <c r="DM11" i="37"/>
  <c r="DA11" i="37"/>
  <c r="CR11" i="37"/>
  <c r="CH11" i="37"/>
  <c r="BY11" i="37"/>
  <c r="BO11" i="37"/>
  <c r="BE11" i="37"/>
  <c r="AV11" i="37"/>
  <c r="AM11" i="37"/>
  <c r="AD11" i="37"/>
  <c r="U11" i="37"/>
  <c r="I11" i="37"/>
  <c r="DY11" i="37"/>
  <c r="DH11" i="37"/>
  <c r="CW11" i="37"/>
  <c r="CL11" i="37"/>
  <c r="CA11" i="37"/>
  <c r="BP11" i="37"/>
  <c r="BD11" i="37"/>
  <c r="AT11" i="37"/>
  <c r="AJ11" i="37"/>
  <c r="Y11" i="37"/>
  <c r="L11" i="37"/>
  <c r="DC11" i="37"/>
  <c r="CG11" i="37"/>
  <c r="BA11" i="37"/>
  <c r="AF11" i="37"/>
  <c r="V11" i="37"/>
  <c r="AE11" i="37"/>
  <c r="DG11" i="37"/>
  <c r="CU11" i="37"/>
  <c r="CK11" i="37"/>
  <c r="BZ11" i="37"/>
  <c r="BM11" i="37"/>
  <c r="BC11" i="37"/>
  <c r="AS11" i="37"/>
  <c r="AI11" i="37"/>
  <c r="X11" i="37"/>
  <c r="K11" i="37"/>
  <c r="CT11" i="37"/>
  <c r="BX11" i="37"/>
  <c r="AR11" i="37"/>
  <c r="W11" i="37"/>
  <c r="CQ11" i="37"/>
  <c r="BJ11" i="37"/>
  <c r="T11" i="37"/>
  <c r="DE11" i="37"/>
  <c r="CI11" i="37"/>
  <c r="BL11" i="37"/>
  <c r="BB11" i="37"/>
  <c r="AG11" i="37"/>
  <c r="J11" i="37"/>
  <c r="CS11" i="37"/>
  <c r="BU11" i="37"/>
  <c r="BK11" i="37"/>
  <c r="AQ11" i="37"/>
  <c r="H11" i="37"/>
  <c r="DS11" i="37"/>
  <c r="DB11" i="37"/>
  <c r="CF11" i="37"/>
  <c r="BT11" i="37"/>
  <c r="AZ11" i="37"/>
  <c r="AO11" i="37"/>
  <c r="F11" i="37"/>
  <c r="DK11" i="37"/>
  <c r="CY11" i="37"/>
  <c r="CO11" i="37"/>
  <c r="CC11" i="37"/>
  <c r="BR11" i="37"/>
  <c r="BH11" i="37"/>
  <c r="AW11" i="37"/>
  <c r="AL11" i="37"/>
  <c r="AB11" i="37"/>
  <c r="N11" i="37"/>
  <c r="DI11" i="37"/>
  <c r="CX11" i="37"/>
  <c r="CM11" i="37"/>
  <c r="CB11" i="37"/>
  <c r="BQ11" i="37"/>
  <c r="BG11" i="37"/>
  <c r="AU11" i="37"/>
  <c r="AK11" i="37"/>
  <c r="AA11" i="37"/>
  <c r="M11" i="37"/>
  <c r="CP11" i="37"/>
  <c r="DQ13" i="37"/>
  <c r="DD13" i="37"/>
  <c r="CV13" i="37"/>
  <c r="CN13" i="37"/>
  <c r="CE13" i="37"/>
  <c r="BV13" i="37"/>
  <c r="BN13" i="37"/>
  <c r="BF13" i="37"/>
  <c r="AX13" i="37"/>
  <c r="AP13" i="37"/>
  <c r="AH13" i="37"/>
  <c r="Z13" i="37"/>
  <c r="O13" i="37"/>
  <c r="G13" i="37"/>
  <c r="DG13" i="37"/>
  <c r="CW13" i="37"/>
  <c r="CM13" i="37"/>
  <c r="CC13" i="37"/>
  <c r="BS13" i="37"/>
  <c r="BJ13" i="37"/>
  <c r="BA13" i="37"/>
  <c r="AR13" i="37"/>
  <c r="AI13" i="37"/>
  <c r="Y13" i="37"/>
  <c r="M13" i="37"/>
  <c r="DE13" i="37"/>
  <c r="CU13" i="37"/>
  <c r="CL13" i="37"/>
  <c r="CB13" i="37"/>
  <c r="BR13" i="37"/>
  <c r="BI13" i="37"/>
  <c r="AZ13" i="37"/>
  <c r="AQ13" i="37"/>
  <c r="AG13" i="37"/>
  <c r="X13" i="37"/>
  <c r="L13" i="37"/>
  <c r="DM13" i="37"/>
  <c r="CY13" i="37"/>
  <c r="CK13" i="37"/>
  <c r="BY13" i="37"/>
  <c r="BL13" i="37"/>
  <c r="AY13" i="37"/>
  <c r="AM13" i="37"/>
  <c r="AB13" i="37"/>
  <c r="K13" i="37"/>
  <c r="DH13" i="37"/>
  <c r="CS13" i="37"/>
  <c r="CG13" i="37"/>
  <c r="BT13" i="37"/>
  <c r="AU13" i="37"/>
  <c r="AJ13" i="37"/>
  <c r="V13" i="37"/>
  <c r="CR13" i="37"/>
  <c r="AT13" i="37"/>
  <c r="DK13" i="37"/>
  <c r="CX13" i="37"/>
  <c r="CI13" i="37"/>
  <c r="BX13" i="37"/>
  <c r="BK13" i="37"/>
  <c r="AW13" i="37"/>
  <c r="AL13" i="37"/>
  <c r="AA13" i="37"/>
  <c r="J13" i="37"/>
  <c r="DY13" i="37"/>
  <c r="BG13" i="37"/>
  <c r="BQ13" i="37"/>
  <c r="F13" i="37"/>
  <c r="DI13" i="37"/>
  <c r="CT13" i="37"/>
  <c r="CH13" i="37"/>
  <c r="BU13" i="37"/>
  <c r="BH13" i="37"/>
  <c r="AV13" i="37"/>
  <c r="AK13" i="37"/>
  <c r="W13" i="37"/>
  <c r="I13" i="37"/>
  <c r="H13" i="37"/>
  <c r="DC13" i="37"/>
  <c r="CF13" i="37"/>
  <c r="BE13" i="37"/>
  <c r="AF13" i="37"/>
  <c r="U13" i="37"/>
  <c r="DS13" i="37"/>
  <c r="DA13" i="37"/>
  <c r="CP13" i="37"/>
  <c r="CA13" i="37"/>
  <c r="BO13" i="37"/>
  <c r="BC13" i="37"/>
  <c r="AO13" i="37"/>
  <c r="AD13" i="37"/>
  <c r="S13" i="37"/>
  <c r="DO13" i="37"/>
  <c r="CZ13" i="37"/>
  <c r="CO13" i="37"/>
  <c r="BZ13" i="37"/>
  <c r="BM13" i="37"/>
  <c r="BB13" i="37"/>
  <c r="AN13" i="37"/>
  <c r="AC13" i="37"/>
  <c r="N13" i="37"/>
  <c r="DB13" i="37"/>
  <c r="S11" i="37"/>
  <c r="CZ11" i="37"/>
  <c r="T13" i="37"/>
  <c r="AY11" i="37"/>
  <c r="BI11" i="37"/>
  <c r="BP13" i="37"/>
  <c r="BS11" i="37"/>
  <c r="CD13" i="37"/>
  <c r="BD13" i="37"/>
  <c r="CD11" i="37"/>
  <c r="CQ13" i="37"/>
  <c r="DQ19" i="37"/>
  <c r="DD19" i="37"/>
  <c r="CV19" i="37"/>
  <c r="CN19" i="37"/>
  <c r="CE19" i="37"/>
  <c r="BV19" i="37"/>
  <c r="BN19" i="37"/>
  <c r="BF19" i="37"/>
  <c r="AX19" i="37"/>
  <c r="AP19" i="37"/>
  <c r="AH19" i="37"/>
  <c r="Z19" i="37"/>
  <c r="O19" i="37"/>
  <c r="G19" i="37"/>
  <c r="DO19" i="37"/>
  <c r="DC19" i="37"/>
  <c r="CU19" i="37"/>
  <c r="CM19" i="37"/>
  <c r="CD19" i="37"/>
  <c r="BU19" i="37"/>
  <c r="BM19" i="37"/>
  <c r="BE19" i="37"/>
  <c r="AW19" i="37"/>
  <c r="AO19" i="37"/>
  <c r="AG19" i="37"/>
  <c r="Y19" i="37"/>
  <c r="N19" i="37"/>
  <c r="F19" i="37"/>
  <c r="DK19" i="37"/>
  <c r="CY19" i="37"/>
  <c r="CO19" i="37"/>
  <c r="CB19" i="37"/>
  <c r="BQ19" i="37"/>
  <c r="BG19" i="37"/>
  <c r="AU19" i="37"/>
  <c r="AK19" i="37"/>
  <c r="AA19" i="37"/>
  <c r="L19" i="37"/>
  <c r="DI19" i="37"/>
  <c r="CX19" i="37"/>
  <c r="CL19" i="37"/>
  <c r="CA19" i="37"/>
  <c r="BP19" i="37"/>
  <c r="BD19" i="37"/>
  <c r="AT19" i="37"/>
  <c r="AJ19" i="37"/>
  <c r="X19" i="37"/>
  <c r="K19" i="37"/>
  <c r="DA19" i="37"/>
  <c r="CK19" i="37"/>
  <c r="BX19" i="37"/>
  <c r="BI19" i="37"/>
  <c r="AS19" i="37"/>
  <c r="AE19" i="37"/>
  <c r="S19" i="37"/>
  <c r="AN19" i="37"/>
  <c r="DH19" i="37"/>
  <c r="BO19" i="37"/>
  <c r="W19" i="37"/>
  <c r="CZ19" i="37"/>
  <c r="CI19" i="37"/>
  <c r="BT19" i="37"/>
  <c r="BH19" i="37"/>
  <c r="AR19" i="37"/>
  <c r="AD19" i="37"/>
  <c r="M19" i="37"/>
  <c r="BR19" i="37"/>
  <c r="I19" i="37"/>
  <c r="CS19" i="37"/>
  <c r="BA19" i="37"/>
  <c r="H19" i="37"/>
  <c r="CR19" i="37"/>
  <c r="CC19" i="37"/>
  <c r="DS19" i="37"/>
  <c r="CW19" i="37"/>
  <c r="CH19" i="37"/>
  <c r="BS19" i="37"/>
  <c r="BC19" i="37"/>
  <c r="AQ19" i="37"/>
  <c r="AC19" i="37"/>
  <c r="J19" i="37"/>
  <c r="DM19" i="37"/>
  <c r="CT19" i="37"/>
  <c r="CG19" i="37"/>
  <c r="BB19" i="37"/>
  <c r="AB19" i="37"/>
  <c r="CF19" i="37"/>
  <c r="AM19" i="37"/>
  <c r="DG19" i="37"/>
  <c r="DY19" i="37"/>
  <c r="DE19" i="37"/>
  <c r="CQ19" i="37"/>
  <c r="BZ19" i="37"/>
  <c r="BK19" i="37"/>
  <c r="AY19" i="37"/>
  <c r="AI19" i="37"/>
  <c r="U19" i="37"/>
  <c r="DB19" i="37"/>
  <c r="CP19" i="37"/>
  <c r="BY19" i="37"/>
  <c r="BJ19" i="37"/>
  <c r="AV19" i="37"/>
  <c r="AF19" i="37"/>
  <c r="T19" i="37"/>
  <c r="DQ15" i="37"/>
  <c r="DD15" i="37"/>
  <c r="CV15" i="37"/>
  <c r="CN15" i="37"/>
  <c r="CE15" i="37"/>
  <c r="BV15" i="37"/>
  <c r="BN15" i="37"/>
  <c r="BF15" i="37"/>
  <c r="AX15" i="37"/>
  <c r="AP15" i="37"/>
  <c r="AH15" i="37"/>
  <c r="Z15" i="37"/>
  <c r="O15" i="37"/>
  <c r="G15" i="37"/>
  <c r="DM15" i="37"/>
  <c r="DA15" i="37"/>
  <c r="CR15" i="37"/>
  <c r="CH15" i="37"/>
  <c r="BY15" i="37"/>
  <c r="BO15" i="37"/>
  <c r="BE15" i="37"/>
  <c r="AV15" i="37"/>
  <c r="AM15" i="37"/>
  <c r="AD15" i="37"/>
  <c r="U15" i="37"/>
  <c r="I15" i="37"/>
  <c r="DK15" i="37"/>
  <c r="CZ15" i="37"/>
  <c r="CQ15" i="37"/>
  <c r="CG15" i="37"/>
  <c r="BX15" i="37"/>
  <c r="BM15" i="37"/>
  <c r="BD15" i="37"/>
  <c r="AU15" i="37"/>
  <c r="AL15" i="37"/>
  <c r="AC15" i="37"/>
  <c r="T15" i="37"/>
  <c r="H15" i="37"/>
  <c r="V15" i="37"/>
  <c r="AG15" i="37"/>
  <c r="AS15" i="37"/>
  <c r="BG15" i="37"/>
  <c r="BR15" i="37"/>
  <c r="CD15" i="37"/>
  <c r="CS15" i="37"/>
  <c r="DE15" i="37"/>
  <c r="DQ18" i="37"/>
  <c r="DD18" i="37"/>
  <c r="CV18" i="37"/>
  <c r="CN18" i="37"/>
  <c r="CE18" i="37"/>
  <c r="BV18" i="37"/>
  <c r="BN18" i="37"/>
  <c r="BF18" i="37"/>
  <c r="AX18" i="37"/>
  <c r="AP18" i="37"/>
  <c r="AH18" i="37"/>
  <c r="Z18" i="37"/>
  <c r="O18" i="37"/>
  <c r="G18" i="37"/>
  <c r="DO18" i="37"/>
  <c r="DC18" i="37"/>
  <c r="DE18" i="37"/>
  <c r="CT18" i="37"/>
  <c r="CK18" i="37"/>
  <c r="CA18" i="37"/>
  <c r="BQ18" i="37"/>
  <c r="BH18" i="37"/>
  <c r="AY18" i="37"/>
  <c r="AO18" i="37"/>
  <c r="AF18" i="37"/>
  <c r="W18" i="37"/>
  <c r="K18" i="37"/>
  <c r="DB18" i="37"/>
  <c r="CS18" i="37"/>
  <c r="CI18" i="37"/>
  <c r="BZ18" i="37"/>
  <c r="BP18" i="37"/>
  <c r="BG18" i="37"/>
  <c r="AW18" i="37"/>
  <c r="AN18" i="37"/>
  <c r="AE18" i="37"/>
  <c r="V18" i="37"/>
  <c r="J18" i="37"/>
  <c r="T18" i="37"/>
  <c r="AG18" i="37"/>
  <c r="AS18" i="37"/>
  <c r="BD18" i="37"/>
  <c r="BR18" i="37"/>
  <c r="CD18" i="37"/>
  <c r="CQ18" i="37"/>
  <c r="DG18" i="37"/>
  <c r="DI30" i="37"/>
  <c r="CZ30" i="37"/>
  <c r="CR30" i="37"/>
  <c r="CI30" i="37"/>
  <c r="CA30" i="37"/>
  <c r="BR30" i="37"/>
  <c r="BJ30" i="37"/>
  <c r="BB30" i="37"/>
  <c r="AT30" i="37"/>
  <c r="AL30" i="37"/>
  <c r="AD30" i="37"/>
  <c r="V30" i="37"/>
  <c r="K30" i="37"/>
  <c r="DH30" i="37"/>
  <c r="CY30" i="37"/>
  <c r="CQ30" i="37"/>
  <c r="CH30" i="37"/>
  <c r="BZ30" i="37"/>
  <c r="BQ30" i="37"/>
  <c r="BI30" i="37"/>
  <c r="BA30" i="37"/>
  <c r="AS30" i="37"/>
  <c r="AK30" i="37"/>
  <c r="AC30" i="37"/>
  <c r="U30" i="37"/>
  <c r="J30" i="37"/>
  <c r="DM30" i="37"/>
  <c r="CX30" i="37"/>
  <c r="CN30" i="37"/>
  <c r="CC30" i="37"/>
  <c r="BP30" i="37"/>
  <c r="BF30" i="37"/>
  <c r="AV30" i="37"/>
  <c r="AJ30" i="37"/>
  <c r="Z30" i="37"/>
  <c r="M30" i="37"/>
  <c r="DO30" i="37"/>
  <c r="CW30" i="37"/>
  <c r="CL30" i="37"/>
  <c r="BX30" i="37"/>
  <c r="BL30" i="37"/>
  <c r="AY30" i="37"/>
  <c r="AN30" i="37"/>
  <c r="AA30" i="37"/>
  <c r="L30" i="37"/>
  <c r="DK30" i="37"/>
  <c r="CV30" i="37"/>
  <c r="CK30" i="37"/>
  <c r="BV30" i="37"/>
  <c r="BK30" i="37"/>
  <c r="AX30" i="37"/>
  <c r="AM30" i="37"/>
  <c r="Y30" i="37"/>
  <c r="I30" i="37"/>
  <c r="DQ30" i="37"/>
  <c r="CT30" i="37"/>
  <c r="CD30" i="37"/>
  <c r="BM30" i="37"/>
  <c r="AU30" i="37"/>
  <c r="AF30" i="37"/>
  <c r="N30" i="37"/>
  <c r="DG30" i="37"/>
  <c r="CS30" i="37"/>
  <c r="CB30" i="37"/>
  <c r="BH30" i="37"/>
  <c r="AR30" i="37"/>
  <c r="AE30" i="37"/>
  <c r="H30" i="37"/>
  <c r="DE30" i="37"/>
  <c r="CP30" i="37"/>
  <c r="BY30" i="37"/>
  <c r="BG30" i="37"/>
  <c r="AQ30" i="37"/>
  <c r="AB30" i="37"/>
  <c r="G30" i="37"/>
  <c r="AH30" i="37"/>
  <c r="BE30" i="37"/>
  <c r="CG30" i="37"/>
  <c r="DS30" i="37"/>
  <c r="DQ4" i="37"/>
  <c r="DD4" i="37"/>
  <c r="CV4" i="37"/>
  <c r="CN4" i="37"/>
  <c r="CE4" i="37"/>
  <c r="BV4" i="37"/>
  <c r="BN4" i="37"/>
  <c r="BF4" i="37"/>
  <c r="AX4" i="37"/>
  <c r="AP4" i="37"/>
  <c r="AH4" i="37"/>
  <c r="Z4" i="37"/>
  <c r="O4" i="37"/>
  <c r="G4" i="37"/>
  <c r="N4" i="37"/>
  <c r="AA4" i="37"/>
  <c r="AJ4" i="37"/>
  <c r="AS4" i="37"/>
  <c r="BB4" i="37"/>
  <c r="BK4" i="37"/>
  <c r="BT4" i="37"/>
  <c r="CD4" i="37"/>
  <c r="CO4" i="37"/>
  <c r="CX4" i="37"/>
  <c r="DH4" i="37"/>
  <c r="L5" i="37"/>
  <c r="X5" i="37"/>
  <c r="AG5" i="37"/>
  <c r="AQ5" i="37"/>
  <c r="AZ5" i="37"/>
  <c r="BI5" i="37"/>
  <c r="BR5" i="37"/>
  <c r="CB5" i="37"/>
  <c r="CL5" i="37"/>
  <c r="CU5" i="37"/>
  <c r="DE5" i="37"/>
  <c r="DQ8" i="37"/>
  <c r="DD8" i="37"/>
  <c r="CV8" i="37"/>
  <c r="CN8" i="37"/>
  <c r="CE8" i="37"/>
  <c r="BV8" i="37"/>
  <c r="BN8" i="37"/>
  <c r="BF8" i="37"/>
  <c r="AX8" i="37"/>
  <c r="AP8" i="37"/>
  <c r="AH8" i="37"/>
  <c r="Z8" i="37"/>
  <c r="O8" i="37"/>
  <c r="G8" i="37"/>
  <c r="N8" i="37"/>
  <c r="AA8" i="37"/>
  <c r="AJ8" i="37"/>
  <c r="AS8" i="37"/>
  <c r="BB8" i="37"/>
  <c r="BK8" i="37"/>
  <c r="BT8" i="37"/>
  <c r="CD8" i="37"/>
  <c r="CO8" i="37"/>
  <c r="CX8" i="37"/>
  <c r="DH8" i="37"/>
  <c r="L9" i="37"/>
  <c r="X9" i="37"/>
  <c r="AG9" i="37"/>
  <c r="AQ9" i="37"/>
  <c r="AZ9" i="37"/>
  <c r="BI9" i="37"/>
  <c r="BR9" i="37"/>
  <c r="CB9" i="37"/>
  <c r="CL9" i="37"/>
  <c r="CU9" i="37"/>
  <c r="F15" i="37"/>
  <c r="W15" i="37"/>
  <c r="AI15" i="37"/>
  <c r="AT15" i="37"/>
  <c r="BH15" i="37"/>
  <c r="BS15" i="37"/>
  <c r="CF15" i="37"/>
  <c r="CT15" i="37"/>
  <c r="DG15" i="37"/>
  <c r="DY15" i="37"/>
  <c r="K17" i="37"/>
  <c r="AB17" i="37"/>
  <c r="AM17" i="37"/>
  <c r="AY17" i="37"/>
  <c r="BL17" i="37"/>
  <c r="BY17" i="37"/>
  <c r="CK17" i="37"/>
  <c r="CY17" i="37"/>
  <c r="DM17" i="37"/>
  <c r="F18" i="37"/>
  <c r="U18" i="37"/>
  <c r="AI18" i="37"/>
  <c r="AT18" i="37"/>
  <c r="BE18" i="37"/>
  <c r="BS18" i="37"/>
  <c r="CF18" i="37"/>
  <c r="CR18" i="37"/>
  <c r="DH18" i="37"/>
  <c r="DY18" i="37"/>
  <c r="T21" i="37"/>
  <c r="AF21" i="37"/>
  <c r="AV21" i="37"/>
  <c r="BJ21" i="37"/>
  <c r="BY21" i="37"/>
  <c r="CP21" i="37"/>
  <c r="DB21" i="37"/>
  <c r="S23" i="37"/>
  <c r="AI23" i="37"/>
  <c r="AY23" i="37"/>
  <c r="BQ23" i="37"/>
  <c r="CF23" i="37"/>
  <c r="CW23" i="37"/>
  <c r="W25" i="37"/>
  <c r="AW25" i="37"/>
  <c r="BP25" i="37"/>
  <c r="CO25" i="37"/>
  <c r="DS25" i="37"/>
  <c r="F30" i="37"/>
  <c r="AI30" i="37"/>
  <c r="BN30" i="37"/>
  <c r="CM30" i="37"/>
  <c r="AA5" i="37"/>
  <c r="AS5" i="37"/>
  <c r="BB5" i="37"/>
  <c r="BT5" i="37"/>
  <c r="CD5" i="37"/>
  <c r="CX5" i="37"/>
  <c r="DH5" i="37"/>
  <c r="DQ9" i="37"/>
  <c r="DD9" i="37"/>
  <c r="CV9" i="37"/>
  <c r="CN9" i="37"/>
  <c r="CE9" i="37"/>
  <c r="BV9" i="37"/>
  <c r="BN9" i="37"/>
  <c r="BF9" i="37"/>
  <c r="AX9" i="37"/>
  <c r="AP9" i="37"/>
  <c r="AH9" i="37"/>
  <c r="Z9" i="37"/>
  <c r="O9" i="37"/>
  <c r="G9" i="37"/>
  <c r="AA9" i="37"/>
  <c r="AS9" i="37"/>
  <c r="BK9" i="37"/>
  <c r="CD9" i="37"/>
  <c r="CO9" i="37"/>
  <c r="CX9" i="37"/>
  <c r="DH9" i="37"/>
  <c r="K15" i="37"/>
  <c r="Y15" i="37"/>
  <c r="AY15" i="37"/>
  <c r="BU15" i="37"/>
  <c r="CK15" i="37"/>
  <c r="CW15" i="37"/>
  <c r="DI15" i="37"/>
  <c r="I18" i="37"/>
  <c r="AV18" i="37"/>
  <c r="CW18" i="37"/>
  <c r="S5" i="37"/>
  <c r="AK5" i="37"/>
  <c r="BL5" i="37"/>
  <c r="CF5" i="37"/>
  <c r="DY5" i="37"/>
  <c r="F9" i="37"/>
  <c r="AK9" i="37"/>
  <c r="BC9" i="37"/>
  <c r="CF9" i="37"/>
  <c r="AA15" i="37"/>
  <c r="AZ15" i="37"/>
  <c r="BZ15" i="37"/>
  <c r="CL15" i="37"/>
  <c r="DO15" i="37"/>
  <c r="T17" i="37"/>
  <c r="BD17" i="37"/>
  <c r="CQ17" i="37"/>
  <c r="L18" i="37"/>
  <c r="AL18" i="37"/>
  <c r="BX18" i="37"/>
  <c r="DM18" i="37"/>
  <c r="W21" i="37"/>
  <c r="AM21" i="37"/>
  <c r="BO21" i="37"/>
  <c r="CF21" i="37"/>
  <c r="CS21" i="37"/>
  <c r="DH21" i="37"/>
  <c r="F23" i="37"/>
  <c r="CB25" i="37"/>
  <c r="T30" i="37"/>
  <c r="J4" i="37"/>
  <c r="AW4" i="37"/>
  <c r="CI4" i="37"/>
  <c r="DB4" i="37"/>
  <c r="AC5" i="37"/>
  <c r="AU5" i="37"/>
  <c r="BM5" i="37"/>
  <c r="CZ5" i="37"/>
  <c r="AN8" i="37"/>
  <c r="DB8" i="37"/>
  <c r="DQ10" i="37"/>
  <c r="DD10" i="37"/>
  <c r="CV10" i="37"/>
  <c r="CN10" i="37"/>
  <c r="CE10" i="37"/>
  <c r="BV10" i="37"/>
  <c r="BN10" i="37"/>
  <c r="BF10" i="37"/>
  <c r="AX10" i="37"/>
  <c r="AP10" i="37"/>
  <c r="AH10" i="37"/>
  <c r="Z10" i="37"/>
  <c r="O10" i="37"/>
  <c r="G10" i="37"/>
  <c r="DS10" i="37"/>
  <c r="DC10" i="37"/>
  <c r="CT10" i="37"/>
  <c r="CK10" i="37"/>
  <c r="CA10" i="37"/>
  <c r="AA10" i="37"/>
  <c r="AS10" i="37"/>
  <c r="BB10" i="37"/>
  <c r="BT10" i="37"/>
  <c r="DA10" i="37"/>
  <c r="M15" i="37"/>
  <c r="AB15" i="37"/>
  <c r="AO15" i="37"/>
  <c r="BA15" i="37"/>
  <c r="BL15" i="37"/>
  <c r="CA15" i="37"/>
  <c r="CM15" i="37"/>
  <c r="CY15" i="37"/>
  <c r="DS15" i="37"/>
  <c r="F17" i="37"/>
  <c r="U17" i="37"/>
  <c r="AF17" i="37"/>
  <c r="AT17" i="37"/>
  <c r="BE17" i="37"/>
  <c r="BQ17" i="37"/>
  <c r="CF17" i="37"/>
  <c r="CR17" i="37"/>
  <c r="M18" i="37"/>
  <c r="AB18" i="37"/>
  <c r="AM18" i="37"/>
  <c r="BA18" i="37"/>
  <c r="BL18" i="37"/>
  <c r="BY18" i="37"/>
  <c r="CM18" i="37"/>
  <c r="CY18" i="37"/>
  <c r="DS18" i="37"/>
  <c r="I21" i="37"/>
  <c r="AB21" i="37"/>
  <c r="AN21" i="37"/>
  <c r="BB21" i="37"/>
  <c r="BR21" i="37"/>
  <c r="CG21" i="37"/>
  <c r="CT21" i="37"/>
  <c r="DM21" i="37"/>
  <c r="G23" i="37"/>
  <c r="Z23" i="37"/>
  <c r="AR23" i="37"/>
  <c r="BH23" i="37"/>
  <c r="BV23" i="37"/>
  <c r="CP23" i="37"/>
  <c r="DG23" i="37"/>
  <c r="G25" i="37"/>
  <c r="AJ25" i="37"/>
  <c r="BH25" i="37"/>
  <c r="CC25" i="37"/>
  <c r="DB25" i="37"/>
  <c r="W30" i="37"/>
  <c r="AZ30" i="37"/>
  <c r="BU30" i="37"/>
  <c r="DB30" i="37"/>
  <c r="N5" i="37"/>
  <c r="BB9" i="37"/>
  <c r="BJ15" i="37"/>
  <c r="Y18" i="37"/>
  <c r="BJ18" i="37"/>
  <c r="CH18" i="37"/>
  <c r="V21" i="37"/>
  <c r="AZ21" i="37"/>
  <c r="BL21" i="37"/>
  <c r="CR21" i="37"/>
  <c r="DG21" i="37"/>
  <c r="X23" i="37"/>
  <c r="BD23" i="37"/>
  <c r="BT23" i="37"/>
  <c r="DD23" i="37"/>
  <c r="DY23" i="37"/>
  <c r="DI25" i="37"/>
  <c r="CZ25" i="37"/>
  <c r="CR25" i="37"/>
  <c r="CI25" i="37"/>
  <c r="CA25" i="37"/>
  <c r="BR25" i="37"/>
  <c r="BJ25" i="37"/>
  <c r="BB25" i="37"/>
  <c r="AT25" i="37"/>
  <c r="AL25" i="37"/>
  <c r="AD25" i="37"/>
  <c r="V25" i="37"/>
  <c r="K25" i="37"/>
  <c r="DM25" i="37"/>
  <c r="DA25" i="37"/>
  <c r="CQ25" i="37"/>
  <c r="CG25" i="37"/>
  <c r="BX25" i="37"/>
  <c r="BN25" i="37"/>
  <c r="BE25" i="37"/>
  <c r="AV25" i="37"/>
  <c r="AM25" i="37"/>
  <c r="AC25" i="37"/>
  <c r="T25" i="37"/>
  <c r="H25" i="37"/>
  <c r="DG25" i="37"/>
  <c r="CV25" i="37"/>
  <c r="CL25" i="37"/>
  <c r="BZ25" i="37"/>
  <c r="BO25" i="37"/>
  <c r="BD25" i="37"/>
  <c r="AS25" i="37"/>
  <c r="AI25" i="37"/>
  <c r="Y25" i="37"/>
  <c r="L25" i="37"/>
  <c r="DE25" i="37"/>
  <c r="CU25" i="37"/>
  <c r="CK25" i="37"/>
  <c r="BY25" i="37"/>
  <c r="BM25" i="37"/>
  <c r="BC25" i="37"/>
  <c r="AR25" i="37"/>
  <c r="AH25" i="37"/>
  <c r="X25" i="37"/>
  <c r="J25" i="37"/>
  <c r="DQ25" i="37"/>
  <c r="CX25" i="37"/>
  <c r="CH25" i="37"/>
  <c r="BT25" i="37"/>
  <c r="BG25" i="37"/>
  <c r="AQ25" i="37"/>
  <c r="AE25" i="37"/>
  <c r="N25" i="37"/>
  <c r="DO25" i="37"/>
  <c r="CW25" i="37"/>
  <c r="CF25" i="37"/>
  <c r="BS25" i="37"/>
  <c r="BF25" i="37"/>
  <c r="AP25" i="37"/>
  <c r="AB25" i="37"/>
  <c r="M25" i="37"/>
  <c r="DK25" i="37"/>
  <c r="CT25" i="37"/>
  <c r="CE25" i="37"/>
  <c r="BQ25" i="37"/>
  <c r="BA25" i="37"/>
  <c r="AO25" i="37"/>
  <c r="AA25" i="37"/>
  <c r="I25" i="37"/>
  <c r="BV25" i="37"/>
  <c r="AB5" i="37"/>
  <c r="AT5" i="37"/>
  <c r="BU5" i="37"/>
  <c r="CP5" i="37"/>
  <c r="DI5" i="37"/>
  <c r="AB9" i="37"/>
  <c r="AT9" i="37"/>
  <c r="BU9" i="37"/>
  <c r="CP9" i="37"/>
  <c r="CY9" i="37"/>
  <c r="DI9" i="37"/>
  <c r="DY9" i="37"/>
  <c r="DQ17" i="37"/>
  <c r="DD17" i="37"/>
  <c r="CV17" i="37"/>
  <c r="CN17" i="37"/>
  <c r="CE17" i="37"/>
  <c r="BV17" i="37"/>
  <c r="BN17" i="37"/>
  <c r="BF17" i="37"/>
  <c r="AX17" i="37"/>
  <c r="AP17" i="37"/>
  <c r="AH17" i="37"/>
  <c r="Z17" i="37"/>
  <c r="O17" i="37"/>
  <c r="G17" i="37"/>
  <c r="DG17" i="37"/>
  <c r="CW17" i="37"/>
  <c r="CM17" i="37"/>
  <c r="CC17" i="37"/>
  <c r="BS17" i="37"/>
  <c r="BJ17" i="37"/>
  <c r="BA17" i="37"/>
  <c r="AR17" i="37"/>
  <c r="AI17" i="37"/>
  <c r="Y17" i="37"/>
  <c r="M17" i="37"/>
  <c r="DE17" i="37"/>
  <c r="CU17" i="37"/>
  <c r="CL17" i="37"/>
  <c r="CB17" i="37"/>
  <c r="BR17" i="37"/>
  <c r="BI17" i="37"/>
  <c r="AZ17" i="37"/>
  <c r="AQ17" i="37"/>
  <c r="AG17" i="37"/>
  <c r="X17" i="37"/>
  <c r="L17" i="37"/>
  <c r="AS17" i="37"/>
  <c r="CD17" i="37"/>
  <c r="AA18" i="37"/>
  <c r="BK18" i="37"/>
  <c r="CX18" i="37"/>
  <c r="BA21" i="37"/>
  <c r="Y23" i="37"/>
  <c r="AQ23" i="37"/>
  <c r="BG23" i="37"/>
  <c r="BU23" i="37"/>
  <c r="CO23" i="37"/>
  <c r="DE23" i="37"/>
  <c r="AG25" i="37"/>
  <c r="AE4" i="37"/>
  <c r="BP4" i="37"/>
  <c r="H5" i="37"/>
  <c r="DQ6" i="37"/>
  <c r="DD6" i="37"/>
  <c r="CV6" i="37"/>
  <c r="CN6" i="37"/>
  <c r="CE6" i="37"/>
  <c r="BV6" i="37"/>
  <c r="BN6" i="37"/>
  <c r="BF6" i="37"/>
  <c r="AX6" i="37"/>
  <c r="AP6" i="37"/>
  <c r="AH6" i="37"/>
  <c r="Z6" i="37"/>
  <c r="O6" i="37"/>
  <c r="G6" i="37"/>
  <c r="AA6" i="37"/>
  <c r="AS6" i="37"/>
  <c r="BK6" i="37"/>
  <c r="CD6" i="37"/>
  <c r="CX6" i="37"/>
  <c r="J8" i="37"/>
  <c r="V8" i="37"/>
  <c r="AW8" i="37"/>
  <c r="BP8" i="37"/>
  <c r="CI8" i="37"/>
  <c r="CS8" i="37"/>
  <c r="H9" i="37"/>
  <c r="T9" i="37"/>
  <c r="AC9" i="37"/>
  <c r="AL9" i="37"/>
  <c r="AU9" i="37"/>
  <c r="BM9" i="37"/>
  <c r="BX9" i="37"/>
  <c r="CG9" i="37"/>
  <c r="CQ9" i="37"/>
  <c r="CZ9" i="37"/>
  <c r="DK9" i="37"/>
  <c r="N10" i="37"/>
  <c r="AJ10" i="37"/>
  <c r="BK10" i="37"/>
  <c r="CF10" i="37"/>
  <c r="CQ10" i="37"/>
  <c r="DO10" i="37"/>
  <c r="DQ3" i="37"/>
  <c r="DD3" i="37"/>
  <c r="CV3" i="37"/>
  <c r="CN3" i="37"/>
  <c r="CE3" i="37"/>
  <c r="BV3" i="37"/>
  <c r="BN3" i="37"/>
  <c r="BF3" i="37"/>
  <c r="AX3" i="37"/>
  <c r="AP3" i="37"/>
  <c r="AH3" i="37"/>
  <c r="Z3" i="37"/>
  <c r="O3" i="37"/>
  <c r="M3" i="37"/>
  <c r="Y3" i="37"/>
  <c r="AI3" i="37"/>
  <c r="AR3" i="37"/>
  <c r="BA3" i="37"/>
  <c r="BJ3" i="37"/>
  <c r="BS3" i="37"/>
  <c r="CC3" i="37"/>
  <c r="CM3" i="37"/>
  <c r="CW3" i="37"/>
  <c r="DG3" i="37"/>
  <c r="K4" i="37"/>
  <c r="W4" i="37"/>
  <c r="AF4" i="37"/>
  <c r="AO4" i="37"/>
  <c r="AY4" i="37"/>
  <c r="BH4" i="37"/>
  <c r="BQ4" i="37"/>
  <c r="CA4" i="37"/>
  <c r="CK4" i="37"/>
  <c r="CT4" i="37"/>
  <c r="DC4" i="37"/>
  <c r="DS4" i="37"/>
  <c r="I5" i="37"/>
  <c r="U5" i="37"/>
  <c r="AD5" i="37"/>
  <c r="AM5" i="37"/>
  <c r="AV5" i="37"/>
  <c r="BE5" i="37"/>
  <c r="BO5" i="37"/>
  <c r="BY5" i="37"/>
  <c r="CH5" i="37"/>
  <c r="CR5" i="37"/>
  <c r="DA5" i="37"/>
  <c r="F6" i="37"/>
  <c r="S6" i="37"/>
  <c r="AB6" i="37"/>
  <c r="AK6" i="37"/>
  <c r="AT6" i="37"/>
  <c r="BC6" i="37"/>
  <c r="BL6" i="37"/>
  <c r="BU6" i="37"/>
  <c r="CF6" i="37"/>
  <c r="CP6" i="37"/>
  <c r="CY6" i="37"/>
  <c r="DI6" i="37"/>
  <c r="DY6" i="37"/>
  <c r="M7" i="37"/>
  <c r="Y7" i="37"/>
  <c r="AI7" i="37"/>
  <c r="AR7" i="37"/>
  <c r="BA7" i="37"/>
  <c r="BJ7" i="37"/>
  <c r="BS7" i="37"/>
  <c r="CC7" i="37"/>
  <c r="CM7" i="37"/>
  <c r="CW7" i="37"/>
  <c r="K8" i="37"/>
  <c r="W8" i="37"/>
  <c r="AF8" i="37"/>
  <c r="AO8" i="37"/>
  <c r="AY8" i="37"/>
  <c r="BH8" i="37"/>
  <c r="BQ8" i="37"/>
  <c r="CA8" i="37"/>
  <c r="CK8" i="37"/>
  <c r="CT8" i="37"/>
  <c r="DC8" i="37"/>
  <c r="DS8" i="37"/>
  <c r="I9" i="37"/>
  <c r="U9" i="37"/>
  <c r="AD9" i="37"/>
  <c r="AM9" i="37"/>
  <c r="AV9" i="37"/>
  <c r="BE9" i="37"/>
  <c r="BO9" i="37"/>
  <c r="BY9" i="37"/>
  <c r="CH9" i="37"/>
  <c r="CR9" i="37"/>
  <c r="DA9" i="37"/>
  <c r="DM9" i="37"/>
  <c r="F10" i="37"/>
  <c r="S10" i="37"/>
  <c r="AB10" i="37"/>
  <c r="AK10" i="37"/>
  <c r="AT10" i="37"/>
  <c r="BC10" i="37"/>
  <c r="BL10" i="37"/>
  <c r="BU10" i="37"/>
  <c r="CG10" i="37"/>
  <c r="CR10" i="37"/>
  <c r="DB10" i="37"/>
  <c r="DQ14" i="37"/>
  <c r="DD14" i="37"/>
  <c r="CV14" i="37"/>
  <c r="CN14" i="37"/>
  <c r="CE14" i="37"/>
  <c r="BV14" i="37"/>
  <c r="BN14" i="37"/>
  <c r="BF14" i="37"/>
  <c r="AX14" i="37"/>
  <c r="AP14" i="37"/>
  <c r="AH14" i="37"/>
  <c r="Z14" i="37"/>
  <c r="O14" i="37"/>
  <c r="G14" i="37"/>
  <c r="DS14" i="37"/>
  <c r="DC14" i="37"/>
  <c r="CT14" i="37"/>
  <c r="CK14" i="37"/>
  <c r="CA14" i="37"/>
  <c r="BQ14" i="37"/>
  <c r="BH14" i="37"/>
  <c r="AY14" i="37"/>
  <c r="AO14" i="37"/>
  <c r="AF14" i="37"/>
  <c r="W14" i="37"/>
  <c r="K14" i="37"/>
  <c r="DO14" i="37"/>
  <c r="DB14" i="37"/>
  <c r="CS14" i="37"/>
  <c r="CI14" i="37"/>
  <c r="BZ14" i="37"/>
  <c r="BP14" i="37"/>
  <c r="BG14" i="37"/>
  <c r="AW14" i="37"/>
  <c r="AN14" i="37"/>
  <c r="AE14" i="37"/>
  <c r="V14" i="37"/>
  <c r="J14" i="37"/>
  <c r="T14" i="37"/>
  <c r="AG14" i="37"/>
  <c r="AS14" i="37"/>
  <c r="BD14" i="37"/>
  <c r="BR14" i="37"/>
  <c r="CD14" i="37"/>
  <c r="CQ14" i="37"/>
  <c r="DE14" i="37"/>
  <c r="N15" i="37"/>
  <c r="AE15" i="37"/>
  <c r="AQ15" i="37"/>
  <c r="BB15" i="37"/>
  <c r="BP15" i="37"/>
  <c r="CB15" i="37"/>
  <c r="CO15" i="37"/>
  <c r="DB15" i="37"/>
  <c r="H17" i="37"/>
  <c r="V17" i="37"/>
  <c r="AJ17" i="37"/>
  <c r="AU17" i="37"/>
  <c r="BG17" i="37"/>
  <c r="BT17" i="37"/>
  <c r="CG17" i="37"/>
  <c r="CS17" i="37"/>
  <c r="DH17" i="37"/>
  <c r="N18" i="37"/>
  <c r="AC18" i="37"/>
  <c r="AQ18" i="37"/>
  <c r="BB18" i="37"/>
  <c r="BM18" i="37"/>
  <c r="CB18" i="37"/>
  <c r="CO18" i="37"/>
  <c r="CZ18" i="37"/>
  <c r="J21" i="37"/>
  <c r="AC21" i="37"/>
  <c r="AQ21" i="37"/>
  <c r="BC21" i="37"/>
  <c r="BS21" i="37"/>
  <c r="CH21" i="37"/>
  <c r="CW21" i="37"/>
  <c r="J23" i="37"/>
  <c r="AF23" i="37"/>
  <c r="AS23" i="37"/>
  <c r="BI23" i="37"/>
  <c r="CC23" i="37"/>
  <c r="CT23" i="37"/>
  <c r="O25" i="37"/>
  <c r="AK25" i="37"/>
  <c r="BI25" i="37"/>
  <c r="CD25" i="37"/>
  <c r="DC25" i="37"/>
  <c r="X30" i="37"/>
  <c r="BC30" i="37"/>
  <c r="CE30" i="37"/>
  <c r="DC30" i="37"/>
  <c r="DQ5" i="37"/>
  <c r="DD5" i="37"/>
  <c r="CV5" i="37"/>
  <c r="CN5" i="37"/>
  <c r="CE5" i="37"/>
  <c r="BV5" i="37"/>
  <c r="BN5" i="37"/>
  <c r="BF5" i="37"/>
  <c r="AX5" i="37"/>
  <c r="AP5" i="37"/>
  <c r="AH5" i="37"/>
  <c r="Z5" i="37"/>
  <c r="O5" i="37"/>
  <c r="G5" i="37"/>
  <c r="AJ5" i="37"/>
  <c r="BK5" i="37"/>
  <c r="CO5" i="37"/>
  <c r="N9" i="37"/>
  <c r="AJ9" i="37"/>
  <c r="BT9" i="37"/>
  <c r="AK15" i="37"/>
  <c r="AK18" i="37"/>
  <c r="BU18" i="37"/>
  <c r="DK18" i="37"/>
  <c r="DQ21" i="37"/>
  <c r="DD21" i="37"/>
  <c r="CV21" i="37"/>
  <c r="CN21" i="37"/>
  <c r="CE21" i="37"/>
  <c r="BV21" i="37"/>
  <c r="BN21" i="37"/>
  <c r="BF21" i="37"/>
  <c r="AX21" i="37"/>
  <c r="AP21" i="37"/>
  <c r="AH21" i="37"/>
  <c r="Z21" i="37"/>
  <c r="O21" i="37"/>
  <c r="G21" i="37"/>
  <c r="DO21" i="37"/>
  <c r="DC21" i="37"/>
  <c r="CU21" i="37"/>
  <c r="CM21" i="37"/>
  <c r="CD21" i="37"/>
  <c r="BU21" i="37"/>
  <c r="BM21" i="37"/>
  <c r="BE21" i="37"/>
  <c r="AW21" i="37"/>
  <c r="AO21" i="37"/>
  <c r="AG21" i="37"/>
  <c r="Y21" i="37"/>
  <c r="N21" i="37"/>
  <c r="F21" i="37"/>
  <c r="DK21" i="37"/>
  <c r="CY21" i="37"/>
  <c r="CO21" i="37"/>
  <c r="CB21" i="37"/>
  <c r="BQ21" i="37"/>
  <c r="BG21" i="37"/>
  <c r="AU21" i="37"/>
  <c r="AK21" i="37"/>
  <c r="AA21" i="37"/>
  <c r="L21" i="37"/>
  <c r="DI21" i="37"/>
  <c r="CX21" i="37"/>
  <c r="CL21" i="37"/>
  <c r="CA21" i="37"/>
  <c r="BP21" i="37"/>
  <c r="BD21" i="37"/>
  <c r="AT21" i="37"/>
  <c r="AJ21" i="37"/>
  <c r="X21" i="37"/>
  <c r="K21" i="37"/>
  <c r="AL21" i="37"/>
  <c r="CC21" i="37"/>
  <c r="DI23" i="37"/>
  <c r="CZ23" i="37"/>
  <c r="CR23" i="37"/>
  <c r="CI23" i="37"/>
  <c r="CA23" i="37"/>
  <c r="BR23" i="37"/>
  <c r="BJ23" i="37"/>
  <c r="BB23" i="37"/>
  <c r="AT23" i="37"/>
  <c r="AL23" i="37"/>
  <c r="AD23" i="37"/>
  <c r="V23" i="37"/>
  <c r="K23" i="37"/>
  <c r="DO23" i="37"/>
  <c r="DB23" i="37"/>
  <c r="CS23" i="37"/>
  <c r="CH23" i="37"/>
  <c r="BY23" i="37"/>
  <c r="BO23" i="37"/>
  <c r="BF23" i="37"/>
  <c r="AW23" i="37"/>
  <c r="AN23" i="37"/>
  <c r="AE23" i="37"/>
  <c r="U23" i="37"/>
  <c r="I23" i="37"/>
  <c r="DM23" i="37"/>
  <c r="DA23" i="37"/>
  <c r="CQ23" i="37"/>
  <c r="CG23" i="37"/>
  <c r="BX23" i="37"/>
  <c r="BN23" i="37"/>
  <c r="BE23" i="37"/>
  <c r="AV23" i="37"/>
  <c r="AM23" i="37"/>
  <c r="AC23" i="37"/>
  <c r="T23" i="37"/>
  <c r="H23" i="37"/>
  <c r="DS23" i="37"/>
  <c r="CY23" i="37"/>
  <c r="CN23" i="37"/>
  <c r="CB23" i="37"/>
  <c r="BM23" i="37"/>
  <c r="BA23" i="37"/>
  <c r="AP23" i="37"/>
  <c r="AB23" i="37"/>
  <c r="N23" i="37"/>
  <c r="DQ23" i="37"/>
  <c r="CX23" i="37"/>
  <c r="CM23" i="37"/>
  <c r="BZ23" i="37"/>
  <c r="BL23" i="37"/>
  <c r="AZ23" i="37"/>
  <c r="AO23" i="37"/>
  <c r="AA23" i="37"/>
  <c r="M23" i="37"/>
  <c r="AK23" i="37"/>
  <c r="CL23" i="37"/>
  <c r="AF25" i="37"/>
  <c r="AY25" i="37"/>
  <c r="CS25" i="37"/>
  <c r="F5" i="37"/>
  <c r="BC5" i="37"/>
  <c r="CY5" i="37"/>
  <c r="S9" i="37"/>
  <c r="BL9" i="37"/>
  <c r="L15" i="37"/>
  <c r="AN15" i="37"/>
  <c r="BK15" i="37"/>
  <c r="CX15" i="37"/>
  <c r="AE17" i="37"/>
  <c r="BP17" i="37"/>
  <c r="DB17" i="37"/>
  <c r="AZ18" i="37"/>
  <c r="CL18" i="37"/>
  <c r="H21" i="37"/>
  <c r="F25" i="37"/>
  <c r="AZ25" i="37"/>
  <c r="CY25" i="37"/>
  <c r="AW30" i="37"/>
  <c r="BT30" i="37"/>
  <c r="DA30" i="37"/>
  <c r="DY30" i="37"/>
  <c r="V4" i="37"/>
  <c r="AN4" i="37"/>
  <c r="BG4" i="37"/>
  <c r="BZ4" i="37"/>
  <c r="CS4" i="37"/>
  <c r="DO4" i="37"/>
  <c r="T5" i="37"/>
  <c r="AL5" i="37"/>
  <c r="BD5" i="37"/>
  <c r="BX5" i="37"/>
  <c r="CG5" i="37"/>
  <c r="CQ5" i="37"/>
  <c r="DK5" i="37"/>
  <c r="N6" i="37"/>
  <c r="AJ6" i="37"/>
  <c r="BB6" i="37"/>
  <c r="BT6" i="37"/>
  <c r="CO6" i="37"/>
  <c r="DH6" i="37"/>
  <c r="AE8" i="37"/>
  <c r="BG8" i="37"/>
  <c r="BZ8" i="37"/>
  <c r="DO8" i="37"/>
  <c r="BD9" i="37"/>
  <c r="BK3" i="37"/>
  <c r="BT3" i="37"/>
  <c r="CD3" i="37"/>
  <c r="CO3" i="37"/>
  <c r="CX3" i="37"/>
  <c r="DH3" i="37"/>
  <c r="L4" i="37"/>
  <c r="X4" i="37"/>
  <c r="AG4" i="37"/>
  <c r="AQ4" i="37"/>
  <c r="AZ4" i="37"/>
  <c r="BI4" i="37"/>
  <c r="BR4" i="37"/>
  <c r="CB4" i="37"/>
  <c r="CL4" i="37"/>
  <c r="CU4" i="37"/>
  <c r="DE4" i="37"/>
  <c r="J5" i="37"/>
  <c r="V5" i="37"/>
  <c r="AE5" i="37"/>
  <c r="AN5" i="37"/>
  <c r="AW5" i="37"/>
  <c r="BG5" i="37"/>
  <c r="BP5" i="37"/>
  <c r="BZ5" i="37"/>
  <c r="CI5" i="37"/>
  <c r="CS5" i="37"/>
  <c r="DB5" i="37"/>
  <c r="DO5" i="37"/>
  <c r="H6" i="37"/>
  <c r="T6" i="37"/>
  <c r="AC6" i="37"/>
  <c r="AL6" i="37"/>
  <c r="AU6" i="37"/>
  <c r="BD6" i="37"/>
  <c r="BM6" i="37"/>
  <c r="BX6" i="37"/>
  <c r="CG6" i="37"/>
  <c r="CQ6" i="37"/>
  <c r="CZ6" i="37"/>
  <c r="DK6" i="37"/>
  <c r="DQ7" i="37"/>
  <c r="DD7" i="37"/>
  <c r="CV7" i="37"/>
  <c r="CN7" i="37"/>
  <c r="CE7" i="37"/>
  <c r="BV7" i="37"/>
  <c r="BN7" i="37"/>
  <c r="BF7" i="37"/>
  <c r="AX7" i="37"/>
  <c r="AP7" i="37"/>
  <c r="AH7" i="37"/>
  <c r="Z7" i="37"/>
  <c r="O7" i="37"/>
  <c r="G7" i="37"/>
  <c r="N7" i="37"/>
  <c r="AA7" i="37"/>
  <c r="AJ7" i="37"/>
  <c r="AS7" i="37"/>
  <c r="BB7" i="37"/>
  <c r="BK7" i="37"/>
  <c r="BT7" i="37"/>
  <c r="CD7" i="37"/>
  <c r="CO7" i="37"/>
  <c r="CX7" i="37"/>
  <c r="DH7" i="37"/>
  <c r="L8" i="37"/>
  <c r="X8" i="37"/>
  <c r="AG8" i="37"/>
  <c r="AQ8" i="37"/>
  <c r="AZ8" i="37"/>
  <c r="BI8" i="37"/>
  <c r="BR8" i="37"/>
  <c r="CB8" i="37"/>
  <c r="CL8" i="37"/>
  <c r="CU8" i="37"/>
  <c r="DE8" i="37"/>
  <c r="J9" i="37"/>
  <c r="V9" i="37"/>
  <c r="AE9" i="37"/>
  <c r="AN9" i="37"/>
  <c r="AW9" i="37"/>
  <c r="BG9" i="37"/>
  <c r="BP9" i="37"/>
  <c r="BZ9" i="37"/>
  <c r="CI9" i="37"/>
  <c r="CS9" i="37"/>
  <c r="DB9" i="37"/>
  <c r="DO9" i="37"/>
  <c r="H10" i="37"/>
  <c r="T10" i="37"/>
  <c r="AC10" i="37"/>
  <c r="AL10" i="37"/>
  <c r="AU10" i="37"/>
  <c r="BD10" i="37"/>
  <c r="BM10" i="37"/>
  <c r="BX10" i="37"/>
  <c r="CH10" i="37"/>
  <c r="CS10" i="37"/>
  <c r="DE10" i="37"/>
  <c r="F14" i="37"/>
  <c r="U14" i="37"/>
  <c r="AI14" i="37"/>
  <c r="AT14" i="37"/>
  <c r="BE14" i="37"/>
  <c r="BS14" i="37"/>
  <c r="CF14" i="37"/>
  <c r="CR14" i="37"/>
  <c r="DG14" i="37"/>
  <c r="DY14" i="37"/>
  <c r="S15" i="37"/>
  <c r="AF15" i="37"/>
  <c r="AR15" i="37"/>
  <c r="BC15" i="37"/>
  <c r="BQ15" i="37"/>
  <c r="CC15" i="37"/>
  <c r="CP15" i="37"/>
  <c r="DC15" i="37"/>
  <c r="I17" i="37"/>
  <c r="W17" i="37"/>
  <c r="AK17" i="37"/>
  <c r="AV17" i="37"/>
  <c r="BH17" i="37"/>
  <c r="BU17" i="37"/>
  <c r="CH17" i="37"/>
  <c r="CT17" i="37"/>
  <c r="DI17" i="37"/>
  <c r="DY17" i="37"/>
  <c r="S18" i="37"/>
  <c r="AD18" i="37"/>
  <c r="AR18" i="37"/>
  <c r="BC18" i="37"/>
  <c r="BO18" i="37"/>
  <c r="CC18" i="37"/>
  <c r="CP18" i="37"/>
  <c r="DA18" i="37"/>
  <c r="M21" i="37"/>
  <c r="AD21" i="37"/>
  <c r="AR21" i="37"/>
  <c r="BH21" i="37"/>
  <c r="BT21" i="37"/>
  <c r="CI21" i="37"/>
  <c r="CZ21" i="37"/>
  <c r="L23" i="37"/>
  <c r="AG23" i="37"/>
  <c r="AU23" i="37"/>
  <c r="BK23" i="37"/>
  <c r="CD23" i="37"/>
  <c r="CU23" i="37"/>
  <c r="DK23" i="37"/>
  <c r="S25" i="37"/>
  <c r="AN25" i="37"/>
  <c r="BK25" i="37"/>
  <c r="CM25" i="37"/>
  <c r="DD25" i="37"/>
  <c r="AG30" i="37"/>
  <c r="BD30" i="37"/>
  <c r="CF30" i="37"/>
  <c r="DD30" i="37"/>
  <c r="DQ12" i="37"/>
  <c r="DD12" i="37"/>
  <c r="CV12" i="37"/>
  <c r="CN12" i="37"/>
  <c r="CE12" i="37"/>
  <c r="BV12" i="37"/>
  <c r="BN12" i="37"/>
  <c r="BF12" i="37"/>
  <c r="AX12" i="37"/>
  <c r="AP12" i="37"/>
  <c r="AH12" i="37"/>
  <c r="Z12" i="37"/>
  <c r="O12" i="37"/>
  <c r="G12" i="37"/>
  <c r="N12" i="37"/>
  <c r="AA12" i="37"/>
  <c r="AJ12" i="37"/>
  <c r="AS12" i="37"/>
  <c r="BB12" i="37"/>
  <c r="BK12" i="37"/>
  <c r="BT12" i="37"/>
  <c r="CD12" i="37"/>
  <c r="CO12" i="37"/>
  <c r="CX12" i="37"/>
  <c r="DH12" i="37"/>
  <c r="DQ16" i="37"/>
  <c r="DD16" i="37"/>
  <c r="CV16" i="37"/>
  <c r="CN16" i="37"/>
  <c r="CE16" i="37"/>
  <c r="BV16" i="37"/>
  <c r="BN16" i="37"/>
  <c r="BF16" i="37"/>
  <c r="AX16" i="37"/>
  <c r="AP16" i="37"/>
  <c r="AH16" i="37"/>
  <c r="Z16" i="37"/>
  <c r="O16" i="37"/>
  <c r="G16" i="37"/>
  <c r="N16" i="37"/>
  <c r="AA16" i="37"/>
  <c r="AJ16" i="37"/>
  <c r="AS16" i="37"/>
  <c r="BB16" i="37"/>
  <c r="BK16" i="37"/>
  <c r="BT16" i="37"/>
  <c r="CD16" i="37"/>
  <c r="CO16" i="37"/>
  <c r="CX16" i="37"/>
  <c r="DH16" i="37"/>
  <c r="DQ20" i="37"/>
  <c r="DD20" i="37"/>
  <c r="CV20" i="37"/>
  <c r="CN20" i="37"/>
  <c r="CE20" i="37"/>
  <c r="BV20" i="37"/>
  <c r="BN20" i="37"/>
  <c r="BF20" i="37"/>
  <c r="AX20" i="37"/>
  <c r="AP20" i="37"/>
  <c r="AH20" i="37"/>
  <c r="Z20" i="37"/>
  <c r="O20" i="37"/>
  <c r="G20" i="37"/>
  <c r="DO20" i="37"/>
  <c r="DC20" i="37"/>
  <c r="CU20" i="37"/>
  <c r="CM20" i="37"/>
  <c r="CD20" i="37"/>
  <c r="BU20" i="37"/>
  <c r="BM20" i="37"/>
  <c r="BE20" i="37"/>
  <c r="AW20" i="37"/>
  <c r="AO20" i="37"/>
  <c r="AG20" i="37"/>
  <c r="Y20" i="37"/>
  <c r="N20" i="37"/>
  <c r="F20" i="37"/>
  <c r="T20" i="37"/>
  <c r="AD20" i="37"/>
  <c r="AN20" i="37"/>
  <c r="AZ20" i="37"/>
  <c r="BJ20" i="37"/>
  <c r="BT20" i="37"/>
  <c r="CG20" i="37"/>
  <c r="CR20" i="37"/>
  <c r="DB20" i="37"/>
  <c r="DI22" i="37"/>
  <c r="CZ22" i="37"/>
  <c r="DE22" i="37"/>
  <c r="CV22" i="37"/>
  <c r="CN22" i="37"/>
  <c r="CE22" i="37"/>
  <c r="BV22" i="37"/>
  <c r="BN22" i="37"/>
  <c r="BF22" i="37"/>
  <c r="AX22" i="37"/>
  <c r="AP22" i="37"/>
  <c r="AH22" i="37"/>
  <c r="Z22" i="37"/>
  <c r="O22" i="37"/>
  <c r="G22" i="37"/>
  <c r="DS22" i="37"/>
  <c r="DD22" i="37"/>
  <c r="CU22" i="37"/>
  <c r="CM22" i="37"/>
  <c r="CD22" i="37"/>
  <c r="BU22" i="37"/>
  <c r="BM22" i="37"/>
  <c r="BE22" i="37"/>
  <c r="AW22" i="37"/>
  <c r="AO22" i="37"/>
  <c r="AG22" i="37"/>
  <c r="Y22" i="37"/>
  <c r="N22" i="37"/>
  <c r="F22" i="37"/>
  <c r="T22" i="37"/>
  <c r="AD22" i="37"/>
  <c r="AN22" i="37"/>
  <c r="AZ22" i="37"/>
  <c r="BJ22" i="37"/>
  <c r="BT22" i="37"/>
  <c r="CG22" i="37"/>
  <c r="CR22" i="37"/>
  <c r="DC22" i="37"/>
  <c r="W28" i="37"/>
  <c r="AJ28" i="37"/>
  <c r="BD28" i="37"/>
  <c r="BS28" i="37"/>
  <c r="CK28" i="37"/>
  <c r="F12" i="37"/>
  <c r="S12" i="37"/>
  <c r="AB12" i="37"/>
  <c r="AK12" i="37"/>
  <c r="AT12" i="37"/>
  <c r="BC12" i="37"/>
  <c r="BL12" i="37"/>
  <c r="BU12" i="37"/>
  <c r="CF12" i="37"/>
  <c r="CP12" i="37"/>
  <c r="CY12" i="37"/>
  <c r="DI12" i="37"/>
  <c r="DY12" i="37"/>
  <c r="F16" i="37"/>
  <c r="S16" i="37"/>
  <c r="AB16" i="37"/>
  <c r="AK16" i="37"/>
  <c r="AT16" i="37"/>
  <c r="BC16" i="37"/>
  <c r="BL16" i="37"/>
  <c r="BU16" i="37"/>
  <c r="CF16" i="37"/>
  <c r="CP16" i="37"/>
  <c r="CY16" i="37"/>
  <c r="DI16" i="37"/>
  <c r="DY16" i="37"/>
  <c r="H20" i="37"/>
  <c r="U20" i="37"/>
  <c r="AE20" i="37"/>
  <c r="AQ20" i="37"/>
  <c r="BA20" i="37"/>
  <c r="BK20" i="37"/>
  <c r="BX20" i="37"/>
  <c r="CH20" i="37"/>
  <c r="CS20" i="37"/>
  <c r="DE20" i="37"/>
  <c r="H22" i="37"/>
  <c r="U22" i="37"/>
  <c r="AE22" i="37"/>
  <c r="AQ22" i="37"/>
  <c r="BA22" i="37"/>
  <c r="BK22" i="37"/>
  <c r="BX22" i="37"/>
  <c r="CH22" i="37"/>
  <c r="CS22" i="37"/>
  <c r="DG22" i="37"/>
  <c r="DI28" i="37"/>
  <c r="CZ28" i="37"/>
  <c r="CR28" i="37"/>
  <c r="CI28" i="37"/>
  <c r="CA28" i="37"/>
  <c r="BR28" i="37"/>
  <c r="BJ28" i="37"/>
  <c r="BB28" i="37"/>
  <c r="AT28" i="37"/>
  <c r="AL28" i="37"/>
  <c r="AD28" i="37"/>
  <c r="V28" i="37"/>
  <c r="K28" i="37"/>
  <c r="DH28" i="37"/>
  <c r="CY28" i="37"/>
  <c r="CQ28" i="37"/>
  <c r="CH28" i="37"/>
  <c r="BZ28" i="37"/>
  <c r="BQ28" i="37"/>
  <c r="BI28" i="37"/>
  <c r="BA28" i="37"/>
  <c r="AS28" i="37"/>
  <c r="AK28" i="37"/>
  <c r="AC28" i="37"/>
  <c r="U28" i="37"/>
  <c r="J28" i="37"/>
  <c r="DD28" i="37"/>
  <c r="CT28" i="37"/>
  <c r="CG28" i="37"/>
  <c r="BV28" i="37"/>
  <c r="BL28" i="37"/>
  <c r="AZ28" i="37"/>
  <c r="AP28" i="37"/>
  <c r="AF28" i="37"/>
  <c r="T28" i="37"/>
  <c r="G28" i="37"/>
  <c r="DO28" i="37"/>
  <c r="CX28" i="37"/>
  <c r="CM28" i="37"/>
  <c r="BY28" i="37"/>
  <c r="BM28" i="37"/>
  <c r="AY28" i="37"/>
  <c r="AN28" i="37"/>
  <c r="AA28" i="37"/>
  <c r="M28" i="37"/>
  <c r="DM28" i="37"/>
  <c r="CW28" i="37"/>
  <c r="CL28" i="37"/>
  <c r="BX28" i="37"/>
  <c r="BK28" i="37"/>
  <c r="AX28" i="37"/>
  <c r="AM28" i="37"/>
  <c r="Z28" i="37"/>
  <c r="L28" i="37"/>
  <c r="X28" i="37"/>
  <c r="AO28" i="37"/>
  <c r="BE28" i="37"/>
  <c r="BT28" i="37"/>
  <c r="CN28" i="37"/>
  <c r="DC28" i="37"/>
  <c r="AW43" i="37"/>
  <c r="DI24" i="37"/>
  <c r="CZ24" i="37"/>
  <c r="CR24" i="37"/>
  <c r="CI24" i="37"/>
  <c r="CA24" i="37"/>
  <c r="BR24" i="37"/>
  <c r="BJ24" i="37"/>
  <c r="BB24" i="37"/>
  <c r="AT24" i="37"/>
  <c r="AL24" i="37"/>
  <c r="AD24" i="37"/>
  <c r="V24" i="37"/>
  <c r="K24" i="37"/>
  <c r="DS24" i="37"/>
  <c r="DD24" i="37"/>
  <c r="CU24" i="37"/>
  <c r="CL24" i="37"/>
  <c r="CB24" i="37"/>
  <c r="BQ24" i="37"/>
  <c r="BH24" i="37"/>
  <c r="N24" i="37"/>
  <c r="Z24" i="37"/>
  <c r="AI24" i="37"/>
  <c r="AR24" i="37"/>
  <c r="BA24" i="37"/>
  <c r="BL24" i="37"/>
  <c r="BV24" i="37"/>
  <c r="CG24" i="37"/>
  <c r="CS24" i="37"/>
  <c r="DC24" i="37"/>
  <c r="DI29" i="37"/>
  <c r="CZ29" i="37"/>
  <c r="CR29" i="37"/>
  <c r="CI29" i="37"/>
  <c r="CA29" i="37"/>
  <c r="BR29" i="37"/>
  <c r="BJ29" i="37"/>
  <c r="BB29" i="37"/>
  <c r="AT29" i="37"/>
  <c r="AL29" i="37"/>
  <c r="AD29" i="37"/>
  <c r="V29" i="37"/>
  <c r="K29" i="37"/>
  <c r="DH29" i="37"/>
  <c r="CY29" i="37"/>
  <c r="CQ29" i="37"/>
  <c r="CH29" i="37"/>
  <c r="BZ29" i="37"/>
  <c r="BQ29" i="37"/>
  <c r="BI29" i="37"/>
  <c r="BA29" i="37"/>
  <c r="AS29" i="37"/>
  <c r="AK29" i="37"/>
  <c r="AC29" i="37"/>
  <c r="U29" i="37"/>
  <c r="J29" i="37"/>
  <c r="DG29" i="37"/>
  <c r="CV29" i="37"/>
  <c r="CL29" i="37"/>
  <c r="BY29" i="37"/>
  <c r="BN29" i="37"/>
  <c r="BD29" i="37"/>
  <c r="AR29" i="37"/>
  <c r="AH29" i="37"/>
  <c r="X29" i="37"/>
  <c r="I29" i="37"/>
  <c r="S29" i="37"/>
  <c r="AF29" i="37"/>
  <c r="AQ29" i="37"/>
  <c r="BE29" i="37"/>
  <c r="BP29" i="37"/>
  <c r="CD29" i="37"/>
  <c r="CP29" i="37"/>
  <c r="DC29" i="37"/>
  <c r="DO43" i="37"/>
  <c r="DC43" i="37"/>
  <c r="DH43" i="37"/>
  <c r="CX43" i="37"/>
  <c r="CP43" i="37"/>
  <c r="CG43" i="37"/>
  <c r="BY43" i="37"/>
  <c r="BP43" i="37"/>
  <c r="BH43" i="37"/>
  <c r="AZ43" i="37"/>
  <c r="AR43" i="37"/>
  <c r="AJ43" i="37"/>
  <c r="AB43" i="37"/>
  <c r="T43" i="37"/>
  <c r="I43" i="37"/>
  <c r="DM43" i="37"/>
  <c r="CZ43" i="37"/>
  <c r="CQ43" i="37"/>
  <c r="CF43" i="37"/>
  <c r="BV43" i="37"/>
  <c r="BM43" i="37"/>
  <c r="BD43" i="37"/>
  <c r="AU43" i="37"/>
  <c r="AL43" i="37"/>
  <c r="AC43" i="37"/>
  <c r="S43" i="37"/>
  <c r="G43" i="37"/>
  <c r="DE43" i="37"/>
  <c r="CT43" i="37"/>
  <c r="CI43" i="37"/>
  <c r="BX43" i="37"/>
  <c r="BL43" i="37"/>
  <c r="BB43" i="37"/>
  <c r="AQ43" i="37"/>
  <c r="AG43" i="37"/>
  <c r="W43" i="37"/>
  <c r="J43" i="37"/>
  <c r="DD43" i="37"/>
  <c r="CS43" i="37"/>
  <c r="CH43" i="37"/>
  <c r="BU43" i="37"/>
  <c r="BK43" i="37"/>
  <c r="BA43" i="37"/>
  <c r="AP43" i="37"/>
  <c r="AF43" i="37"/>
  <c r="V43" i="37"/>
  <c r="H43" i="37"/>
  <c r="DB43" i="37"/>
  <c r="CR43" i="37"/>
  <c r="CE43" i="37"/>
  <c r="BT43" i="37"/>
  <c r="BJ43" i="37"/>
  <c r="AY43" i="37"/>
  <c r="AO43" i="37"/>
  <c r="AE43" i="37"/>
  <c r="U43" i="37"/>
  <c r="F43" i="37"/>
  <c r="DI43" i="37"/>
  <c r="CV43" i="37"/>
  <c r="CL43" i="37"/>
  <c r="CA43" i="37"/>
  <c r="BO43" i="37"/>
  <c r="BE43" i="37"/>
  <c r="AT43" i="37"/>
  <c r="AI43" i="37"/>
  <c r="Y43" i="37"/>
  <c r="L43" i="37"/>
  <c r="DK43" i="37"/>
  <c r="CM43" i="37"/>
  <c r="BQ43" i="37"/>
  <c r="AV43" i="37"/>
  <c r="Z43" i="37"/>
  <c r="DG43" i="37"/>
  <c r="CK43" i="37"/>
  <c r="BN43" i="37"/>
  <c r="AS43" i="37"/>
  <c r="X43" i="37"/>
  <c r="DY43" i="37"/>
  <c r="DA43" i="37"/>
  <c r="CD43" i="37"/>
  <c r="BI43" i="37"/>
  <c r="AN43" i="37"/>
  <c r="O43" i="37"/>
  <c r="CU43" i="37"/>
  <c r="BZ43" i="37"/>
  <c r="BC43" i="37"/>
  <c r="AH43" i="37"/>
  <c r="K43" i="37"/>
  <c r="AX43" i="37"/>
  <c r="CO43" i="37"/>
  <c r="F24" i="37"/>
  <c r="O24" i="37"/>
  <c r="AA24" i="37"/>
  <c r="AJ24" i="37"/>
  <c r="AS24" i="37"/>
  <c r="BC24" i="37"/>
  <c r="BM24" i="37"/>
  <c r="BX24" i="37"/>
  <c r="CH24" i="37"/>
  <c r="CT24" i="37"/>
  <c r="DE24" i="37"/>
  <c r="F29" i="37"/>
  <c r="T29" i="37"/>
  <c r="AG29" i="37"/>
  <c r="AU29" i="37"/>
  <c r="BF29" i="37"/>
  <c r="BS29" i="37"/>
  <c r="CE29" i="37"/>
  <c r="CS29" i="37"/>
  <c r="DD29" i="37"/>
  <c r="M43" i="37"/>
  <c r="BF43" i="37"/>
  <c r="CW43" i="37"/>
  <c r="DI26" i="37"/>
  <c r="CZ26" i="37"/>
  <c r="CR26" i="37"/>
  <c r="CI26" i="37"/>
  <c r="CA26" i="37"/>
  <c r="BR26" i="37"/>
  <c r="BJ26" i="37"/>
  <c r="BB26" i="37"/>
  <c r="AT26" i="37"/>
  <c r="AL26" i="37"/>
  <c r="AD26" i="37"/>
  <c r="V26" i="37"/>
  <c r="K26" i="37"/>
  <c r="DH26" i="37"/>
  <c r="CY26" i="37"/>
  <c r="CQ26" i="37"/>
  <c r="N26" i="37"/>
  <c r="Z26" i="37"/>
  <c r="AI26" i="37"/>
  <c r="AR26" i="37"/>
  <c r="BA26" i="37"/>
  <c r="BK26" i="37"/>
  <c r="BT26" i="37"/>
  <c r="CD26" i="37"/>
  <c r="CN26" i="37"/>
  <c r="CX26" i="37"/>
  <c r="DM26" i="37"/>
  <c r="DI27" i="37"/>
  <c r="CZ27" i="37"/>
  <c r="CR27" i="37"/>
  <c r="CI27" i="37"/>
  <c r="CA27" i="37"/>
  <c r="BR27" i="37"/>
  <c r="BJ27" i="37"/>
  <c r="BB27" i="37"/>
  <c r="AT27" i="37"/>
  <c r="AL27" i="37"/>
  <c r="AD27" i="37"/>
  <c r="V27" i="37"/>
  <c r="K27" i="37"/>
  <c r="DH27" i="37"/>
  <c r="CY27" i="37"/>
  <c r="CQ27" i="37"/>
  <c r="CH27" i="37"/>
  <c r="BZ27" i="37"/>
  <c r="BQ27" i="37"/>
  <c r="BI27" i="37"/>
  <c r="BA27" i="37"/>
  <c r="AS27" i="37"/>
  <c r="AK27" i="37"/>
  <c r="AC27" i="37"/>
  <c r="U27" i="37"/>
  <c r="J27" i="37"/>
  <c r="O27" i="37"/>
  <c r="AB27" i="37"/>
  <c r="AN27" i="37"/>
  <c r="AX27" i="37"/>
  <c r="BH27" i="37"/>
  <c r="BT27" i="37"/>
  <c r="CE27" i="37"/>
  <c r="CP27" i="37"/>
  <c r="DB27" i="37"/>
  <c r="DQ27" i="37"/>
  <c r="DM31" i="37"/>
  <c r="DB31" i="37"/>
  <c r="CT31" i="37"/>
  <c r="CL31" i="37"/>
  <c r="CC31" i="37"/>
  <c r="BT31" i="37"/>
  <c r="BL31" i="37"/>
  <c r="BD31" i="37"/>
  <c r="AV31" i="37"/>
  <c r="AN31" i="37"/>
  <c r="DK31" i="37"/>
  <c r="CZ31" i="37"/>
  <c r="CQ31" i="37"/>
  <c r="CG31" i="37"/>
  <c r="BX31" i="37"/>
  <c r="BN31" i="37"/>
  <c r="BE31" i="37"/>
  <c r="AU31" i="37"/>
  <c r="AL31" i="37"/>
  <c r="AD31" i="37"/>
  <c r="V31" i="37"/>
  <c r="K31" i="37"/>
  <c r="DY31" i="37"/>
  <c r="DI31" i="37"/>
  <c r="CY31" i="37"/>
  <c r="CP31" i="37"/>
  <c r="CF31" i="37"/>
  <c r="BV31" i="37"/>
  <c r="BM31" i="37"/>
  <c r="BC31" i="37"/>
  <c r="AT31" i="37"/>
  <c r="AK31" i="37"/>
  <c r="AC31" i="37"/>
  <c r="U31" i="37"/>
  <c r="J31" i="37"/>
  <c r="DH31" i="37"/>
  <c r="CX31" i="37"/>
  <c r="CO31" i="37"/>
  <c r="CE31" i="37"/>
  <c r="BU31" i="37"/>
  <c r="BK31" i="37"/>
  <c r="BB31" i="37"/>
  <c r="AS31" i="37"/>
  <c r="AJ31" i="37"/>
  <c r="AB31" i="37"/>
  <c r="T31" i="37"/>
  <c r="I31" i="37"/>
  <c r="S31" i="37"/>
  <c r="AG31" i="37"/>
  <c r="AW31" i="37"/>
  <c r="BI31" i="37"/>
  <c r="BZ31" i="37"/>
  <c r="CN31" i="37"/>
  <c r="DD31" i="37"/>
  <c r="J119" i="38"/>
  <c r="D23" i="38"/>
  <c r="K119" i="38"/>
  <c r="E23" i="38"/>
  <c r="DO44" i="37"/>
  <c r="DC44" i="37"/>
  <c r="CU44" i="37"/>
  <c r="CM44" i="37"/>
  <c r="CD44" i="37"/>
  <c r="BU44" i="37"/>
  <c r="BM44" i="37"/>
  <c r="BE44" i="37"/>
  <c r="AW44" i="37"/>
  <c r="AO44" i="37"/>
  <c r="AG44" i="37"/>
  <c r="Y44" i="37"/>
  <c r="N44" i="37"/>
  <c r="F44" i="37"/>
  <c r="DE44" i="37"/>
  <c r="CV44" i="37"/>
  <c r="CL44" i="37"/>
  <c r="CB44" i="37"/>
  <c r="BR44" i="37"/>
  <c r="BI44" i="37"/>
  <c r="AZ44" i="37"/>
  <c r="AQ44" i="37"/>
  <c r="AH44" i="37"/>
  <c r="X44" i="37"/>
  <c r="L44" i="37"/>
  <c r="DY44" i="37"/>
  <c r="DI44" i="37"/>
  <c r="DS44" i="37"/>
  <c r="DA44" i="37"/>
  <c r="CQ44" i="37"/>
  <c r="CF44" i="37"/>
  <c r="BT44" i="37"/>
  <c r="BJ44" i="37"/>
  <c r="AY44" i="37"/>
  <c r="AN44" i="37"/>
  <c r="AD44" i="37"/>
  <c r="T44" i="37"/>
  <c r="G44" i="37"/>
  <c r="U44" i="37"/>
  <c r="AF44" i="37"/>
  <c r="AS44" i="37"/>
  <c r="BD44" i="37"/>
  <c r="BP44" i="37"/>
  <c r="CC44" i="37"/>
  <c r="CP44" i="37"/>
  <c r="DB44" i="37"/>
  <c r="J90" i="38"/>
  <c r="K90" i="38"/>
  <c r="DG42" i="37"/>
  <c r="CX42" i="37"/>
  <c r="CP42" i="37"/>
  <c r="CG42" i="37"/>
  <c r="BY42" i="37"/>
  <c r="BP42" i="37"/>
  <c r="BH42" i="37"/>
  <c r="AZ42" i="37"/>
  <c r="AR42" i="37"/>
  <c r="AJ42" i="37"/>
  <c r="AB42" i="37"/>
  <c r="T42" i="37"/>
  <c r="I42" i="37"/>
  <c r="DQ42" i="37"/>
  <c r="DC42" i="37"/>
  <c r="CT42" i="37"/>
  <c r="CK42" i="37"/>
  <c r="CA42" i="37"/>
  <c r="BQ42" i="37"/>
  <c r="BG42" i="37"/>
  <c r="AX42" i="37"/>
  <c r="AO42" i="37"/>
  <c r="AF42" i="37"/>
  <c r="W42" i="37"/>
  <c r="K42" i="37"/>
  <c r="O42" i="37"/>
  <c r="AC42" i="37"/>
  <c r="AM42" i="37"/>
  <c r="AW42" i="37"/>
  <c r="BI42" i="37"/>
  <c r="BS42" i="37"/>
  <c r="CD42" i="37"/>
  <c r="CO42" i="37"/>
  <c r="CZ42" i="37"/>
  <c r="DM42" i="37"/>
  <c r="K44" i="37"/>
  <c r="AA44" i="37"/>
  <c r="AL44" i="37"/>
  <c r="AX44" i="37"/>
  <c r="BK44" i="37"/>
  <c r="BX44" i="37"/>
  <c r="CI44" i="37"/>
  <c r="CW44" i="37"/>
  <c r="DK44" i="37"/>
  <c r="DG40" i="37"/>
  <c r="CX40" i="37"/>
  <c r="CP40" i="37"/>
  <c r="CG40" i="37"/>
  <c r="BY40" i="37"/>
  <c r="BP40" i="37"/>
  <c r="BH40" i="37"/>
  <c r="AZ40" i="37"/>
  <c r="AR40" i="37"/>
  <c r="AJ40" i="37"/>
  <c r="AB40" i="37"/>
  <c r="T40" i="37"/>
  <c r="I40" i="37"/>
  <c r="DM40" i="37"/>
  <c r="DA40" i="37"/>
  <c r="CR40" i="37"/>
  <c r="CH40" i="37"/>
  <c r="BX40" i="37"/>
  <c r="BN40" i="37"/>
  <c r="BE40" i="37"/>
  <c r="AV40" i="37"/>
  <c r="AM40" i="37"/>
  <c r="AD40" i="37"/>
  <c r="U40" i="37"/>
  <c r="H40" i="37"/>
  <c r="O40" i="37"/>
  <c r="AC40" i="37"/>
  <c r="AN40" i="37"/>
  <c r="AX40" i="37"/>
  <c r="BI40" i="37"/>
  <c r="BS40" i="37"/>
  <c r="CD40" i="37"/>
  <c r="CO40" i="37"/>
  <c r="CZ40" i="37"/>
  <c r="DO40" i="37"/>
  <c r="F42" i="37"/>
  <c r="S42" i="37"/>
  <c r="AD42" i="37"/>
  <c r="AN42" i="37"/>
  <c r="AY42" i="37"/>
  <c r="BJ42" i="37"/>
  <c r="BT42" i="37"/>
  <c r="CE42" i="37"/>
  <c r="CQ42" i="37"/>
  <c r="DA42" i="37"/>
  <c r="DO42" i="37"/>
  <c r="M44" i="37"/>
  <c r="AB44" i="37"/>
  <c r="AM44" i="37"/>
  <c r="BA44" i="37"/>
  <c r="BL44" i="37"/>
  <c r="BY44" i="37"/>
  <c r="CK44" i="37"/>
  <c r="CX44" i="37"/>
  <c r="DM44" i="37"/>
  <c r="DG39" i="37"/>
  <c r="CX39" i="37"/>
  <c r="CP39" i="37"/>
  <c r="CG39" i="37"/>
  <c r="BY39" i="37"/>
  <c r="BP39" i="37"/>
  <c r="BH39" i="37"/>
  <c r="AZ39" i="37"/>
  <c r="AR39" i="37"/>
  <c r="AJ39" i="37"/>
  <c r="AB39" i="37"/>
  <c r="T39" i="37"/>
  <c r="I39" i="37"/>
  <c r="DS39" i="37"/>
  <c r="DD39" i="37"/>
  <c r="CU39" i="37"/>
  <c r="CL39" i="37"/>
  <c r="CB39" i="37"/>
  <c r="BR39" i="37"/>
  <c r="BI39" i="37"/>
  <c r="AY39" i="37"/>
  <c r="AP39" i="37"/>
  <c r="AG39" i="37"/>
  <c r="X39" i="37"/>
  <c r="L39" i="37"/>
  <c r="O39" i="37"/>
  <c r="AC39" i="37"/>
  <c r="AM39" i="37"/>
  <c r="AW39" i="37"/>
  <c r="BG39" i="37"/>
  <c r="BS39" i="37"/>
  <c r="CD39" i="37"/>
  <c r="CO39" i="37"/>
  <c r="CZ39" i="37"/>
  <c r="DM39" i="37"/>
  <c r="F40" i="37"/>
  <c r="S40" i="37"/>
  <c r="AE40" i="37"/>
  <c r="AO40" i="37"/>
  <c r="AY40" i="37"/>
  <c r="BJ40" i="37"/>
  <c r="BT40" i="37"/>
  <c r="CE40" i="37"/>
  <c r="CQ40" i="37"/>
  <c r="DB40" i="37"/>
  <c r="DQ40" i="37"/>
  <c r="G42" i="37"/>
  <c r="U42" i="37"/>
  <c r="AE42" i="37"/>
  <c r="AP42" i="37"/>
  <c r="BA42" i="37"/>
  <c r="BK42" i="37"/>
  <c r="BU42" i="37"/>
  <c r="CF42" i="37"/>
  <c r="CR42" i="37"/>
  <c r="DB42" i="37"/>
  <c r="DS42" i="37"/>
  <c r="O44" i="37"/>
  <c r="AC44" i="37"/>
  <c r="AP44" i="37"/>
  <c r="BB44" i="37"/>
  <c r="BN44" i="37"/>
  <c r="BZ44" i="37"/>
  <c r="CN44" i="37"/>
  <c r="CY44" i="37"/>
  <c r="DQ44" i="37"/>
  <c r="M32" i="37"/>
  <c r="X32" i="37"/>
  <c r="AF32" i="37"/>
  <c r="AN32" i="37"/>
  <c r="AV32" i="37"/>
  <c r="BD32" i="37"/>
  <c r="BL32" i="37"/>
  <c r="BT32" i="37"/>
  <c r="CC32" i="37"/>
  <c r="CL32" i="37"/>
  <c r="CT32" i="37"/>
  <c r="DB32" i="37"/>
  <c r="M33" i="37"/>
  <c r="X33" i="37"/>
  <c r="AF33" i="37"/>
  <c r="AN33" i="37"/>
  <c r="AV33" i="37"/>
  <c r="BD33" i="37"/>
  <c r="BL33" i="37"/>
  <c r="BT33" i="37"/>
  <c r="CC33" i="37"/>
  <c r="CL33" i="37"/>
  <c r="CT33" i="37"/>
  <c r="DB33" i="37"/>
  <c r="M34" i="37"/>
  <c r="X34" i="37"/>
  <c r="AF34" i="37"/>
  <c r="AN34" i="37"/>
  <c r="AV34" i="37"/>
  <c r="BD34" i="37"/>
  <c r="BL34" i="37"/>
  <c r="BT34" i="37"/>
  <c r="CC34" i="37"/>
  <c r="CL34" i="37"/>
  <c r="CT34" i="37"/>
  <c r="DB34" i="37"/>
  <c r="M35" i="37"/>
  <c r="X35" i="37"/>
  <c r="AF35" i="37"/>
  <c r="AN35" i="37"/>
  <c r="AV35" i="37"/>
  <c r="BD35" i="37"/>
  <c r="BL35" i="37"/>
  <c r="BT35" i="37"/>
  <c r="CC35" i="37"/>
  <c r="CL35" i="37"/>
  <c r="CT35" i="37"/>
  <c r="DB35" i="37"/>
  <c r="M36" i="37"/>
  <c r="X36" i="37"/>
  <c r="AF36" i="37"/>
  <c r="AN36" i="37"/>
  <c r="AV36" i="37"/>
  <c r="BD36" i="37"/>
  <c r="BL36" i="37"/>
  <c r="BT36" i="37"/>
  <c r="CC36" i="37"/>
  <c r="CL36" i="37"/>
  <c r="CT36" i="37"/>
  <c r="DB36" i="37"/>
  <c r="M37" i="37"/>
  <c r="X37" i="37"/>
  <c r="AF37" i="37"/>
  <c r="AN37" i="37"/>
  <c r="AV37" i="37"/>
  <c r="BD37" i="37"/>
  <c r="BL37" i="37"/>
  <c r="BT37" i="37"/>
  <c r="CC37" i="37"/>
  <c r="CL37" i="37"/>
  <c r="CT37" i="37"/>
  <c r="DB37" i="37"/>
  <c r="DG38" i="37"/>
  <c r="CX38" i="37"/>
  <c r="CP38" i="37"/>
  <c r="CG38" i="37"/>
  <c r="BY38" i="37"/>
  <c r="BP38" i="37"/>
  <c r="M38" i="37"/>
  <c r="X38" i="37"/>
  <c r="AF38" i="37"/>
  <c r="AN38" i="37"/>
  <c r="AV38" i="37"/>
  <c r="BD38" i="37"/>
  <c r="BL38" i="37"/>
  <c r="BU38" i="37"/>
  <c r="CE38" i="37"/>
  <c r="CO38" i="37"/>
  <c r="CY38" i="37"/>
  <c r="DI38" i="37"/>
  <c r="DG41" i="37"/>
  <c r="CX41" i="37"/>
  <c r="CP41" i="37"/>
  <c r="CG41" i="37"/>
  <c r="BY41" i="37"/>
  <c r="BP41" i="37"/>
  <c r="BH41" i="37"/>
  <c r="AZ41" i="37"/>
  <c r="AR41" i="37"/>
  <c r="AJ41" i="37"/>
  <c r="AB41" i="37"/>
  <c r="T41" i="37"/>
  <c r="I41" i="37"/>
  <c r="N41" i="37"/>
  <c r="Z41" i="37"/>
  <c r="AI41" i="37"/>
  <c r="AS41" i="37"/>
  <c r="BB41" i="37"/>
  <c r="BK41" i="37"/>
  <c r="BT41" i="37"/>
  <c r="CD41" i="37"/>
  <c r="CN41" i="37"/>
  <c r="CW41" i="37"/>
  <c r="DH41" i="37"/>
  <c r="J56" i="38"/>
  <c r="J81" i="38"/>
  <c r="K81" i="38"/>
  <c r="K85" i="38"/>
  <c r="J85" i="38"/>
  <c r="K94" i="38"/>
  <c r="J94" i="38"/>
  <c r="J98" i="38"/>
  <c r="K98" i="38"/>
  <c r="K111" i="38"/>
  <c r="J111" i="38"/>
  <c r="K121" i="38"/>
  <c r="E24" i="38"/>
  <c r="J121" i="38"/>
  <c r="D24" i="38"/>
  <c r="J48" i="38"/>
  <c r="K48" i="38"/>
  <c r="K52" i="38"/>
  <c r="J52" i="38"/>
  <c r="K56" i="38"/>
  <c r="K60" i="38"/>
  <c r="J60" i="38"/>
  <c r="J64" i="38"/>
  <c r="K64" i="38"/>
  <c r="K77" i="38"/>
  <c r="J77" i="38"/>
  <c r="K82" i="38"/>
  <c r="J82" i="38"/>
  <c r="J24" i="38"/>
  <c r="K24" i="38"/>
  <c r="K28" i="38"/>
  <c r="J28" i="38"/>
  <c r="J32" i="38"/>
  <c r="K32" i="38"/>
  <c r="K44" i="38"/>
  <c r="J44" i="38"/>
  <c r="K49" i="38"/>
  <c r="J49" i="38"/>
  <c r="K20" i="38"/>
  <c r="J20" i="38"/>
  <c r="K17" i="38"/>
  <c r="H126" i="38"/>
  <c r="E9" i="46"/>
  <c r="J17" i="38"/>
  <c r="DS51" i="37"/>
  <c r="DE51" i="37"/>
  <c r="CW51" i="37"/>
  <c r="CO51" i="37"/>
  <c r="CF51" i="37"/>
  <c r="BX51" i="37"/>
  <c r="BO51" i="37"/>
  <c r="BG51" i="37"/>
  <c r="AY51" i="37"/>
  <c r="AQ51" i="37"/>
  <c r="AI51" i="37"/>
  <c r="AA51" i="37"/>
  <c r="S51" i="37"/>
  <c r="H51" i="37"/>
  <c r="DQ51" i="37"/>
  <c r="DD51" i="37"/>
  <c r="CV51" i="37"/>
  <c r="CN51" i="37"/>
  <c r="CE51" i="37"/>
  <c r="BV51" i="37"/>
  <c r="BN51" i="37"/>
  <c r="BF51" i="37"/>
  <c r="AX51" i="37"/>
  <c r="AP51" i="37"/>
  <c r="AH51" i="37"/>
  <c r="Z51" i="37"/>
  <c r="O51" i="37"/>
  <c r="G51" i="37"/>
  <c r="DI51" i="37"/>
  <c r="CZ51" i="37"/>
  <c r="CR51" i="37"/>
  <c r="CI51" i="37"/>
  <c r="CA51" i="37"/>
  <c r="BR51" i="37"/>
  <c r="BJ51" i="37"/>
  <c r="BB51" i="37"/>
  <c r="AT51" i="37"/>
  <c r="AL51" i="37"/>
  <c r="AD51" i="37"/>
  <c r="V51" i="37"/>
  <c r="K51" i="37"/>
  <c r="DA51" i="37"/>
  <c r="CM51" i="37"/>
  <c r="BZ51" i="37"/>
  <c r="BL51" i="37"/>
  <c r="AZ51" i="37"/>
  <c r="AM51" i="37"/>
  <c r="Y51" i="37"/>
  <c r="J51" i="37"/>
  <c r="DM51" i="37"/>
  <c r="CX51" i="37"/>
  <c r="CK51" i="37"/>
  <c r="BU51" i="37"/>
  <c r="BI51" i="37"/>
  <c r="AV51" i="37"/>
  <c r="AJ51" i="37"/>
  <c r="W51" i="37"/>
  <c r="F51" i="37"/>
  <c r="DC51" i="37"/>
  <c r="CQ51" i="37"/>
  <c r="CC51" i="37"/>
  <c r="BP51" i="37"/>
  <c r="BC51" i="37"/>
  <c r="AO51" i="37"/>
  <c r="AC51" i="37"/>
  <c r="M51" i="37"/>
  <c r="AE51" i="37"/>
  <c r="AW51" i="37"/>
  <c r="BS51" i="37"/>
  <c r="CP51" i="37"/>
  <c r="DK51" i="37"/>
  <c r="K25" i="38"/>
  <c r="J25" i="38"/>
  <c r="K41" i="38"/>
  <c r="J41" i="38"/>
  <c r="K57" i="38"/>
  <c r="J57" i="38"/>
  <c r="K74" i="38"/>
  <c r="J74" i="38"/>
  <c r="K91" i="38"/>
  <c r="J91" i="38"/>
  <c r="K107" i="38"/>
  <c r="J107" i="38"/>
  <c r="M45" i="37"/>
  <c r="X45" i="37"/>
  <c r="AF45" i="37"/>
  <c r="AN45" i="37"/>
  <c r="AV45" i="37"/>
  <c r="BD45" i="37"/>
  <c r="BL45" i="37"/>
  <c r="BT45" i="37"/>
  <c r="CC45" i="37"/>
  <c r="CL45" i="37"/>
  <c r="CT45" i="37"/>
  <c r="DB45" i="37"/>
  <c r="DM45" i="37"/>
  <c r="M46" i="37"/>
  <c r="X46" i="37"/>
  <c r="AF46" i="37"/>
  <c r="AN46" i="37"/>
  <c r="AV46" i="37"/>
  <c r="BD46" i="37"/>
  <c r="BL46" i="37"/>
  <c r="BT46" i="37"/>
  <c r="CC46" i="37"/>
  <c r="CL46" i="37"/>
  <c r="CT46" i="37"/>
  <c r="DB46" i="37"/>
  <c r="DM46" i="37"/>
  <c r="DQ47" i="37"/>
  <c r="DD47" i="37"/>
  <c r="CV47" i="37"/>
  <c r="CN47" i="37"/>
  <c r="CE47" i="37"/>
  <c r="BV47" i="37"/>
  <c r="BN47" i="37"/>
  <c r="BF47" i="37"/>
  <c r="M47" i="37"/>
  <c r="X47" i="37"/>
  <c r="AF47" i="37"/>
  <c r="AN47" i="37"/>
  <c r="AV47" i="37"/>
  <c r="BD47" i="37"/>
  <c r="BM47" i="37"/>
  <c r="BX47" i="37"/>
  <c r="CG47" i="37"/>
  <c r="CQ47" i="37"/>
  <c r="CZ47" i="37"/>
  <c r="DK47" i="37"/>
  <c r="DQ48" i="37"/>
  <c r="DD48" i="37"/>
  <c r="CV48" i="37"/>
  <c r="CN48" i="37"/>
  <c r="CE48" i="37"/>
  <c r="BV48" i="37"/>
  <c r="BN48" i="37"/>
  <c r="BF48" i="37"/>
  <c r="AX48" i="37"/>
  <c r="AP48" i="37"/>
  <c r="AH48" i="37"/>
  <c r="Z48" i="37"/>
  <c r="O48" i="37"/>
  <c r="G48" i="37"/>
  <c r="N48" i="37"/>
  <c r="AA48" i="37"/>
  <c r="AJ48" i="37"/>
  <c r="AS48" i="37"/>
  <c r="BB48" i="37"/>
  <c r="BK48" i="37"/>
  <c r="BT48" i="37"/>
  <c r="CD48" i="37"/>
  <c r="CO48" i="37"/>
  <c r="CX48" i="37"/>
  <c r="DH48" i="37"/>
  <c r="U51" i="37"/>
  <c r="AR51" i="37"/>
  <c r="BK51" i="37"/>
  <c r="CG51" i="37"/>
  <c r="DB51" i="37"/>
  <c r="DY51" i="37"/>
  <c r="Y52" i="37"/>
  <c r="AU52" i="37"/>
  <c r="BP52" i="37"/>
  <c r="CK52" i="37"/>
  <c r="J21" i="38"/>
  <c r="I123" i="38"/>
  <c r="E131" i="46"/>
  <c r="F45" i="37"/>
  <c r="N45" i="37"/>
  <c r="Y45" i="37"/>
  <c r="AG45" i="37"/>
  <c r="AO45" i="37"/>
  <c r="AW45" i="37"/>
  <c r="BE45" i="37"/>
  <c r="BM45" i="37"/>
  <c r="BU45" i="37"/>
  <c r="CD45" i="37"/>
  <c r="CM45" i="37"/>
  <c r="CU45" i="37"/>
  <c r="DC45" i="37"/>
  <c r="F46" i="37"/>
  <c r="N46" i="37"/>
  <c r="Y46" i="37"/>
  <c r="AG46" i="37"/>
  <c r="AO46" i="37"/>
  <c r="AW46" i="37"/>
  <c r="BE46" i="37"/>
  <c r="BM46" i="37"/>
  <c r="BU46" i="37"/>
  <c r="CD46" i="37"/>
  <c r="CM46" i="37"/>
  <c r="CU46" i="37"/>
  <c r="DC46" i="37"/>
  <c r="F47" i="37"/>
  <c r="N47" i="37"/>
  <c r="Y47" i="37"/>
  <c r="AG47" i="37"/>
  <c r="AO47" i="37"/>
  <c r="AW47" i="37"/>
  <c r="BE47" i="37"/>
  <c r="BO47" i="37"/>
  <c r="BY47" i="37"/>
  <c r="CH47" i="37"/>
  <c r="CR47" i="37"/>
  <c r="DA47" i="37"/>
  <c r="DM47" i="37"/>
  <c r="F48" i="37"/>
  <c r="S48" i="37"/>
  <c r="AB48" i="37"/>
  <c r="AK48" i="37"/>
  <c r="AT48" i="37"/>
  <c r="BC48" i="37"/>
  <c r="BL48" i="37"/>
  <c r="BU48" i="37"/>
  <c r="CF48" i="37"/>
  <c r="CP48" i="37"/>
  <c r="CY48" i="37"/>
  <c r="DI48" i="37"/>
  <c r="DY48" i="37"/>
  <c r="X51" i="37"/>
  <c r="AS51" i="37"/>
  <c r="BM51" i="37"/>
  <c r="CH51" i="37"/>
  <c r="DG51" i="37"/>
  <c r="DS52" i="37"/>
  <c r="DE52" i="37"/>
  <c r="CW52" i="37"/>
  <c r="CO52" i="37"/>
  <c r="CF52" i="37"/>
  <c r="BX52" i="37"/>
  <c r="BO52" i="37"/>
  <c r="BG52" i="37"/>
  <c r="AY52" i="37"/>
  <c r="AQ52" i="37"/>
  <c r="AI52" i="37"/>
  <c r="AA52" i="37"/>
  <c r="S52" i="37"/>
  <c r="H52" i="37"/>
  <c r="DQ52" i="37"/>
  <c r="DD52" i="37"/>
  <c r="CV52" i="37"/>
  <c r="CN52" i="37"/>
  <c r="CE52" i="37"/>
  <c r="BV52" i="37"/>
  <c r="BN52" i="37"/>
  <c r="BF52" i="37"/>
  <c r="AX52" i="37"/>
  <c r="AP52" i="37"/>
  <c r="AH52" i="37"/>
  <c r="Z52" i="37"/>
  <c r="O52" i="37"/>
  <c r="G52" i="37"/>
  <c r="DI52" i="37"/>
  <c r="CZ52" i="37"/>
  <c r="CR52" i="37"/>
  <c r="CI52" i="37"/>
  <c r="CA52" i="37"/>
  <c r="BR52" i="37"/>
  <c r="BJ52" i="37"/>
  <c r="BB52" i="37"/>
  <c r="AT52" i="37"/>
  <c r="AL52" i="37"/>
  <c r="AD52" i="37"/>
  <c r="V52" i="37"/>
  <c r="K52" i="37"/>
  <c r="DB52" i="37"/>
  <c r="CP52" i="37"/>
  <c r="CB52" i="37"/>
  <c r="BM52" i="37"/>
  <c r="BA52" i="37"/>
  <c r="AN52" i="37"/>
  <c r="AB52" i="37"/>
  <c r="L52" i="37"/>
  <c r="DO52" i="37"/>
  <c r="CY52" i="37"/>
  <c r="CL52" i="37"/>
  <c r="BY52" i="37"/>
  <c r="BK52" i="37"/>
  <c r="AW52" i="37"/>
  <c r="AK52" i="37"/>
  <c r="X52" i="37"/>
  <c r="I52" i="37"/>
  <c r="DY52" i="37"/>
  <c r="DG52" i="37"/>
  <c r="CS52" i="37"/>
  <c r="CD52" i="37"/>
  <c r="BQ52" i="37"/>
  <c r="BD52" i="37"/>
  <c r="AR52" i="37"/>
  <c r="AE52" i="37"/>
  <c r="N52" i="37"/>
  <c r="AC52" i="37"/>
  <c r="AV52" i="37"/>
  <c r="BS52" i="37"/>
  <c r="CM52" i="37"/>
  <c r="DK52" i="37"/>
  <c r="K46" i="38"/>
  <c r="K79" i="38"/>
  <c r="K115" i="38"/>
  <c r="E21" i="38"/>
  <c r="G49" i="37"/>
  <c r="O49" i="37"/>
  <c r="Z49" i="37"/>
  <c r="AH49" i="37"/>
  <c r="AP49" i="37"/>
  <c r="AX49" i="37"/>
  <c r="BF49" i="37"/>
  <c r="BN49" i="37"/>
  <c r="BV49" i="37"/>
  <c r="CE49" i="37"/>
  <c r="CN49" i="37"/>
  <c r="CV49" i="37"/>
  <c r="DD49" i="37"/>
  <c r="DQ49" i="37"/>
  <c r="G50" i="37"/>
  <c r="U50" i="37"/>
  <c r="AE50" i="37"/>
  <c r="AO50" i="37"/>
  <c r="BA50" i="37"/>
  <c r="BK50" i="37"/>
  <c r="BU50" i="37"/>
  <c r="CH50" i="37"/>
  <c r="CS50" i="37"/>
  <c r="DC50" i="37"/>
  <c r="AD49" i="37"/>
  <c r="AL49" i="37"/>
  <c r="AT49" i="37"/>
  <c r="BB49" i="37"/>
  <c r="BJ49" i="37"/>
  <c r="BR49" i="37"/>
  <c r="CA49" i="37"/>
  <c r="CI49" i="37"/>
  <c r="CR49" i="37"/>
  <c r="CZ49" i="37"/>
  <c r="DI49" i="37"/>
  <c r="L50" i="37"/>
  <c r="Y50" i="37"/>
  <c r="AK50" i="37"/>
  <c r="AU50" i="37"/>
  <c r="BE50" i="37"/>
  <c r="BQ50" i="37"/>
  <c r="CB50" i="37"/>
  <c r="CM50" i="37"/>
  <c r="CY50" i="37"/>
  <c r="K36" i="38"/>
  <c r="J36" i="38"/>
  <c r="K68" i="38"/>
  <c r="J68" i="38"/>
  <c r="K102" i="38"/>
  <c r="J102" i="38"/>
  <c r="I124" i="38"/>
  <c r="E132" i="46"/>
  <c r="K124" i="38"/>
  <c r="M49" i="37"/>
  <c r="X49" i="37"/>
  <c r="AF49" i="37"/>
  <c r="AN49" i="37"/>
  <c r="AV49" i="37"/>
  <c r="BD49" i="37"/>
  <c r="BL49" i="37"/>
  <c r="BT49" i="37"/>
  <c r="CC49" i="37"/>
  <c r="CL49" i="37"/>
  <c r="CT49" i="37"/>
  <c r="DB49" i="37"/>
  <c r="DS50" i="37"/>
  <c r="DE50" i="37"/>
  <c r="CW50" i="37"/>
  <c r="CO50" i="37"/>
  <c r="CF50" i="37"/>
  <c r="BX50" i="37"/>
  <c r="BO50" i="37"/>
  <c r="BG50" i="37"/>
  <c r="AY50" i="37"/>
  <c r="AQ50" i="37"/>
  <c r="AI50" i="37"/>
  <c r="AA50" i="37"/>
  <c r="S50" i="37"/>
  <c r="H50" i="37"/>
  <c r="DQ50" i="37"/>
  <c r="DD50" i="37"/>
  <c r="CV50" i="37"/>
  <c r="CN50" i="37"/>
  <c r="CE50" i="37"/>
  <c r="BV50" i="37"/>
  <c r="BN50" i="37"/>
  <c r="BF50" i="37"/>
  <c r="AX50" i="37"/>
  <c r="AP50" i="37"/>
  <c r="AH50" i="37"/>
  <c r="Z50" i="37"/>
  <c r="O50" i="37"/>
  <c r="N50" i="37"/>
  <c r="AC50" i="37"/>
  <c r="AM50" i="37"/>
  <c r="AW50" i="37"/>
  <c r="BI50" i="37"/>
  <c r="BS50" i="37"/>
  <c r="CD50" i="37"/>
  <c r="CQ50" i="37"/>
  <c r="DA50" i="37"/>
  <c r="DO50" i="37"/>
  <c r="K22" i="38"/>
  <c r="J33" i="38"/>
  <c r="K40" i="38"/>
  <c r="K54" i="38"/>
  <c r="J65" i="38"/>
  <c r="K72" i="38"/>
  <c r="K88" i="38"/>
  <c r="J99" i="38"/>
  <c r="K106" i="38"/>
  <c r="I125" i="38"/>
  <c r="E133" i="46"/>
  <c r="E282" i="46"/>
  <c r="E271" i="46"/>
  <c r="E290" i="46"/>
  <c r="E275" i="46"/>
  <c r="F21" i="46"/>
  <c r="E277" i="46"/>
  <c r="E285" i="46"/>
  <c r="E274" i="46"/>
  <c r="E279" i="46"/>
  <c r="E286" i="46"/>
  <c r="F286" i="46"/>
  <c r="F279" i="46"/>
  <c r="F285" i="46"/>
  <c r="F271" i="46"/>
  <c r="F290" i="46"/>
  <c r="F288" i="46"/>
  <c r="F277" i="46"/>
  <c r="F274" i="46"/>
  <c r="F275" i="46"/>
  <c r="F282" i="46"/>
  <c r="E288" i="46"/>
  <c r="C26" i="44"/>
  <c r="I126" i="44"/>
  <c r="I111" i="38"/>
  <c r="E119" i="46"/>
  <c r="C25" i="38"/>
  <c r="E20" i="46"/>
  <c r="E19" i="38"/>
  <c r="D19" i="38"/>
  <c r="I104" i="38"/>
  <c r="E112" i="46"/>
  <c r="I66" i="38"/>
  <c r="E74" i="46"/>
  <c r="I68" i="38"/>
  <c r="E76" i="46"/>
  <c r="I76" i="38"/>
  <c r="E84" i="46"/>
  <c r="D18" i="38"/>
  <c r="I41" i="38"/>
  <c r="E49" i="46"/>
  <c r="C17" i="38"/>
  <c r="E12" i="46"/>
  <c r="I60" i="38"/>
  <c r="E68" i="46"/>
  <c r="I70" i="38"/>
  <c r="E78" i="46"/>
  <c r="I42" i="38"/>
  <c r="E50" i="46"/>
  <c r="E18" i="38"/>
  <c r="I22" i="38"/>
  <c r="E30" i="46"/>
  <c r="I59" i="38"/>
  <c r="E67" i="46"/>
  <c r="I109" i="38"/>
  <c r="E117" i="46"/>
  <c r="I34" i="38"/>
  <c r="E42" i="46"/>
  <c r="I44" i="38"/>
  <c r="E52" i="46"/>
  <c r="I77" i="38"/>
  <c r="E85" i="46"/>
  <c r="I56" i="38"/>
  <c r="E64" i="46"/>
  <c r="I58" i="38"/>
  <c r="E66" i="46"/>
  <c r="I79" i="38"/>
  <c r="E87" i="46"/>
  <c r="E16" i="38"/>
  <c r="I99" i="38"/>
  <c r="E107" i="46"/>
  <c r="I100" i="38"/>
  <c r="E108" i="46"/>
  <c r="I65" i="38"/>
  <c r="E73" i="46"/>
  <c r="I92" i="38"/>
  <c r="E100" i="46"/>
  <c r="I26" i="38"/>
  <c r="E34" i="46"/>
  <c r="I27" i="38"/>
  <c r="E35" i="46"/>
  <c r="I18" i="38"/>
  <c r="E26" i="46"/>
  <c r="E17" i="38"/>
  <c r="I67" i="38"/>
  <c r="E75" i="46"/>
  <c r="I20" i="38"/>
  <c r="E28" i="46"/>
  <c r="I32" i="38"/>
  <c r="E40" i="46"/>
  <c r="I64" i="38"/>
  <c r="E72" i="46"/>
  <c r="I52" i="38"/>
  <c r="E60" i="46"/>
  <c r="I90" i="38"/>
  <c r="E98" i="46"/>
  <c r="C23" i="38"/>
  <c r="E18" i="46"/>
  <c r="I119" i="38"/>
  <c r="E127" i="46"/>
  <c r="I51" i="38"/>
  <c r="E59" i="46"/>
  <c r="I54" i="38"/>
  <c r="E62" i="46"/>
  <c r="I28" i="38"/>
  <c r="E36" i="46"/>
  <c r="I96" i="38"/>
  <c r="E104" i="46"/>
  <c r="C21" i="38"/>
  <c r="E16" i="46"/>
  <c r="I84" i="38"/>
  <c r="E92" i="46"/>
  <c r="I102" i="38"/>
  <c r="E110" i="46"/>
  <c r="I38" i="38"/>
  <c r="E46" i="46"/>
  <c r="I101" i="38"/>
  <c r="E109" i="46"/>
  <c r="I24" i="38"/>
  <c r="E32" i="46"/>
  <c r="I94" i="38"/>
  <c r="E102" i="46"/>
  <c r="I33" i="38"/>
  <c r="E41" i="46"/>
  <c r="I19" i="38"/>
  <c r="E27" i="46"/>
  <c r="I110" i="38"/>
  <c r="E118" i="46"/>
  <c r="I107" i="38"/>
  <c r="E115" i="46"/>
  <c r="I83" i="38"/>
  <c r="E91" i="46"/>
  <c r="I35" i="38"/>
  <c r="E43" i="46"/>
  <c r="C20" i="38"/>
  <c r="E15" i="46"/>
  <c r="I117" i="38"/>
  <c r="E125" i="46"/>
  <c r="I97" i="38"/>
  <c r="E105" i="46"/>
  <c r="I80" i="38"/>
  <c r="E88" i="46"/>
  <c r="I63" i="38"/>
  <c r="E71" i="46"/>
  <c r="I47" i="38"/>
  <c r="E55" i="46"/>
  <c r="I31" i="38"/>
  <c r="E39" i="46"/>
  <c r="I105" i="38"/>
  <c r="E113" i="46"/>
  <c r="I89" i="38"/>
  <c r="E97" i="46"/>
  <c r="I71" i="38"/>
  <c r="E79" i="46"/>
  <c r="I55" i="38"/>
  <c r="E63" i="46"/>
  <c r="I39" i="38"/>
  <c r="E47" i="46"/>
  <c r="I23" i="38"/>
  <c r="E31" i="46"/>
  <c r="C18" i="38"/>
  <c r="E13" i="46"/>
  <c r="I113" i="38"/>
  <c r="E121" i="46"/>
  <c r="I78" i="38"/>
  <c r="E86" i="46"/>
  <c r="I45" i="38"/>
  <c r="E53" i="46"/>
  <c r="C22" i="38"/>
  <c r="E17" i="46"/>
  <c r="I106" i="38"/>
  <c r="E114" i="46"/>
  <c r="I72" i="38"/>
  <c r="E80" i="46"/>
  <c r="I40" i="38"/>
  <c r="E48" i="46"/>
  <c r="C16" i="38"/>
  <c r="E11" i="46"/>
  <c r="I103" i="38"/>
  <c r="E111" i="46"/>
  <c r="I37" i="38"/>
  <c r="E45" i="46"/>
  <c r="C19" i="38"/>
  <c r="E14" i="46"/>
  <c r="I95" i="38"/>
  <c r="E103" i="46"/>
  <c r="I29" i="38"/>
  <c r="E37" i="46"/>
  <c r="C24" i="38"/>
  <c r="E19" i="46"/>
  <c r="I91" i="38"/>
  <c r="E99" i="46"/>
  <c r="I25" i="38"/>
  <c r="E33" i="46"/>
  <c r="I57" i="38"/>
  <c r="E65" i="46"/>
  <c r="I87" i="38"/>
  <c r="E95" i="46"/>
  <c r="I69" i="38"/>
  <c r="E77" i="46"/>
  <c r="I61" i="38"/>
  <c r="E69" i="46"/>
  <c r="I53" i="38"/>
  <c r="E61" i="46"/>
  <c r="I21" i="38"/>
  <c r="E29" i="46"/>
  <c r="I98" i="38"/>
  <c r="E106" i="46"/>
  <c r="I93" i="38"/>
  <c r="E101" i="46"/>
  <c r="I50" i="38"/>
  <c r="E58" i="46"/>
  <c r="I17" i="38"/>
  <c r="E25" i="46"/>
  <c r="I81" i="38"/>
  <c r="E89" i="46"/>
  <c r="I43" i="38"/>
  <c r="E51" i="46"/>
  <c r="I121" i="38"/>
  <c r="E129" i="46"/>
  <c r="I30" i="38"/>
  <c r="E38" i="46"/>
  <c r="I36" i="38"/>
  <c r="E44" i="46"/>
  <c r="I46" i="38"/>
  <c r="E54" i="46"/>
  <c r="D17" i="38"/>
  <c r="I62" i="38"/>
  <c r="E70" i="46"/>
  <c r="I88" i="38"/>
  <c r="E96" i="46"/>
  <c r="I115" i="38"/>
  <c r="E123" i="46"/>
  <c r="I74" i="38"/>
  <c r="E82" i="46"/>
  <c r="I75" i="38"/>
  <c r="E83" i="46"/>
  <c r="C29" i="38"/>
  <c r="E136" i="46"/>
  <c r="D16" i="38"/>
  <c r="I49" i="38"/>
  <c r="E57" i="46"/>
  <c r="I82" i="38"/>
  <c r="E90" i="46"/>
  <c r="I48" i="38"/>
  <c r="E56" i="46"/>
  <c r="I85" i="38"/>
  <c r="E93" i="46"/>
  <c r="B31" i="26"/>
  <c r="B268" i="46"/>
  <c r="B29" i="26" a="1"/>
  <c r="B29" i="26"/>
  <c r="B266" i="46"/>
  <c r="B25" i="26"/>
  <c r="B150" i="46"/>
  <c r="B24" i="26"/>
  <c r="B149" i="46"/>
  <c r="B23" i="26"/>
  <c r="B148" i="46"/>
  <c r="B22" i="26"/>
  <c r="B147" i="46"/>
  <c r="B21" i="26"/>
  <c r="B146" i="46"/>
  <c r="B20" i="26"/>
  <c r="B145" i="46"/>
  <c r="B19" i="26"/>
  <c r="B144" i="46"/>
  <c r="B18" i="26"/>
  <c r="B143" i="46"/>
  <c r="B17" i="26"/>
  <c r="B142" i="46"/>
  <c r="B16" i="26"/>
  <c r="B141" i="46"/>
  <c r="B10" i="26"/>
  <c r="H125" i="26"/>
  <c r="B263" i="46"/>
  <c r="H124" i="26"/>
  <c r="B262" i="46"/>
  <c r="H123" i="26"/>
  <c r="B261" i="46"/>
  <c r="H121" i="26"/>
  <c r="B259" i="46"/>
  <c r="H119" i="26"/>
  <c r="B257" i="46"/>
  <c r="H117" i="26"/>
  <c r="B255" i="46"/>
  <c r="H115" i="26"/>
  <c r="B253" i="46"/>
  <c r="H113" i="26"/>
  <c r="B251" i="46"/>
  <c r="H111" i="26"/>
  <c r="B249" i="46"/>
  <c r="H110" i="26"/>
  <c r="B248" i="46"/>
  <c r="H109" i="26"/>
  <c r="B247" i="46"/>
  <c r="H107" i="26"/>
  <c r="B245" i="46"/>
  <c r="H106" i="26"/>
  <c r="B244" i="46"/>
  <c r="H105" i="26"/>
  <c r="B243" i="46"/>
  <c r="H104" i="26"/>
  <c r="B242" i="46"/>
  <c r="H103" i="26"/>
  <c r="B241" i="46"/>
  <c r="H102" i="26"/>
  <c r="B240" i="46"/>
  <c r="H101" i="26"/>
  <c r="B239" i="46"/>
  <c r="H100" i="26"/>
  <c r="B238" i="46"/>
  <c r="H99" i="26"/>
  <c r="B237" i="46"/>
  <c r="H98" i="26"/>
  <c r="B236" i="46"/>
  <c r="H97" i="26"/>
  <c r="B235" i="46"/>
  <c r="H96" i="26"/>
  <c r="B234" i="46"/>
  <c r="H95" i="26"/>
  <c r="B233" i="46"/>
  <c r="H94" i="26"/>
  <c r="B232" i="46"/>
  <c r="H93" i="26"/>
  <c r="B231" i="46"/>
  <c r="H92" i="26"/>
  <c r="B230" i="46"/>
  <c r="H91" i="26"/>
  <c r="B229" i="46"/>
  <c r="H90" i="26"/>
  <c r="B228" i="46"/>
  <c r="H89" i="26"/>
  <c r="B227" i="46"/>
  <c r="H88" i="26"/>
  <c r="B226" i="46"/>
  <c r="H87" i="26"/>
  <c r="B225" i="46"/>
  <c r="H85" i="26"/>
  <c r="B223" i="46"/>
  <c r="H84" i="26"/>
  <c r="B222" i="46"/>
  <c r="H83" i="26"/>
  <c r="B221" i="46"/>
  <c r="H82" i="26"/>
  <c r="B220" i="46"/>
  <c r="H81" i="26"/>
  <c r="B219" i="46"/>
  <c r="H80" i="26"/>
  <c r="B218" i="46"/>
  <c r="H79" i="26"/>
  <c r="B217" i="46"/>
  <c r="H78" i="26"/>
  <c r="B216" i="46"/>
  <c r="H77" i="26"/>
  <c r="B215" i="46"/>
  <c r="H76" i="26"/>
  <c r="B214" i="46"/>
  <c r="H75" i="26"/>
  <c r="B213" i="46"/>
  <c r="H74" i="26"/>
  <c r="B212" i="46"/>
  <c r="H72" i="26"/>
  <c r="B210" i="46"/>
  <c r="H71" i="26"/>
  <c r="B209" i="46"/>
  <c r="H70" i="26"/>
  <c r="B208" i="46"/>
  <c r="H69" i="26"/>
  <c r="B207" i="46"/>
  <c r="H68" i="26"/>
  <c r="B206" i="46"/>
  <c r="H67" i="26"/>
  <c r="B205" i="46"/>
  <c r="H66" i="26"/>
  <c r="B204" i="46"/>
  <c r="H65" i="26"/>
  <c r="B203" i="46"/>
  <c r="H64" i="26"/>
  <c r="B202" i="46"/>
  <c r="H63" i="26"/>
  <c r="B201" i="46"/>
  <c r="H62" i="26"/>
  <c r="B200" i="46"/>
  <c r="H61" i="26"/>
  <c r="B199" i="46"/>
  <c r="H60" i="26"/>
  <c r="B198" i="46"/>
  <c r="H59" i="26"/>
  <c r="B197" i="46"/>
  <c r="H58" i="26"/>
  <c r="B196" i="46"/>
  <c r="H57" i="26"/>
  <c r="B195" i="46"/>
  <c r="H56" i="26"/>
  <c r="B194" i="46"/>
  <c r="H55" i="26"/>
  <c r="B193" i="46"/>
  <c r="H54" i="26"/>
  <c r="B192" i="46"/>
  <c r="H53" i="26"/>
  <c r="B191" i="46"/>
  <c r="H52" i="26"/>
  <c r="B190" i="46"/>
  <c r="H51" i="26"/>
  <c r="B189" i="46"/>
  <c r="H50" i="26"/>
  <c r="B188" i="46"/>
  <c r="H49" i="26"/>
  <c r="B187" i="46"/>
  <c r="H48" i="26"/>
  <c r="B186" i="46"/>
  <c r="H47" i="26"/>
  <c r="B185" i="46"/>
  <c r="H46" i="26"/>
  <c r="B184" i="46"/>
  <c r="H45" i="26"/>
  <c r="B183" i="46"/>
  <c r="H44" i="26"/>
  <c r="B182" i="46"/>
  <c r="H43" i="26"/>
  <c r="B181" i="46"/>
  <c r="H42" i="26"/>
  <c r="B180" i="46"/>
  <c r="H41" i="26"/>
  <c r="B179" i="46"/>
  <c r="H40" i="26"/>
  <c r="B178" i="46"/>
  <c r="H39" i="26"/>
  <c r="B177" i="46"/>
  <c r="H38" i="26"/>
  <c r="B176" i="46"/>
  <c r="H37" i="26"/>
  <c r="B175" i="46"/>
  <c r="H36" i="26"/>
  <c r="B174" i="46"/>
  <c r="H35" i="26"/>
  <c r="B173" i="46"/>
  <c r="H34" i="26"/>
  <c r="B172" i="46"/>
  <c r="H33" i="26"/>
  <c r="B171" i="46"/>
  <c r="H32" i="26"/>
  <c r="B170" i="46"/>
  <c r="H31" i="26"/>
  <c r="B169" i="46"/>
  <c r="H30" i="26"/>
  <c r="B168" i="46"/>
  <c r="H29" i="26"/>
  <c r="B167" i="46"/>
  <c r="H28" i="26"/>
  <c r="B166" i="46"/>
  <c r="H27" i="26"/>
  <c r="B165" i="46"/>
  <c r="H26" i="26"/>
  <c r="B164" i="46"/>
  <c r="H25" i="26"/>
  <c r="B163" i="46"/>
  <c r="H24" i="26"/>
  <c r="B162" i="46"/>
  <c r="H23" i="26"/>
  <c r="B161" i="46"/>
  <c r="H22" i="26"/>
  <c r="B160" i="46"/>
  <c r="H21" i="26"/>
  <c r="B159" i="46"/>
  <c r="H20" i="26"/>
  <c r="B158" i="46"/>
  <c r="H19" i="26"/>
  <c r="B157" i="46"/>
  <c r="H18" i="26"/>
  <c r="B156" i="46"/>
  <c r="H17" i="26"/>
  <c r="B155" i="46"/>
  <c r="P52" i="25"/>
  <c r="DY52" i="25"/>
  <c r="DW52" i="25"/>
  <c r="DV52" i="25"/>
  <c r="DU52" i="25"/>
  <c r="DM52" i="25"/>
  <c r="DI52" i="25"/>
  <c r="DH52" i="25"/>
  <c r="DG52" i="25"/>
  <c r="DB52" i="25"/>
  <c r="DA52" i="25"/>
  <c r="CZ52" i="25"/>
  <c r="CY52" i="25"/>
  <c r="CT52" i="25"/>
  <c r="CS52" i="25"/>
  <c r="CR52" i="25"/>
  <c r="CQ52" i="25"/>
  <c r="CP52" i="25"/>
  <c r="CL52" i="25"/>
  <c r="CK52" i="25"/>
  <c r="CH52" i="25"/>
  <c r="CG52" i="25"/>
  <c r="CC52" i="25"/>
  <c r="CB52" i="25"/>
  <c r="CA52" i="25"/>
  <c r="BZ52" i="25"/>
  <c r="BY52" i="25"/>
  <c r="BS52" i="25"/>
  <c r="BR52" i="25"/>
  <c r="BQ52" i="25"/>
  <c r="BP52" i="25"/>
  <c r="BL52" i="25"/>
  <c r="BK52" i="25"/>
  <c r="BJ52" i="25"/>
  <c r="BH52" i="25"/>
  <c r="BD52" i="25"/>
  <c r="BC52" i="25"/>
  <c r="BB52" i="25"/>
  <c r="BA52" i="25"/>
  <c r="AZ52" i="25"/>
  <c r="AV52" i="25"/>
  <c r="AT52" i="25"/>
  <c r="AS52" i="25"/>
  <c r="AR52" i="25"/>
  <c r="AN52" i="25"/>
  <c r="AM52" i="25"/>
  <c r="AL52" i="25"/>
  <c r="AK52" i="25"/>
  <c r="AF52" i="25"/>
  <c r="AE52" i="25"/>
  <c r="AD52" i="25"/>
  <c r="AC52" i="25"/>
  <c r="AB52" i="25"/>
  <c r="X52" i="25"/>
  <c r="W52" i="25"/>
  <c r="U52" i="25"/>
  <c r="T52" i="25"/>
  <c r="M52" i="25"/>
  <c r="L52" i="25"/>
  <c r="K52" i="25"/>
  <c r="J52" i="25"/>
  <c r="I52" i="25"/>
  <c r="P51" i="25"/>
  <c r="DY51" i="25"/>
  <c r="DW51" i="25"/>
  <c r="DV51" i="25"/>
  <c r="DU51" i="25"/>
  <c r="DM51" i="25"/>
  <c r="DK51" i="25"/>
  <c r="DI51" i="25"/>
  <c r="DG51" i="25"/>
  <c r="DB51" i="25"/>
  <c r="DA51" i="25"/>
  <c r="CZ51" i="25"/>
  <c r="CY51" i="25"/>
  <c r="CX51" i="25"/>
  <c r="CT51" i="25"/>
  <c r="CR51" i="25"/>
  <c r="CQ51" i="25"/>
  <c r="CP51" i="25"/>
  <c r="CL51" i="25"/>
  <c r="CK51" i="25"/>
  <c r="CI51" i="25"/>
  <c r="CH51" i="25"/>
  <c r="CC51" i="25"/>
  <c r="CB51" i="25"/>
  <c r="CA51" i="25"/>
  <c r="BZ51" i="25"/>
  <c r="BY51" i="25"/>
  <c r="BT51" i="25"/>
  <c r="BS51" i="25"/>
  <c r="BQ51" i="25"/>
  <c r="BP51" i="25"/>
  <c r="BL51" i="25"/>
  <c r="BK51" i="25"/>
  <c r="BJ51" i="25"/>
  <c r="BI51" i="25"/>
  <c r="BH51" i="25"/>
  <c r="BC51" i="25"/>
  <c r="BB51" i="25"/>
  <c r="BA51" i="25"/>
  <c r="AZ51" i="25"/>
  <c r="AV51" i="25"/>
  <c r="AU51" i="25"/>
  <c r="AT51" i="25"/>
  <c r="AR51" i="25"/>
  <c r="AN51" i="25"/>
  <c r="AM51" i="25"/>
  <c r="AL51" i="25"/>
  <c r="AK51" i="25"/>
  <c r="AJ51" i="25"/>
  <c r="AF51" i="25"/>
  <c r="AD51" i="25"/>
  <c r="AC51" i="25"/>
  <c r="AB51" i="25"/>
  <c r="X51" i="25"/>
  <c r="W51" i="25"/>
  <c r="V51" i="25"/>
  <c r="U51" i="25"/>
  <c r="M51" i="25"/>
  <c r="L51" i="25"/>
  <c r="K51" i="25"/>
  <c r="J51" i="25"/>
  <c r="I51" i="25"/>
  <c r="H51" i="25"/>
  <c r="G51" i="25"/>
  <c r="DW50" i="25"/>
  <c r="DV50" i="25"/>
  <c r="DU50" i="25"/>
  <c r="P50" i="25"/>
  <c r="DS50" i="25"/>
  <c r="DQ50" i="25"/>
  <c r="CY50" i="25"/>
  <c r="CT50" i="25"/>
  <c r="CR50" i="25"/>
  <c r="CP50" i="25"/>
  <c r="CC50" i="25"/>
  <c r="BY50" i="25"/>
  <c r="BT50" i="25"/>
  <c r="BS50" i="25"/>
  <c r="BH50" i="25"/>
  <c r="BB50" i="25"/>
  <c r="AZ50" i="25"/>
  <c r="AY50" i="25"/>
  <c r="AM50" i="25"/>
  <c r="AH50" i="25"/>
  <c r="AE50" i="25"/>
  <c r="AD50" i="25"/>
  <c r="O50" i="25"/>
  <c r="J50" i="25"/>
  <c r="G50" i="25"/>
  <c r="F50" i="25"/>
  <c r="DE50" i="25"/>
  <c r="DW49" i="25"/>
  <c r="DV49" i="25"/>
  <c r="DU49" i="25"/>
  <c r="P49" i="25"/>
  <c r="DO49" i="25"/>
  <c r="DM49" i="25"/>
  <c r="DK49" i="25"/>
  <c r="DD49" i="25"/>
  <c r="CS49" i="25"/>
  <c r="CR49" i="25"/>
  <c r="CL49" i="25"/>
  <c r="BZ49" i="25"/>
  <c r="BY49" i="25"/>
  <c r="BV49" i="25"/>
  <c r="BR49" i="25"/>
  <c r="BI49" i="25"/>
  <c r="BH49" i="25"/>
  <c r="BE49" i="25"/>
  <c r="AV49" i="25"/>
  <c r="AU49" i="25"/>
  <c r="AS49" i="25"/>
  <c r="AP49" i="25"/>
  <c r="AJ49" i="25"/>
  <c r="AG49" i="25"/>
  <c r="AE49" i="25"/>
  <c r="W49" i="25"/>
  <c r="V49" i="25"/>
  <c r="U49" i="25"/>
  <c r="T49" i="25"/>
  <c r="I49" i="25"/>
  <c r="G49" i="25"/>
  <c r="DW48" i="25"/>
  <c r="DV48" i="25"/>
  <c r="DU48" i="25"/>
  <c r="P48" i="25"/>
  <c r="DK48" i="25"/>
  <c r="DH48" i="25"/>
  <c r="DG48" i="25"/>
  <c r="CU48" i="25"/>
  <c r="CS48" i="25"/>
  <c r="CK48" i="25"/>
  <c r="CI48" i="25"/>
  <c r="CG48" i="25"/>
  <c r="BT48" i="25"/>
  <c r="BR48" i="25"/>
  <c r="BJ48" i="25"/>
  <c r="BI48" i="25"/>
  <c r="BH48" i="25"/>
  <c r="AW48" i="25"/>
  <c r="AS48" i="25"/>
  <c r="AL48" i="25"/>
  <c r="AJ48" i="25"/>
  <c r="AH48" i="25"/>
  <c r="X48" i="25"/>
  <c r="V48" i="25"/>
  <c r="K48" i="25"/>
  <c r="J48" i="25"/>
  <c r="G48" i="25"/>
  <c r="CV48" i="25"/>
  <c r="DW47" i="25"/>
  <c r="DV47" i="25"/>
  <c r="DU47" i="25"/>
  <c r="P47" i="25"/>
  <c r="DO47" i="25"/>
  <c r="AU47" i="25"/>
  <c r="AT47" i="25"/>
  <c r="AS47" i="25"/>
  <c r="AD47" i="25"/>
  <c r="BQ47" i="25"/>
  <c r="P46" i="25"/>
  <c r="DY46" i="25"/>
  <c r="DW46" i="25"/>
  <c r="DV46" i="25"/>
  <c r="DU46" i="25"/>
  <c r="DS46" i="25"/>
  <c r="DQ46" i="25"/>
  <c r="DM46" i="25"/>
  <c r="DK46" i="25"/>
  <c r="DI46" i="25"/>
  <c r="DD46" i="25"/>
  <c r="DB46" i="25"/>
  <c r="DA46" i="25"/>
  <c r="CZ46" i="25"/>
  <c r="CY46" i="25"/>
  <c r="CT46" i="25"/>
  <c r="CS46" i="25"/>
  <c r="CR46" i="25"/>
  <c r="CQ46" i="25"/>
  <c r="CP46" i="25"/>
  <c r="CK46" i="25"/>
  <c r="CI46" i="25"/>
  <c r="CH46" i="25"/>
  <c r="CG46" i="25"/>
  <c r="CF46" i="25"/>
  <c r="CA46" i="25"/>
  <c r="BZ46" i="25"/>
  <c r="BY46" i="25"/>
  <c r="BX46" i="25"/>
  <c r="BV46" i="25"/>
  <c r="BQ46" i="25"/>
  <c r="BP46" i="25"/>
  <c r="BO46" i="25"/>
  <c r="BN46" i="25"/>
  <c r="BL46" i="25"/>
  <c r="BH46" i="25"/>
  <c r="BG46" i="25"/>
  <c r="BF46" i="25"/>
  <c r="BD46" i="25"/>
  <c r="BC46" i="25"/>
  <c r="AY46" i="25"/>
  <c r="AX46" i="25"/>
  <c r="AV46" i="25"/>
  <c r="AU46" i="25"/>
  <c r="AT46" i="25"/>
  <c r="AP46" i="25"/>
  <c r="AN46" i="25"/>
  <c r="AM46" i="25"/>
  <c r="AL46" i="25"/>
  <c r="AK46" i="25"/>
  <c r="AF46" i="25"/>
  <c r="AE46" i="25"/>
  <c r="AD46" i="25"/>
  <c r="AC46" i="25"/>
  <c r="AB46" i="25"/>
  <c r="W46" i="25"/>
  <c r="V46" i="25"/>
  <c r="U46" i="25"/>
  <c r="T46" i="25"/>
  <c r="S46" i="25"/>
  <c r="K46" i="25"/>
  <c r="J46" i="25"/>
  <c r="I46" i="25"/>
  <c r="H46" i="25"/>
  <c r="G46" i="25"/>
  <c r="DG46" i="25"/>
  <c r="DW45" i="25"/>
  <c r="DV45" i="25"/>
  <c r="DU45" i="25"/>
  <c r="P45" i="25"/>
  <c r="DS45" i="25"/>
  <c r="DQ45" i="25"/>
  <c r="DM45" i="25"/>
  <c r="DG45" i="25"/>
  <c r="DE45" i="25"/>
  <c r="DB45" i="25"/>
  <c r="DA45" i="25"/>
  <c r="CW45" i="25"/>
  <c r="CV45" i="25"/>
  <c r="CT45" i="25"/>
  <c r="CS45" i="25"/>
  <c r="CR45" i="25"/>
  <c r="CL45" i="25"/>
  <c r="CK45" i="25"/>
  <c r="CI45" i="25"/>
  <c r="CH45" i="25"/>
  <c r="CC45" i="25"/>
  <c r="CB45" i="25"/>
  <c r="CA45" i="25"/>
  <c r="BY45" i="25"/>
  <c r="BS45" i="25"/>
  <c r="BR45" i="25"/>
  <c r="BQ45" i="25"/>
  <c r="BP45" i="25"/>
  <c r="BO45" i="25"/>
  <c r="BJ45" i="25"/>
  <c r="BH45" i="25"/>
  <c r="BG45" i="25"/>
  <c r="BF45" i="25"/>
  <c r="BA45" i="25"/>
  <c r="AZ45" i="25"/>
  <c r="AY45" i="25"/>
  <c r="AX45" i="25"/>
  <c r="AR45" i="25"/>
  <c r="AQ45" i="25"/>
  <c r="AP45" i="25"/>
  <c r="AN45" i="25"/>
  <c r="AM45" i="25"/>
  <c r="AI45" i="25"/>
  <c r="AH45" i="25"/>
  <c r="AF45" i="25"/>
  <c r="AE45" i="25"/>
  <c r="AA45" i="25"/>
  <c r="Z45" i="25"/>
  <c r="Y45" i="25"/>
  <c r="X45" i="25"/>
  <c r="W45" i="25"/>
  <c r="O45" i="25"/>
  <c r="N45" i="25"/>
  <c r="M45" i="25"/>
  <c r="L45" i="25"/>
  <c r="H45" i="25"/>
  <c r="G45" i="25"/>
  <c r="F45" i="25"/>
  <c r="DW44" i="25"/>
  <c r="DV44" i="25"/>
  <c r="DU44" i="25"/>
  <c r="P44" i="25"/>
  <c r="DS44" i="25"/>
  <c r="DQ44" i="25"/>
  <c r="DB44" i="25"/>
  <c r="DA44" i="25"/>
  <c r="CU44" i="25"/>
  <c r="CS44" i="25"/>
  <c r="CO44" i="25"/>
  <c r="CD44" i="25"/>
  <c r="CC44" i="25"/>
  <c r="CB44" i="25"/>
  <c r="BX44" i="25"/>
  <c r="BT44" i="25"/>
  <c r="BL44" i="25"/>
  <c r="BF44" i="25"/>
  <c r="BD44" i="25"/>
  <c r="BC44" i="25"/>
  <c r="AY44" i="25"/>
  <c r="AO44" i="25"/>
  <c r="AN44" i="25"/>
  <c r="AM44" i="25"/>
  <c r="AG44" i="25"/>
  <c r="AE44" i="25"/>
  <c r="S44" i="25"/>
  <c r="N44" i="25"/>
  <c r="M44" i="25"/>
  <c r="L44" i="25"/>
  <c r="H44" i="25"/>
  <c r="DD44" i="25"/>
  <c r="DW43" i="25"/>
  <c r="DV43" i="25"/>
  <c r="DU43" i="25"/>
  <c r="P43" i="25"/>
  <c r="DS43" i="25"/>
  <c r="DQ43" i="25"/>
  <c r="DM43" i="25"/>
  <c r="DE43" i="25"/>
  <c r="DD43" i="25"/>
  <c r="DC43" i="25"/>
  <c r="DB43" i="25"/>
  <c r="DA43" i="25"/>
  <c r="CV43" i="25"/>
  <c r="CT43" i="25"/>
  <c r="CS43" i="25"/>
  <c r="CO43" i="25"/>
  <c r="CN43" i="25"/>
  <c r="CM43" i="25"/>
  <c r="CK43" i="25"/>
  <c r="CE43" i="25"/>
  <c r="CD43" i="25"/>
  <c r="CC43" i="25"/>
  <c r="CB43" i="25"/>
  <c r="BX43" i="25"/>
  <c r="BU43" i="25"/>
  <c r="BS43" i="25"/>
  <c r="BO43" i="25"/>
  <c r="BN43" i="25"/>
  <c r="BM43" i="25"/>
  <c r="BL43" i="25"/>
  <c r="BG43" i="25"/>
  <c r="BE43" i="25"/>
  <c r="BD43" i="25"/>
  <c r="BC43" i="25"/>
  <c r="AY43" i="25"/>
  <c r="AX43" i="25"/>
  <c r="AV43" i="25"/>
  <c r="AQ43" i="25"/>
  <c r="AP43" i="25"/>
  <c r="AO43" i="25"/>
  <c r="AN43" i="25"/>
  <c r="AM43" i="25"/>
  <c r="AH43" i="25"/>
  <c r="AF43" i="25"/>
  <c r="AE43" i="25"/>
  <c r="AA43" i="25"/>
  <c r="Z43" i="25"/>
  <c r="Y43" i="25"/>
  <c r="W43" i="25"/>
  <c r="O43" i="25"/>
  <c r="N43" i="25"/>
  <c r="M43" i="25"/>
  <c r="L43" i="25"/>
  <c r="H43" i="25"/>
  <c r="F43" i="25"/>
  <c r="P42" i="25"/>
  <c r="DY42" i="25"/>
  <c r="DW42" i="25"/>
  <c r="DV42" i="25"/>
  <c r="DU42" i="25"/>
  <c r="DS42" i="25"/>
  <c r="DO42" i="25"/>
  <c r="DM42" i="25"/>
  <c r="DK42" i="25"/>
  <c r="DI42" i="25"/>
  <c r="DE42" i="25"/>
  <c r="DD42" i="25"/>
  <c r="DC42" i="25"/>
  <c r="DA42" i="25"/>
  <c r="CZ42" i="25"/>
  <c r="CW42" i="25"/>
  <c r="CV42" i="25"/>
  <c r="CU42" i="25"/>
  <c r="CT42" i="25"/>
  <c r="CS42" i="25"/>
  <c r="CO42" i="25"/>
  <c r="CN42" i="25"/>
  <c r="CM42" i="25"/>
  <c r="CL42" i="25"/>
  <c r="CK42" i="25"/>
  <c r="CI42" i="25"/>
  <c r="CF42" i="25"/>
  <c r="CD42" i="25"/>
  <c r="CC42" i="25"/>
  <c r="CB42" i="25"/>
  <c r="CA42" i="25"/>
  <c r="BX42" i="25"/>
  <c r="BV42" i="25"/>
  <c r="BU42" i="25"/>
  <c r="BS42" i="25"/>
  <c r="BR42" i="25"/>
  <c r="BO42" i="25"/>
  <c r="BN42" i="25"/>
  <c r="BM42" i="25"/>
  <c r="BL42" i="25"/>
  <c r="BK42" i="25"/>
  <c r="BG42" i="25"/>
  <c r="BF42" i="25"/>
  <c r="BE42" i="25"/>
  <c r="BD42" i="25"/>
  <c r="BC42" i="25"/>
  <c r="BB42" i="25"/>
  <c r="AY42" i="25"/>
  <c r="AW42" i="25"/>
  <c r="AV42" i="25"/>
  <c r="AU42" i="25"/>
  <c r="AT42" i="25"/>
  <c r="AQ42" i="25"/>
  <c r="AP42" i="25"/>
  <c r="AO42" i="25"/>
  <c r="AM42" i="25"/>
  <c r="AL42" i="25"/>
  <c r="AI42" i="25"/>
  <c r="AH42" i="25"/>
  <c r="AG42" i="25"/>
  <c r="AF42" i="25"/>
  <c r="AE42" i="25"/>
  <c r="AA42" i="25"/>
  <c r="Z42" i="25"/>
  <c r="Y42" i="25"/>
  <c r="X42" i="25"/>
  <c r="W42" i="25"/>
  <c r="V42" i="25"/>
  <c r="S42" i="25"/>
  <c r="N42" i="25"/>
  <c r="M42" i="25"/>
  <c r="L42" i="25"/>
  <c r="K42" i="25"/>
  <c r="H42" i="25"/>
  <c r="G42" i="25"/>
  <c r="F42" i="25"/>
  <c r="DW41" i="25"/>
  <c r="DV41" i="25"/>
  <c r="DU41" i="25"/>
  <c r="P41" i="25"/>
  <c r="DI41" i="25"/>
  <c r="DE41" i="25"/>
  <c r="DD41" i="25"/>
  <c r="CD41" i="25"/>
  <c r="BJ41" i="25"/>
  <c r="BG41" i="25"/>
  <c r="BE41" i="25"/>
  <c r="AG41" i="25"/>
  <c r="AF41" i="25"/>
  <c r="H41" i="25"/>
  <c r="G41" i="25"/>
  <c r="F41" i="25"/>
  <c r="CI41" i="25"/>
  <c r="DW40" i="25"/>
  <c r="DV40" i="25"/>
  <c r="DU40" i="25"/>
  <c r="P40" i="25"/>
  <c r="DQ40" i="25"/>
  <c r="DO40" i="25"/>
  <c r="DM40" i="25"/>
  <c r="DB40" i="25"/>
  <c r="DA40" i="25"/>
  <c r="CZ40" i="25"/>
  <c r="CW40" i="25"/>
  <c r="CN40" i="25"/>
  <c r="CM40" i="25"/>
  <c r="CK40" i="25"/>
  <c r="CD40" i="25"/>
  <c r="CC40" i="25"/>
  <c r="CA40" i="25"/>
  <c r="BY40" i="25"/>
  <c r="BP40" i="25"/>
  <c r="BO40" i="25"/>
  <c r="BN40" i="25"/>
  <c r="BG40" i="25"/>
  <c r="BF40" i="25"/>
  <c r="BE40" i="25"/>
  <c r="BD40" i="25"/>
  <c r="AV40" i="25"/>
  <c r="AU40" i="25"/>
  <c r="AT40" i="25"/>
  <c r="AM40" i="25"/>
  <c r="AL40" i="25"/>
  <c r="AJ40" i="25"/>
  <c r="AI40" i="25"/>
  <c r="AA40" i="25"/>
  <c r="Z40" i="25"/>
  <c r="Y40" i="25"/>
  <c r="O40" i="25"/>
  <c r="N40" i="25"/>
  <c r="M40" i="25"/>
  <c r="K40" i="25"/>
  <c r="P39" i="25"/>
  <c r="DY39" i="25"/>
  <c r="DW39" i="25"/>
  <c r="DV39" i="25"/>
  <c r="DU39" i="25"/>
  <c r="DM39" i="25"/>
  <c r="DK39" i="25"/>
  <c r="DG39" i="25"/>
  <c r="DE39" i="25"/>
  <c r="CZ39" i="25"/>
  <c r="CW39" i="25"/>
  <c r="CV39" i="25"/>
  <c r="CU39" i="25"/>
  <c r="CN39" i="25"/>
  <c r="CM39" i="25"/>
  <c r="CL39" i="25"/>
  <c r="CK39" i="25"/>
  <c r="CC39" i="25"/>
  <c r="CB39" i="25"/>
  <c r="CA39" i="25"/>
  <c r="BY39" i="25"/>
  <c r="BR39" i="25"/>
  <c r="BP39" i="25"/>
  <c r="BO39" i="25"/>
  <c r="BN39" i="25"/>
  <c r="BG39" i="25"/>
  <c r="BF39" i="25"/>
  <c r="BE39" i="25"/>
  <c r="BD39" i="25"/>
  <c r="AW39" i="25"/>
  <c r="AV39" i="25"/>
  <c r="AU39" i="25"/>
  <c r="AR39" i="25"/>
  <c r="AM39" i="25"/>
  <c r="AL39" i="25"/>
  <c r="AI39" i="25"/>
  <c r="AH39" i="25"/>
  <c r="AB39" i="25"/>
  <c r="Z39" i="25"/>
  <c r="Y39" i="25"/>
  <c r="X39" i="25"/>
  <c r="N39" i="25"/>
  <c r="M39" i="25"/>
  <c r="L39" i="25"/>
  <c r="K39" i="25"/>
  <c r="P38" i="25"/>
  <c r="DY38" i="25"/>
  <c r="DW38" i="25"/>
  <c r="DV38" i="25"/>
  <c r="DU38" i="25"/>
  <c r="DS38" i="25"/>
  <c r="DQ38" i="25"/>
  <c r="DK38" i="25"/>
  <c r="DI38" i="25"/>
  <c r="DG38" i="25"/>
  <c r="DE38" i="25"/>
  <c r="DD38" i="25"/>
  <c r="DC38" i="25"/>
  <c r="DA38" i="25"/>
  <c r="CX38" i="25"/>
  <c r="CW38" i="25"/>
  <c r="CV38" i="25"/>
  <c r="CU38" i="25"/>
  <c r="CT38" i="25"/>
  <c r="CR38" i="25"/>
  <c r="CP38" i="25"/>
  <c r="CN38" i="25"/>
  <c r="CM38" i="25"/>
  <c r="CL38" i="25"/>
  <c r="CK38" i="25"/>
  <c r="CG38" i="25"/>
  <c r="CF38" i="25"/>
  <c r="CE38" i="25"/>
  <c r="CC38" i="25"/>
  <c r="CB38" i="25"/>
  <c r="CA38" i="25"/>
  <c r="BX38" i="25"/>
  <c r="BV38" i="25"/>
  <c r="BU38" i="25"/>
  <c r="BT38" i="25"/>
  <c r="BR38" i="25"/>
  <c r="BP38" i="25"/>
  <c r="BN38" i="25"/>
  <c r="BM38" i="25"/>
  <c r="BL38" i="25"/>
  <c r="BK38" i="25"/>
  <c r="BJ38" i="25"/>
  <c r="BG38" i="25"/>
  <c r="BE38" i="25"/>
  <c r="BD38" i="25"/>
  <c r="BC38" i="25"/>
  <c r="BB38" i="25"/>
  <c r="AZ38" i="25"/>
  <c r="AY38" i="25"/>
  <c r="AV38" i="25"/>
  <c r="AU38" i="25"/>
  <c r="AT38" i="25"/>
  <c r="AR38" i="25"/>
  <c r="AQ38" i="25"/>
  <c r="AP38" i="25"/>
  <c r="AO38" i="25"/>
  <c r="AL38" i="25"/>
  <c r="AJ38" i="25"/>
  <c r="AI38" i="25"/>
  <c r="AH38" i="25"/>
  <c r="AG38" i="25"/>
  <c r="AF38" i="25"/>
  <c r="AD38" i="25"/>
  <c r="AA38" i="25"/>
  <c r="Z38" i="25"/>
  <c r="Y38" i="25"/>
  <c r="X38" i="25"/>
  <c r="W38" i="25"/>
  <c r="T38" i="25"/>
  <c r="S38" i="25"/>
  <c r="N38" i="25"/>
  <c r="M38" i="25"/>
  <c r="L38" i="25"/>
  <c r="K38" i="25"/>
  <c r="H38" i="25"/>
  <c r="G38" i="25"/>
  <c r="F38" i="25"/>
  <c r="P37" i="25"/>
  <c r="DY37" i="25"/>
  <c r="DW37" i="25"/>
  <c r="DV37" i="25"/>
  <c r="DU37" i="25"/>
  <c r="DS37" i="25"/>
  <c r="DQ37" i="25"/>
  <c r="DO37" i="25"/>
  <c r="DK37" i="25"/>
  <c r="DI37" i="25"/>
  <c r="DG37" i="25"/>
  <c r="DD37" i="25"/>
  <c r="DC37" i="25"/>
  <c r="DB37" i="25"/>
  <c r="DA37" i="25"/>
  <c r="CX37" i="25"/>
  <c r="CW37" i="25"/>
  <c r="CU37" i="25"/>
  <c r="CT37" i="25"/>
  <c r="CS37" i="25"/>
  <c r="CR37" i="25"/>
  <c r="CP37" i="25"/>
  <c r="CN37" i="25"/>
  <c r="CL37" i="25"/>
  <c r="CK37" i="25"/>
  <c r="CI37" i="25"/>
  <c r="CH37" i="25"/>
  <c r="CG37" i="25"/>
  <c r="CF37" i="25"/>
  <c r="CC37" i="25"/>
  <c r="CB37" i="25"/>
  <c r="CA37" i="25"/>
  <c r="BZ37" i="25"/>
  <c r="BY37" i="25"/>
  <c r="BX37" i="25"/>
  <c r="BV37" i="25"/>
  <c r="BS37" i="25"/>
  <c r="BR37" i="25"/>
  <c r="BQ37" i="25"/>
  <c r="BP37" i="25"/>
  <c r="BO37" i="25"/>
  <c r="BN37" i="25"/>
  <c r="BL37" i="25"/>
  <c r="BJ37" i="25"/>
  <c r="BI37" i="25"/>
  <c r="BH37" i="25"/>
  <c r="BG37" i="25"/>
  <c r="BF37" i="25"/>
  <c r="BD37" i="25"/>
  <c r="BC37" i="25"/>
  <c r="BA37" i="25"/>
  <c r="AZ37" i="25"/>
  <c r="AY37" i="25"/>
  <c r="AX37" i="25"/>
  <c r="AV37" i="25"/>
  <c r="AU37" i="25"/>
  <c r="AT37" i="25"/>
  <c r="AR37" i="25"/>
  <c r="AQ37" i="25"/>
  <c r="AP37" i="25"/>
  <c r="AN37" i="25"/>
  <c r="AM37" i="25"/>
  <c r="AL37" i="25"/>
  <c r="AK37" i="25"/>
  <c r="AI37" i="25"/>
  <c r="AH37" i="25"/>
  <c r="AF37" i="25"/>
  <c r="AE37" i="25"/>
  <c r="AD37" i="25"/>
  <c r="AC37" i="25"/>
  <c r="AB37" i="25"/>
  <c r="Z37" i="25"/>
  <c r="X37" i="25"/>
  <c r="W37" i="25"/>
  <c r="V37" i="25"/>
  <c r="U37" i="25"/>
  <c r="T37" i="25"/>
  <c r="S37" i="25"/>
  <c r="M37" i="25"/>
  <c r="L37" i="25"/>
  <c r="K37" i="25"/>
  <c r="J37" i="25"/>
  <c r="I37" i="25"/>
  <c r="H37" i="25"/>
  <c r="G37" i="25"/>
  <c r="DW36" i="25"/>
  <c r="DV36" i="25"/>
  <c r="DU36" i="25"/>
  <c r="P36" i="25"/>
  <c r="DS36" i="25"/>
  <c r="DM36" i="25"/>
  <c r="DI36" i="25"/>
  <c r="DG36" i="25"/>
  <c r="DE36" i="25"/>
  <c r="DD36" i="25"/>
  <c r="DB36" i="25"/>
  <c r="CY36" i="25"/>
  <c r="CX36" i="25"/>
  <c r="CV36" i="25"/>
  <c r="CT36" i="25"/>
  <c r="CS36" i="25"/>
  <c r="CR36" i="25"/>
  <c r="CO36" i="25"/>
  <c r="CN36" i="25"/>
  <c r="CK36" i="25"/>
  <c r="CI36" i="25"/>
  <c r="CH36" i="25"/>
  <c r="CF36" i="25"/>
  <c r="CC36" i="25"/>
  <c r="CB36" i="25"/>
  <c r="BZ36" i="25"/>
  <c r="BY36" i="25"/>
  <c r="BV36" i="25"/>
  <c r="BT36" i="25"/>
  <c r="BR36" i="25"/>
  <c r="BQ36" i="25"/>
  <c r="BO36" i="25"/>
  <c r="BL36" i="25"/>
  <c r="BK36" i="25"/>
  <c r="BJ36" i="25"/>
  <c r="BH36" i="25"/>
  <c r="BG36" i="25"/>
  <c r="BC36" i="25"/>
  <c r="BB36" i="25"/>
  <c r="BA36" i="25"/>
  <c r="AZ36" i="25"/>
  <c r="AX36" i="25"/>
  <c r="AV36" i="25"/>
  <c r="AS36" i="25"/>
  <c r="AR36" i="25"/>
  <c r="AQ36" i="25"/>
  <c r="AP36" i="25"/>
  <c r="AM36" i="25"/>
  <c r="AK36" i="25"/>
  <c r="AI36" i="25"/>
  <c r="AH36" i="25"/>
  <c r="AF36" i="25"/>
  <c r="AE36" i="25"/>
  <c r="AB36" i="25"/>
  <c r="AA36" i="25"/>
  <c r="X36" i="25"/>
  <c r="W36" i="25"/>
  <c r="V36" i="25"/>
  <c r="U36" i="25"/>
  <c r="O36" i="25"/>
  <c r="M36" i="25"/>
  <c r="K36" i="25"/>
  <c r="J36" i="25"/>
  <c r="I36" i="25"/>
  <c r="G36" i="25"/>
  <c r="DY36" i="25"/>
  <c r="DW35" i="25"/>
  <c r="DV35" i="25"/>
  <c r="DU35" i="25"/>
  <c r="P35" i="25"/>
  <c r="DM35" i="25"/>
  <c r="DK35" i="25"/>
  <c r="DD35" i="25"/>
  <c r="DA35" i="25"/>
  <c r="BS35" i="25"/>
  <c r="BR35" i="25"/>
  <c r="BK35" i="25"/>
  <c r="BJ35" i="25"/>
  <c r="AC35" i="25"/>
  <c r="AB35" i="25"/>
  <c r="U35" i="25"/>
  <c r="T35" i="25"/>
  <c r="CO35" i="25"/>
  <c r="P34" i="25"/>
  <c r="DY34" i="25"/>
  <c r="DW34" i="25"/>
  <c r="DV34" i="25"/>
  <c r="DU34" i="25"/>
  <c r="DK34" i="25"/>
  <c r="DI34" i="25"/>
  <c r="DA34" i="25"/>
  <c r="CZ34" i="25"/>
  <c r="CY34" i="25"/>
  <c r="CO34" i="25"/>
  <c r="CN34" i="25"/>
  <c r="CF34" i="25"/>
  <c r="CE34" i="25"/>
  <c r="CC34" i="25"/>
  <c r="BQ34" i="25"/>
  <c r="BP34" i="25"/>
  <c r="BJ34" i="25"/>
  <c r="BH34" i="25"/>
  <c r="BG34" i="25"/>
  <c r="AV34" i="25"/>
  <c r="AU34" i="25"/>
  <c r="AN34" i="25"/>
  <c r="AM34" i="25"/>
  <c r="AL34" i="25"/>
  <c r="AB34" i="25"/>
  <c r="AA34" i="25"/>
  <c r="T34" i="25"/>
  <c r="S34" i="25"/>
  <c r="O34" i="25"/>
  <c r="P33" i="25"/>
  <c r="DY33" i="25"/>
  <c r="DW33" i="25"/>
  <c r="DV33" i="25"/>
  <c r="DU33" i="25"/>
  <c r="DS33" i="25"/>
  <c r="DQ33" i="25"/>
  <c r="DM33" i="25"/>
  <c r="DK33" i="25"/>
  <c r="DI33" i="25"/>
  <c r="DG33" i="25"/>
  <c r="DE33" i="25"/>
  <c r="DD33" i="25"/>
  <c r="DB33" i="25"/>
  <c r="DA33" i="25"/>
  <c r="CZ33" i="25"/>
  <c r="CY33" i="25"/>
  <c r="CW33" i="25"/>
  <c r="CV33" i="25"/>
  <c r="CT33" i="25"/>
  <c r="CS33" i="25"/>
  <c r="CR33" i="25"/>
  <c r="CQ33" i="25"/>
  <c r="CP33" i="25"/>
  <c r="CN33" i="25"/>
  <c r="CL33" i="25"/>
  <c r="CK33" i="25"/>
  <c r="CI33" i="25"/>
  <c r="CH33" i="25"/>
  <c r="CG33" i="25"/>
  <c r="CF33" i="25"/>
  <c r="CC33" i="25"/>
  <c r="CB33" i="25"/>
  <c r="CA33" i="25"/>
  <c r="BZ33" i="25"/>
  <c r="BY33" i="25"/>
  <c r="BX33" i="25"/>
  <c r="BV33" i="25"/>
  <c r="BS33" i="25"/>
  <c r="BR33" i="25"/>
  <c r="BQ33" i="25"/>
  <c r="BP33" i="25"/>
  <c r="BO33" i="25"/>
  <c r="BN33" i="25"/>
  <c r="BL33" i="25"/>
  <c r="BJ33" i="25"/>
  <c r="BI33" i="25"/>
  <c r="BH33" i="25"/>
  <c r="BG33" i="25"/>
  <c r="BF33" i="25"/>
  <c r="BD33" i="25"/>
  <c r="BC33" i="25"/>
  <c r="BA33" i="25"/>
  <c r="AZ33" i="25"/>
  <c r="AY33" i="25"/>
  <c r="AX33" i="25"/>
  <c r="AV33" i="25"/>
  <c r="AU33" i="25"/>
  <c r="AT33" i="25"/>
  <c r="AR33" i="25"/>
  <c r="AQ33" i="25"/>
  <c r="AP33" i="25"/>
  <c r="AN33" i="25"/>
  <c r="AM33" i="25"/>
  <c r="AL33" i="25"/>
  <c r="AK33" i="25"/>
  <c r="AI33" i="25"/>
  <c r="AH33" i="25"/>
  <c r="AF33" i="25"/>
  <c r="AE33" i="25"/>
  <c r="AD33" i="25"/>
  <c r="AC33" i="25"/>
  <c r="AB33" i="25"/>
  <c r="Z33" i="25"/>
  <c r="X33" i="25"/>
  <c r="W33" i="25"/>
  <c r="V33" i="25"/>
  <c r="U33" i="25"/>
  <c r="T33" i="25"/>
  <c r="S33" i="25"/>
  <c r="M33" i="25"/>
  <c r="L33" i="25"/>
  <c r="K33" i="25"/>
  <c r="J33" i="25"/>
  <c r="I33" i="25"/>
  <c r="H33" i="25"/>
  <c r="G33" i="25"/>
  <c r="DW32" i="25"/>
  <c r="DV32" i="25"/>
  <c r="DU32" i="25"/>
  <c r="P32" i="25"/>
  <c r="AX32" i="25"/>
  <c r="DW31" i="25"/>
  <c r="DV31" i="25"/>
  <c r="DU31" i="25"/>
  <c r="P31" i="25"/>
  <c r="DG31" i="25"/>
  <c r="DD31" i="25"/>
  <c r="DC31" i="25"/>
  <c r="CZ31" i="25"/>
  <c r="CX31" i="25"/>
  <c r="CQ31" i="25"/>
  <c r="CN31" i="25"/>
  <c r="CM31" i="25"/>
  <c r="CL31" i="25"/>
  <c r="CK31" i="25"/>
  <c r="CB31" i="25"/>
  <c r="CA31" i="25"/>
  <c r="BV31" i="25"/>
  <c r="BT31" i="25"/>
  <c r="BS31" i="25"/>
  <c r="BK31" i="25"/>
  <c r="BJ31" i="25"/>
  <c r="BI31" i="25"/>
  <c r="BH31" i="25"/>
  <c r="BD31" i="25"/>
  <c r="AX31" i="25"/>
  <c r="AU31" i="25"/>
  <c r="AS31" i="25"/>
  <c r="AR31" i="25"/>
  <c r="AP31" i="25"/>
  <c r="AH31" i="25"/>
  <c r="AG31" i="25"/>
  <c r="AF31" i="25"/>
  <c r="AC31" i="25"/>
  <c r="Z31" i="25"/>
  <c r="T31" i="25"/>
  <c r="N31" i="25"/>
  <c r="M31" i="25"/>
  <c r="L31" i="25"/>
  <c r="K31" i="25"/>
  <c r="DW30" i="25"/>
  <c r="DV30" i="25"/>
  <c r="DU30" i="25"/>
  <c r="P30" i="25"/>
  <c r="DB30" i="25"/>
  <c r="CZ30" i="25"/>
  <c r="CS30" i="25"/>
  <c r="CC30" i="25"/>
  <c r="CA30" i="25"/>
  <c r="BS30" i="25"/>
  <c r="BC30" i="25"/>
  <c r="BB30" i="25"/>
  <c r="AT30" i="25"/>
  <c r="AE30" i="25"/>
  <c r="AC30" i="25"/>
  <c r="V30" i="25"/>
  <c r="P29" i="25"/>
  <c r="DY29" i="25"/>
  <c r="DW29" i="25"/>
  <c r="DV29" i="25"/>
  <c r="DU29" i="25"/>
  <c r="DO29" i="25"/>
  <c r="DM29" i="25"/>
  <c r="DK29" i="25"/>
  <c r="DI29" i="25"/>
  <c r="DG29" i="25"/>
  <c r="DD29" i="25"/>
  <c r="DB29" i="25"/>
  <c r="DA29" i="25"/>
  <c r="CZ29" i="25"/>
  <c r="CY29" i="25"/>
  <c r="CV29" i="25"/>
  <c r="CU29" i="25"/>
  <c r="CS29" i="25"/>
  <c r="CR29" i="25"/>
  <c r="CQ29" i="25"/>
  <c r="CP29" i="25"/>
  <c r="CM29" i="25"/>
  <c r="CL29" i="25"/>
  <c r="CI29" i="25"/>
  <c r="CH29" i="25"/>
  <c r="CG29" i="25"/>
  <c r="CE29" i="25"/>
  <c r="CC29" i="25"/>
  <c r="CB29" i="25"/>
  <c r="BZ29" i="25"/>
  <c r="BY29" i="25"/>
  <c r="BV29" i="25"/>
  <c r="BU29" i="25"/>
  <c r="BS29" i="25"/>
  <c r="BR29" i="25"/>
  <c r="BP29" i="25"/>
  <c r="BN29" i="25"/>
  <c r="BM29" i="25"/>
  <c r="BL29" i="25"/>
  <c r="BJ29" i="25"/>
  <c r="BI29" i="25"/>
  <c r="BF29" i="25"/>
  <c r="BE29" i="25"/>
  <c r="BD29" i="25"/>
  <c r="BC29" i="25"/>
  <c r="BA29" i="25"/>
  <c r="AZ29" i="25"/>
  <c r="AW29" i="25"/>
  <c r="AV29" i="25"/>
  <c r="AU29" i="25"/>
  <c r="AT29" i="25"/>
  <c r="AR29" i="25"/>
  <c r="AP29" i="25"/>
  <c r="AN29" i="25"/>
  <c r="AM29" i="25"/>
  <c r="AL29" i="25"/>
  <c r="AK29" i="25"/>
  <c r="AH29" i="25"/>
  <c r="AG29" i="25"/>
  <c r="AE29" i="25"/>
  <c r="AD29" i="25"/>
  <c r="AC29" i="25"/>
  <c r="AB29" i="25"/>
  <c r="Y29" i="25"/>
  <c r="X29" i="25"/>
  <c r="V29" i="25"/>
  <c r="U29" i="25"/>
  <c r="T29" i="25"/>
  <c r="O29" i="25"/>
  <c r="M29" i="25"/>
  <c r="L29" i="25"/>
  <c r="J29" i="25"/>
  <c r="I29" i="25"/>
  <c r="G29" i="25"/>
  <c r="F29" i="25"/>
  <c r="DQ29" i="25"/>
  <c r="P28" i="25"/>
  <c r="DY28" i="25"/>
  <c r="DW28" i="25"/>
  <c r="DV28" i="25"/>
  <c r="DU28" i="25"/>
  <c r="DQ28" i="25"/>
  <c r="DO28" i="25"/>
  <c r="DM28" i="25"/>
  <c r="DI28" i="25"/>
  <c r="DH28" i="25"/>
  <c r="DD28" i="25"/>
  <c r="DC28" i="25"/>
  <c r="DB28" i="25"/>
  <c r="DA28" i="25"/>
  <c r="CY28" i="25"/>
  <c r="CX28" i="25"/>
  <c r="CU28" i="25"/>
  <c r="CT28" i="25"/>
  <c r="CS28" i="25"/>
  <c r="CR28" i="25"/>
  <c r="CP28" i="25"/>
  <c r="CN28" i="25"/>
  <c r="CL28" i="25"/>
  <c r="CK28" i="25"/>
  <c r="CI28" i="25"/>
  <c r="CH28" i="25"/>
  <c r="CE28" i="25"/>
  <c r="CD28" i="25"/>
  <c r="CB28" i="25"/>
  <c r="CA28" i="25"/>
  <c r="BZ28" i="25"/>
  <c r="BY28" i="25"/>
  <c r="BU28" i="25"/>
  <c r="BT28" i="25"/>
  <c r="BR28" i="25"/>
  <c r="BQ28" i="25"/>
  <c r="BP28" i="25"/>
  <c r="BN28" i="25"/>
  <c r="BL28" i="25"/>
  <c r="BK28" i="25"/>
  <c r="BI28" i="25"/>
  <c r="BH28" i="25"/>
  <c r="BF28" i="25"/>
  <c r="BE28" i="25"/>
  <c r="BC28" i="25"/>
  <c r="BB28" i="25"/>
  <c r="AZ28" i="25"/>
  <c r="AY28" i="25"/>
  <c r="AX28" i="25"/>
  <c r="AW28" i="25"/>
  <c r="AU28" i="25"/>
  <c r="AT28" i="25"/>
  <c r="AR28" i="25"/>
  <c r="AQ28" i="25"/>
  <c r="AP28" i="25"/>
  <c r="AO28" i="25"/>
  <c r="AM28" i="25"/>
  <c r="AL28" i="25"/>
  <c r="AJ28" i="25"/>
  <c r="AI28" i="25"/>
  <c r="AH28" i="25"/>
  <c r="AG28" i="25"/>
  <c r="AE28" i="25"/>
  <c r="AD28" i="25"/>
  <c r="AB28" i="25"/>
  <c r="AA28" i="25"/>
  <c r="Z28" i="25"/>
  <c r="Y28" i="25"/>
  <c r="W28" i="25"/>
  <c r="V28" i="25"/>
  <c r="T28" i="25"/>
  <c r="S28" i="25"/>
  <c r="O28" i="25"/>
  <c r="N28" i="25"/>
  <c r="L28" i="25"/>
  <c r="K28" i="25"/>
  <c r="I28" i="25"/>
  <c r="H28" i="25"/>
  <c r="G28" i="25"/>
  <c r="F28" i="25"/>
  <c r="DG28" i="25"/>
  <c r="DW27" i="25"/>
  <c r="DV27" i="25"/>
  <c r="DU27" i="25"/>
  <c r="P27" i="25"/>
  <c r="DE27" i="25"/>
  <c r="DD27" i="25"/>
  <c r="CP27" i="25"/>
  <c r="CO27" i="25"/>
  <c r="BB27" i="25"/>
  <c r="AO27" i="25"/>
  <c r="AM27" i="25"/>
  <c r="V27" i="25"/>
  <c r="T27" i="25"/>
  <c r="BG27" i="25"/>
  <c r="DW26" i="25"/>
  <c r="DV26" i="25"/>
  <c r="DU26" i="25"/>
  <c r="P26" i="25"/>
  <c r="DS26" i="25"/>
  <c r="DQ26" i="25"/>
  <c r="DO26" i="25"/>
  <c r="DM26" i="25"/>
  <c r="DE26" i="25"/>
  <c r="DD26" i="25"/>
  <c r="DC26" i="25"/>
  <c r="DB26" i="25"/>
  <c r="DA26" i="25"/>
  <c r="CV26" i="25"/>
  <c r="CU26" i="25"/>
  <c r="CT26" i="25"/>
  <c r="CS26" i="25"/>
  <c r="CR26" i="25"/>
  <c r="CM26" i="25"/>
  <c r="CL26" i="25"/>
  <c r="CK26" i="25"/>
  <c r="CI26" i="25"/>
  <c r="CG26" i="25"/>
  <c r="CC26" i="25"/>
  <c r="CB26" i="25"/>
  <c r="CA26" i="25"/>
  <c r="BY26" i="25"/>
  <c r="BX26" i="25"/>
  <c r="BS26" i="25"/>
  <c r="BR26" i="25"/>
  <c r="BP26" i="25"/>
  <c r="BO26" i="25"/>
  <c r="BN26" i="25"/>
  <c r="BJ26" i="25"/>
  <c r="BH26" i="25"/>
  <c r="BG26" i="25"/>
  <c r="BF26" i="25"/>
  <c r="BE26" i="25"/>
  <c r="AZ26" i="25"/>
  <c r="AY26" i="25"/>
  <c r="AX26" i="25"/>
  <c r="AW26" i="25"/>
  <c r="AV26" i="25"/>
  <c r="AQ26" i="25"/>
  <c r="AP26" i="25"/>
  <c r="AO26" i="25"/>
  <c r="AN26" i="25"/>
  <c r="AM26" i="25"/>
  <c r="AH26" i="25"/>
  <c r="AG26" i="25"/>
  <c r="AF26" i="25"/>
  <c r="AE26" i="25"/>
  <c r="AD26" i="25"/>
  <c r="Y26" i="25"/>
  <c r="X26" i="25"/>
  <c r="W26" i="25"/>
  <c r="V26" i="25"/>
  <c r="T26" i="25"/>
  <c r="M26" i="25"/>
  <c r="L26" i="25"/>
  <c r="K26" i="25"/>
  <c r="I26" i="25"/>
  <c r="H26" i="25"/>
  <c r="P25" i="25"/>
  <c r="DY25" i="25"/>
  <c r="DW25" i="25"/>
  <c r="DV25" i="25"/>
  <c r="DU25" i="25"/>
  <c r="DG25" i="25"/>
  <c r="DE25" i="25"/>
  <c r="CP25" i="25"/>
  <c r="CO25" i="25"/>
  <c r="CC25" i="25"/>
  <c r="CB25" i="25"/>
  <c r="BL25" i="25"/>
  <c r="BK25" i="25"/>
  <c r="AY25" i="25"/>
  <c r="AU25" i="25"/>
  <c r="AI25" i="25"/>
  <c r="AH25" i="25"/>
  <c r="S25" i="25"/>
  <c r="O25" i="25"/>
  <c r="CX25" i="25"/>
  <c r="P24" i="25"/>
  <c r="DY24" i="25"/>
  <c r="DW24" i="25"/>
  <c r="DV24" i="25"/>
  <c r="DU24" i="25"/>
  <c r="DS24" i="25"/>
  <c r="DQ24" i="25"/>
  <c r="DO24" i="25"/>
  <c r="DM24" i="25"/>
  <c r="DK24" i="25"/>
  <c r="DI24" i="25"/>
  <c r="DE24" i="25"/>
  <c r="DD24" i="25"/>
  <c r="DC24" i="25"/>
  <c r="DB24" i="25"/>
  <c r="DA24" i="25"/>
  <c r="CZ24" i="25"/>
  <c r="CX24" i="25"/>
  <c r="CV24" i="25"/>
  <c r="CU24" i="25"/>
  <c r="CT24" i="25"/>
  <c r="CS24" i="25"/>
  <c r="CR24" i="25"/>
  <c r="CP24" i="25"/>
  <c r="CO24" i="25"/>
  <c r="CM24" i="25"/>
  <c r="CL24" i="25"/>
  <c r="CK24" i="25"/>
  <c r="CI24" i="25"/>
  <c r="CG24" i="25"/>
  <c r="CF24" i="25"/>
  <c r="CE24" i="25"/>
  <c r="CC24" i="25"/>
  <c r="CB24" i="25"/>
  <c r="CA24" i="25"/>
  <c r="BY24" i="25"/>
  <c r="BX24" i="25"/>
  <c r="BV24" i="25"/>
  <c r="BU24" i="25"/>
  <c r="BS24" i="25"/>
  <c r="BR24" i="25"/>
  <c r="BP24" i="25"/>
  <c r="BO24" i="25"/>
  <c r="BN24" i="25"/>
  <c r="BM24" i="25"/>
  <c r="BL24" i="25"/>
  <c r="BJ24" i="25"/>
  <c r="BH24" i="25"/>
  <c r="BG24" i="25"/>
  <c r="BF24" i="25"/>
  <c r="BE24" i="25"/>
  <c r="BD24" i="25"/>
  <c r="BC24" i="25"/>
  <c r="AZ24" i="25"/>
  <c r="AY24" i="25"/>
  <c r="AX24" i="25"/>
  <c r="AW24" i="25"/>
  <c r="AV24" i="25"/>
  <c r="AU24" i="25"/>
  <c r="AT24" i="25"/>
  <c r="AQ24" i="25"/>
  <c r="AP24" i="25"/>
  <c r="AO24" i="25"/>
  <c r="AN24" i="25"/>
  <c r="AM24" i="25"/>
  <c r="AL24" i="25"/>
  <c r="AJ24" i="25"/>
  <c r="AH24" i="25"/>
  <c r="AG24" i="25"/>
  <c r="AF24" i="25"/>
  <c r="AE24" i="25"/>
  <c r="AD24" i="25"/>
  <c r="AB24" i="25"/>
  <c r="AA24" i="25"/>
  <c r="Y24" i="25"/>
  <c r="X24" i="25"/>
  <c r="W24" i="25"/>
  <c r="V24" i="25"/>
  <c r="T24" i="25"/>
  <c r="S24" i="25"/>
  <c r="O24" i="25"/>
  <c r="M24" i="25"/>
  <c r="L24" i="25"/>
  <c r="K24" i="25"/>
  <c r="I24" i="25"/>
  <c r="H24" i="25"/>
  <c r="G24" i="25"/>
  <c r="F24" i="25"/>
  <c r="P23" i="25"/>
  <c r="DY23" i="25"/>
  <c r="DW23" i="25"/>
  <c r="DV23" i="25"/>
  <c r="DU23" i="25"/>
  <c r="DK23" i="25"/>
  <c r="DI23" i="25"/>
  <c r="DG23" i="25"/>
  <c r="CX23" i="25"/>
  <c r="CW23" i="25"/>
  <c r="CV23" i="25"/>
  <c r="CN23" i="25"/>
  <c r="CM23" i="25"/>
  <c r="CL23" i="25"/>
  <c r="CC23" i="25"/>
  <c r="CB23" i="25"/>
  <c r="CA23" i="25"/>
  <c r="BR23" i="25"/>
  <c r="BP23" i="25"/>
  <c r="BO23" i="25"/>
  <c r="BG23" i="25"/>
  <c r="BF23" i="25"/>
  <c r="BD23" i="25"/>
  <c r="AW23" i="25"/>
  <c r="AU23" i="25"/>
  <c r="AT23" i="25"/>
  <c r="AL23" i="25"/>
  <c r="AJ23" i="25"/>
  <c r="AI23" i="25"/>
  <c r="AA23" i="25"/>
  <c r="Z23" i="25"/>
  <c r="Y23" i="25"/>
  <c r="N23" i="25"/>
  <c r="M23" i="25"/>
  <c r="L23" i="25"/>
  <c r="P22" i="25"/>
  <c r="DY22" i="25"/>
  <c r="DW22" i="25"/>
  <c r="DV22" i="25"/>
  <c r="DU22" i="25"/>
  <c r="DQ22" i="25"/>
  <c r="DO22" i="25"/>
  <c r="DM22" i="25"/>
  <c r="DK22" i="25"/>
  <c r="DI22" i="25"/>
  <c r="DG22" i="25"/>
  <c r="DE22" i="25"/>
  <c r="DC22" i="25"/>
  <c r="DB22" i="25"/>
  <c r="DA22" i="25"/>
  <c r="CZ22" i="25"/>
  <c r="CX22" i="25"/>
  <c r="CW22" i="25"/>
  <c r="CV22" i="25"/>
  <c r="CT22" i="25"/>
  <c r="CS22" i="25"/>
  <c r="CR22" i="25"/>
  <c r="CP22" i="25"/>
  <c r="CO22" i="25"/>
  <c r="CN22" i="25"/>
  <c r="CM22" i="25"/>
  <c r="CK22" i="25"/>
  <c r="CI22" i="25"/>
  <c r="CH22" i="25"/>
  <c r="CG22" i="25"/>
  <c r="CF22" i="25"/>
  <c r="CE22" i="25"/>
  <c r="CD22" i="25"/>
  <c r="CB22" i="25"/>
  <c r="CA22" i="25"/>
  <c r="BZ22" i="25"/>
  <c r="BY22" i="25"/>
  <c r="BX22" i="25"/>
  <c r="BV22" i="25"/>
  <c r="BU22" i="25"/>
  <c r="BS22" i="25"/>
  <c r="BR22" i="25"/>
  <c r="BQ22" i="25"/>
  <c r="BP22" i="25"/>
  <c r="BO22" i="25"/>
  <c r="BN22" i="25"/>
  <c r="BM22" i="25"/>
  <c r="BK22" i="25"/>
  <c r="BJ22" i="25"/>
  <c r="BI22" i="25"/>
  <c r="BH22" i="25"/>
  <c r="BG22" i="25"/>
  <c r="BF22" i="25"/>
  <c r="BE22" i="25"/>
  <c r="BC22" i="25"/>
  <c r="BB22" i="25"/>
  <c r="BA22" i="25"/>
  <c r="AZ22" i="25"/>
  <c r="AY22" i="25"/>
  <c r="AX22" i="25"/>
  <c r="AW22" i="25"/>
  <c r="AU22" i="25"/>
  <c r="AT22" i="25"/>
  <c r="AS22" i="25"/>
  <c r="AR22" i="25"/>
  <c r="AQ22" i="25"/>
  <c r="AP22" i="25"/>
  <c r="AO22" i="25"/>
  <c r="AM22" i="25"/>
  <c r="AL22" i="25"/>
  <c r="AK22" i="25"/>
  <c r="AJ22" i="25"/>
  <c r="AI22" i="25"/>
  <c r="AH22" i="25"/>
  <c r="AG22" i="25"/>
  <c r="AE22" i="25"/>
  <c r="AD22" i="25"/>
  <c r="AC22" i="25"/>
  <c r="AB22" i="25"/>
  <c r="AA22" i="25"/>
  <c r="Z22" i="25"/>
  <c r="Y22" i="25"/>
  <c r="W22" i="25"/>
  <c r="V22" i="25"/>
  <c r="U22" i="25"/>
  <c r="T22" i="25"/>
  <c r="S22" i="25"/>
  <c r="O22" i="25"/>
  <c r="N22" i="25"/>
  <c r="L22" i="25"/>
  <c r="K22" i="25"/>
  <c r="J22" i="25"/>
  <c r="I22" i="25"/>
  <c r="H22" i="25"/>
  <c r="G22" i="25"/>
  <c r="F22" i="25"/>
  <c r="P21" i="25"/>
  <c r="DY21" i="25"/>
  <c r="DW21" i="25"/>
  <c r="DV21" i="25"/>
  <c r="DU21" i="25"/>
  <c r="DS21" i="25"/>
  <c r="DQ21" i="25"/>
  <c r="DO21" i="25"/>
  <c r="DK21" i="25"/>
  <c r="DI21" i="25"/>
  <c r="DH21" i="25"/>
  <c r="DG21" i="25"/>
  <c r="DE21" i="25"/>
  <c r="DD21" i="25"/>
  <c r="DC21" i="25"/>
  <c r="DA21" i="25"/>
  <c r="CZ21" i="25"/>
  <c r="CY21" i="25"/>
  <c r="CX21" i="25"/>
  <c r="CW21" i="25"/>
  <c r="CV21" i="25"/>
  <c r="CU21" i="25"/>
  <c r="CS21" i="25"/>
  <c r="CR21" i="25"/>
  <c r="CQ21" i="25"/>
  <c r="CP21" i="25"/>
  <c r="CO21" i="25"/>
  <c r="CN21" i="25"/>
  <c r="CM21" i="25"/>
  <c r="CK21" i="25"/>
  <c r="CI21" i="25"/>
  <c r="CH21" i="25"/>
  <c r="CG21" i="25"/>
  <c r="CF21" i="25"/>
  <c r="CE21" i="25"/>
  <c r="CD21" i="25"/>
  <c r="CB21" i="25"/>
  <c r="CA21" i="25"/>
  <c r="BZ21" i="25"/>
  <c r="BY21" i="25"/>
  <c r="BX21" i="25"/>
  <c r="BV21" i="25"/>
  <c r="BU21" i="25"/>
  <c r="BS21" i="25"/>
  <c r="BR21" i="25"/>
  <c r="BQ21" i="25"/>
  <c r="BP21" i="25"/>
  <c r="BO21" i="25"/>
  <c r="BN21" i="25"/>
  <c r="BM21" i="25"/>
  <c r="BK21" i="25"/>
  <c r="BJ21" i="25"/>
  <c r="BI21" i="25"/>
  <c r="BH21" i="25"/>
  <c r="BG21" i="25"/>
  <c r="BF21" i="25"/>
  <c r="BE21" i="25"/>
  <c r="BC21" i="25"/>
  <c r="BB21" i="25"/>
  <c r="BA21" i="25"/>
  <c r="AZ21" i="25"/>
  <c r="AY21" i="25"/>
  <c r="AX21" i="25"/>
  <c r="AW21" i="25"/>
  <c r="AU21" i="25"/>
  <c r="AT21" i="25"/>
  <c r="AS21" i="25"/>
  <c r="AR21" i="25"/>
  <c r="AQ21" i="25"/>
  <c r="AP21" i="25"/>
  <c r="AO21" i="25"/>
  <c r="AM21" i="25"/>
  <c r="AL21" i="25"/>
  <c r="AK21" i="25"/>
  <c r="AJ21" i="25"/>
  <c r="AI21" i="25"/>
  <c r="AH21" i="25"/>
  <c r="AG21" i="25"/>
  <c r="AE21" i="25"/>
  <c r="AD21" i="25"/>
  <c r="AC21" i="25"/>
  <c r="AB21" i="25"/>
  <c r="AA21" i="25"/>
  <c r="Z21" i="25"/>
  <c r="Y21" i="25"/>
  <c r="W21" i="25"/>
  <c r="V21" i="25"/>
  <c r="U21" i="25"/>
  <c r="T21" i="25"/>
  <c r="S21" i="25"/>
  <c r="O21" i="25"/>
  <c r="N21" i="25"/>
  <c r="L21" i="25"/>
  <c r="K21" i="25"/>
  <c r="J21" i="25"/>
  <c r="I21" i="25"/>
  <c r="H21" i="25"/>
  <c r="G21" i="25"/>
  <c r="F21" i="25"/>
  <c r="DM21" i="25"/>
  <c r="P20" i="25"/>
  <c r="DY20" i="25"/>
  <c r="DW20" i="25"/>
  <c r="DV20" i="25"/>
  <c r="DU20" i="25"/>
  <c r="DS20" i="25"/>
  <c r="DQ20" i="25"/>
  <c r="DO20" i="25"/>
  <c r="DK20" i="25"/>
  <c r="DI20" i="25"/>
  <c r="DH20" i="25"/>
  <c r="DG20" i="25"/>
  <c r="DE20" i="25"/>
  <c r="DD20" i="25"/>
  <c r="DC20" i="25"/>
  <c r="DA20" i="25"/>
  <c r="CZ20" i="25"/>
  <c r="CY20" i="25"/>
  <c r="CX20" i="25"/>
  <c r="CW20" i="25"/>
  <c r="CV20" i="25"/>
  <c r="CU20" i="25"/>
  <c r="CS20" i="25"/>
  <c r="CR20" i="25"/>
  <c r="CQ20" i="25"/>
  <c r="CP20" i="25"/>
  <c r="CO20" i="25"/>
  <c r="CN20" i="25"/>
  <c r="CM20" i="25"/>
  <c r="CK20" i="25"/>
  <c r="CI20" i="25"/>
  <c r="CH20" i="25"/>
  <c r="CG20" i="25"/>
  <c r="CF20" i="25"/>
  <c r="CE20" i="25"/>
  <c r="CD20" i="25"/>
  <c r="CB20" i="25"/>
  <c r="CA20" i="25"/>
  <c r="BZ20" i="25"/>
  <c r="BY20" i="25"/>
  <c r="BX20" i="25"/>
  <c r="BV20" i="25"/>
  <c r="BU20" i="25"/>
  <c r="BS20" i="25"/>
  <c r="BR20" i="25"/>
  <c r="BQ20" i="25"/>
  <c r="BP20" i="25"/>
  <c r="BO20" i="25"/>
  <c r="BN20" i="25"/>
  <c r="BM20" i="25"/>
  <c r="BK20" i="25"/>
  <c r="BJ20" i="25"/>
  <c r="BI20" i="25"/>
  <c r="BH20" i="25"/>
  <c r="BG20" i="25"/>
  <c r="BF20" i="25"/>
  <c r="BE20" i="25"/>
  <c r="BC20" i="25"/>
  <c r="BB20" i="25"/>
  <c r="BA20" i="25"/>
  <c r="AZ20" i="25"/>
  <c r="AY20" i="25"/>
  <c r="AX20" i="25"/>
  <c r="AW20" i="25"/>
  <c r="AU20" i="25"/>
  <c r="AT20" i="25"/>
  <c r="AS20" i="25"/>
  <c r="AR20" i="25"/>
  <c r="AQ20" i="25"/>
  <c r="AP20" i="25"/>
  <c r="AO20" i="25"/>
  <c r="AM20" i="25"/>
  <c r="AL20" i="25"/>
  <c r="AK20" i="25"/>
  <c r="AJ20" i="25"/>
  <c r="AI20" i="25"/>
  <c r="AH20" i="25"/>
  <c r="AG20" i="25"/>
  <c r="AE20" i="25"/>
  <c r="AD20" i="25"/>
  <c r="AC20" i="25"/>
  <c r="AB20" i="25"/>
  <c r="AA20" i="25"/>
  <c r="Z20" i="25"/>
  <c r="Y20" i="25"/>
  <c r="W20" i="25"/>
  <c r="V20" i="25"/>
  <c r="U20" i="25"/>
  <c r="T20" i="25"/>
  <c r="S20" i="25"/>
  <c r="O20" i="25"/>
  <c r="N20" i="25"/>
  <c r="L20" i="25"/>
  <c r="K20" i="25"/>
  <c r="J20" i="25"/>
  <c r="I20" i="25"/>
  <c r="H20" i="25"/>
  <c r="G20" i="25"/>
  <c r="F20" i="25"/>
  <c r="DM20" i="25"/>
  <c r="P19" i="25"/>
  <c r="DY19" i="25"/>
  <c r="DW19" i="25"/>
  <c r="DV19" i="25"/>
  <c r="DU19" i="25"/>
  <c r="DS19" i="25"/>
  <c r="DQ19" i="25"/>
  <c r="DO19" i="25"/>
  <c r="DK19" i="25"/>
  <c r="DI19" i="25"/>
  <c r="DH19" i="25"/>
  <c r="DG19" i="25"/>
  <c r="DE19" i="25"/>
  <c r="DD19" i="25"/>
  <c r="DC19" i="25"/>
  <c r="DA19" i="25"/>
  <c r="CZ19" i="25"/>
  <c r="CY19" i="25"/>
  <c r="CX19" i="25"/>
  <c r="CW19" i="25"/>
  <c r="CV19" i="25"/>
  <c r="CU19" i="25"/>
  <c r="CS19" i="25"/>
  <c r="CR19" i="25"/>
  <c r="CQ19" i="25"/>
  <c r="CP19" i="25"/>
  <c r="CO19" i="25"/>
  <c r="CN19" i="25"/>
  <c r="CM19" i="25"/>
  <c r="CK19" i="25"/>
  <c r="CI19" i="25"/>
  <c r="CH19" i="25"/>
  <c r="CG19" i="25"/>
  <c r="CF19" i="25"/>
  <c r="CE19" i="25"/>
  <c r="CD19" i="25"/>
  <c r="CB19" i="25"/>
  <c r="CA19" i="25"/>
  <c r="BZ19" i="25"/>
  <c r="BY19" i="25"/>
  <c r="BX19" i="25"/>
  <c r="BV19" i="25"/>
  <c r="BU19" i="25"/>
  <c r="BS19" i="25"/>
  <c r="BR19" i="25"/>
  <c r="BQ19" i="25"/>
  <c r="BP19" i="25"/>
  <c r="BO19" i="25"/>
  <c r="BN19" i="25"/>
  <c r="BM19" i="25"/>
  <c r="BK19" i="25"/>
  <c r="BJ19" i="25"/>
  <c r="BI19" i="25"/>
  <c r="BH19" i="25"/>
  <c r="BG19" i="25"/>
  <c r="BF19" i="25"/>
  <c r="BE19" i="25"/>
  <c r="BC19" i="25"/>
  <c r="BB19" i="25"/>
  <c r="BA19" i="25"/>
  <c r="AZ19" i="25"/>
  <c r="AY19" i="25"/>
  <c r="AX19" i="25"/>
  <c r="AW19" i="25"/>
  <c r="AU19" i="25"/>
  <c r="AT19" i="25"/>
  <c r="AS19" i="25"/>
  <c r="AR19" i="25"/>
  <c r="AQ19" i="25"/>
  <c r="AP19" i="25"/>
  <c r="AO19" i="25"/>
  <c r="AM19" i="25"/>
  <c r="AL19" i="25"/>
  <c r="AK19" i="25"/>
  <c r="AJ19" i="25"/>
  <c r="AI19" i="25"/>
  <c r="AH19" i="25"/>
  <c r="AG19" i="25"/>
  <c r="AE19" i="25"/>
  <c r="AD19" i="25"/>
  <c r="AC19" i="25"/>
  <c r="AB19" i="25"/>
  <c r="AA19" i="25"/>
  <c r="Z19" i="25"/>
  <c r="Y19" i="25"/>
  <c r="W19" i="25"/>
  <c r="V19" i="25"/>
  <c r="U19" i="25"/>
  <c r="T19" i="25"/>
  <c r="S19" i="25"/>
  <c r="O19" i="25"/>
  <c r="N19" i="25"/>
  <c r="L19" i="25"/>
  <c r="K19" i="25"/>
  <c r="J19" i="25"/>
  <c r="I19" i="25"/>
  <c r="H19" i="25"/>
  <c r="G19" i="25"/>
  <c r="F19" i="25"/>
  <c r="DM19" i="25"/>
  <c r="P18" i="25"/>
  <c r="DY18" i="25"/>
  <c r="DW18" i="25"/>
  <c r="DV18" i="25"/>
  <c r="DU18" i="25"/>
  <c r="DS18" i="25"/>
  <c r="DQ18" i="25"/>
  <c r="DO18" i="25"/>
  <c r="DK18" i="25"/>
  <c r="DI18" i="25"/>
  <c r="DH18" i="25"/>
  <c r="DG18" i="25"/>
  <c r="DE18" i="25"/>
  <c r="DD18" i="25"/>
  <c r="DC18" i="25"/>
  <c r="DA18" i="25"/>
  <c r="CZ18" i="25"/>
  <c r="CY18" i="25"/>
  <c r="CX18" i="25"/>
  <c r="CW18" i="25"/>
  <c r="CV18" i="25"/>
  <c r="CU18" i="25"/>
  <c r="CS18" i="25"/>
  <c r="CR18" i="25"/>
  <c r="CQ18" i="25"/>
  <c r="CP18" i="25"/>
  <c r="CO18" i="25"/>
  <c r="CN18" i="25"/>
  <c r="CM18" i="25"/>
  <c r="CK18" i="25"/>
  <c r="CI18" i="25"/>
  <c r="CH18" i="25"/>
  <c r="CG18" i="25"/>
  <c r="CF18" i="25"/>
  <c r="CE18" i="25"/>
  <c r="CD18" i="25"/>
  <c r="CB18" i="25"/>
  <c r="CA18" i="25"/>
  <c r="BZ18" i="25"/>
  <c r="BY18" i="25"/>
  <c r="BX18" i="25"/>
  <c r="BV18" i="25"/>
  <c r="BU18" i="25"/>
  <c r="BS18" i="25"/>
  <c r="BR18" i="25"/>
  <c r="BQ18" i="25"/>
  <c r="BP18" i="25"/>
  <c r="BO18" i="25"/>
  <c r="BN18" i="25"/>
  <c r="BM18" i="25"/>
  <c r="BK18" i="25"/>
  <c r="BJ18" i="25"/>
  <c r="BI18" i="25"/>
  <c r="BH18" i="25"/>
  <c r="BG18" i="25"/>
  <c r="BF18" i="25"/>
  <c r="BE18" i="25"/>
  <c r="BC18" i="25"/>
  <c r="BB18" i="25"/>
  <c r="BA18" i="25"/>
  <c r="AZ18" i="25"/>
  <c r="AY18" i="25"/>
  <c r="AX18" i="25"/>
  <c r="AW18" i="25"/>
  <c r="AU18" i="25"/>
  <c r="AT18" i="25"/>
  <c r="AS18" i="25"/>
  <c r="AR18" i="25"/>
  <c r="AQ18" i="25"/>
  <c r="AP18" i="25"/>
  <c r="AO18" i="25"/>
  <c r="AM18" i="25"/>
  <c r="AL18" i="25"/>
  <c r="AK18" i="25"/>
  <c r="AJ18" i="25"/>
  <c r="AI18" i="25"/>
  <c r="AH18" i="25"/>
  <c r="AG18" i="25"/>
  <c r="AE18" i="25"/>
  <c r="AD18" i="25"/>
  <c r="AC18" i="25"/>
  <c r="AB18" i="25"/>
  <c r="AA18" i="25"/>
  <c r="Z18" i="25"/>
  <c r="Y18" i="25"/>
  <c r="W18" i="25"/>
  <c r="V18" i="25"/>
  <c r="U18" i="25"/>
  <c r="T18" i="25"/>
  <c r="S18" i="25"/>
  <c r="O18" i="25"/>
  <c r="N18" i="25"/>
  <c r="L18" i="25"/>
  <c r="K18" i="25"/>
  <c r="J18" i="25"/>
  <c r="I18" i="25"/>
  <c r="H18" i="25"/>
  <c r="G18" i="25"/>
  <c r="F18" i="25"/>
  <c r="DM18" i="25"/>
  <c r="DW17" i="25"/>
  <c r="DV17" i="25"/>
  <c r="DU17" i="25"/>
  <c r="P17" i="25"/>
  <c r="DQ17" i="25"/>
  <c r="DO17" i="25"/>
  <c r="DC17" i="25"/>
  <c r="DA17" i="25"/>
  <c r="CS17" i="25"/>
  <c r="CR17" i="25"/>
  <c r="CI17" i="25"/>
  <c r="CH17" i="25"/>
  <c r="BZ17" i="25"/>
  <c r="BY17" i="25"/>
  <c r="BP17" i="25"/>
  <c r="BO17" i="25"/>
  <c r="BG17" i="25"/>
  <c r="BF17" i="25"/>
  <c r="AX17" i="25"/>
  <c r="AW17" i="25"/>
  <c r="AO17" i="25"/>
  <c r="AM17" i="25"/>
  <c r="AE17" i="25"/>
  <c r="AD17" i="25"/>
  <c r="W17" i="25"/>
  <c r="V17" i="25"/>
  <c r="L17" i="25"/>
  <c r="K17" i="25"/>
  <c r="DG17" i="25"/>
  <c r="P16" i="25"/>
  <c r="DY16" i="25"/>
  <c r="DW16" i="25"/>
  <c r="DV16" i="25"/>
  <c r="DU16" i="25"/>
  <c r="DK16" i="25"/>
  <c r="DI16" i="25"/>
  <c r="DA16" i="25"/>
  <c r="CZ16" i="25"/>
  <c r="CS16" i="25"/>
  <c r="CR16" i="25"/>
  <c r="CK16" i="25"/>
  <c r="CI16" i="25"/>
  <c r="CB16" i="25"/>
  <c r="CA16" i="25"/>
  <c r="BS16" i="25"/>
  <c r="BR16" i="25"/>
  <c r="BK16" i="25"/>
  <c r="BJ16" i="25"/>
  <c r="BC16" i="25"/>
  <c r="BB16" i="25"/>
  <c r="AU16" i="25"/>
  <c r="AT16" i="25"/>
  <c r="AM16" i="25"/>
  <c r="AL16" i="25"/>
  <c r="AE16" i="25"/>
  <c r="AD16" i="25"/>
  <c r="W16" i="25"/>
  <c r="V16" i="25"/>
  <c r="L16" i="25"/>
  <c r="K16" i="25"/>
  <c r="DH16" i="25"/>
  <c r="P15" i="25"/>
  <c r="DY15" i="25"/>
  <c r="DW15" i="25"/>
  <c r="DV15" i="25"/>
  <c r="DU15" i="25"/>
  <c r="DK15" i="25"/>
  <c r="DI15" i="25"/>
  <c r="DA15" i="25"/>
  <c r="CZ15" i="25"/>
  <c r="CS15" i="25"/>
  <c r="CR15" i="25"/>
  <c r="CK15" i="25"/>
  <c r="CI15" i="25"/>
  <c r="CB15" i="25"/>
  <c r="CA15" i="25"/>
  <c r="BS15" i="25"/>
  <c r="BR15" i="25"/>
  <c r="BK15" i="25"/>
  <c r="BJ15" i="25"/>
  <c r="BC15" i="25"/>
  <c r="BB15" i="25"/>
  <c r="AU15" i="25"/>
  <c r="AT15" i="25"/>
  <c r="AM15" i="25"/>
  <c r="AL15" i="25"/>
  <c r="AE15" i="25"/>
  <c r="AD15" i="25"/>
  <c r="W15" i="25"/>
  <c r="V15" i="25"/>
  <c r="L15" i="25"/>
  <c r="K15" i="25"/>
  <c r="DH15" i="25"/>
  <c r="P14" i="25"/>
  <c r="DY14" i="25"/>
  <c r="DW14" i="25"/>
  <c r="DV14" i="25"/>
  <c r="DU14" i="25"/>
  <c r="DK14" i="25"/>
  <c r="DI14" i="25"/>
  <c r="DA14" i="25"/>
  <c r="CZ14" i="25"/>
  <c r="CS14" i="25"/>
  <c r="CR14" i="25"/>
  <c r="CK14" i="25"/>
  <c r="CI14" i="25"/>
  <c r="CB14" i="25"/>
  <c r="CA14" i="25"/>
  <c r="BS14" i="25"/>
  <c r="BR14" i="25"/>
  <c r="BK14" i="25"/>
  <c r="BJ14" i="25"/>
  <c r="BC14" i="25"/>
  <c r="BB14" i="25"/>
  <c r="AU14" i="25"/>
  <c r="AT14" i="25"/>
  <c r="AM14" i="25"/>
  <c r="AL14" i="25"/>
  <c r="AE14" i="25"/>
  <c r="AD14" i="25"/>
  <c r="W14" i="25"/>
  <c r="V14" i="25"/>
  <c r="L14" i="25"/>
  <c r="K14" i="25"/>
  <c r="DH14" i="25"/>
  <c r="P13" i="25"/>
  <c r="DY13" i="25"/>
  <c r="DW13" i="25"/>
  <c r="DV13" i="25"/>
  <c r="DU13" i="25"/>
  <c r="DK13" i="25"/>
  <c r="DI13" i="25"/>
  <c r="CZ13" i="25"/>
  <c r="CS13" i="25"/>
  <c r="CR13" i="25"/>
  <c r="CK13" i="25"/>
  <c r="CI13" i="25"/>
  <c r="CB13" i="25"/>
  <c r="CA13" i="25"/>
  <c r="BR13" i="25"/>
  <c r="BK13" i="25"/>
  <c r="BJ13" i="25"/>
  <c r="BC13" i="25"/>
  <c r="BB13" i="25"/>
  <c r="AU13" i="25"/>
  <c r="AT13" i="25"/>
  <c r="AL13" i="25"/>
  <c r="AE13" i="25"/>
  <c r="AD13" i="25"/>
  <c r="W13" i="25"/>
  <c r="V13" i="25"/>
  <c r="L13" i="25"/>
  <c r="K13" i="25"/>
  <c r="DW12" i="25"/>
  <c r="DV12" i="25"/>
  <c r="DU12" i="25"/>
  <c r="P12" i="25"/>
  <c r="DM12" i="25"/>
  <c r="CR12" i="25"/>
  <c r="BS12" i="25"/>
  <c r="AV12" i="25"/>
  <c r="AD12" i="25"/>
  <c r="DI12" i="25"/>
  <c r="P11" i="25"/>
  <c r="DY11" i="25"/>
  <c r="DW11" i="25"/>
  <c r="DV11" i="25"/>
  <c r="DU11" i="25"/>
  <c r="DM11" i="25"/>
  <c r="DK11" i="25"/>
  <c r="DI11" i="25"/>
  <c r="DB11" i="25"/>
  <c r="DA11" i="25"/>
  <c r="CZ11" i="25"/>
  <c r="CT11" i="25"/>
  <c r="CR11" i="25"/>
  <c r="CL11" i="25"/>
  <c r="CK11" i="25"/>
  <c r="CI11" i="25"/>
  <c r="CC11" i="25"/>
  <c r="CB11" i="25"/>
  <c r="CA11" i="25"/>
  <c r="BS11" i="25"/>
  <c r="BR11" i="25"/>
  <c r="BL11" i="25"/>
  <c r="BK11" i="25"/>
  <c r="BJ11" i="25"/>
  <c r="BD11" i="25"/>
  <c r="BC11" i="25"/>
  <c r="AV11" i="25"/>
  <c r="AU11" i="25"/>
  <c r="AT11" i="25"/>
  <c r="AN11" i="25"/>
  <c r="AM11" i="25"/>
  <c r="AL11" i="25"/>
  <c r="AF11" i="25"/>
  <c r="AD11" i="25"/>
  <c r="X11" i="25"/>
  <c r="W11" i="25"/>
  <c r="V11" i="25"/>
  <c r="M11" i="25"/>
  <c r="L11" i="25"/>
  <c r="K11" i="25"/>
  <c r="DW10" i="25"/>
  <c r="DV10" i="25"/>
  <c r="DU10" i="25"/>
  <c r="P10" i="25"/>
  <c r="DM10" i="25"/>
  <c r="CR10" i="25"/>
  <c r="BS10" i="25"/>
  <c r="AV10" i="25"/>
  <c r="AD10" i="25"/>
  <c r="DY10" i="25"/>
  <c r="P9" i="25"/>
  <c r="DY9" i="25"/>
  <c r="DW9" i="25"/>
  <c r="DV9" i="25"/>
  <c r="DU9" i="25"/>
  <c r="DM9" i="25"/>
  <c r="DK9" i="25"/>
  <c r="DI9" i="25"/>
  <c r="DB9" i="25"/>
  <c r="DA9" i="25"/>
  <c r="CZ9" i="25"/>
  <c r="CT9" i="25"/>
  <c r="CR9" i="25"/>
  <c r="CL9" i="25"/>
  <c r="CK9" i="25"/>
  <c r="CI9" i="25"/>
  <c r="CC9" i="25"/>
  <c r="CB9" i="25"/>
  <c r="CA9" i="25"/>
  <c r="BS9" i="25"/>
  <c r="BR9" i="25"/>
  <c r="BL9" i="25"/>
  <c r="BK9" i="25"/>
  <c r="BJ9" i="25"/>
  <c r="BD9" i="25"/>
  <c r="BC9" i="25"/>
  <c r="AV9" i="25"/>
  <c r="AU9" i="25"/>
  <c r="AT9" i="25"/>
  <c r="AN9" i="25"/>
  <c r="AM9" i="25"/>
  <c r="AL9" i="25"/>
  <c r="AF9" i="25"/>
  <c r="AD9" i="25"/>
  <c r="X9" i="25"/>
  <c r="W9" i="25"/>
  <c r="V9" i="25"/>
  <c r="M9" i="25"/>
  <c r="L9" i="25"/>
  <c r="K9" i="25"/>
  <c r="DW8" i="25"/>
  <c r="DV8" i="25"/>
  <c r="DU8" i="25"/>
  <c r="P8" i="25"/>
  <c r="DM8" i="25"/>
  <c r="CR8" i="25"/>
  <c r="BS8" i="25"/>
  <c r="AV8" i="25"/>
  <c r="AD8" i="25"/>
  <c r="DI8" i="25"/>
  <c r="P7" i="25"/>
  <c r="DY7" i="25"/>
  <c r="DW7" i="25"/>
  <c r="DV7" i="25"/>
  <c r="DU7" i="25"/>
  <c r="DM7" i="25"/>
  <c r="DK7" i="25"/>
  <c r="DI7" i="25"/>
  <c r="DB7" i="25"/>
  <c r="DA7" i="25"/>
  <c r="CZ7" i="25"/>
  <c r="CT7" i="25"/>
  <c r="CR7" i="25"/>
  <c r="CL7" i="25"/>
  <c r="CK7" i="25"/>
  <c r="CI7" i="25"/>
  <c r="CC7" i="25"/>
  <c r="CB7" i="25"/>
  <c r="CA7" i="25"/>
  <c r="BS7" i="25"/>
  <c r="BR7" i="25"/>
  <c r="BL7" i="25"/>
  <c r="BK7" i="25"/>
  <c r="BJ7" i="25"/>
  <c r="BD7" i="25"/>
  <c r="BC7" i="25"/>
  <c r="AV7" i="25"/>
  <c r="AU7" i="25"/>
  <c r="AT7" i="25"/>
  <c r="AN7" i="25"/>
  <c r="AM7" i="25"/>
  <c r="AL7" i="25"/>
  <c r="AF7" i="25"/>
  <c r="AD7" i="25"/>
  <c r="X7" i="25"/>
  <c r="W7" i="25"/>
  <c r="V7" i="25"/>
  <c r="M7" i="25"/>
  <c r="L7" i="25"/>
  <c r="K7" i="25"/>
  <c r="DW6" i="25"/>
  <c r="DV6" i="25"/>
  <c r="DU6" i="25"/>
  <c r="P6" i="25"/>
  <c r="DM6" i="25"/>
  <c r="CR6" i="25"/>
  <c r="BS6" i="25"/>
  <c r="AV6" i="25"/>
  <c r="AD6" i="25"/>
  <c r="DB6" i="25"/>
  <c r="P5" i="25"/>
  <c r="DY5" i="25"/>
  <c r="DW5" i="25"/>
  <c r="DV5" i="25"/>
  <c r="DU5" i="25"/>
  <c r="DM5" i="25"/>
  <c r="DK5" i="25"/>
  <c r="DI5" i="25"/>
  <c r="DB5" i="25"/>
  <c r="DA5" i="25"/>
  <c r="CZ5" i="25"/>
  <c r="CT5" i="25"/>
  <c r="CR5" i="25"/>
  <c r="CL5" i="25"/>
  <c r="CK5" i="25"/>
  <c r="CI5" i="25"/>
  <c r="CC5" i="25"/>
  <c r="CB5" i="25"/>
  <c r="CA5" i="25"/>
  <c r="BS5" i="25"/>
  <c r="BR5" i="25"/>
  <c r="BL5" i="25"/>
  <c r="BK5" i="25"/>
  <c r="BJ5" i="25"/>
  <c r="BD5" i="25"/>
  <c r="BC5" i="25"/>
  <c r="AV5" i="25"/>
  <c r="AU5" i="25"/>
  <c r="AT5" i="25"/>
  <c r="AN5" i="25"/>
  <c r="AM5" i="25"/>
  <c r="AL5" i="25"/>
  <c r="AF5" i="25"/>
  <c r="AD5" i="25"/>
  <c r="X5" i="25"/>
  <c r="W5" i="25"/>
  <c r="V5" i="25"/>
  <c r="M5" i="25"/>
  <c r="L5" i="25"/>
  <c r="K5" i="25"/>
  <c r="DW4" i="25"/>
  <c r="DV4" i="25"/>
  <c r="DU4" i="25"/>
  <c r="P4" i="25"/>
  <c r="DM4" i="25"/>
  <c r="CR4" i="25"/>
  <c r="BS4" i="25"/>
  <c r="AV4" i="25"/>
  <c r="AD4" i="25"/>
  <c r="DI4" i="25"/>
  <c r="P3" i="25"/>
  <c r="DY3" i="25"/>
  <c r="DW3" i="25"/>
  <c r="DV3" i="25"/>
  <c r="DU3" i="25"/>
  <c r="DM3" i="25"/>
  <c r="DK3" i="25"/>
  <c r="DI3" i="25"/>
  <c r="DB3" i="25"/>
  <c r="DA3" i="25"/>
  <c r="CZ3" i="25"/>
  <c r="CT3" i="25"/>
  <c r="CR3" i="25"/>
  <c r="CL3" i="25"/>
  <c r="CK3" i="25"/>
  <c r="CI3" i="25"/>
  <c r="CC3" i="25"/>
  <c r="CB3" i="25"/>
  <c r="CA3" i="25"/>
  <c r="BS3" i="25"/>
  <c r="BR3" i="25"/>
  <c r="BL3" i="25"/>
  <c r="BK3" i="25"/>
  <c r="BJ3" i="25"/>
  <c r="BD3" i="25"/>
  <c r="BC3" i="25"/>
  <c r="AV3" i="25"/>
  <c r="AU3" i="25"/>
  <c r="AT3" i="25"/>
  <c r="AN3" i="25"/>
  <c r="AM3" i="25"/>
  <c r="AL3" i="25"/>
  <c r="AF3" i="25"/>
  <c r="AD3" i="25"/>
  <c r="X3" i="25"/>
  <c r="W3" i="25"/>
  <c r="V3" i="25"/>
  <c r="M3" i="25"/>
  <c r="L3" i="25"/>
  <c r="K3" i="25"/>
  <c r="E21" i="46"/>
  <c r="E270" i="46"/>
  <c r="B287" i="46"/>
  <c r="B276" i="46"/>
  <c r="B272" i="46"/>
  <c r="B283" i="46"/>
  <c r="F281" i="46"/>
  <c r="B151" i="46"/>
  <c r="E281" i="46"/>
  <c r="B284" i="46"/>
  <c r="B273" i="46"/>
  <c r="B278" i="46"/>
  <c r="B289" i="46"/>
  <c r="F270" i="46"/>
  <c r="I126" i="38"/>
  <c r="C26" i="38"/>
  <c r="J39" i="26"/>
  <c r="J47" i="26"/>
  <c r="J63" i="26"/>
  <c r="J89" i="26"/>
  <c r="K115" i="26"/>
  <c r="E21" i="26"/>
  <c r="K35" i="26"/>
  <c r="J20" i="26"/>
  <c r="J60" i="26"/>
  <c r="J85" i="26"/>
  <c r="K111" i="26"/>
  <c r="K125" i="26"/>
  <c r="K66" i="26"/>
  <c r="K92" i="26"/>
  <c r="K109" i="26"/>
  <c r="J27" i="26"/>
  <c r="J59" i="26"/>
  <c r="J76" i="26"/>
  <c r="K101" i="26"/>
  <c r="K42" i="26"/>
  <c r="K83" i="26"/>
  <c r="K100" i="26"/>
  <c r="J19" i="26"/>
  <c r="K51" i="26"/>
  <c r="J67" i="26"/>
  <c r="J84" i="26"/>
  <c r="K75" i="26"/>
  <c r="K37" i="26"/>
  <c r="J53" i="26"/>
  <c r="J61" i="26"/>
  <c r="K69" i="26"/>
  <c r="K78" i="26"/>
  <c r="K87" i="26"/>
  <c r="K95" i="26"/>
  <c r="K103" i="26"/>
  <c r="J44" i="26"/>
  <c r="K52" i="26"/>
  <c r="J68" i="26"/>
  <c r="J77" i="26"/>
  <c r="J94" i="26"/>
  <c r="K102" i="26"/>
  <c r="K38" i="26"/>
  <c r="K70" i="26"/>
  <c r="K79" i="26"/>
  <c r="K96" i="26"/>
  <c r="K104" i="26"/>
  <c r="J23" i="26"/>
  <c r="J55" i="26"/>
  <c r="J71" i="26"/>
  <c r="J80" i="26"/>
  <c r="J97" i="26"/>
  <c r="J105" i="26"/>
  <c r="K32" i="26"/>
  <c r="K90" i="26"/>
  <c r="K106" i="26"/>
  <c r="K64" i="26"/>
  <c r="K18" i="26"/>
  <c r="K50" i="26"/>
  <c r="K26" i="26"/>
  <c r="K58" i="26"/>
  <c r="J36" i="26"/>
  <c r="J31" i="26"/>
  <c r="J45" i="26"/>
  <c r="J43" i="26"/>
  <c r="K123" i="26"/>
  <c r="K34" i="26"/>
  <c r="J28" i="26"/>
  <c r="K113" i="26"/>
  <c r="E20" i="26"/>
  <c r="J117" i="26"/>
  <c r="D22" i="26"/>
  <c r="C31" i="26"/>
  <c r="B138" i="46"/>
  <c r="K47" i="26"/>
  <c r="K23" i="26"/>
  <c r="K71" i="26"/>
  <c r="K44" i="26"/>
  <c r="K97" i="26"/>
  <c r="J103" i="26"/>
  <c r="K39" i="26"/>
  <c r="J52" i="26"/>
  <c r="K84" i="26"/>
  <c r="K117" i="26"/>
  <c r="E22" i="26"/>
  <c r="K20" i="26"/>
  <c r="J101" i="26"/>
  <c r="J92" i="26"/>
  <c r="K36" i="26"/>
  <c r="K60" i="26"/>
  <c r="K80" i="26"/>
  <c r="K67" i="26"/>
  <c r="J87" i="26"/>
  <c r="K21" i="26"/>
  <c r="K28" i="26"/>
  <c r="J34" i="26"/>
  <c r="J109" i="26"/>
  <c r="J42" i="26"/>
  <c r="J50" i="26"/>
  <c r="K89" i="26"/>
  <c r="K105" i="26"/>
  <c r="K45" i="26"/>
  <c r="J58" i="26"/>
  <c r="K77" i="26"/>
  <c r="J102" i="26"/>
  <c r="K31" i="26"/>
  <c r="J35" i="26"/>
  <c r="K53" i="26"/>
  <c r="K61" i="26"/>
  <c r="J66" i="26"/>
  <c r="K85" i="26"/>
  <c r="J51" i="26"/>
  <c r="J69" i="26"/>
  <c r="J75" i="26"/>
  <c r="J78" i="26"/>
  <c r="J83" i="26"/>
  <c r="J95" i="26"/>
  <c r="J100" i="26"/>
  <c r="J113" i="26"/>
  <c r="D20" i="26"/>
  <c r="J111" i="26"/>
  <c r="K68" i="26"/>
  <c r="J21" i="26"/>
  <c r="J37" i="26"/>
  <c r="K94" i="26"/>
  <c r="K55" i="26"/>
  <c r="K63" i="26"/>
  <c r="J18" i="26"/>
  <c r="J26" i="26"/>
  <c r="J81" i="26"/>
  <c r="AE6" i="25"/>
  <c r="BB6" i="25"/>
  <c r="CS6" i="25"/>
  <c r="BB8" i="25"/>
  <c r="AE12" i="25"/>
  <c r="CS12" i="25"/>
  <c r="K81" i="26"/>
  <c r="AF4" i="25"/>
  <c r="BC4" i="25"/>
  <c r="CT4" i="25"/>
  <c r="K6" i="25"/>
  <c r="BC6" i="25"/>
  <c r="CT6" i="25"/>
  <c r="K8" i="25"/>
  <c r="BC8" i="25"/>
  <c r="CT8" i="25"/>
  <c r="K10" i="25"/>
  <c r="CT10" i="25"/>
  <c r="CA12" i="25"/>
  <c r="N32" i="25"/>
  <c r="L4" i="25"/>
  <c r="BD4" i="25"/>
  <c r="CB4" i="25"/>
  <c r="CZ4" i="25"/>
  <c r="L6" i="25"/>
  <c r="BD6" i="25"/>
  <c r="CZ6" i="25"/>
  <c r="AL8" i="25"/>
  <c r="AL10" i="25"/>
  <c r="CB10" i="25"/>
  <c r="L12" i="25"/>
  <c r="AL12" i="25"/>
  <c r="BD12" i="25"/>
  <c r="CB12" i="25"/>
  <c r="CZ12" i="25"/>
  <c r="AN32" i="25"/>
  <c r="M4" i="25"/>
  <c r="AM4" i="25"/>
  <c r="BJ4" i="25"/>
  <c r="CC4" i="25"/>
  <c r="DA4" i="25"/>
  <c r="DY4" i="25"/>
  <c r="AM6" i="25"/>
  <c r="CC6" i="25"/>
  <c r="DA6" i="25"/>
  <c r="DY6" i="25"/>
  <c r="M8" i="25"/>
  <c r="M10" i="25"/>
  <c r="AM10" i="25"/>
  <c r="BJ10" i="25"/>
  <c r="CC10" i="25"/>
  <c r="DA10" i="25"/>
  <c r="M12" i="25"/>
  <c r="AM12" i="25"/>
  <c r="BJ12" i="25"/>
  <c r="CC12" i="25"/>
  <c r="DA12" i="25"/>
  <c r="DY12" i="25"/>
  <c r="K65" i="26"/>
  <c r="J65" i="26"/>
  <c r="BB4" i="25"/>
  <c r="DH10" i="25"/>
  <c r="CY10" i="25"/>
  <c r="CQ10" i="25"/>
  <c r="CH10" i="25"/>
  <c r="BZ10" i="25"/>
  <c r="BQ10" i="25"/>
  <c r="BI10" i="25"/>
  <c r="BA10" i="25"/>
  <c r="AS10" i="25"/>
  <c r="AK10" i="25"/>
  <c r="AC10" i="25"/>
  <c r="U10" i="25"/>
  <c r="J10" i="25"/>
  <c r="CU10" i="25"/>
  <c r="BU10" i="25"/>
  <c r="AW10" i="25"/>
  <c r="Y10" i="25"/>
  <c r="DG10" i="25"/>
  <c r="CX10" i="25"/>
  <c r="CP10" i="25"/>
  <c r="CG10" i="25"/>
  <c r="BY10" i="25"/>
  <c r="BP10" i="25"/>
  <c r="BH10" i="25"/>
  <c r="AZ10" i="25"/>
  <c r="AR10" i="25"/>
  <c r="AJ10" i="25"/>
  <c r="AB10" i="25"/>
  <c r="T10" i="25"/>
  <c r="I10" i="25"/>
  <c r="DC10" i="25"/>
  <c r="CD10" i="25"/>
  <c r="BE10" i="25"/>
  <c r="AG10" i="25"/>
  <c r="F10" i="25"/>
  <c r="DS10" i="25"/>
  <c r="DE10" i="25"/>
  <c r="CW10" i="25"/>
  <c r="CO10" i="25"/>
  <c r="CF10" i="25"/>
  <c r="BX10" i="25"/>
  <c r="BO10" i="25"/>
  <c r="BG10" i="25"/>
  <c r="AY10" i="25"/>
  <c r="AQ10" i="25"/>
  <c r="AI10" i="25"/>
  <c r="AA10" i="25"/>
  <c r="S10" i="25"/>
  <c r="H10" i="25"/>
  <c r="DD10" i="25"/>
  <c r="CV10" i="25"/>
  <c r="CE10" i="25"/>
  <c r="BV10" i="25"/>
  <c r="BF10" i="25"/>
  <c r="AX10" i="25"/>
  <c r="AH10" i="25"/>
  <c r="O10" i="25"/>
  <c r="DQ10" i="25"/>
  <c r="CN10" i="25"/>
  <c r="BN10" i="25"/>
  <c r="AP10" i="25"/>
  <c r="Z10" i="25"/>
  <c r="G10" i="25"/>
  <c r="DO10" i="25"/>
  <c r="CM10" i="25"/>
  <c r="BM10" i="25"/>
  <c r="AO10" i="25"/>
  <c r="N10" i="25"/>
  <c r="BB10" i="25"/>
  <c r="CS10" i="25"/>
  <c r="DO32" i="25"/>
  <c r="DC32" i="25"/>
  <c r="CU32" i="25"/>
  <c r="CM32" i="25"/>
  <c r="CD32" i="25"/>
  <c r="DK32" i="25"/>
  <c r="CZ32" i="25"/>
  <c r="CQ32" i="25"/>
  <c r="CG32" i="25"/>
  <c r="BX32" i="25"/>
  <c r="BO32" i="25"/>
  <c r="BG32" i="25"/>
  <c r="AY32" i="25"/>
  <c r="AQ32" i="25"/>
  <c r="AI32" i="25"/>
  <c r="AA32" i="25"/>
  <c r="S32" i="25"/>
  <c r="H32" i="25"/>
  <c r="DD32" i="25"/>
  <c r="CS32" i="25"/>
  <c r="CH32" i="25"/>
  <c r="BV32" i="25"/>
  <c r="BM32" i="25"/>
  <c r="BD32" i="25"/>
  <c r="AU32" i="25"/>
  <c r="AL32" i="25"/>
  <c r="AC32" i="25"/>
  <c r="T32" i="25"/>
  <c r="G32" i="25"/>
  <c r="DS32" i="25"/>
  <c r="DB32" i="25"/>
  <c r="CR32" i="25"/>
  <c r="CF32" i="25"/>
  <c r="BU32" i="25"/>
  <c r="BL32" i="25"/>
  <c r="BC32" i="25"/>
  <c r="AT32" i="25"/>
  <c r="AK32" i="25"/>
  <c r="AB32" i="25"/>
  <c r="O32" i="25"/>
  <c r="F32" i="25"/>
  <c r="DQ32" i="25"/>
  <c r="DA32" i="25"/>
  <c r="CP32" i="25"/>
  <c r="CE32" i="25"/>
  <c r="BT32" i="25"/>
  <c r="BK32" i="25"/>
  <c r="BB32" i="25"/>
  <c r="AS32" i="25"/>
  <c r="AJ32" i="25"/>
  <c r="DM32" i="25"/>
  <c r="CY32" i="25"/>
  <c r="CO32" i="25"/>
  <c r="CC32" i="25"/>
  <c r="BS32" i="25"/>
  <c r="BJ32" i="25"/>
  <c r="BA32" i="25"/>
  <c r="AR32" i="25"/>
  <c r="AH32" i="25"/>
  <c r="Y32" i="25"/>
  <c r="M32" i="25"/>
  <c r="DG32" i="25"/>
  <c r="CK32" i="25"/>
  <c r="BP32" i="25"/>
  <c r="AW32" i="25"/>
  <c r="AE32" i="25"/>
  <c r="L32" i="25"/>
  <c r="DE32" i="25"/>
  <c r="CI32" i="25"/>
  <c r="BN32" i="25"/>
  <c r="AV32" i="25"/>
  <c r="AD32" i="25"/>
  <c r="K32" i="25"/>
  <c r="DY32" i="25"/>
  <c r="CX32" i="25"/>
  <c r="CB32" i="25"/>
  <c r="BI32" i="25"/>
  <c r="AP32" i="25"/>
  <c r="Z32" i="25"/>
  <c r="J32" i="25"/>
  <c r="CW32" i="25"/>
  <c r="CA32" i="25"/>
  <c r="BH32" i="25"/>
  <c r="AO32" i="25"/>
  <c r="X32" i="25"/>
  <c r="I32" i="25"/>
  <c r="BY32" i="25"/>
  <c r="AM32" i="25"/>
  <c r="U32" i="25"/>
  <c r="DI32" i="25"/>
  <c r="BR32" i="25"/>
  <c r="AG32" i="25"/>
  <c r="BE32" i="25"/>
  <c r="AZ32" i="25"/>
  <c r="DH32" i="25"/>
  <c r="BQ32" i="25"/>
  <c r="AF32" i="25"/>
  <c r="CT32" i="25"/>
  <c r="CV32" i="25"/>
  <c r="BF32" i="25"/>
  <c r="W32" i="25"/>
  <c r="V32" i="25"/>
  <c r="CN32" i="25"/>
  <c r="AF8" i="25"/>
  <c r="CA8" i="25"/>
  <c r="BC10" i="25"/>
  <c r="AF12" i="25"/>
  <c r="AL4" i="25"/>
  <c r="AL6" i="25"/>
  <c r="CB6" i="25"/>
  <c r="L8" i="25"/>
  <c r="BD8" i="25"/>
  <c r="CB8" i="25"/>
  <c r="CZ8" i="25"/>
  <c r="L10" i="25"/>
  <c r="BD10" i="25"/>
  <c r="CZ10" i="25"/>
  <c r="M6" i="25"/>
  <c r="BJ6" i="25"/>
  <c r="AM8" i="25"/>
  <c r="BJ8" i="25"/>
  <c r="CC8" i="25"/>
  <c r="DA8" i="25"/>
  <c r="DY8" i="25"/>
  <c r="DH3" i="25"/>
  <c r="CY3" i="25"/>
  <c r="CQ3" i="25"/>
  <c r="CH3" i="25"/>
  <c r="BZ3" i="25"/>
  <c r="BQ3" i="25"/>
  <c r="BI3" i="25"/>
  <c r="BA3" i="25"/>
  <c r="AS3" i="25"/>
  <c r="AK3" i="25"/>
  <c r="AC3" i="25"/>
  <c r="U3" i="25"/>
  <c r="J3" i="25"/>
  <c r="CU3" i="25"/>
  <c r="BU3" i="25"/>
  <c r="BE3" i="25"/>
  <c r="AG3" i="25"/>
  <c r="F3" i="25"/>
  <c r="DG3" i="25"/>
  <c r="CX3" i="25"/>
  <c r="CP3" i="25"/>
  <c r="CG3" i="25"/>
  <c r="BY3" i="25"/>
  <c r="BP3" i="25"/>
  <c r="BH3" i="25"/>
  <c r="AZ3" i="25"/>
  <c r="AR3" i="25"/>
  <c r="AJ3" i="25"/>
  <c r="AB3" i="25"/>
  <c r="T3" i="25"/>
  <c r="I3" i="25"/>
  <c r="DQ3" i="25"/>
  <c r="CN3" i="25"/>
  <c r="BN3" i="25"/>
  <c r="AP3" i="25"/>
  <c r="O3" i="25"/>
  <c r="DO3" i="25"/>
  <c r="CM3" i="25"/>
  <c r="AW3" i="25"/>
  <c r="Y3" i="25"/>
  <c r="DS3" i="25"/>
  <c r="DE3" i="25"/>
  <c r="CW3" i="25"/>
  <c r="CO3" i="25"/>
  <c r="CF3" i="25"/>
  <c r="BX3" i="25"/>
  <c r="BO3" i="25"/>
  <c r="BG3" i="25"/>
  <c r="AY3" i="25"/>
  <c r="AQ3" i="25"/>
  <c r="AI3" i="25"/>
  <c r="AA3" i="25"/>
  <c r="S3" i="25"/>
  <c r="H3" i="25"/>
  <c r="DD3" i="25"/>
  <c r="CE3" i="25"/>
  <c r="BF3" i="25"/>
  <c r="AH3" i="25"/>
  <c r="G3" i="25"/>
  <c r="CV3" i="25"/>
  <c r="BV3" i="25"/>
  <c r="AX3" i="25"/>
  <c r="Z3" i="25"/>
  <c r="DC3" i="25"/>
  <c r="CD3" i="25"/>
  <c r="BM3" i="25"/>
  <c r="AO3" i="25"/>
  <c r="N3" i="25"/>
  <c r="AE3" i="25"/>
  <c r="BB3" i="25"/>
  <c r="BT3" i="25"/>
  <c r="CS3" i="25"/>
  <c r="V4" i="25"/>
  <c r="AN4" i="25"/>
  <c r="BK4" i="25"/>
  <c r="CI4" i="25"/>
  <c r="DB4" i="25"/>
  <c r="DH5" i="25"/>
  <c r="CY5" i="25"/>
  <c r="CQ5" i="25"/>
  <c r="CH5" i="25"/>
  <c r="BZ5" i="25"/>
  <c r="BQ5" i="25"/>
  <c r="BI5" i="25"/>
  <c r="BA5" i="25"/>
  <c r="AS5" i="25"/>
  <c r="AK5" i="25"/>
  <c r="AC5" i="25"/>
  <c r="U5" i="25"/>
  <c r="J5" i="25"/>
  <c r="DO5" i="25"/>
  <c r="CM5" i="25"/>
  <c r="BM5" i="25"/>
  <c r="AO5" i="25"/>
  <c r="N5" i="25"/>
  <c r="DG5" i="25"/>
  <c r="CX5" i="25"/>
  <c r="CP5" i="25"/>
  <c r="CG5" i="25"/>
  <c r="BY5" i="25"/>
  <c r="BP5" i="25"/>
  <c r="BH5" i="25"/>
  <c r="AZ5" i="25"/>
  <c r="AR5" i="25"/>
  <c r="AJ5" i="25"/>
  <c r="AB5" i="25"/>
  <c r="T5" i="25"/>
  <c r="I5" i="25"/>
  <c r="DD5" i="25"/>
  <c r="CE5" i="25"/>
  <c r="BF5" i="25"/>
  <c r="AH5" i="25"/>
  <c r="G5" i="25"/>
  <c r="CU5" i="25"/>
  <c r="BU5" i="25"/>
  <c r="AW5" i="25"/>
  <c r="Y5" i="25"/>
  <c r="DS5" i="25"/>
  <c r="DE5" i="25"/>
  <c r="CW5" i="25"/>
  <c r="CO5" i="25"/>
  <c r="CF5" i="25"/>
  <c r="BX5" i="25"/>
  <c r="BO5" i="25"/>
  <c r="BG5" i="25"/>
  <c r="AY5" i="25"/>
  <c r="AQ5" i="25"/>
  <c r="AI5" i="25"/>
  <c r="AA5" i="25"/>
  <c r="S5" i="25"/>
  <c r="H5" i="25"/>
  <c r="DQ5" i="25"/>
  <c r="CV5" i="25"/>
  <c r="BV5" i="25"/>
  <c r="AX5" i="25"/>
  <c r="AP5" i="25"/>
  <c r="O5" i="25"/>
  <c r="CN5" i="25"/>
  <c r="BN5" i="25"/>
  <c r="Z5" i="25"/>
  <c r="DC5" i="25"/>
  <c r="CD5" i="25"/>
  <c r="BE5" i="25"/>
  <c r="AG5" i="25"/>
  <c r="F5" i="25"/>
  <c r="AE5" i="25"/>
  <c r="BB5" i="25"/>
  <c r="BT5" i="25"/>
  <c r="CS5" i="25"/>
  <c r="V6" i="25"/>
  <c r="AN6" i="25"/>
  <c r="BK6" i="25"/>
  <c r="CI6" i="25"/>
  <c r="DH7" i="25"/>
  <c r="CY7" i="25"/>
  <c r="CQ7" i="25"/>
  <c r="CH7" i="25"/>
  <c r="BZ7" i="25"/>
  <c r="BQ7" i="25"/>
  <c r="BI7" i="25"/>
  <c r="BA7" i="25"/>
  <c r="AS7" i="25"/>
  <c r="AK7" i="25"/>
  <c r="AC7" i="25"/>
  <c r="U7" i="25"/>
  <c r="J7" i="25"/>
  <c r="CM7" i="25"/>
  <c r="BE7" i="25"/>
  <c r="AG7" i="25"/>
  <c r="DG7" i="25"/>
  <c r="CX7" i="25"/>
  <c r="CP7" i="25"/>
  <c r="CG7" i="25"/>
  <c r="BY7" i="25"/>
  <c r="BP7" i="25"/>
  <c r="BH7" i="25"/>
  <c r="AZ7" i="25"/>
  <c r="AR7" i="25"/>
  <c r="AJ7" i="25"/>
  <c r="AB7" i="25"/>
  <c r="T7" i="25"/>
  <c r="I7" i="25"/>
  <c r="DQ7" i="25"/>
  <c r="DC7" i="25"/>
  <c r="CD7" i="25"/>
  <c r="BM7" i="25"/>
  <c r="AO7" i="25"/>
  <c r="N7" i="25"/>
  <c r="DS7" i="25"/>
  <c r="DE7" i="25"/>
  <c r="CW7" i="25"/>
  <c r="CO7" i="25"/>
  <c r="CF7" i="25"/>
  <c r="BX7" i="25"/>
  <c r="BO7" i="25"/>
  <c r="BG7" i="25"/>
  <c r="AY7" i="25"/>
  <c r="AQ7" i="25"/>
  <c r="AI7" i="25"/>
  <c r="AA7" i="25"/>
  <c r="S7" i="25"/>
  <c r="H7" i="25"/>
  <c r="DD7" i="25"/>
  <c r="CN7" i="25"/>
  <c r="CE7" i="25"/>
  <c r="BN7" i="25"/>
  <c r="AX7" i="25"/>
  <c r="AP7" i="25"/>
  <c r="Z7" i="25"/>
  <c r="G7" i="25"/>
  <c r="CV7" i="25"/>
  <c r="BV7" i="25"/>
  <c r="BF7" i="25"/>
  <c r="AH7" i="25"/>
  <c r="O7" i="25"/>
  <c r="DO7" i="25"/>
  <c r="CU7" i="25"/>
  <c r="BU7" i="25"/>
  <c r="AW7" i="25"/>
  <c r="Y7" i="25"/>
  <c r="F7" i="25"/>
  <c r="AE7" i="25"/>
  <c r="BB7" i="25"/>
  <c r="BT7" i="25"/>
  <c r="CS7" i="25"/>
  <c r="V8" i="25"/>
  <c r="AN8" i="25"/>
  <c r="BK8" i="25"/>
  <c r="CI8" i="25"/>
  <c r="DB8" i="25"/>
  <c r="DH9" i="25"/>
  <c r="CY9" i="25"/>
  <c r="CQ9" i="25"/>
  <c r="CH9" i="25"/>
  <c r="BZ9" i="25"/>
  <c r="BQ9" i="25"/>
  <c r="BI9" i="25"/>
  <c r="BA9" i="25"/>
  <c r="AS9" i="25"/>
  <c r="AK9" i="25"/>
  <c r="AC9" i="25"/>
  <c r="U9" i="25"/>
  <c r="J9" i="25"/>
  <c r="DO9" i="25"/>
  <c r="CM9" i="25"/>
  <c r="BM9" i="25"/>
  <c r="AO9" i="25"/>
  <c r="N9" i="25"/>
  <c r="DG9" i="25"/>
  <c r="CX9" i="25"/>
  <c r="CP9" i="25"/>
  <c r="CG9" i="25"/>
  <c r="BY9" i="25"/>
  <c r="BP9" i="25"/>
  <c r="BH9" i="25"/>
  <c r="AZ9" i="25"/>
  <c r="AR9" i="25"/>
  <c r="AJ9" i="25"/>
  <c r="AB9" i="25"/>
  <c r="T9" i="25"/>
  <c r="I9" i="25"/>
  <c r="CU9" i="25"/>
  <c r="BU9" i="25"/>
  <c r="AW9" i="25"/>
  <c r="Y9" i="25"/>
  <c r="F9" i="25"/>
  <c r="DS9" i="25"/>
  <c r="DE9" i="25"/>
  <c r="CW9" i="25"/>
  <c r="CO9" i="25"/>
  <c r="CF9" i="25"/>
  <c r="BX9" i="25"/>
  <c r="BO9" i="25"/>
  <c r="BG9" i="25"/>
  <c r="AY9" i="25"/>
  <c r="AQ9" i="25"/>
  <c r="AI9" i="25"/>
  <c r="AA9" i="25"/>
  <c r="S9" i="25"/>
  <c r="H9" i="25"/>
  <c r="DQ9" i="25"/>
  <c r="CV9" i="25"/>
  <c r="CN9" i="25"/>
  <c r="BV9" i="25"/>
  <c r="BF9" i="25"/>
  <c r="AP9" i="25"/>
  <c r="Z9" i="25"/>
  <c r="O9" i="25"/>
  <c r="DD9" i="25"/>
  <c r="CE9" i="25"/>
  <c r="BN9" i="25"/>
  <c r="AX9" i="25"/>
  <c r="AH9" i="25"/>
  <c r="G9" i="25"/>
  <c r="DC9" i="25"/>
  <c r="CD9" i="25"/>
  <c r="BE9" i="25"/>
  <c r="AG9" i="25"/>
  <c r="AE9" i="25"/>
  <c r="BB9" i="25"/>
  <c r="BT9" i="25"/>
  <c r="CS9" i="25"/>
  <c r="V10" i="25"/>
  <c r="AN10" i="25"/>
  <c r="BK10" i="25"/>
  <c r="CI10" i="25"/>
  <c r="DB10" i="25"/>
  <c r="DH11" i="25"/>
  <c r="CY11" i="25"/>
  <c r="CQ11" i="25"/>
  <c r="CH11" i="25"/>
  <c r="BZ11" i="25"/>
  <c r="BQ11" i="25"/>
  <c r="BI11" i="25"/>
  <c r="BA11" i="25"/>
  <c r="AS11" i="25"/>
  <c r="AK11" i="25"/>
  <c r="AC11" i="25"/>
  <c r="U11" i="25"/>
  <c r="J11" i="25"/>
  <c r="DC11" i="25"/>
  <c r="CD11" i="25"/>
  <c r="BE11" i="25"/>
  <c r="AG11" i="25"/>
  <c r="F11" i="25"/>
  <c r="DG11" i="25"/>
  <c r="CX11" i="25"/>
  <c r="CP11" i="25"/>
  <c r="CG11" i="25"/>
  <c r="BY11" i="25"/>
  <c r="BP11" i="25"/>
  <c r="BH11" i="25"/>
  <c r="AZ11" i="25"/>
  <c r="AR11" i="25"/>
  <c r="AJ11" i="25"/>
  <c r="AB11" i="25"/>
  <c r="T11" i="25"/>
  <c r="I11" i="25"/>
  <c r="DO11" i="25"/>
  <c r="CM11" i="25"/>
  <c r="BM11" i="25"/>
  <c r="AO11" i="25"/>
  <c r="N11" i="25"/>
  <c r="DS11" i="25"/>
  <c r="DE11" i="25"/>
  <c r="CW11" i="25"/>
  <c r="CO11" i="25"/>
  <c r="CF11" i="25"/>
  <c r="BX11" i="25"/>
  <c r="BO11" i="25"/>
  <c r="BG11" i="25"/>
  <c r="AY11" i="25"/>
  <c r="AQ11" i="25"/>
  <c r="AI11" i="25"/>
  <c r="AA11" i="25"/>
  <c r="S11" i="25"/>
  <c r="H11" i="25"/>
  <c r="CE11" i="25"/>
  <c r="AX11" i="25"/>
  <c r="AH11" i="25"/>
  <c r="O11" i="25"/>
  <c r="G11" i="25"/>
  <c r="DQ11" i="25"/>
  <c r="DD11" i="25"/>
  <c r="CV11" i="25"/>
  <c r="CN11" i="25"/>
  <c r="BV11" i="25"/>
  <c r="BN11" i="25"/>
  <c r="BF11" i="25"/>
  <c r="AP11" i="25"/>
  <c r="Z11" i="25"/>
  <c r="CU11" i="25"/>
  <c r="BU11" i="25"/>
  <c r="AW11" i="25"/>
  <c r="Y11" i="25"/>
  <c r="AE11" i="25"/>
  <c r="BB11" i="25"/>
  <c r="BT11" i="25"/>
  <c r="CS11" i="25"/>
  <c r="V12" i="25"/>
  <c r="AN12" i="25"/>
  <c r="BK12" i="25"/>
  <c r="CI12" i="25"/>
  <c r="DB12" i="25"/>
  <c r="DH13" i="25"/>
  <c r="CY13" i="25"/>
  <c r="CQ13" i="25"/>
  <c r="CH13" i="25"/>
  <c r="BZ13" i="25"/>
  <c r="BQ13" i="25"/>
  <c r="BI13" i="25"/>
  <c r="BA13" i="25"/>
  <c r="AS13" i="25"/>
  <c r="AK13" i="25"/>
  <c r="AC13" i="25"/>
  <c r="U13" i="25"/>
  <c r="J13" i="25"/>
  <c r="BE13" i="25"/>
  <c r="AO13" i="25"/>
  <c r="Y13" i="25"/>
  <c r="F13" i="25"/>
  <c r="DG13" i="25"/>
  <c r="CX13" i="25"/>
  <c r="CP13" i="25"/>
  <c r="CG13" i="25"/>
  <c r="BY13" i="25"/>
  <c r="BP13" i="25"/>
  <c r="BH13" i="25"/>
  <c r="AZ13" i="25"/>
  <c r="AR13" i="25"/>
  <c r="AJ13" i="25"/>
  <c r="AB13" i="25"/>
  <c r="T13" i="25"/>
  <c r="I13" i="25"/>
  <c r="DO13" i="25"/>
  <c r="CU13" i="25"/>
  <c r="CD13" i="25"/>
  <c r="BM13" i="25"/>
  <c r="DB13" i="25"/>
  <c r="CC13" i="25"/>
  <c r="BD13" i="25"/>
  <c r="AN13" i="25"/>
  <c r="M13" i="25"/>
  <c r="DS13" i="25"/>
  <c r="DE13" i="25"/>
  <c r="CW13" i="25"/>
  <c r="CO13" i="25"/>
  <c r="CF13" i="25"/>
  <c r="BX13" i="25"/>
  <c r="BO13" i="25"/>
  <c r="BG13" i="25"/>
  <c r="AY13" i="25"/>
  <c r="AQ13" i="25"/>
  <c r="AI13" i="25"/>
  <c r="AA13" i="25"/>
  <c r="S13" i="25"/>
  <c r="H13" i="25"/>
  <c r="AH13" i="25"/>
  <c r="DM13" i="25"/>
  <c r="CT13" i="25"/>
  <c r="BT13" i="25"/>
  <c r="BL13" i="25"/>
  <c r="AV13" i="25"/>
  <c r="X13" i="25"/>
  <c r="DQ13" i="25"/>
  <c r="DD13" i="25"/>
  <c r="CV13" i="25"/>
  <c r="CN13" i="25"/>
  <c r="CE13" i="25"/>
  <c r="BV13" i="25"/>
  <c r="BN13" i="25"/>
  <c r="BF13" i="25"/>
  <c r="AX13" i="25"/>
  <c r="AP13" i="25"/>
  <c r="Z13" i="25"/>
  <c r="O13" i="25"/>
  <c r="G13" i="25"/>
  <c r="DC13" i="25"/>
  <c r="CM13" i="25"/>
  <c r="BU13" i="25"/>
  <c r="AW13" i="25"/>
  <c r="AG13" i="25"/>
  <c r="N13" i="25"/>
  <c r="CL13" i="25"/>
  <c r="AF13" i="25"/>
  <c r="AM13" i="25"/>
  <c r="BS13" i="25"/>
  <c r="DA13" i="25"/>
  <c r="BZ32" i="25"/>
  <c r="K72" i="26"/>
  <c r="J72" i="26"/>
  <c r="DH6" i="25"/>
  <c r="CY6" i="25"/>
  <c r="CQ6" i="25"/>
  <c r="CH6" i="25"/>
  <c r="BZ6" i="25"/>
  <c r="BQ6" i="25"/>
  <c r="BI6" i="25"/>
  <c r="BA6" i="25"/>
  <c r="AS6" i="25"/>
  <c r="AK6" i="25"/>
  <c r="AC6" i="25"/>
  <c r="U6" i="25"/>
  <c r="J6" i="25"/>
  <c r="DO6" i="25"/>
  <c r="CM6" i="25"/>
  <c r="BM6" i="25"/>
  <c r="AO6" i="25"/>
  <c r="N6" i="25"/>
  <c r="DG6" i="25"/>
  <c r="CX6" i="25"/>
  <c r="CP6" i="25"/>
  <c r="CG6" i="25"/>
  <c r="BY6" i="25"/>
  <c r="BP6" i="25"/>
  <c r="BH6" i="25"/>
  <c r="AZ6" i="25"/>
  <c r="AR6" i="25"/>
  <c r="AJ6" i="25"/>
  <c r="AB6" i="25"/>
  <c r="T6" i="25"/>
  <c r="I6" i="25"/>
  <c r="CV6" i="25"/>
  <c r="BN6" i="25"/>
  <c r="AP6" i="25"/>
  <c r="O6" i="25"/>
  <c r="DC6" i="25"/>
  <c r="CD6" i="25"/>
  <c r="AW6" i="25"/>
  <c r="Y6" i="25"/>
  <c r="DS6" i="25"/>
  <c r="DE6" i="25"/>
  <c r="CW6" i="25"/>
  <c r="CO6" i="25"/>
  <c r="CF6" i="25"/>
  <c r="BX6" i="25"/>
  <c r="BO6" i="25"/>
  <c r="BG6" i="25"/>
  <c r="AY6" i="25"/>
  <c r="AQ6" i="25"/>
  <c r="AI6" i="25"/>
  <c r="AA6" i="25"/>
  <c r="S6" i="25"/>
  <c r="H6" i="25"/>
  <c r="DD6" i="25"/>
  <c r="CN6" i="25"/>
  <c r="BV6" i="25"/>
  <c r="BF6" i="25"/>
  <c r="AH6" i="25"/>
  <c r="Z6" i="25"/>
  <c r="DQ6" i="25"/>
  <c r="CE6" i="25"/>
  <c r="AX6" i="25"/>
  <c r="G6" i="25"/>
  <c r="CU6" i="25"/>
  <c r="BU6" i="25"/>
  <c r="BE6" i="25"/>
  <c r="AG6" i="25"/>
  <c r="F6" i="25"/>
  <c r="BT6" i="25"/>
  <c r="AE10" i="25"/>
  <c r="BT10" i="25"/>
  <c r="K119" i="26"/>
  <c r="E23" i="26"/>
  <c r="J119" i="26"/>
  <c r="D23" i="26"/>
  <c r="CA6" i="25"/>
  <c r="K12" i="25"/>
  <c r="BC12" i="25"/>
  <c r="CT12" i="25"/>
  <c r="W4" i="25"/>
  <c r="AT4" i="25"/>
  <c r="BL4" i="25"/>
  <c r="CK4" i="25"/>
  <c r="W6" i="25"/>
  <c r="AT6" i="25"/>
  <c r="BL6" i="25"/>
  <c r="CK6" i="25"/>
  <c r="DI6" i="25"/>
  <c r="W8" i="25"/>
  <c r="AT8" i="25"/>
  <c r="BL8" i="25"/>
  <c r="CK8" i="25"/>
  <c r="W10" i="25"/>
  <c r="AT10" i="25"/>
  <c r="BL10" i="25"/>
  <c r="CK10" i="25"/>
  <c r="DI10" i="25"/>
  <c r="W12" i="25"/>
  <c r="AT12" i="25"/>
  <c r="BL12" i="25"/>
  <c r="CK12" i="25"/>
  <c r="DM27" i="25"/>
  <c r="DB27" i="25"/>
  <c r="CT27" i="25"/>
  <c r="CL27" i="25"/>
  <c r="CC27" i="25"/>
  <c r="BT27" i="25"/>
  <c r="BL27" i="25"/>
  <c r="BD27" i="25"/>
  <c r="AV27" i="25"/>
  <c r="AN27" i="25"/>
  <c r="AF27" i="25"/>
  <c r="X27" i="25"/>
  <c r="DH27" i="25"/>
  <c r="CY27" i="25"/>
  <c r="CQ27" i="25"/>
  <c r="CH27" i="25"/>
  <c r="BZ27" i="25"/>
  <c r="BQ27" i="25"/>
  <c r="BI27" i="25"/>
  <c r="BA27" i="25"/>
  <c r="AS27" i="25"/>
  <c r="AK27" i="25"/>
  <c r="AC27" i="25"/>
  <c r="U27" i="25"/>
  <c r="J27" i="25"/>
  <c r="DK27" i="25"/>
  <c r="CX27" i="25"/>
  <c r="CN27" i="25"/>
  <c r="CB27" i="25"/>
  <c r="BP27" i="25"/>
  <c r="BF27" i="25"/>
  <c r="AU27" i="25"/>
  <c r="AJ27" i="25"/>
  <c r="Z27" i="25"/>
  <c r="M27" i="25"/>
  <c r="DY27" i="25"/>
  <c r="DI27" i="25"/>
  <c r="CW27" i="25"/>
  <c r="CM27" i="25"/>
  <c r="CA27" i="25"/>
  <c r="BO27" i="25"/>
  <c r="BE27" i="25"/>
  <c r="AT27" i="25"/>
  <c r="AI27" i="25"/>
  <c r="Y27" i="25"/>
  <c r="L27" i="25"/>
  <c r="DG27" i="25"/>
  <c r="CV27" i="25"/>
  <c r="CK27" i="25"/>
  <c r="BY27" i="25"/>
  <c r="BN27" i="25"/>
  <c r="BC27" i="25"/>
  <c r="AR27" i="25"/>
  <c r="AH27" i="25"/>
  <c r="W27" i="25"/>
  <c r="K27" i="25"/>
  <c r="DC27" i="25"/>
  <c r="CI27" i="25"/>
  <c r="BS27" i="25"/>
  <c r="AZ27" i="25"/>
  <c r="AL27" i="25"/>
  <c r="S27" i="25"/>
  <c r="BH27" i="25"/>
  <c r="DA27" i="25"/>
  <c r="CG27" i="25"/>
  <c r="BR27" i="25"/>
  <c r="AY27" i="25"/>
  <c r="AG27" i="25"/>
  <c r="O27" i="25"/>
  <c r="CS27" i="25"/>
  <c r="AQ27" i="25"/>
  <c r="AA27" i="25"/>
  <c r="CZ27" i="25"/>
  <c r="CF27" i="25"/>
  <c r="BM27" i="25"/>
  <c r="AX27" i="25"/>
  <c r="AE27" i="25"/>
  <c r="N27" i="25"/>
  <c r="CD27" i="25"/>
  <c r="AB27" i="25"/>
  <c r="DO27" i="25"/>
  <c r="CR27" i="25"/>
  <c r="BX27" i="25"/>
  <c r="AP27" i="25"/>
  <c r="G27" i="25"/>
  <c r="DS27" i="25"/>
  <c r="CU27" i="25"/>
  <c r="CE27" i="25"/>
  <c r="BK27" i="25"/>
  <c r="AW27" i="25"/>
  <c r="AD27" i="25"/>
  <c r="I27" i="25"/>
  <c r="DQ27" i="25"/>
  <c r="BJ27" i="25"/>
  <c r="H27" i="25"/>
  <c r="BU27" i="25"/>
  <c r="CL32" i="25"/>
  <c r="DH4" i="25"/>
  <c r="CY4" i="25"/>
  <c r="CQ4" i="25"/>
  <c r="CH4" i="25"/>
  <c r="BZ4" i="25"/>
  <c r="BQ4" i="25"/>
  <c r="BI4" i="25"/>
  <c r="BA4" i="25"/>
  <c r="AS4" i="25"/>
  <c r="AK4" i="25"/>
  <c r="AC4" i="25"/>
  <c r="U4" i="25"/>
  <c r="J4" i="25"/>
  <c r="DO4" i="25"/>
  <c r="CM4" i="25"/>
  <c r="BE4" i="25"/>
  <c r="AG4" i="25"/>
  <c r="F4" i="25"/>
  <c r="DG4" i="25"/>
  <c r="CX4" i="25"/>
  <c r="CP4" i="25"/>
  <c r="CG4" i="25"/>
  <c r="BY4" i="25"/>
  <c r="BP4" i="25"/>
  <c r="BH4" i="25"/>
  <c r="AZ4" i="25"/>
  <c r="AR4" i="25"/>
  <c r="AJ4" i="25"/>
  <c r="AB4" i="25"/>
  <c r="T4" i="25"/>
  <c r="I4" i="25"/>
  <c r="CV4" i="25"/>
  <c r="CE4" i="25"/>
  <c r="BF4" i="25"/>
  <c r="AH4" i="25"/>
  <c r="G4" i="25"/>
  <c r="DC4" i="25"/>
  <c r="BU4" i="25"/>
  <c r="AW4" i="25"/>
  <c r="Y4" i="25"/>
  <c r="DS4" i="25"/>
  <c r="DE4" i="25"/>
  <c r="CW4" i="25"/>
  <c r="CO4" i="25"/>
  <c r="CF4" i="25"/>
  <c r="BX4" i="25"/>
  <c r="BO4" i="25"/>
  <c r="BG4" i="25"/>
  <c r="AY4" i="25"/>
  <c r="AQ4" i="25"/>
  <c r="AI4" i="25"/>
  <c r="AA4" i="25"/>
  <c r="S4" i="25"/>
  <c r="H4" i="25"/>
  <c r="DQ4" i="25"/>
  <c r="CN4" i="25"/>
  <c r="BN4" i="25"/>
  <c r="AP4" i="25"/>
  <c r="Z4" i="25"/>
  <c r="DD4" i="25"/>
  <c r="BV4" i="25"/>
  <c r="AX4" i="25"/>
  <c r="O4" i="25"/>
  <c r="CU4" i="25"/>
  <c r="CD4" i="25"/>
  <c r="BM4" i="25"/>
  <c r="AO4" i="25"/>
  <c r="N4" i="25"/>
  <c r="AE4" i="25"/>
  <c r="BT4" i="25"/>
  <c r="CS4" i="25"/>
  <c r="DH8" i="25"/>
  <c r="CY8" i="25"/>
  <c r="CQ8" i="25"/>
  <c r="CH8" i="25"/>
  <c r="BZ8" i="25"/>
  <c r="BQ8" i="25"/>
  <c r="BI8" i="25"/>
  <c r="BA8" i="25"/>
  <c r="AS8" i="25"/>
  <c r="AK8" i="25"/>
  <c r="AC8" i="25"/>
  <c r="U8" i="25"/>
  <c r="J8" i="25"/>
  <c r="CU8" i="25"/>
  <c r="BU8" i="25"/>
  <c r="AO8" i="25"/>
  <c r="F8" i="25"/>
  <c r="DG8" i="25"/>
  <c r="CX8" i="25"/>
  <c r="CP8" i="25"/>
  <c r="CG8" i="25"/>
  <c r="BY8" i="25"/>
  <c r="BP8" i="25"/>
  <c r="BH8" i="25"/>
  <c r="AZ8" i="25"/>
  <c r="AR8" i="25"/>
  <c r="AJ8" i="25"/>
  <c r="AB8" i="25"/>
  <c r="T8" i="25"/>
  <c r="I8" i="25"/>
  <c r="DC8" i="25"/>
  <c r="CD8" i="25"/>
  <c r="BE8" i="25"/>
  <c r="AG8" i="25"/>
  <c r="N8" i="25"/>
  <c r="DS8" i="25"/>
  <c r="DE8" i="25"/>
  <c r="CW8" i="25"/>
  <c r="CO8" i="25"/>
  <c r="CF8" i="25"/>
  <c r="BX8" i="25"/>
  <c r="BO8" i="25"/>
  <c r="BG8" i="25"/>
  <c r="AY8" i="25"/>
  <c r="AQ8" i="25"/>
  <c r="AI8" i="25"/>
  <c r="AA8" i="25"/>
  <c r="S8" i="25"/>
  <c r="H8" i="25"/>
  <c r="DQ8" i="25"/>
  <c r="CV8" i="25"/>
  <c r="CN8" i="25"/>
  <c r="BV8" i="25"/>
  <c r="BF8" i="25"/>
  <c r="AX8" i="25"/>
  <c r="AH8" i="25"/>
  <c r="O8" i="25"/>
  <c r="DD8" i="25"/>
  <c r="CE8" i="25"/>
  <c r="BN8" i="25"/>
  <c r="AP8" i="25"/>
  <c r="Z8" i="25"/>
  <c r="G8" i="25"/>
  <c r="DO8" i="25"/>
  <c r="CM8" i="25"/>
  <c r="BM8" i="25"/>
  <c r="AW8" i="25"/>
  <c r="Y8" i="25"/>
  <c r="AE8" i="25"/>
  <c r="BT8" i="25"/>
  <c r="CS8" i="25"/>
  <c r="DH12" i="25"/>
  <c r="CY12" i="25"/>
  <c r="CQ12" i="25"/>
  <c r="CH12" i="25"/>
  <c r="BZ12" i="25"/>
  <c r="BQ12" i="25"/>
  <c r="BI12" i="25"/>
  <c r="BA12" i="25"/>
  <c r="AS12" i="25"/>
  <c r="AK12" i="25"/>
  <c r="AC12" i="25"/>
  <c r="U12" i="25"/>
  <c r="J12" i="25"/>
  <c r="CM12" i="25"/>
  <c r="BU12" i="25"/>
  <c r="AW12" i="25"/>
  <c r="N12" i="25"/>
  <c r="DG12" i="25"/>
  <c r="CX12" i="25"/>
  <c r="CP12" i="25"/>
  <c r="CG12" i="25"/>
  <c r="BY12" i="25"/>
  <c r="BP12" i="25"/>
  <c r="BH12" i="25"/>
  <c r="AZ12" i="25"/>
  <c r="AR12" i="25"/>
  <c r="AJ12" i="25"/>
  <c r="AB12" i="25"/>
  <c r="T12" i="25"/>
  <c r="I12" i="25"/>
  <c r="DC12" i="25"/>
  <c r="BE12" i="25"/>
  <c r="AG12" i="25"/>
  <c r="DS12" i="25"/>
  <c r="DE12" i="25"/>
  <c r="CW12" i="25"/>
  <c r="CO12" i="25"/>
  <c r="CF12" i="25"/>
  <c r="BX12" i="25"/>
  <c r="BO12" i="25"/>
  <c r="BG12" i="25"/>
  <c r="AY12" i="25"/>
  <c r="AQ12" i="25"/>
  <c r="AI12" i="25"/>
  <c r="AA12" i="25"/>
  <c r="S12" i="25"/>
  <c r="H12" i="25"/>
  <c r="DQ12" i="25"/>
  <c r="DD12" i="25"/>
  <c r="CV12" i="25"/>
  <c r="CN12" i="25"/>
  <c r="CE12" i="25"/>
  <c r="BV12" i="25"/>
  <c r="BN12" i="25"/>
  <c r="BF12" i="25"/>
  <c r="AX12" i="25"/>
  <c r="AP12" i="25"/>
  <c r="AH12" i="25"/>
  <c r="Z12" i="25"/>
  <c r="O12" i="25"/>
  <c r="G12" i="25"/>
  <c r="DO12" i="25"/>
  <c r="CU12" i="25"/>
  <c r="CD12" i="25"/>
  <c r="BM12" i="25"/>
  <c r="AO12" i="25"/>
  <c r="Y12" i="25"/>
  <c r="F12" i="25"/>
  <c r="BB12" i="25"/>
  <c r="BT12" i="25"/>
  <c r="K4" i="25"/>
  <c r="CA4" i="25"/>
  <c r="AF6" i="25"/>
  <c r="AF10" i="25"/>
  <c r="CA10" i="25"/>
  <c r="X4" i="25"/>
  <c r="AU4" i="25"/>
  <c r="BR4" i="25"/>
  <c r="CL4" i="25"/>
  <c r="DK4" i="25"/>
  <c r="X6" i="25"/>
  <c r="AU6" i="25"/>
  <c r="BR6" i="25"/>
  <c r="CL6" i="25"/>
  <c r="DK6" i="25"/>
  <c r="X8" i="25"/>
  <c r="AU8" i="25"/>
  <c r="BR8" i="25"/>
  <c r="CL8" i="25"/>
  <c r="DK8" i="25"/>
  <c r="X10" i="25"/>
  <c r="AU10" i="25"/>
  <c r="BR10" i="25"/>
  <c r="CL10" i="25"/>
  <c r="DK10" i="25"/>
  <c r="X12" i="25"/>
  <c r="AU12" i="25"/>
  <c r="BR12" i="25"/>
  <c r="CL12" i="25"/>
  <c r="DK12" i="25"/>
  <c r="F27" i="25"/>
  <c r="BV27" i="25"/>
  <c r="X15" i="25"/>
  <c r="AN15" i="25"/>
  <c r="BD15" i="25"/>
  <c r="BT15" i="25"/>
  <c r="CT15" i="25"/>
  <c r="DB15" i="25"/>
  <c r="M16" i="25"/>
  <c r="AN16" i="25"/>
  <c r="BL16" i="25"/>
  <c r="CL16" i="25"/>
  <c r="CT16" i="25"/>
  <c r="M17" i="25"/>
  <c r="AY17" i="25"/>
  <c r="CU17" i="25"/>
  <c r="F14" i="25"/>
  <c r="N14" i="25"/>
  <c r="AO14" i="25"/>
  <c r="BM14" i="25"/>
  <c r="CM14" i="25"/>
  <c r="DO14" i="25"/>
  <c r="N15" i="25"/>
  <c r="AO15" i="25"/>
  <c r="BM15" i="25"/>
  <c r="CM15" i="25"/>
  <c r="CU15" i="25"/>
  <c r="F16" i="25"/>
  <c r="Y16" i="25"/>
  <c r="AW16" i="25"/>
  <c r="BM16" i="25"/>
  <c r="CM16" i="25"/>
  <c r="DC16" i="25"/>
  <c r="F17" i="25"/>
  <c r="Y17" i="25"/>
  <c r="AQ17" i="25"/>
  <c r="AZ17" i="25"/>
  <c r="BR17" i="25"/>
  <c r="CM17" i="25"/>
  <c r="DH23" i="25"/>
  <c r="CY23" i="25"/>
  <c r="CQ23" i="25"/>
  <c r="CH23" i="25"/>
  <c r="BZ23" i="25"/>
  <c r="BQ23" i="25"/>
  <c r="BI23" i="25"/>
  <c r="BA23" i="25"/>
  <c r="AS23" i="25"/>
  <c r="AK23" i="25"/>
  <c r="AC23" i="25"/>
  <c r="U23" i="25"/>
  <c r="J23" i="25"/>
  <c r="DM23" i="25"/>
  <c r="DA23" i="25"/>
  <c r="CR23" i="25"/>
  <c r="CG23" i="25"/>
  <c r="BX23" i="25"/>
  <c r="BN23" i="25"/>
  <c r="BE23" i="25"/>
  <c r="AV23" i="25"/>
  <c r="AM23" i="25"/>
  <c r="AD23" i="25"/>
  <c r="T23" i="25"/>
  <c r="H23" i="25"/>
  <c r="BS23" i="25"/>
  <c r="AL25" i="25"/>
  <c r="BR25" i="25"/>
  <c r="DK25" i="25"/>
  <c r="DS30" i="25"/>
  <c r="DE30" i="25"/>
  <c r="CW30" i="25"/>
  <c r="CO30" i="25"/>
  <c r="CF30" i="25"/>
  <c r="BX30" i="25"/>
  <c r="BO30" i="25"/>
  <c r="BG30" i="25"/>
  <c r="AY30" i="25"/>
  <c r="AQ30" i="25"/>
  <c r="AI30" i="25"/>
  <c r="AA30" i="25"/>
  <c r="S30" i="25"/>
  <c r="H30" i="25"/>
  <c r="DD30" i="25"/>
  <c r="CU30" i="25"/>
  <c r="CL30" i="25"/>
  <c r="CB30" i="25"/>
  <c r="BR30" i="25"/>
  <c r="BI30" i="25"/>
  <c r="AZ30" i="25"/>
  <c r="AP30" i="25"/>
  <c r="AG30" i="25"/>
  <c r="X30" i="25"/>
  <c r="L30" i="25"/>
  <c r="DM30" i="25"/>
  <c r="DA30" i="25"/>
  <c r="CR30" i="25"/>
  <c r="CH30" i="25"/>
  <c r="BY30" i="25"/>
  <c r="BN30" i="25"/>
  <c r="BE30" i="25"/>
  <c r="AV30" i="25"/>
  <c r="AM30" i="25"/>
  <c r="AD30" i="25"/>
  <c r="U30" i="25"/>
  <c r="I30" i="25"/>
  <c r="DO30" i="25"/>
  <c r="CY30" i="25"/>
  <c r="CM30" i="25"/>
  <c r="BZ30" i="25"/>
  <c r="BL30" i="25"/>
  <c r="BA30" i="25"/>
  <c r="AN30" i="25"/>
  <c r="AB30" i="25"/>
  <c r="M30" i="25"/>
  <c r="DK30" i="25"/>
  <c r="CX30" i="25"/>
  <c r="CK30" i="25"/>
  <c r="BV30" i="25"/>
  <c r="BK30" i="25"/>
  <c r="AX30" i="25"/>
  <c r="AL30" i="25"/>
  <c r="Z30" i="25"/>
  <c r="K30" i="25"/>
  <c r="DI30" i="25"/>
  <c r="CV30" i="25"/>
  <c r="CI30" i="25"/>
  <c r="BU30" i="25"/>
  <c r="BJ30" i="25"/>
  <c r="AW30" i="25"/>
  <c r="AK30" i="25"/>
  <c r="Y30" i="25"/>
  <c r="J30" i="25"/>
  <c r="DY30" i="25"/>
  <c r="DH30" i="25"/>
  <c r="CT30" i="25"/>
  <c r="CG30" i="25"/>
  <c r="BT30" i="25"/>
  <c r="BH30" i="25"/>
  <c r="AU30" i="25"/>
  <c r="AJ30" i="25"/>
  <c r="W30" i="25"/>
  <c r="G30" i="25"/>
  <c r="BD30" i="25"/>
  <c r="DC30" i="25"/>
  <c r="G14" i="25"/>
  <c r="O14" i="25"/>
  <c r="Z14" i="25"/>
  <c r="AH14" i="25"/>
  <c r="AP14" i="25"/>
  <c r="AX14" i="25"/>
  <c r="BF14" i="25"/>
  <c r="BN14" i="25"/>
  <c r="BV14" i="25"/>
  <c r="CE14" i="25"/>
  <c r="CN14" i="25"/>
  <c r="CV14" i="25"/>
  <c r="DD14" i="25"/>
  <c r="DQ14" i="25"/>
  <c r="G15" i="25"/>
  <c r="O15" i="25"/>
  <c r="Z15" i="25"/>
  <c r="AH15" i="25"/>
  <c r="AP15" i="25"/>
  <c r="AX15" i="25"/>
  <c r="BF15" i="25"/>
  <c r="BN15" i="25"/>
  <c r="BV15" i="25"/>
  <c r="CE15" i="25"/>
  <c r="CN15" i="25"/>
  <c r="CV15" i="25"/>
  <c r="DD15" i="25"/>
  <c r="DQ15" i="25"/>
  <c r="G16" i="25"/>
  <c r="O16" i="25"/>
  <c r="Z16" i="25"/>
  <c r="AH16" i="25"/>
  <c r="AP16" i="25"/>
  <c r="AX16" i="25"/>
  <c r="BF16" i="25"/>
  <c r="BN16" i="25"/>
  <c r="BV16" i="25"/>
  <c r="CE16" i="25"/>
  <c r="CN16" i="25"/>
  <c r="CV16" i="25"/>
  <c r="DD16" i="25"/>
  <c r="DQ16" i="25"/>
  <c r="G17" i="25"/>
  <c r="O17" i="25"/>
  <c r="Z17" i="25"/>
  <c r="AI17" i="25"/>
  <c r="AR17" i="25"/>
  <c r="BA17" i="25"/>
  <c r="BJ17" i="25"/>
  <c r="BS17" i="25"/>
  <c r="CD17" i="25"/>
  <c r="CN17" i="25"/>
  <c r="CW17" i="25"/>
  <c r="F23" i="25"/>
  <c r="S23" i="25"/>
  <c r="AE23" i="25"/>
  <c r="AO23" i="25"/>
  <c r="AY23" i="25"/>
  <c r="BJ23" i="25"/>
  <c r="BT23" i="25"/>
  <c r="CE23" i="25"/>
  <c r="CP23" i="25"/>
  <c r="DB23" i="25"/>
  <c r="DQ23" i="25"/>
  <c r="G25" i="25"/>
  <c r="Z25" i="25"/>
  <c r="AP25" i="25"/>
  <c r="BC25" i="25"/>
  <c r="BS25" i="25"/>
  <c r="CF25" i="25"/>
  <c r="CW25" i="25"/>
  <c r="DS25" i="25"/>
  <c r="F30" i="25"/>
  <c r="AH30" i="25"/>
  <c r="BF30" i="25"/>
  <c r="CE30" i="25"/>
  <c r="DG30" i="25"/>
  <c r="AP35" i="25"/>
  <c r="CF35" i="25"/>
  <c r="M14" i="25"/>
  <c r="AN14" i="25"/>
  <c r="BL14" i="25"/>
  <c r="CC14" i="25"/>
  <c r="DB14" i="25"/>
  <c r="M15" i="25"/>
  <c r="CC15" i="25"/>
  <c r="DM17" i="25"/>
  <c r="DB17" i="25"/>
  <c r="CT17" i="25"/>
  <c r="CL17" i="25"/>
  <c r="CC17" i="25"/>
  <c r="BT17" i="25"/>
  <c r="BL17" i="25"/>
  <c r="BD17" i="25"/>
  <c r="AV17" i="25"/>
  <c r="AN17" i="25"/>
  <c r="AF17" i="25"/>
  <c r="X17" i="25"/>
  <c r="AG17" i="25"/>
  <c r="BQ17" i="25"/>
  <c r="CA17" i="25"/>
  <c r="CK17" i="25"/>
  <c r="DD17" i="25"/>
  <c r="DS17" i="25"/>
  <c r="AJ25" i="25"/>
  <c r="CU25" i="25"/>
  <c r="AB23" i="25"/>
  <c r="AN23" i="25"/>
  <c r="BH23" i="25"/>
  <c r="CD23" i="25"/>
  <c r="CZ23" i="25"/>
  <c r="DO23" i="25"/>
  <c r="F25" i="25"/>
  <c r="BB25" i="25"/>
  <c r="CV25" i="25"/>
  <c r="H14" i="25"/>
  <c r="S14" i="25"/>
  <c r="AA14" i="25"/>
  <c r="AI14" i="25"/>
  <c r="AQ14" i="25"/>
  <c r="AY14" i="25"/>
  <c r="BG14" i="25"/>
  <c r="BO14" i="25"/>
  <c r="BX14" i="25"/>
  <c r="CF14" i="25"/>
  <c r="CO14" i="25"/>
  <c r="CW14" i="25"/>
  <c r="DE14" i="25"/>
  <c r="DS14" i="25"/>
  <c r="H15" i="25"/>
  <c r="S15" i="25"/>
  <c r="AA15" i="25"/>
  <c r="AI15" i="25"/>
  <c r="AQ15" i="25"/>
  <c r="AY15" i="25"/>
  <c r="BG15" i="25"/>
  <c r="BO15" i="25"/>
  <c r="BX15" i="25"/>
  <c r="CF15" i="25"/>
  <c r="CO15" i="25"/>
  <c r="CW15" i="25"/>
  <c r="DE15" i="25"/>
  <c r="DS15" i="25"/>
  <c r="H16" i="25"/>
  <c r="S16" i="25"/>
  <c r="AA16" i="25"/>
  <c r="AI16" i="25"/>
  <c r="AQ16" i="25"/>
  <c r="AY16" i="25"/>
  <c r="BG16" i="25"/>
  <c r="BO16" i="25"/>
  <c r="BX16" i="25"/>
  <c r="CF16" i="25"/>
  <c r="CO16" i="25"/>
  <c r="CW16" i="25"/>
  <c r="DE16" i="25"/>
  <c r="DS16" i="25"/>
  <c r="H17" i="25"/>
  <c r="S17" i="25"/>
  <c r="AA17" i="25"/>
  <c r="AJ17" i="25"/>
  <c r="AS17" i="25"/>
  <c r="BB17" i="25"/>
  <c r="BK17" i="25"/>
  <c r="BU17" i="25"/>
  <c r="CE17" i="25"/>
  <c r="CO17" i="25"/>
  <c r="CX17" i="25"/>
  <c r="DH17" i="25"/>
  <c r="G23" i="25"/>
  <c r="V23" i="25"/>
  <c r="AF23" i="25"/>
  <c r="AP23" i="25"/>
  <c r="AZ23" i="25"/>
  <c r="BK23" i="25"/>
  <c r="BU23" i="25"/>
  <c r="CF23" i="25"/>
  <c r="CS23" i="25"/>
  <c r="DC23" i="25"/>
  <c r="DS23" i="25"/>
  <c r="L25" i="25"/>
  <c r="AA25" i="25"/>
  <c r="AQ25" i="25"/>
  <c r="BD25" i="25"/>
  <c r="BT25" i="25"/>
  <c r="CL25" i="25"/>
  <c r="N30" i="25"/>
  <c r="AO30" i="25"/>
  <c r="BM30" i="25"/>
  <c r="CN30" i="25"/>
  <c r="DQ30" i="25"/>
  <c r="AQ35" i="25"/>
  <c r="CG35" i="25"/>
  <c r="X14" i="25"/>
  <c r="CL14" i="25"/>
  <c r="AF16" i="25"/>
  <c r="BD16" i="25"/>
  <c r="CC16" i="25"/>
  <c r="DB16" i="25"/>
  <c r="AP17" i="25"/>
  <c r="DH25" i="25"/>
  <c r="CY25" i="25"/>
  <c r="CQ25" i="25"/>
  <c r="CH25" i="25"/>
  <c r="BZ25" i="25"/>
  <c r="BQ25" i="25"/>
  <c r="BI25" i="25"/>
  <c r="BA25" i="25"/>
  <c r="AS25" i="25"/>
  <c r="AK25" i="25"/>
  <c r="AC25" i="25"/>
  <c r="U25" i="25"/>
  <c r="J25" i="25"/>
  <c r="DQ25" i="25"/>
  <c r="DC25" i="25"/>
  <c r="CT25" i="25"/>
  <c r="CK25" i="25"/>
  <c r="CA25" i="25"/>
  <c r="BP25" i="25"/>
  <c r="BG25" i="25"/>
  <c r="AX25" i="25"/>
  <c r="AO25" i="25"/>
  <c r="AF25" i="25"/>
  <c r="W25" i="25"/>
  <c r="K25" i="25"/>
  <c r="DO25" i="25"/>
  <c r="DB25" i="25"/>
  <c r="CS25" i="25"/>
  <c r="CI25" i="25"/>
  <c r="BY25" i="25"/>
  <c r="BO25" i="25"/>
  <c r="BF25" i="25"/>
  <c r="AW25" i="25"/>
  <c r="AN25" i="25"/>
  <c r="AE25" i="25"/>
  <c r="V25" i="25"/>
  <c r="I25" i="25"/>
  <c r="DM25" i="25"/>
  <c r="DA25" i="25"/>
  <c r="CR25" i="25"/>
  <c r="CG25" i="25"/>
  <c r="BX25" i="25"/>
  <c r="BN25" i="25"/>
  <c r="BE25" i="25"/>
  <c r="AV25" i="25"/>
  <c r="AM25" i="25"/>
  <c r="AD25" i="25"/>
  <c r="T25" i="25"/>
  <c r="H25" i="25"/>
  <c r="AZ25" i="25"/>
  <c r="CD25" i="25"/>
  <c r="Y14" i="25"/>
  <c r="AW14" i="25"/>
  <c r="BU14" i="25"/>
  <c r="CU14" i="25"/>
  <c r="F15" i="25"/>
  <c r="AG15" i="25"/>
  <c r="BE15" i="25"/>
  <c r="CD15" i="25"/>
  <c r="DC15" i="25"/>
  <c r="N16" i="25"/>
  <c r="AG16" i="25"/>
  <c r="AO16" i="25"/>
  <c r="BE16" i="25"/>
  <c r="CD16" i="25"/>
  <c r="CU16" i="25"/>
  <c r="DO16" i="25"/>
  <c r="N17" i="25"/>
  <c r="AH17" i="25"/>
  <c r="BI17" i="25"/>
  <c r="CB17" i="25"/>
  <c r="CV17" i="25"/>
  <c r="Y25" i="25"/>
  <c r="CE25" i="25"/>
  <c r="AF30" i="25"/>
  <c r="CD30" i="25"/>
  <c r="I14" i="25"/>
  <c r="T14" i="25"/>
  <c r="AB14" i="25"/>
  <c r="AJ14" i="25"/>
  <c r="AR14" i="25"/>
  <c r="AZ14" i="25"/>
  <c r="BH14" i="25"/>
  <c r="BP14" i="25"/>
  <c r="BY14" i="25"/>
  <c r="CG14" i="25"/>
  <c r="CP14" i="25"/>
  <c r="CX14" i="25"/>
  <c r="DG14" i="25"/>
  <c r="I15" i="25"/>
  <c r="T15" i="25"/>
  <c r="AB15" i="25"/>
  <c r="AJ15" i="25"/>
  <c r="AR15" i="25"/>
  <c r="AZ15" i="25"/>
  <c r="BH15" i="25"/>
  <c r="BP15" i="25"/>
  <c r="BY15" i="25"/>
  <c r="CG15" i="25"/>
  <c r="CP15" i="25"/>
  <c r="CX15" i="25"/>
  <c r="DG15" i="25"/>
  <c r="I16" i="25"/>
  <c r="T16" i="25"/>
  <c r="AB16" i="25"/>
  <c r="AJ16" i="25"/>
  <c r="AR16" i="25"/>
  <c r="AZ16" i="25"/>
  <c r="BH16" i="25"/>
  <c r="BP16" i="25"/>
  <c r="BY16" i="25"/>
  <c r="CG16" i="25"/>
  <c r="CP16" i="25"/>
  <c r="CX16" i="25"/>
  <c r="DG16" i="25"/>
  <c r="I17" i="25"/>
  <c r="T17" i="25"/>
  <c r="AB17" i="25"/>
  <c r="AK17" i="25"/>
  <c r="AT17" i="25"/>
  <c r="BC17" i="25"/>
  <c r="BM17" i="25"/>
  <c r="BV17" i="25"/>
  <c r="CF17" i="25"/>
  <c r="CP17" i="25"/>
  <c r="CY17" i="25"/>
  <c r="DI17" i="25"/>
  <c r="DY17" i="25"/>
  <c r="I23" i="25"/>
  <c r="W23" i="25"/>
  <c r="AG23" i="25"/>
  <c r="AQ23" i="25"/>
  <c r="BB23" i="25"/>
  <c r="BL23" i="25"/>
  <c r="BV23" i="25"/>
  <c r="CI23" i="25"/>
  <c r="CT23" i="25"/>
  <c r="DD23" i="25"/>
  <c r="M25" i="25"/>
  <c r="AB25" i="25"/>
  <c r="AR25" i="25"/>
  <c r="BH25" i="25"/>
  <c r="BU25" i="25"/>
  <c r="CM25" i="25"/>
  <c r="CZ25" i="25"/>
  <c r="O30" i="25"/>
  <c r="AR30" i="25"/>
  <c r="BP30" i="25"/>
  <c r="CP30" i="25"/>
  <c r="AV35" i="25"/>
  <c r="AF14" i="25"/>
  <c r="AV14" i="25"/>
  <c r="BD14" i="25"/>
  <c r="BT14" i="25"/>
  <c r="CT14" i="25"/>
  <c r="DM14" i="25"/>
  <c r="AF15" i="25"/>
  <c r="AV15" i="25"/>
  <c r="BL15" i="25"/>
  <c r="CL15" i="25"/>
  <c r="DM15" i="25"/>
  <c r="X16" i="25"/>
  <c r="AV16" i="25"/>
  <c r="BT16" i="25"/>
  <c r="DM16" i="25"/>
  <c r="BH17" i="25"/>
  <c r="X25" i="25"/>
  <c r="BM25" i="25"/>
  <c r="DI25" i="25"/>
  <c r="AG14" i="25"/>
  <c r="BE14" i="25"/>
  <c r="CD14" i="25"/>
  <c r="DC14" i="25"/>
  <c r="Y15" i="25"/>
  <c r="AW15" i="25"/>
  <c r="BU15" i="25"/>
  <c r="DO15" i="25"/>
  <c r="BU16" i="25"/>
  <c r="DE17" i="25"/>
  <c r="O23" i="25"/>
  <c r="AX23" i="25"/>
  <c r="CO23" i="25"/>
  <c r="J14" i="25"/>
  <c r="U14" i="25"/>
  <c r="AC14" i="25"/>
  <c r="AK14" i="25"/>
  <c r="AS14" i="25"/>
  <c r="BA14" i="25"/>
  <c r="BI14" i="25"/>
  <c r="BQ14" i="25"/>
  <c r="BZ14" i="25"/>
  <c r="CH14" i="25"/>
  <c r="CQ14" i="25"/>
  <c r="CY14" i="25"/>
  <c r="J15" i="25"/>
  <c r="U15" i="25"/>
  <c r="AC15" i="25"/>
  <c r="AK15" i="25"/>
  <c r="AS15" i="25"/>
  <c r="BA15" i="25"/>
  <c r="BI15" i="25"/>
  <c r="BQ15" i="25"/>
  <c r="BZ15" i="25"/>
  <c r="CH15" i="25"/>
  <c r="CQ15" i="25"/>
  <c r="CY15" i="25"/>
  <c r="J16" i="25"/>
  <c r="U16" i="25"/>
  <c r="AC16" i="25"/>
  <c r="AK16" i="25"/>
  <c r="AS16" i="25"/>
  <c r="BA16" i="25"/>
  <c r="BI16" i="25"/>
  <c r="BQ16" i="25"/>
  <c r="BZ16" i="25"/>
  <c r="CH16" i="25"/>
  <c r="CQ16" i="25"/>
  <c r="CY16" i="25"/>
  <c r="J17" i="25"/>
  <c r="U17" i="25"/>
  <c r="AC17" i="25"/>
  <c r="AL17" i="25"/>
  <c r="AU17" i="25"/>
  <c r="BE17" i="25"/>
  <c r="BN17" i="25"/>
  <c r="BX17" i="25"/>
  <c r="CG17" i="25"/>
  <c r="CQ17" i="25"/>
  <c r="CZ17" i="25"/>
  <c r="DK17" i="25"/>
  <c r="K23" i="25"/>
  <c r="X23" i="25"/>
  <c r="AH23" i="25"/>
  <c r="AR23" i="25"/>
  <c r="BC23" i="25"/>
  <c r="BM23" i="25"/>
  <c r="BY23" i="25"/>
  <c r="CK23" i="25"/>
  <c r="CU23" i="25"/>
  <c r="DE23" i="25"/>
  <c r="N25" i="25"/>
  <c r="AG25" i="25"/>
  <c r="AT25" i="25"/>
  <c r="BJ25" i="25"/>
  <c r="BV25" i="25"/>
  <c r="CN25" i="25"/>
  <c r="DD25" i="25"/>
  <c r="T30" i="25"/>
  <c r="AS30" i="25"/>
  <c r="BQ30" i="25"/>
  <c r="CQ30" i="25"/>
  <c r="DO35" i="25"/>
  <c r="DC35" i="25"/>
  <c r="CU35" i="25"/>
  <c r="CM35" i="25"/>
  <c r="CD35" i="25"/>
  <c r="BU35" i="25"/>
  <c r="BM35" i="25"/>
  <c r="BE35" i="25"/>
  <c r="AW35" i="25"/>
  <c r="AO35" i="25"/>
  <c r="AG35" i="25"/>
  <c r="Y35" i="25"/>
  <c r="N35" i="25"/>
  <c r="F35" i="25"/>
  <c r="DQ35" i="25"/>
  <c r="DB35" i="25"/>
  <c r="CS35" i="25"/>
  <c r="CI35" i="25"/>
  <c r="BZ35" i="25"/>
  <c r="BP35" i="25"/>
  <c r="BG35" i="25"/>
  <c r="AX35" i="25"/>
  <c r="AN35" i="25"/>
  <c r="AE35" i="25"/>
  <c r="V35" i="25"/>
  <c r="J35" i="25"/>
  <c r="DI35" i="25"/>
  <c r="CX35" i="25"/>
  <c r="CN35" i="25"/>
  <c r="CB35" i="25"/>
  <c r="BQ35" i="25"/>
  <c r="BF35" i="25"/>
  <c r="AU35" i="25"/>
  <c r="AK35" i="25"/>
  <c r="AA35" i="25"/>
  <c r="M35" i="25"/>
  <c r="DY35" i="25"/>
  <c r="DH35" i="25"/>
  <c r="CW35" i="25"/>
  <c r="CL35" i="25"/>
  <c r="CA35" i="25"/>
  <c r="BO35" i="25"/>
  <c r="BD35" i="25"/>
  <c r="AT35" i="25"/>
  <c r="AJ35" i="25"/>
  <c r="Z35" i="25"/>
  <c r="L35" i="25"/>
  <c r="DG35" i="25"/>
  <c r="CV35" i="25"/>
  <c r="CK35" i="25"/>
  <c r="BY35" i="25"/>
  <c r="BN35" i="25"/>
  <c r="BC35" i="25"/>
  <c r="AS35" i="25"/>
  <c r="AI35" i="25"/>
  <c r="X35" i="25"/>
  <c r="K35" i="25"/>
  <c r="DE35" i="25"/>
  <c r="CT35" i="25"/>
  <c r="CH35" i="25"/>
  <c r="BX35" i="25"/>
  <c r="BL35" i="25"/>
  <c r="BB35" i="25"/>
  <c r="AR35" i="25"/>
  <c r="AH35" i="25"/>
  <c r="W35" i="25"/>
  <c r="I35" i="25"/>
  <c r="CZ35" i="25"/>
  <c r="CE35" i="25"/>
  <c r="BI35" i="25"/>
  <c r="AM35" i="25"/>
  <c r="S35" i="25"/>
  <c r="CY35" i="25"/>
  <c r="CC35" i="25"/>
  <c r="BH35" i="25"/>
  <c r="AL35" i="25"/>
  <c r="O35" i="25"/>
  <c r="CR35" i="25"/>
  <c r="BV35" i="25"/>
  <c r="BA35" i="25"/>
  <c r="AF35" i="25"/>
  <c r="H35" i="25"/>
  <c r="DS35" i="25"/>
  <c r="CQ35" i="25"/>
  <c r="BT35" i="25"/>
  <c r="AZ35" i="25"/>
  <c r="AD35" i="25"/>
  <c r="G35" i="25"/>
  <c r="AY35" i="25"/>
  <c r="CP35" i="25"/>
  <c r="CE41" i="25"/>
  <c r="DH26" i="25"/>
  <c r="CY26" i="25"/>
  <c r="CQ26" i="25"/>
  <c r="CH26" i="25"/>
  <c r="BZ26" i="25"/>
  <c r="BQ26" i="25"/>
  <c r="BI26" i="25"/>
  <c r="BA26" i="25"/>
  <c r="AS26" i="25"/>
  <c r="AK26" i="25"/>
  <c r="AC26" i="25"/>
  <c r="U26" i="25"/>
  <c r="J26" i="25"/>
  <c r="N26" i="25"/>
  <c r="Z26" i="25"/>
  <c r="AI26" i="25"/>
  <c r="AR26" i="25"/>
  <c r="BB26" i="25"/>
  <c r="BK26" i="25"/>
  <c r="BT26" i="25"/>
  <c r="CD26" i="25"/>
  <c r="CN26" i="25"/>
  <c r="CW26" i="25"/>
  <c r="DG26" i="25"/>
  <c r="DS31" i="25"/>
  <c r="DE31" i="25"/>
  <c r="CW31" i="25"/>
  <c r="CO31" i="25"/>
  <c r="CF31" i="25"/>
  <c r="BX31" i="25"/>
  <c r="BO31" i="25"/>
  <c r="BG31" i="25"/>
  <c r="AY31" i="25"/>
  <c r="AQ31" i="25"/>
  <c r="AI31" i="25"/>
  <c r="AA31" i="25"/>
  <c r="S31" i="25"/>
  <c r="H31" i="25"/>
  <c r="DO31" i="25"/>
  <c r="DB31" i="25"/>
  <c r="CS31" i="25"/>
  <c r="CI31" i="25"/>
  <c r="BZ31" i="25"/>
  <c r="BP31" i="25"/>
  <c r="BF31" i="25"/>
  <c r="AW31" i="25"/>
  <c r="AN31" i="25"/>
  <c r="AE31" i="25"/>
  <c r="V31" i="25"/>
  <c r="J31" i="25"/>
  <c r="DM31" i="25"/>
  <c r="DA31" i="25"/>
  <c r="CR31" i="25"/>
  <c r="CH31" i="25"/>
  <c r="BY31" i="25"/>
  <c r="BN31" i="25"/>
  <c r="BE31" i="25"/>
  <c r="AV31" i="25"/>
  <c r="AM31" i="25"/>
  <c r="AD31" i="25"/>
  <c r="U31" i="25"/>
  <c r="DY31" i="25"/>
  <c r="DI31" i="25"/>
  <c r="CY31" i="25"/>
  <c r="CP31" i="25"/>
  <c r="CE31" i="25"/>
  <c r="BU31" i="25"/>
  <c r="BL31" i="25"/>
  <c r="BC31" i="25"/>
  <c r="AT31" i="25"/>
  <c r="AK31" i="25"/>
  <c r="AB31" i="25"/>
  <c r="O31" i="25"/>
  <c r="F31" i="25"/>
  <c r="W31" i="25"/>
  <c r="AJ31" i="25"/>
  <c r="AZ31" i="25"/>
  <c r="BM31" i="25"/>
  <c r="CC31" i="25"/>
  <c r="CT31" i="25"/>
  <c r="DH31" i="25"/>
  <c r="DO34" i="25"/>
  <c r="DC34" i="25"/>
  <c r="CU34" i="25"/>
  <c r="CM34" i="25"/>
  <c r="CD34" i="25"/>
  <c r="BU34" i="25"/>
  <c r="BM34" i="25"/>
  <c r="BE34" i="25"/>
  <c r="AW34" i="25"/>
  <c r="AO34" i="25"/>
  <c r="AG34" i="25"/>
  <c r="Y34" i="25"/>
  <c r="N34" i="25"/>
  <c r="F34" i="25"/>
  <c r="DE34" i="25"/>
  <c r="CV34" i="25"/>
  <c r="CL34" i="25"/>
  <c r="CB34" i="25"/>
  <c r="BR34" i="25"/>
  <c r="BI34" i="25"/>
  <c r="AZ34" i="25"/>
  <c r="AQ34" i="25"/>
  <c r="AH34" i="25"/>
  <c r="X34" i="25"/>
  <c r="L34" i="25"/>
  <c r="DH34" i="25"/>
  <c r="CW34" i="25"/>
  <c r="CK34" i="25"/>
  <c r="BZ34" i="25"/>
  <c r="BO34" i="25"/>
  <c r="BD34" i="25"/>
  <c r="AT34" i="25"/>
  <c r="AJ34" i="25"/>
  <c r="Z34" i="25"/>
  <c r="K34" i="25"/>
  <c r="DG34" i="25"/>
  <c r="CT34" i="25"/>
  <c r="CI34" i="25"/>
  <c r="BY34" i="25"/>
  <c r="BN34" i="25"/>
  <c r="BC34" i="25"/>
  <c r="AS34" i="25"/>
  <c r="AI34" i="25"/>
  <c r="W34" i="25"/>
  <c r="J34" i="25"/>
  <c r="DD34" i="25"/>
  <c r="CS34" i="25"/>
  <c r="CH34" i="25"/>
  <c r="BX34" i="25"/>
  <c r="BL34" i="25"/>
  <c r="BB34" i="25"/>
  <c r="AR34" i="25"/>
  <c r="AF34" i="25"/>
  <c r="V34" i="25"/>
  <c r="I34" i="25"/>
  <c r="DS34" i="25"/>
  <c r="DB34" i="25"/>
  <c r="CR34" i="25"/>
  <c r="CG34" i="25"/>
  <c r="BV34" i="25"/>
  <c r="BK34" i="25"/>
  <c r="BA34" i="25"/>
  <c r="AP34" i="25"/>
  <c r="AE34" i="25"/>
  <c r="U34" i="25"/>
  <c r="H34" i="25"/>
  <c r="AC34" i="25"/>
  <c r="AX34" i="25"/>
  <c r="BS34" i="25"/>
  <c r="CP34" i="25"/>
  <c r="DM34" i="25"/>
  <c r="AH41" i="25"/>
  <c r="CF41" i="25"/>
  <c r="F26" i="25"/>
  <c r="O26" i="25"/>
  <c r="AA26" i="25"/>
  <c r="AJ26" i="25"/>
  <c r="AT26" i="25"/>
  <c r="BC26" i="25"/>
  <c r="BL26" i="25"/>
  <c r="BU26" i="25"/>
  <c r="CE26" i="25"/>
  <c r="CO26" i="25"/>
  <c r="CX26" i="25"/>
  <c r="DI26" i="25"/>
  <c r="G31" i="25"/>
  <c r="X31" i="25"/>
  <c r="AL31" i="25"/>
  <c r="BA31" i="25"/>
  <c r="BQ31" i="25"/>
  <c r="CD31" i="25"/>
  <c r="CU31" i="25"/>
  <c r="DK31" i="25"/>
  <c r="G34" i="25"/>
  <c r="AD34" i="25"/>
  <c r="AY34" i="25"/>
  <c r="BT34" i="25"/>
  <c r="CQ34" i="25"/>
  <c r="DQ34" i="25"/>
  <c r="AI41" i="25"/>
  <c r="M18" i="25"/>
  <c r="X18" i="25"/>
  <c r="AF18" i="25"/>
  <c r="AN18" i="25"/>
  <c r="AV18" i="25"/>
  <c r="BD18" i="25"/>
  <c r="BL18" i="25"/>
  <c r="BT18" i="25"/>
  <c r="CC18" i="25"/>
  <c r="CL18" i="25"/>
  <c r="CT18" i="25"/>
  <c r="DB18" i="25"/>
  <c r="M19" i="25"/>
  <c r="X19" i="25"/>
  <c r="AF19" i="25"/>
  <c r="AN19" i="25"/>
  <c r="AV19" i="25"/>
  <c r="BD19" i="25"/>
  <c r="BL19" i="25"/>
  <c r="BT19" i="25"/>
  <c r="CC19" i="25"/>
  <c r="CL19" i="25"/>
  <c r="CT19" i="25"/>
  <c r="DB19" i="25"/>
  <c r="M20" i="25"/>
  <c r="X20" i="25"/>
  <c r="AF20" i="25"/>
  <c r="AN20" i="25"/>
  <c r="AV20" i="25"/>
  <c r="BD20" i="25"/>
  <c r="BL20" i="25"/>
  <c r="BT20" i="25"/>
  <c r="CC20" i="25"/>
  <c r="CL20" i="25"/>
  <c r="CT20" i="25"/>
  <c r="DB20" i="25"/>
  <c r="M21" i="25"/>
  <c r="X21" i="25"/>
  <c r="AF21" i="25"/>
  <c r="AN21" i="25"/>
  <c r="AV21" i="25"/>
  <c r="BD21" i="25"/>
  <c r="BL21" i="25"/>
  <c r="BT21" i="25"/>
  <c r="CC21" i="25"/>
  <c r="CL21" i="25"/>
  <c r="CT21" i="25"/>
  <c r="DB21" i="25"/>
  <c r="DH22" i="25"/>
  <c r="CY22" i="25"/>
  <c r="CQ22" i="25"/>
  <c r="M22" i="25"/>
  <c r="X22" i="25"/>
  <c r="AF22" i="25"/>
  <c r="AN22" i="25"/>
  <c r="AV22" i="25"/>
  <c r="BD22" i="25"/>
  <c r="BL22" i="25"/>
  <c r="BT22" i="25"/>
  <c r="CC22" i="25"/>
  <c r="CL22" i="25"/>
  <c r="CU22" i="25"/>
  <c r="DD22" i="25"/>
  <c r="DS22" i="25"/>
  <c r="DH24" i="25"/>
  <c r="CY24" i="25"/>
  <c r="CQ24" i="25"/>
  <c r="CH24" i="25"/>
  <c r="BZ24" i="25"/>
  <c r="BQ24" i="25"/>
  <c r="BI24" i="25"/>
  <c r="BA24" i="25"/>
  <c r="AS24" i="25"/>
  <c r="AK24" i="25"/>
  <c r="AC24" i="25"/>
  <c r="U24" i="25"/>
  <c r="J24" i="25"/>
  <c r="N24" i="25"/>
  <c r="Z24" i="25"/>
  <c r="AI24" i="25"/>
  <c r="AR24" i="25"/>
  <c r="BB24" i="25"/>
  <c r="BK24" i="25"/>
  <c r="BT24" i="25"/>
  <c r="CD24" i="25"/>
  <c r="CN24" i="25"/>
  <c r="CW24" i="25"/>
  <c r="DG24" i="25"/>
  <c r="G26" i="25"/>
  <c r="S26" i="25"/>
  <c r="AB26" i="25"/>
  <c r="AL26" i="25"/>
  <c r="AU26" i="25"/>
  <c r="BD26" i="25"/>
  <c r="BM26" i="25"/>
  <c r="BV26" i="25"/>
  <c r="CF26" i="25"/>
  <c r="CP26" i="25"/>
  <c r="CZ26" i="25"/>
  <c r="DK26" i="25"/>
  <c r="DY26" i="25"/>
  <c r="I31" i="25"/>
  <c r="Y31" i="25"/>
  <c r="AO31" i="25"/>
  <c r="BB31" i="25"/>
  <c r="BR31" i="25"/>
  <c r="CG31" i="25"/>
  <c r="CV31" i="25"/>
  <c r="DQ31" i="25"/>
  <c r="M34" i="25"/>
  <c r="AK34" i="25"/>
  <c r="BF34" i="25"/>
  <c r="CA34" i="25"/>
  <c r="CX34" i="25"/>
  <c r="DH41" i="25"/>
  <c r="CY41" i="25"/>
  <c r="CQ41" i="25"/>
  <c r="CH41" i="25"/>
  <c r="BZ41" i="25"/>
  <c r="BQ41" i="25"/>
  <c r="BI41" i="25"/>
  <c r="BA41" i="25"/>
  <c r="AS41" i="25"/>
  <c r="AK41" i="25"/>
  <c r="AC41" i="25"/>
  <c r="U41" i="25"/>
  <c r="J41" i="25"/>
  <c r="DG41" i="25"/>
  <c r="CX41" i="25"/>
  <c r="CP41" i="25"/>
  <c r="CG41" i="25"/>
  <c r="BY41" i="25"/>
  <c r="BP41" i="25"/>
  <c r="BH41" i="25"/>
  <c r="AZ41" i="25"/>
  <c r="AR41" i="25"/>
  <c r="AJ41" i="25"/>
  <c r="AB41" i="25"/>
  <c r="T41" i="25"/>
  <c r="I41" i="25"/>
  <c r="DM41" i="25"/>
  <c r="CZ41" i="25"/>
  <c r="CN41" i="25"/>
  <c r="CC41" i="25"/>
  <c r="BR41" i="25"/>
  <c r="BF41" i="25"/>
  <c r="AV41" i="25"/>
  <c r="AL41" i="25"/>
  <c r="Z41" i="25"/>
  <c r="M41" i="25"/>
  <c r="DS41" i="25"/>
  <c r="DB41" i="25"/>
  <c r="CO41" i="25"/>
  <c r="CB41" i="25"/>
  <c r="BN41" i="25"/>
  <c r="BC41" i="25"/>
  <c r="AP41" i="25"/>
  <c r="AE41" i="25"/>
  <c r="O41" i="25"/>
  <c r="DQ41" i="25"/>
  <c r="DA41" i="25"/>
  <c r="CM41" i="25"/>
  <c r="CA41" i="25"/>
  <c r="BM41" i="25"/>
  <c r="BB41" i="25"/>
  <c r="AO41" i="25"/>
  <c r="AD41" i="25"/>
  <c r="N41" i="25"/>
  <c r="DO41" i="25"/>
  <c r="CW41" i="25"/>
  <c r="CL41" i="25"/>
  <c r="BX41" i="25"/>
  <c r="BL41" i="25"/>
  <c r="AY41" i="25"/>
  <c r="AN41" i="25"/>
  <c r="AA41" i="25"/>
  <c r="L41" i="25"/>
  <c r="DK41" i="25"/>
  <c r="CV41" i="25"/>
  <c r="CK41" i="25"/>
  <c r="BV41" i="25"/>
  <c r="BK41" i="25"/>
  <c r="AX41" i="25"/>
  <c r="AM41" i="25"/>
  <c r="Y41" i="25"/>
  <c r="K41" i="25"/>
  <c r="DY41" i="25"/>
  <c r="CU41" i="25"/>
  <c r="BU41" i="25"/>
  <c r="AW41" i="25"/>
  <c r="X41" i="25"/>
  <c r="CT41" i="25"/>
  <c r="BT41" i="25"/>
  <c r="AU41" i="25"/>
  <c r="W41" i="25"/>
  <c r="CS41" i="25"/>
  <c r="BS41" i="25"/>
  <c r="AT41" i="25"/>
  <c r="V41" i="25"/>
  <c r="CR41" i="25"/>
  <c r="BO41" i="25"/>
  <c r="AQ41" i="25"/>
  <c r="S41" i="25"/>
  <c r="BD41" i="25"/>
  <c r="DC41" i="25"/>
  <c r="J28" i="25"/>
  <c r="U28" i="25"/>
  <c r="AC28" i="25"/>
  <c r="AK28" i="25"/>
  <c r="AS28" i="25"/>
  <c r="BA28" i="25"/>
  <c r="BJ28" i="25"/>
  <c r="BS28" i="25"/>
  <c r="CC28" i="25"/>
  <c r="CM28" i="25"/>
  <c r="CV28" i="25"/>
  <c r="K29" i="25"/>
  <c r="W29" i="25"/>
  <c r="AF29" i="25"/>
  <c r="AO29" i="25"/>
  <c r="AX29" i="25"/>
  <c r="BH29" i="25"/>
  <c r="BQ29" i="25"/>
  <c r="CA29" i="25"/>
  <c r="CK29" i="25"/>
  <c r="CT29" i="25"/>
  <c r="DC29" i="25"/>
  <c r="L36" i="25"/>
  <c r="Z36" i="25"/>
  <c r="AJ36" i="25"/>
  <c r="AT36" i="25"/>
  <c r="BF36" i="25"/>
  <c r="BP36" i="25"/>
  <c r="CA36" i="25"/>
  <c r="CL36" i="25"/>
  <c r="CW36" i="25"/>
  <c r="DH36" i="25"/>
  <c r="DH40" i="25"/>
  <c r="CY40" i="25"/>
  <c r="CQ40" i="25"/>
  <c r="CH40" i="25"/>
  <c r="BZ40" i="25"/>
  <c r="BQ40" i="25"/>
  <c r="BI40" i="25"/>
  <c r="BA40" i="25"/>
  <c r="AS40" i="25"/>
  <c r="AK40" i="25"/>
  <c r="AC40" i="25"/>
  <c r="U40" i="25"/>
  <c r="J40" i="25"/>
  <c r="DG40" i="25"/>
  <c r="CX40" i="25"/>
  <c r="CP40" i="25"/>
  <c r="DI40" i="25"/>
  <c r="CV40" i="25"/>
  <c r="CL40" i="25"/>
  <c r="CB40" i="25"/>
  <c r="BR40" i="25"/>
  <c r="BH40" i="25"/>
  <c r="AY40" i="25"/>
  <c r="AP40" i="25"/>
  <c r="AG40" i="25"/>
  <c r="X40" i="25"/>
  <c r="L40" i="25"/>
  <c r="DY40" i="25"/>
  <c r="DK40" i="25"/>
  <c r="CU40" i="25"/>
  <c r="CI40" i="25"/>
  <c r="BX40" i="25"/>
  <c r="BM40" i="25"/>
  <c r="BC40" i="25"/>
  <c r="AR40" i="25"/>
  <c r="AH40" i="25"/>
  <c r="W40" i="25"/>
  <c r="I40" i="25"/>
  <c r="DE40" i="25"/>
  <c r="CT40" i="25"/>
  <c r="CG40" i="25"/>
  <c r="BV40" i="25"/>
  <c r="BL40" i="25"/>
  <c r="BB40" i="25"/>
  <c r="AQ40" i="25"/>
  <c r="AF40" i="25"/>
  <c r="V40" i="25"/>
  <c r="H40" i="25"/>
  <c r="DD40" i="25"/>
  <c r="CS40" i="25"/>
  <c r="CF40" i="25"/>
  <c r="BU40" i="25"/>
  <c r="BK40" i="25"/>
  <c r="AZ40" i="25"/>
  <c r="AO40" i="25"/>
  <c r="AE40" i="25"/>
  <c r="T40" i="25"/>
  <c r="G40" i="25"/>
  <c r="DC40" i="25"/>
  <c r="CR40" i="25"/>
  <c r="CE40" i="25"/>
  <c r="BT40" i="25"/>
  <c r="BJ40" i="25"/>
  <c r="AX40" i="25"/>
  <c r="AN40" i="25"/>
  <c r="AD40" i="25"/>
  <c r="S40" i="25"/>
  <c r="F40" i="25"/>
  <c r="AB40" i="25"/>
  <c r="AW40" i="25"/>
  <c r="BS40" i="25"/>
  <c r="CO40" i="25"/>
  <c r="DS40" i="25"/>
  <c r="DS47" i="25"/>
  <c r="DE47" i="25"/>
  <c r="DQ47" i="25"/>
  <c r="DC47" i="25"/>
  <c r="CU47" i="25"/>
  <c r="CM47" i="25"/>
  <c r="CD47" i="25"/>
  <c r="BU47" i="25"/>
  <c r="BM47" i="25"/>
  <c r="BE47" i="25"/>
  <c r="AW47" i="25"/>
  <c r="AO47" i="25"/>
  <c r="AG47" i="25"/>
  <c r="Y47" i="25"/>
  <c r="N47" i="25"/>
  <c r="F47" i="25"/>
  <c r="DM47" i="25"/>
  <c r="DA47" i="25"/>
  <c r="CS47" i="25"/>
  <c r="CK47" i="25"/>
  <c r="CB47" i="25"/>
  <c r="BS47" i="25"/>
  <c r="BK47" i="25"/>
  <c r="BC47" i="25"/>
  <c r="DY47" i="25"/>
  <c r="DG47" i="25"/>
  <c r="CT47" i="25"/>
  <c r="CH47" i="25"/>
  <c r="BX47" i="25"/>
  <c r="BL47" i="25"/>
  <c r="BA47" i="25"/>
  <c r="AR47" i="25"/>
  <c r="AI47" i="25"/>
  <c r="Z47" i="25"/>
  <c r="M47" i="25"/>
  <c r="DD47" i="25"/>
  <c r="CR47" i="25"/>
  <c r="CG47" i="25"/>
  <c r="BV47" i="25"/>
  <c r="BJ47" i="25"/>
  <c r="AZ47" i="25"/>
  <c r="AQ47" i="25"/>
  <c r="AH47" i="25"/>
  <c r="X47" i="25"/>
  <c r="L47" i="25"/>
  <c r="DB47" i="25"/>
  <c r="CQ47" i="25"/>
  <c r="CF47" i="25"/>
  <c r="BT47" i="25"/>
  <c r="BI47" i="25"/>
  <c r="AY47" i="25"/>
  <c r="AP47" i="25"/>
  <c r="AF47" i="25"/>
  <c r="W47" i="25"/>
  <c r="K47" i="25"/>
  <c r="CZ47" i="25"/>
  <c r="CP47" i="25"/>
  <c r="CE47" i="25"/>
  <c r="BR47" i="25"/>
  <c r="BH47" i="25"/>
  <c r="AX47" i="25"/>
  <c r="AN47" i="25"/>
  <c r="AE47" i="25"/>
  <c r="V47" i="25"/>
  <c r="J47" i="25"/>
  <c r="CY47" i="25"/>
  <c r="CC47" i="25"/>
  <c r="BG47" i="25"/>
  <c r="AM47" i="25"/>
  <c r="U47" i="25"/>
  <c r="CX47" i="25"/>
  <c r="CA47" i="25"/>
  <c r="BF47" i="25"/>
  <c r="AL47" i="25"/>
  <c r="T47" i="25"/>
  <c r="CW47" i="25"/>
  <c r="BZ47" i="25"/>
  <c r="BD47" i="25"/>
  <c r="AK47" i="25"/>
  <c r="S47" i="25"/>
  <c r="CV47" i="25"/>
  <c r="BY47" i="25"/>
  <c r="BB47" i="25"/>
  <c r="AJ47" i="25"/>
  <c r="O47" i="25"/>
  <c r="DK47" i="25"/>
  <c r="BP47" i="25"/>
  <c r="AC47" i="25"/>
  <c r="DI47" i="25"/>
  <c r="BO47" i="25"/>
  <c r="AB47" i="25"/>
  <c r="DH47" i="25"/>
  <c r="BN47" i="25"/>
  <c r="AA47" i="25"/>
  <c r="CO47" i="25"/>
  <c r="AV47" i="25"/>
  <c r="I47" i="25"/>
  <c r="CI47" i="25"/>
  <c r="G47" i="25"/>
  <c r="CL47" i="25"/>
  <c r="DS28" i="25"/>
  <c r="DE28" i="25"/>
  <c r="CW28" i="25"/>
  <c r="CO28" i="25"/>
  <c r="CF28" i="25"/>
  <c r="BX28" i="25"/>
  <c r="BO28" i="25"/>
  <c r="BG28" i="25"/>
  <c r="M28" i="25"/>
  <c r="X28" i="25"/>
  <c r="AF28" i="25"/>
  <c r="AN28" i="25"/>
  <c r="AV28" i="25"/>
  <c r="BD28" i="25"/>
  <c r="BM28" i="25"/>
  <c r="BV28" i="25"/>
  <c r="CG28" i="25"/>
  <c r="CQ28" i="25"/>
  <c r="CZ28" i="25"/>
  <c r="DK28" i="25"/>
  <c r="DS29" i="25"/>
  <c r="DE29" i="25"/>
  <c r="CW29" i="25"/>
  <c r="CO29" i="25"/>
  <c r="CF29" i="25"/>
  <c r="BX29" i="25"/>
  <c r="BO29" i="25"/>
  <c r="BG29" i="25"/>
  <c r="AY29" i="25"/>
  <c r="AQ29" i="25"/>
  <c r="AI29" i="25"/>
  <c r="AA29" i="25"/>
  <c r="S29" i="25"/>
  <c r="H29" i="25"/>
  <c r="N29" i="25"/>
  <c r="Z29" i="25"/>
  <c r="AJ29" i="25"/>
  <c r="AS29" i="25"/>
  <c r="BB29" i="25"/>
  <c r="BK29" i="25"/>
  <c r="BT29" i="25"/>
  <c r="CD29" i="25"/>
  <c r="CN29" i="25"/>
  <c r="CX29" i="25"/>
  <c r="DH29" i="25"/>
  <c r="DO36" i="25"/>
  <c r="DC36" i="25"/>
  <c r="CU36" i="25"/>
  <c r="CM36" i="25"/>
  <c r="CD36" i="25"/>
  <c r="BU36" i="25"/>
  <c r="BM36" i="25"/>
  <c r="BE36" i="25"/>
  <c r="AW36" i="25"/>
  <c r="AO36" i="25"/>
  <c r="AG36" i="25"/>
  <c r="Y36" i="25"/>
  <c r="N36" i="25"/>
  <c r="F36" i="25"/>
  <c r="DK36" i="25"/>
  <c r="CZ36" i="25"/>
  <c r="CQ36" i="25"/>
  <c r="CG36" i="25"/>
  <c r="BX36" i="25"/>
  <c r="BN36" i="25"/>
  <c r="BD36" i="25"/>
  <c r="AU36" i="25"/>
  <c r="AL36" i="25"/>
  <c r="AC36" i="25"/>
  <c r="T36" i="25"/>
  <c r="H36" i="25"/>
  <c r="S36" i="25"/>
  <c r="AD36" i="25"/>
  <c r="AN36" i="25"/>
  <c r="AY36" i="25"/>
  <c r="BI36" i="25"/>
  <c r="BS36" i="25"/>
  <c r="CE36" i="25"/>
  <c r="CP36" i="25"/>
  <c r="DA36" i="25"/>
  <c r="DQ36" i="25"/>
  <c r="H47" i="25"/>
  <c r="CN47" i="25"/>
  <c r="DH39" i="25"/>
  <c r="CY39" i="25"/>
  <c r="CQ39" i="25"/>
  <c r="CH39" i="25"/>
  <c r="BZ39" i="25"/>
  <c r="BQ39" i="25"/>
  <c r="BI39" i="25"/>
  <c r="BA39" i="25"/>
  <c r="AS39" i="25"/>
  <c r="AK39" i="25"/>
  <c r="AC39" i="25"/>
  <c r="U39" i="25"/>
  <c r="J39" i="25"/>
  <c r="DI39" i="25"/>
  <c r="CX39" i="25"/>
  <c r="CO39" i="25"/>
  <c r="CE39" i="25"/>
  <c r="BU39" i="25"/>
  <c r="BL39" i="25"/>
  <c r="BC39" i="25"/>
  <c r="AT39" i="25"/>
  <c r="AJ39" i="25"/>
  <c r="AA39" i="25"/>
  <c r="O39" i="25"/>
  <c r="F39" i="25"/>
  <c r="S39" i="25"/>
  <c r="AD39" i="25"/>
  <c r="AN39" i="25"/>
  <c r="AX39" i="25"/>
  <c r="BH39" i="25"/>
  <c r="BS39" i="25"/>
  <c r="CD39" i="25"/>
  <c r="CP39" i="25"/>
  <c r="DA39" i="25"/>
  <c r="DO39" i="25"/>
  <c r="DO33" i="25"/>
  <c r="DC33" i="25"/>
  <c r="CU33" i="25"/>
  <c r="CM33" i="25"/>
  <c r="CD33" i="25"/>
  <c r="BU33" i="25"/>
  <c r="BM33" i="25"/>
  <c r="BE33" i="25"/>
  <c r="AW33" i="25"/>
  <c r="AO33" i="25"/>
  <c r="AG33" i="25"/>
  <c r="Y33" i="25"/>
  <c r="N33" i="25"/>
  <c r="F33" i="25"/>
  <c r="O33" i="25"/>
  <c r="AA33" i="25"/>
  <c r="AJ33" i="25"/>
  <c r="AS33" i="25"/>
  <c r="BB33" i="25"/>
  <c r="BK33" i="25"/>
  <c r="BT33" i="25"/>
  <c r="CE33" i="25"/>
  <c r="CO33" i="25"/>
  <c r="CX33" i="25"/>
  <c r="DH33" i="25"/>
  <c r="DH37" i="25"/>
  <c r="CY37" i="25"/>
  <c r="CQ37" i="25"/>
  <c r="DE37" i="25"/>
  <c r="CV37" i="25"/>
  <c r="CM37" i="25"/>
  <c r="CD37" i="25"/>
  <c r="BU37" i="25"/>
  <c r="BM37" i="25"/>
  <c r="BE37" i="25"/>
  <c r="AW37" i="25"/>
  <c r="AO37" i="25"/>
  <c r="AG37" i="25"/>
  <c r="Y37" i="25"/>
  <c r="N37" i="25"/>
  <c r="F37" i="25"/>
  <c r="O37" i="25"/>
  <c r="AA37" i="25"/>
  <c r="AJ37" i="25"/>
  <c r="AS37" i="25"/>
  <c r="BB37" i="25"/>
  <c r="BK37" i="25"/>
  <c r="BT37" i="25"/>
  <c r="CE37" i="25"/>
  <c r="CO37" i="25"/>
  <c r="CZ37" i="25"/>
  <c r="DM37" i="25"/>
  <c r="DH38" i="25"/>
  <c r="CY38" i="25"/>
  <c r="CQ38" i="25"/>
  <c r="CH38" i="25"/>
  <c r="BZ38" i="25"/>
  <c r="BQ38" i="25"/>
  <c r="BI38" i="25"/>
  <c r="BA38" i="25"/>
  <c r="AS38" i="25"/>
  <c r="AK38" i="25"/>
  <c r="AC38" i="25"/>
  <c r="U38" i="25"/>
  <c r="J38" i="25"/>
  <c r="DO38" i="25"/>
  <c r="DB38" i="25"/>
  <c r="CS38" i="25"/>
  <c r="CI38" i="25"/>
  <c r="BY38" i="25"/>
  <c r="BO38" i="25"/>
  <c r="BF38" i="25"/>
  <c r="AW38" i="25"/>
  <c r="AN38" i="25"/>
  <c r="AE38" i="25"/>
  <c r="V38" i="25"/>
  <c r="I38" i="25"/>
  <c r="O38" i="25"/>
  <c r="AB38" i="25"/>
  <c r="AM38" i="25"/>
  <c r="AX38" i="25"/>
  <c r="BH38" i="25"/>
  <c r="BS38" i="25"/>
  <c r="CD38" i="25"/>
  <c r="CO38" i="25"/>
  <c r="CZ38" i="25"/>
  <c r="DM38" i="25"/>
  <c r="G39" i="25"/>
  <c r="T39" i="25"/>
  <c r="AE39" i="25"/>
  <c r="AO39" i="25"/>
  <c r="AY39" i="25"/>
  <c r="BJ39" i="25"/>
  <c r="BT39" i="25"/>
  <c r="CF39" i="25"/>
  <c r="CR39" i="25"/>
  <c r="DB39" i="25"/>
  <c r="DQ39" i="25"/>
  <c r="Y44" i="25"/>
  <c r="AP44" i="25"/>
  <c r="BM44" i="25"/>
  <c r="CF44" i="25"/>
  <c r="DC44" i="25"/>
  <c r="DY44" i="25"/>
  <c r="H39" i="25"/>
  <c r="V39" i="25"/>
  <c r="AF39" i="25"/>
  <c r="AP39" i="25"/>
  <c r="AZ39" i="25"/>
  <c r="BK39" i="25"/>
  <c r="BV39" i="25"/>
  <c r="CG39" i="25"/>
  <c r="CS39" i="25"/>
  <c r="DC39" i="25"/>
  <c r="DS39" i="25"/>
  <c r="Z44" i="25"/>
  <c r="AU44" i="25"/>
  <c r="BN44" i="25"/>
  <c r="CM44" i="25"/>
  <c r="I39" i="25"/>
  <c r="W39" i="25"/>
  <c r="AG39" i="25"/>
  <c r="AQ39" i="25"/>
  <c r="BB39" i="25"/>
  <c r="BM39" i="25"/>
  <c r="BX39" i="25"/>
  <c r="CI39" i="25"/>
  <c r="CT39" i="25"/>
  <c r="DD39" i="25"/>
  <c r="DI44" i="25"/>
  <c r="CZ44" i="25"/>
  <c r="CR44" i="25"/>
  <c r="CI44" i="25"/>
  <c r="CA44" i="25"/>
  <c r="BR44" i="25"/>
  <c r="BJ44" i="25"/>
  <c r="BB44" i="25"/>
  <c r="AT44" i="25"/>
  <c r="AL44" i="25"/>
  <c r="AD44" i="25"/>
  <c r="V44" i="25"/>
  <c r="K44" i="25"/>
  <c r="DH44" i="25"/>
  <c r="CY44" i="25"/>
  <c r="CQ44" i="25"/>
  <c r="CH44" i="25"/>
  <c r="BZ44" i="25"/>
  <c r="BQ44" i="25"/>
  <c r="BI44" i="25"/>
  <c r="BA44" i="25"/>
  <c r="AS44" i="25"/>
  <c r="AK44" i="25"/>
  <c r="AC44" i="25"/>
  <c r="U44" i="25"/>
  <c r="J44" i="25"/>
  <c r="DG44" i="25"/>
  <c r="CX44" i="25"/>
  <c r="CP44" i="25"/>
  <c r="CG44" i="25"/>
  <c r="BY44" i="25"/>
  <c r="BP44" i="25"/>
  <c r="BH44" i="25"/>
  <c r="AZ44" i="25"/>
  <c r="AR44" i="25"/>
  <c r="AJ44" i="25"/>
  <c r="AB44" i="25"/>
  <c r="T44" i="25"/>
  <c r="I44" i="25"/>
  <c r="DO44" i="25"/>
  <c r="CW44" i="25"/>
  <c r="CL44" i="25"/>
  <c r="BV44" i="25"/>
  <c r="BK44" i="25"/>
  <c r="AW44" i="25"/>
  <c r="AI44" i="25"/>
  <c r="X44" i="25"/>
  <c r="G44" i="25"/>
  <c r="DM44" i="25"/>
  <c r="CV44" i="25"/>
  <c r="CK44" i="25"/>
  <c r="BU44" i="25"/>
  <c r="BG44" i="25"/>
  <c r="AV44" i="25"/>
  <c r="AH44" i="25"/>
  <c r="W44" i="25"/>
  <c r="F44" i="25"/>
  <c r="DE44" i="25"/>
  <c r="CT44" i="25"/>
  <c r="CE44" i="25"/>
  <c r="BS44" i="25"/>
  <c r="BE44" i="25"/>
  <c r="AQ44" i="25"/>
  <c r="AF44" i="25"/>
  <c r="O44" i="25"/>
  <c r="AA44" i="25"/>
  <c r="AX44" i="25"/>
  <c r="BO44" i="25"/>
  <c r="CN44" i="25"/>
  <c r="DK44" i="25"/>
  <c r="DI43" i="25"/>
  <c r="CZ43" i="25"/>
  <c r="CR43" i="25"/>
  <c r="CI43" i="25"/>
  <c r="CA43" i="25"/>
  <c r="BR43" i="25"/>
  <c r="BJ43" i="25"/>
  <c r="BB43" i="25"/>
  <c r="AT43" i="25"/>
  <c r="AL43" i="25"/>
  <c r="AD43" i="25"/>
  <c r="V43" i="25"/>
  <c r="K43" i="25"/>
  <c r="DH43" i="25"/>
  <c r="CY43" i="25"/>
  <c r="CQ43" i="25"/>
  <c r="CH43" i="25"/>
  <c r="BZ43" i="25"/>
  <c r="BQ43" i="25"/>
  <c r="BI43" i="25"/>
  <c r="BA43" i="25"/>
  <c r="AS43" i="25"/>
  <c r="AK43" i="25"/>
  <c r="AC43" i="25"/>
  <c r="U43" i="25"/>
  <c r="J43" i="25"/>
  <c r="DG43" i="25"/>
  <c r="CX43" i="25"/>
  <c r="CP43" i="25"/>
  <c r="CG43" i="25"/>
  <c r="BY43" i="25"/>
  <c r="BP43" i="25"/>
  <c r="BH43" i="25"/>
  <c r="AZ43" i="25"/>
  <c r="AR43" i="25"/>
  <c r="AJ43" i="25"/>
  <c r="AB43" i="25"/>
  <c r="T43" i="25"/>
  <c r="I43" i="25"/>
  <c r="S43" i="25"/>
  <c r="AG43" i="25"/>
  <c r="AU43" i="25"/>
  <c r="BF43" i="25"/>
  <c r="BT43" i="25"/>
  <c r="CF43" i="25"/>
  <c r="CU43" i="25"/>
  <c r="DK43" i="25"/>
  <c r="DY43" i="25"/>
  <c r="W48" i="25"/>
  <c r="AU48" i="25"/>
  <c r="BS48" i="25"/>
  <c r="CT48" i="25"/>
  <c r="K99" i="26"/>
  <c r="J99" i="26"/>
  <c r="K54" i="26"/>
  <c r="J54" i="26"/>
  <c r="B26" i="26"/>
  <c r="B8" i="46"/>
  <c r="DH42" i="25"/>
  <c r="CY42" i="25"/>
  <c r="CQ42" i="25"/>
  <c r="CH42" i="25"/>
  <c r="BZ42" i="25"/>
  <c r="BQ42" i="25"/>
  <c r="BI42" i="25"/>
  <c r="BA42" i="25"/>
  <c r="AS42" i="25"/>
  <c r="AK42" i="25"/>
  <c r="AC42" i="25"/>
  <c r="U42" i="25"/>
  <c r="J42" i="25"/>
  <c r="DG42" i="25"/>
  <c r="CX42" i="25"/>
  <c r="CP42" i="25"/>
  <c r="CG42" i="25"/>
  <c r="BY42" i="25"/>
  <c r="BP42" i="25"/>
  <c r="BH42" i="25"/>
  <c r="AZ42" i="25"/>
  <c r="AR42" i="25"/>
  <c r="AJ42" i="25"/>
  <c r="AB42" i="25"/>
  <c r="T42" i="25"/>
  <c r="I42" i="25"/>
  <c r="O42" i="25"/>
  <c r="AD42" i="25"/>
  <c r="AN42" i="25"/>
  <c r="AX42" i="25"/>
  <c r="BJ42" i="25"/>
  <c r="BT42" i="25"/>
  <c r="CE42" i="25"/>
  <c r="CR42" i="25"/>
  <c r="DB42" i="25"/>
  <c r="DQ42" i="25"/>
  <c r="G43" i="25"/>
  <c r="X43" i="25"/>
  <c r="AI43" i="25"/>
  <c r="AW43" i="25"/>
  <c r="BK43" i="25"/>
  <c r="BV43" i="25"/>
  <c r="CL43" i="25"/>
  <c r="CW43" i="25"/>
  <c r="DO43" i="25"/>
  <c r="DO45" i="25"/>
  <c r="DC45" i="25"/>
  <c r="CU45" i="25"/>
  <c r="CM45" i="25"/>
  <c r="CD45" i="25"/>
  <c r="BU45" i="25"/>
  <c r="BM45" i="25"/>
  <c r="BE45" i="25"/>
  <c r="AW45" i="25"/>
  <c r="AO45" i="25"/>
  <c r="DK45" i="25"/>
  <c r="CZ45" i="25"/>
  <c r="CQ45" i="25"/>
  <c r="CG45" i="25"/>
  <c r="BX45" i="25"/>
  <c r="BN45" i="25"/>
  <c r="BD45" i="25"/>
  <c r="AU45" i="25"/>
  <c r="AL45" i="25"/>
  <c r="AD45" i="25"/>
  <c r="V45" i="25"/>
  <c r="K45" i="25"/>
  <c r="DY45" i="25"/>
  <c r="DI45" i="25"/>
  <c r="CY45" i="25"/>
  <c r="CP45" i="25"/>
  <c r="CF45" i="25"/>
  <c r="BV45" i="25"/>
  <c r="BL45" i="25"/>
  <c r="BC45" i="25"/>
  <c r="AT45" i="25"/>
  <c r="AK45" i="25"/>
  <c r="AC45" i="25"/>
  <c r="U45" i="25"/>
  <c r="J45" i="25"/>
  <c r="DH45" i="25"/>
  <c r="CX45" i="25"/>
  <c r="CO45" i="25"/>
  <c r="CE45" i="25"/>
  <c r="BT45" i="25"/>
  <c r="BK45" i="25"/>
  <c r="BB45" i="25"/>
  <c r="AS45" i="25"/>
  <c r="AJ45" i="25"/>
  <c r="AB45" i="25"/>
  <c r="T45" i="25"/>
  <c r="I45" i="25"/>
  <c r="S45" i="25"/>
  <c r="AG45" i="25"/>
  <c r="AV45" i="25"/>
  <c r="BI45" i="25"/>
  <c r="BZ45" i="25"/>
  <c r="CN45" i="25"/>
  <c r="DD45" i="25"/>
  <c r="Y48" i="25"/>
  <c r="AX48" i="25"/>
  <c r="BV48" i="25"/>
  <c r="DS49" i="25"/>
  <c r="DE49" i="25"/>
  <c r="CW49" i="25"/>
  <c r="CO49" i="25"/>
  <c r="CF49" i="25"/>
  <c r="BX49" i="25"/>
  <c r="BO49" i="25"/>
  <c r="BG49" i="25"/>
  <c r="AY49" i="25"/>
  <c r="AQ49" i="25"/>
  <c r="AI49" i="25"/>
  <c r="AA49" i="25"/>
  <c r="S49" i="25"/>
  <c r="H49" i="25"/>
  <c r="DY49" i="25"/>
  <c r="DI49" i="25"/>
  <c r="CY49" i="25"/>
  <c r="CP49" i="25"/>
  <c r="CE49" i="25"/>
  <c r="BU49" i="25"/>
  <c r="BL49" i="25"/>
  <c r="BC49" i="25"/>
  <c r="AT49" i="25"/>
  <c r="AK49" i="25"/>
  <c r="AB49" i="25"/>
  <c r="O49" i="25"/>
  <c r="F49" i="25"/>
  <c r="DH49" i="25"/>
  <c r="CX49" i="25"/>
  <c r="CN49" i="25"/>
  <c r="CD49" i="25"/>
  <c r="BT49" i="25"/>
  <c r="BK49" i="25"/>
  <c r="BB49" i="25"/>
  <c r="DG49" i="25"/>
  <c r="CV49" i="25"/>
  <c r="CM49" i="25"/>
  <c r="CC49" i="25"/>
  <c r="BS49" i="25"/>
  <c r="BJ49" i="25"/>
  <c r="BA49" i="25"/>
  <c r="AR49" i="25"/>
  <c r="AH49" i="25"/>
  <c r="Y49" i="25"/>
  <c r="M49" i="25"/>
  <c r="DQ49" i="25"/>
  <c r="DC49" i="25"/>
  <c r="CT49" i="25"/>
  <c r="CK49" i="25"/>
  <c r="CA49" i="25"/>
  <c r="DB49" i="25"/>
  <c r="CI49" i="25"/>
  <c r="BQ49" i="25"/>
  <c r="BD49" i="25"/>
  <c r="AO49" i="25"/>
  <c r="AD49" i="25"/>
  <c r="N49" i="25"/>
  <c r="DA49" i="25"/>
  <c r="CH49" i="25"/>
  <c r="BP49" i="25"/>
  <c r="AZ49" i="25"/>
  <c r="AN49" i="25"/>
  <c r="AC49" i="25"/>
  <c r="L49" i="25"/>
  <c r="CZ49" i="25"/>
  <c r="CG49" i="25"/>
  <c r="BN49" i="25"/>
  <c r="AX49" i="25"/>
  <c r="AM49" i="25"/>
  <c r="Z49" i="25"/>
  <c r="K49" i="25"/>
  <c r="CU49" i="25"/>
  <c r="CB49" i="25"/>
  <c r="BM49" i="25"/>
  <c r="AW49" i="25"/>
  <c r="AL49" i="25"/>
  <c r="X49" i="25"/>
  <c r="J49" i="25"/>
  <c r="AF49" i="25"/>
  <c r="BF49" i="25"/>
  <c r="CQ49" i="25"/>
  <c r="DS48" i="25"/>
  <c r="DE48" i="25"/>
  <c r="CW48" i="25"/>
  <c r="CO48" i="25"/>
  <c r="CF48" i="25"/>
  <c r="BX48" i="25"/>
  <c r="BO48" i="25"/>
  <c r="BG48" i="25"/>
  <c r="AY48" i="25"/>
  <c r="AQ48" i="25"/>
  <c r="AI48" i="25"/>
  <c r="AA48" i="25"/>
  <c r="S48" i="25"/>
  <c r="H48" i="25"/>
  <c r="DM48" i="25"/>
  <c r="DA48" i="25"/>
  <c r="CR48" i="25"/>
  <c r="CH48" i="25"/>
  <c r="BY48" i="25"/>
  <c r="BN48" i="25"/>
  <c r="BE48" i="25"/>
  <c r="AV48" i="25"/>
  <c r="AM48" i="25"/>
  <c r="AD48" i="25"/>
  <c r="U48" i="25"/>
  <c r="I48" i="25"/>
  <c r="DY48" i="25"/>
  <c r="DI48" i="25"/>
  <c r="CY48" i="25"/>
  <c r="CP48" i="25"/>
  <c r="CE48" i="25"/>
  <c r="BU48" i="25"/>
  <c r="BL48" i="25"/>
  <c r="BC48" i="25"/>
  <c r="AT48" i="25"/>
  <c r="AK48" i="25"/>
  <c r="AB48" i="25"/>
  <c r="O48" i="25"/>
  <c r="F48" i="25"/>
  <c r="DC48" i="25"/>
  <c r="CQ48" i="25"/>
  <c r="CC48" i="25"/>
  <c r="BQ48" i="25"/>
  <c r="BD48" i="25"/>
  <c r="AR48" i="25"/>
  <c r="AF48" i="25"/>
  <c r="T48" i="25"/>
  <c r="DB48" i="25"/>
  <c r="CN48" i="25"/>
  <c r="CB48" i="25"/>
  <c r="BP48" i="25"/>
  <c r="BB48" i="25"/>
  <c r="AP48" i="25"/>
  <c r="AE48" i="25"/>
  <c r="N48" i="25"/>
  <c r="DQ48" i="25"/>
  <c r="CZ48" i="25"/>
  <c r="CM48" i="25"/>
  <c r="CA48" i="25"/>
  <c r="BM48" i="25"/>
  <c r="BA48" i="25"/>
  <c r="AO48" i="25"/>
  <c r="AC48" i="25"/>
  <c r="M48" i="25"/>
  <c r="DO48" i="25"/>
  <c r="CX48" i="25"/>
  <c r="CL48" i="25"/>
  <c r="BZ48" i="25"/>
  <c r="BK48" i="25"/>
  <c r="AZ48" i="25"/>
  <c r="AN48" i="25"/>
  <c r="Z48" i="25"/>
  <c r="L48" i="25"/>
  <c r="AG48" i="25"/>
  <c r="BF48" i="25"/>
  <c r="CD48" i="25"/>
  <c r="DD48" i="25"/>
  <c r="L46" i="25"/>
  <c r="X46" i="25"/>
  <c r="AH46" i="25"/>
  <c r="AQ46" i="25"/>
  <c r="AZ46" i="25"/>
  <c r="BI46" i="25"/>
  <c r="BR46" i="25"/>
  <c r="CB46" i="25"/>
  <c r="CL46" i="25"/>
  <c r="CV46" i="25"/>
  <c r="DE46" i="25"/>
  <c r="S50" i="25"/>
  <c r="AN50" i="25"/>
  <c r="BI50" i="25"/>
  <c r="CE50" i="25"/>
  <c r="DA50" i="25"/>
  <c r="K33" i="26"/>
  <c r="J33" i="26"/>
  <c r="K40" i="26"/>
  <c r="J40" i="26"/>
  <c r="J48" i="26"/>
  <c r="M46" i="25"/>
  <c r="Z46" i="25"/>
  <c r="AI46" i="25"/>
  <c r="AR46" i="25"/>
  <c r="BA46" i="25"/>
  <c r="BJ46" i="25"/>
  <c r="BS46" i="25"/>
  <c r="CC46" i="25"/>
  <c r="CN46" i="25"/>
  <c r="CW46" i="25"/>
  <c r="U50" i="25"/>
  <c r="AP50" i="25"/>
  <c r="BJ50" i="25"/>
  <c r="CF50" i="25"/>
  <c r="DB50" i="25"/>
  <c r="J29" i="26"/>
  <c r="K48" i="26"/>
  <c r="DO46" i="25"/>
  <c r="DC46" i="25"/>
  <c r="CU46" i="25"/>
  <c r="CM46" i="25"/>
  <c r="CD46" i="25"/>
  <c r="BU46" i="25"/>
  <c r="BM46" i="25"/>
  <c r="BE46" i="25"/>
  <c r="AW46" i="25"/>
  <c r="AO46" i="25"/>
  <c r="AG46" i="25"/>
  <c r="Y46" i="25"/>
  <c r="N46" i="25"/>
  <c r="F46" i="25"/>
  <c r="O46" i="25"/>
  <c r="AA46" i="25"/>
  <c r="AJ46" i="25"/>
  <c r="AS46" i="25"/>
  <c r="BB46" i="25"/>
  <c r="BK46" i="25"/>
  <c r="BT46" i="25"/>
  <c r="CE46" i="25"/>
  <c r="CO46" i="25"/>
  <c r="CX46" i="25"/>
  <c r="DH46" i="25"/>
  <c r="W50" i="25"/>
  <c r="AR50" i="25"/>
  <c r="BL50" i="25"/>
  <c r="CI50" i="25"/>
  <c r="K29" i="26"/>
  <c r="DO50" i="25"/>
  <c r="DC50" i="25"/>
  <c r="CU50" i="25"/>
  <c r="CM50" i="25"/>
  <c r="CD50" i="25"/>
  <c r="BU50" i="25"/>
  <c r="BM50" i="25"/>
  <c r="BE50" i="25"/>
  <c r="AW50" i="25"/>
  <c r="AO50" i="25"/>
  <c r="AG50" i="25"/>
  <c r="Y50" i="25"/>
  <c r="N50" i="25"/>
  <c r="DK50" i="25"/>
  <c r="CZ50" i="25"/>
  <c r="CQ50" i="25"/>
  <c r="CG50" i="25"/>
  <c r="BX50" i="25"/>
  <c r="BN50" i="25"/>
  <c r="BD50" i="25"/>
  <c r="AU50" i="25"/>
  <c r="AL50" i="25"/>
  <c r="AC50" i="25"/>
  <c r="T50" i="25"/>
  <c r="H50" i="25"/>
  <c r="DI50" i="25"/>
  <c r="CX50" i="25"/>
  <c r="CN50" i="25"/>
  <c r="CB50" i="25"/>
  <c r="BQ50" i="25"/>
  <c r="BG50" i="25"/>
  <c r="AV50" i="25"/>
  <c r="AK50" i="25"/>
  <c r="AA50" i="25"/>
  <c r="M50" i="25"/>
  <c r="DY50" i="25"/>
  <c r="DH50" i="25"/>
  <c r="CW50" i="25"/>
  <c r="CL50" i="25"/>
  <c r="CA50" i="25"/>
  <c r="BP50" i="25"/>
  <c r="BF50" i="25"/>
  <c r="AT50" i="25"/>
  <c r="AJ50" i="25"/>
  <c r="Z50" i="25"/>
  <c r="L50" i="25"/>
  <c r="DG50" i="25"/>
  <c r="CV50" i="25"/>
  <c r="CK50" i="25"/>
  <c r="BZ50" i="25"/>
  <c r="BO50" i="25"/>
  <c r="BC50" i="25"/>
  <c r="AS50" i="25"/>
  <c r="AI50" i="25"/>
  <c r="X50" i="25"/>
  <c r="K50" i="25"/>
  <c r="DD50" i="25"/>
  <c r="CS50" i="25"/>
  <c r="CH50" i="25"/>
  <c r="BV50" i="25"/>
  <c r="BK50" i="25"/>
  <c r="BA50" i="25"/>
  <c r="AQ50" i="25"/>
  <c r="AF50" i="25"/>
  <c r="V50" i="25"/>
  <c r="I50" i="25"/>
  <c r="AB50" i="25"/>
  <c r="AX50" i="25"/>
  <c r="BR50" i="25"/>
  <c r="CO50" i="25"/>
  <c r="DM50" i="25"/>
  <c r="K19" i="26"/>
  <c r="K22" i="26"/>
  <c r="J22" i="26"/>
  <c r="K88" i="26"/>
  <c r="J88" i="26"/>
  <c r="K27" i="26"/>
  <c r="K30" i="26"/>
  <c r="J30" i="26"/>
  <c r="K59" i="26"/>
  <c r="K62" i="26"/>
  <c r="J62" i="26"/>
  <c r="K93" i="26"/>
  <c r="J93" i="26"/>
  <c r="K121" i="26"/>
  <c r="E24" i="26"/>
  <c r="J121" i="26"/>
  <c r="D24" i="26"/>
  <c r="K17" i="26"/>
  <c r="H126" i="26"/>
  <c r="B9" i="46"/>
  <c r="B274" i="46"/>
  <c r="J17" i="26"/>
  <c r="K49" i="26"/>
  <c r="J49" i="26"/>
  <c r="K82" i="26"/>
  <c r="J82" i="26"/>
  <c r="K24" i="26"/>
  <c r="J24" i="26"/>
  <c r="K56" i="26"/>
  <c r="J56" i="26"/>
  <c r="J98" i="26"/>
  <c r="J104" i="26"/>
  <c r="K110" i="26"/>
  <c r="J110" i="26"/>
  <c r="K25" i="26"/>
  <c r="J25" i="26"/>
  <c r="J32" i="26"/>
  <c r="J38" i="26"/>
  <c r="K43" i="26"/>
  <c r="K46" i="26"/>
  <c r="J46" i="26"/>
  <c r="J64" i="26"/>
  <c r="J70" i="26"/>
  <c r="K76" i="26"/>
  <c r="K98" i="26"/>
  <c r="I125" i="26"/>
  <c r="B133" i="46"/>
  <c r="I123" i="26"/>
  <c r="B131" i="46"/>
  <c r="DS51" i="25"/>
  <c r="DE51" i="25"/>
  <c r="CW51" i="25"/>
  <c r="CO51" i="25"/>
  <c r="CF51" i="25"/>
  <c r="BX51" i="25"/>
  <c r="BO51" i="25"/>
  <c r="BG51" i="25"/>
  <c r="AY51" i="25"/>
  <c r="AQ51" i="25"/>
  <c r="AI51" i="25"/>
  <c r="AA51" i="25"/>
  <c r="S51" i="25"/>
  <c r="DQ51" i="25"/>
  <c r="DD51" i="25"/>
  <c r="CV51" i="25"/>
  <c r="CN51" i="25"/>
  <c r="CE51" i="25"/>
  <c r="BV51" i="25"/>
  <c r="BN51" i="25"/>
  <c r="BF51" i="25"/>
  <c r="AX51" i="25"/>
  <c r="AP51" i="25"/>
  <c r="AH51" i="25"/>
  <c r="Z51" i="25"/>
  <c r="O51" i="25"/>
  <c r="DO51" i="25"/>
  <c r="DC51" i="25"/>
  <c r="CU51" i="25"/>
  <c r="CM51" i="25"/>
  <c r="CD51" i="25"/>
  <c r="BU51" i="25"/>
  <c r="BM51" i="25"/>
  <c r="BE51" i="25"/>
  <c r="AW51" i="25"/>
  <c r="AO51" i="25"/>
  <c r="AG51" i="25"/>
  <c r="Y51" i="25"/>
  <c r="N51" i="25"/>
  <c r="F51" i="25"/>
  <c r="T51" i="25"/>
  <c r="AE51" i="25"/>
  <c r="AS51" i="25"/>
  <c r="BD51" i="25"/>
  <c r="BR51" i="25"/>
  <c r="CG51" i="25"/>
  <c r="CS51" i="25"/>
  <c r="DH51" i="25"/>
  <c r="DS52" i="25"/>
  <c r="DE52" i="25"/>
  <c r="CW52" i="25"/>
  <c r="CO52" i="25"/>
  <c r="CF52" i="25"/>
  <c r="BX52" i="25"/>
  <c r="BO52" i="25"/>
  <c r="BG52" i="25"/>
  <c r="AY52" i="25"/>
  <c r="AQ52" i="25"/>
  <c r="AI52" i="25"/>
  <c r="AA52" i="25"/>
  <c r="S52" i="25"/>
  <c r="H52" i="25"/>
  <c r="DQ52" i="25"/>
  <c r="DD52" i="25"/>
  <c r="CV52" i="25"/>
  <c r="CN52" i="25"/>
  <c r="CE52" i="25"/>
  <c r="BV52" i="25"/>
  <c r="BN52" i="25"/>
  <c r="BF52" i="25"/>
  <c r="AX52" i="25"/>
  <c r="AP52" i="25"/>
  <c r="AH52" i="25"/>
  <c r="Z52" i="25"/>
  <c r="O52" i="25"/>
  <c r="G52" i="25"/>
  <c r="DO52" i="25"/>
  <c r="DC52" i="25"/>
  <c r="CU52" i="25"/>
  <c r="CM52" i="25"/>
  <c r="CD52" i="25"/>
  <c r="BU52" i="25"/>
  <c r="BM52" i="25"/>
  <c r="BE52" i="25"/>
  <c r="AW52" i="25"/>
  <c r="AO52" i="25"/>
  <c r="AG52" i="25"/>
  <c r="Y52" i="25"/>
  <c r="N52" i="25"/>
  <c r="F52" i="25"/>
  <c r="V52" i="25"/>
  <c r="AJ52" i="25"/>
  <c r="AU52" i="25"/>
  <c r="BI52" i="25"/>
  <c r="BT52" i="25"/>
  <c r="CI52" i="25"/>
  <c r="CX52" i="25"/>
  <c r="DK52" i="25"/>
  <c r="J79" i="26"/>
  <c r="J90" i="26"/>
  <c r="J96" i="26"/>
  <c r="J106" i="26"/>
  <c r="J115" i="26"/>
  <c r="D21" i="26"/>
  <c r="I124" i="26"/>
  <c r="B132" i="46"/>
  <c r="K41" i="26"/>
  <c r="J41" i="26"/>
  <c r="K57" i="26"/>
  <c r="J57" i="26"/>
  <c r="K74" i="26"/>
  <c r="J74" i="26"/>
  <c r="K91" i="26"/>
  <c r="J91" i="26"/>
  <c r="K107" i="26"/>
  <c r="J107" i="26"/>
  <c r="K124" i="26"/>
  <c r="B31" i="20"/>
  <c r="D268" i="46"/>
  <c r="B29" i="20" a="1"/>
  <c r="B29" i="20"/>
  <c r="D266" i="46"/>
  <c r="B25" i="20"/>
  <c r="D150" i="46"/>
  <c r="B24" i="20"/>
  <c r="D149" i="46"/>
  <c r="B23" i="20"/>
  <c r="D148" i="46"/>
  <c r="B22" i="20"/>
  <c r="D147" i="46"/>
  <c r="B21" i="20"/>
  <c r="D146" i="46"/>
  <c r="B20" i="20"/>
  <c r="D145" i="46"/>
  <c r="B19" i="20"/>
  <c r="D144" i="46"/>
  <c r="B18" i="20"/>
  <c r="D143" i="46"/>
  <c r="B17" i="20"/>
  <c r="D142" i="46"/>
  <c r="B16" i="20"/>
  <c r="D141" i="46"/>
  <c r="B10" i="20"/>
  <c r="H125" i="20"/>
  <c r="D263" i="46"/>
  <c r="H124" i="20"/>
  <c r="D262" i="46"/>
  <c r="H123" i="20"/>
  <c r="D261" i="46"/>
  <c r="H121" i="20"/>
  <c r="D259" i="46"/>
  <c r="H119" i="20"/>
  <c r="D257" i="46"/>
  <c r="H117" i="20"/>
  <c r="D255" i="46"/>
  <c r="H115" i="20"/>
  <c r="D253" i="46"/>
  <c r="H113" i="20"/>
  <c r="D251" i="46"/>
  <c r="H111" i="20"/>
  <c r="D249" i="46"/>
  <c r="H110" i="20"/>
  <c r="D248" i="46"/>
  <c r="H109" i="20"/>
  <c r="D247" i="46"/>
  <c r="H107" i="20"/>
  <c r="D245" i="46"/>
  <c r="H106" i="20"/>
  <c r="D244" i="46"/>
  <c r="H105" i="20"/>
  <c r="D243" i="46"/>
  <c r="H104" i="20"/>
  <c r="D242" i="46"/>
  <c r="H103" i="20"/>
  <c r="D241" i="46"/>
  <c r="H102" i="20"/>
  <c r="D240" i="46"/>
  <c r="H101" i="20"/>
  <c r="D239" i="46"/>
  <c r="H100" i="20"/>
  <c r="D238" i="46"/>
  <c r="H99" i="20"/>
  <c r="D237" i="46"/>
  <c r="H98" i="20"/>
  <c r="D236" i="46"/>
  <c r="H97" i="20"/>
  <c r="D235" i="46"/>
  <c r="H96" i="20"/>
  <c r="D234" i="46"/>
  <c r="H95" i="20"/>
  <c r="D233" i="46"/>
  <c r="H94" i="20"/>
  <c r="D232" i="46"/>
  <c r="H93" i="20"/>
  <c r="D231" i="46"/>
  <c r="H92" i="20"/>
  <c r="D230" i="46"/>
  <c r="H91" i="20"/>
  <c r="D229" i="46"/>
  <c r="H90" i="20"/>
  <c r="D228" i="46"/>
  <c r="H89" i="20"/>
  <c r="D227" i="46"/>
  <c r="H88" i="20"/>
  <c r="D226" i="46"/>
  <c r="H87" i="20"/>
  <c r="D225" i="46"/>
  <c r="H85" i="20"/>
  <c r="D223" i="46"/>
  <c r="H84" i="20"/>
  <c r="D222" i="46"/>
  <c r="H83" i="20"/>
  <c r="D221" i="46"/>
  <c r="H82" i="20"/>
  <c r="D220" i="46"/>
  <c r="H81" i="20"/>
  <c r="D219" i="46"/>
  <c r="H80" i="20"/>
  <c r="D218" i="46"/>
  <c r="H79" i="20"/>
  <c r="D217" i="46"/>
  <c r="H78" i="20"/>
  <c r="D216" i="46"/>
  <c r="H77" i="20"/>
  <c r="D215" i="46"/>
  <c r="H76" i="20"/>
  <c r="D214" i="46"/>
  <c r="H75" i="20"/>
  <c r="D213" i="46"/>
  <c r="H74" i="20"/>
  <c r="D212" i="46"/>
  <c r="H72" i="20"/>
  <c r="D210" i="46"/>
  <c r="H71" i="20"/>
  <c r="D209" i="46"/>
  <c r="H70" i="20"/>
  <c r="D208" i="46"/>
  <c r="H69" i="20"/>
  <c r="D207" i="46"/>
  <c r="H68" i="20"/>
  <c r="D206" i="46"/>
  <c r="H67" i="20"/>
  <c r="D205" i="46"/>
  <c r="H66" i="20"/>
  <c r="D204" i="46"/>
  <c r="H65" i="20"/>
  <c r="D203" i="46"/>
  <c r="H64" i="20"/>
  <c r="D202" i="46"/>
  <c r="H63" i="20"/>
  <c r="D201" i="46"/>
  <c r="H62" i="20"/>
  <c r="D200" i="46"/>
  <c r="H61" i="20"/>
  <c r="D199" i="46"/>
  <c r="H60" i="20"/>
  <c r="D198" i="46"/>
  <c r="H59" i="20"/>
  <c r="D197" i="46"/>
  <c r="H58" i="20"/>
  <c r="D196" i="46"/>
  <c r="H57" i="20"/>
  <c r="D195" i="46"/>
  <c r="H56" i="20"/>
  <c r="D194" i="46"/>
  <c r="H55" i="20"/>
  <c r="D193" i="46"/>
  <c r="H54" i="20"/>
  <c r="D192" i="46"/>
  <c r="H53" i="20"/>
  <c r="D191" i="46"/>
  <c r="H52" i="20"/>
  <c r="D190" i="46"/>
  <c r="H51" i="20"/>
  <c r="D189" i="46"/>
  <c r="H50" i="20"/>
  <c r="D188" i="46"/>
  <c r="H49" i="20"/>
  <c r="D187" i="46"/>
  <c r="H48" i="20"/>
  <c r="D186" i="46"/>
  <c r="H47" i="20"/>
  <c r="D185" i="46"/>
  <c r="H46" i="20"/>
  <c r="D184" i="46"/>
  <c r="H45" i="20"/>
  <c r="D183" i="46"/>
  <c r="H44" i="20"/>
  <c r="D182" i="46"/>
  <c r="H43" i="20"/>
  <c r="D181" i="46"/>
  <c r="H42" i="20"/>
  <c r="D180" i="46"/>
  <c r="H41" i="20"/>
  <c r="D179" i="46"/>
  <c r="H40" i="20"/>
  <c r="D178" i="46"/>
  <c r="H39" i="20"/>
  <c r="D177" i="46"/>
  <c r="H38" i="20"/>
  <c r="D176" i="46"/>
  <c r="H37" i="20"/>
  <c r="D175" i="46"/>
  <c r="H36" i="20"/>
  <c r="D174" i="46"/>
  <c r="H35" i="20"/>
  <c r="D173" i="46"/>
  <c r="H34" i="20"/>
  <c r="D172" i="46"/>
  <c r="H33" i="20"/>
  <c r="D171" i="46"/>
  <c r="H32" i="20"/>
  <c r="D170" i="46"/>
  <c r="H31" i="20"/>
  <c r="D169" i="46"/>
  <c r="H30" i="20"/>
  <c r="D168" i="46"/>
  <c r="H29" i="20"/>
  <c r="D167" i="46"/>
  <c r="H28" i="20"/>
  <c r="D166" i="46"/>
  <c r="H27" i="20"/>
  <c r="D165" i="46"/>
  <c r="H26" i="20"/>
  <c r="D164" i="46"/>
  <c r="H25" i="20"/>
  <c r="D163" i="46"/>
  <c r="H24" i="20"/>
  <c r="D162" i="46"/>
  <c r="H23" i="20"/>
  <c r="D161" i="46"/>
  <c r="H22" i="20"/>
  <c r="D160" i="46"/>
  <c r="H21" i="20"/>
  <c r="D159" i="46"/>
  <c r="H20" i="20"/>
  <c r="D158" i="46"/>
  <c r="H19" i="20"/>
  <c r="D157" i="46"/>
  <c r="H18" i="20"/>
  <c r="D156" i="46"/>
  <c r="H17" i="20"/>
  <c r="D155" i="46"/>
  <c r="DW52" i="19"/>
  <c r="DV52" i="19"/>
  <c r="DU52" i="19"/>
  <c r="P52" i="19"/>
  <c r="DO52" i="19"/>
  <c r="BU52" i="19"/>
  <c r="BT52" i="19"/>
  <c r="AS52" i="19"/>
  <c r="BZ52" i="19"/>
  <c r="P51" i="19"/>
  <c r="DY51" i="19"/>
  <c r="DW51" i="19"/>
  <c r="DV51" i="19"/>
  <c r="DU51" i="19"/>
  <c r="DO51" i="19"/>
  <c r="DK51" i="19"/>
  <c r="DI51" i="19"/>
  <c r="DH51" i="19"/>
  <c r="DC51" i="19"/>
  <c r="DA51" i="19"/>
  <c r="CY51" i="19"/>
  <c r="CX51" i="19"/>
  <c r="CU51" i="19"/>
  <c r="CS51" i="19"/>
  <c r="CQ51" i="19"/>
  <c r="CM51" i="19"/>
  <c r="CL51" i="19"/>
  <c r="CK51" i="19"/>
  <c r="CH51" i="19"/>
  <c r="CD51" i="19"/>
  <c r="CB51" i="19"/>
  <c r="CA51" i="19"/>
  <c r="BZ51" i="19"/>
  <c r="BU51" i="19"/>
  <c r="BS51" i="19"/>
  <c r="BQ51" i="19"/>
  <c r="BP51" i="19"/>
  <c r="BM51" i="19"/>
  <c r="BK51" i="19"/>
  <c r="BI51" i="19"/>
  <c r="BE51" i="19"/>
  <c r="BD51" i="19"/>
  <c r="BC51" i="19"/>
  <c r="BA51" i="19"/>
  <c r="AW51" i="19"/>
  <c r="AU51" i="19"/>
  <c r="AT51" i="19"/>
  <c r="AS51" i="19"/>
  <c r="AO51" i="19"/>
  <c r="AM51" i="19"/>
  <c r="AK51" i="19"/>
  <c r="AJ51" i="19"/>
  <c r="AG51" i="19"/>
  <c r="AE51" i="19"/>
  <c r="AC51" i="19"/>
  <c r="Y51" i="19"/>
  <c r="X51" i="19"/>
  <c r="W51" i="19"/>
  <c r="U51" i="19"/>
  <c r="N51" i="19"/>
  <c r="L51" i="19"/>
  <c r="K51" i="19"/>
  <c r="J51" i="19"/>
  <c r="F51" i="19"/>
  <c r="DM51" i="19"/>
  <c r="P50" i="19"/>
  <c r="DY50" i="19"/>
  <c r="DW50" i="19"/>
  <c r="DV50" i="19"/>
  <c r="DU50" i="19"/>
  <c r="DC50" i="19"/>
  <c r="DB50" i="19"/>
  <c r="DA50" i="19"/>
  <c r="CY50" i="19"/>
  <c r="CM50" i="19"/>
  <c r="CK50" i="19"/>
  <c r="CH50" i="19"/>
  <c r="CG50" i="19"/>
  <c r="BT50" i="19"/>
  <c r="BS50" i="19"/>
  <c r="BQ50" i="19"/>
  <c r="BM50" i="19"/>
  <c r="BC50" i="19"/>
  <c r="BA50" i="19"/>
  <c r="AZ50" i="19"/>
  <c r="AW50" i="19"/>
  <c r="AM50" i="19"/>
  <c r="AK50" i="19"/>
  <c r="AG50" i="19"/>
  <c r="AE50" i="19"/>
  <c r="U50" i="19"/>
  <c r="T50" i="19"/>
  <c r="N50" i="19"/>
  <c r="L50" i="19"/>
  <c r="DW49" i="19"/>
  <c r="DV49" i="19"/>
  <c r="DU49" i="19"/>
  <c r="P49" i="19"/>
  <c r="DQ49" i="19"/>
  <c r="DD49" i="19"/>
  <c r="DC49" i="19"/>
  <c r="CQ49" i="19"/>
  <c r="CH49" i="19"/>
  <c r="CG49" i="19"/>
  <c r="BT49" i="19"/>
  <c r="BR49" i="19"/>
  <c r="BL49" i="19"/>
  <c r="BJ49" i="19"/>
  <c r="AX49" i="19"/>
  <c r="AP49" i="19"/>
  <c r="AO49" i="19"/>
  <c r="AC49" i="19"/>
  <c r="AB49" i="19"/>
  <c r="U49" i="19"/>
  <c r="T49" i="19"/>
  <c r="F49" i="19"/>
  <c r="DW48" i="19"/>
  <c r="DV48" i="19"/>
  <c r="DU48" i="19"/>
  <c r="P48" i="19"/>
  <c r="DS48" i="19"/>
  <c r="DQ48" i="19"/>
  <c r="DO48" i="19"/>
  <c r="DM48" i="19"/>
  <c r="DI48" i="19"/>
  <c r="DD48" i="19"/>
  <c r="DC48" i="19"/>
  <c r="DB48" i="19"/>
  <c r="CZ48" i="19"/>
  <c r="CY48" i="19"/>
  <c r="CU48" i="19"/>
  <c r="CT48" i="19"/>
  <c r="CR48" i="19"/>
  <c r="CQ48" i="19"/>
  <c r="CP48" i="19"/>
  <c r="CL48" i="19"/>
  <c r="CI48" i="19"/>
  <c r="CH48" i="19"/>
  <c r="CG48" i="19"/>
  <c r="CF48" i="19"/>
  <c r="CA48" i="19"/>
  <c r="BZ48" i="19"/>
  <c r="BY48" i="19"/>
  <c r="BX48" i="19"/>
  <c r="BV48" i="19"/>
  <c r="BQ48" i="19"/>
  <c r="BP48" i="19"/>
  <c r="BO48" i="19"/>
  <c r="BN48" i="19"/>
  <c r="BM48" i="19"/>
  <c r="BH48" i="19"/>
  <c r="BG48" i="19"/>
  <c r="BF48" i="19"/>
  <c r="BE48" i="19"/>
  <c r="BD48" i="19"/>
  <c r="AY48" i="19"/>
  <c r="AX48" i="19"/>
  <c r="AW48" i="19"/>
  <c r="AV48" i="19"/>
  <c r="AT48" i="19"/>
  <c r="AP48" i="19"/>
  <c r="AO48" i="19"/>
  <c r="AN48" i="19"/>
  <c r="AL48" i="19"/>
  <c r="AK48" i="19"/>
  <c r="AG48" i="19"/>
  <c r="AF48" i="19"/>
  <c r="AD48" i="19"/>
  <c r="AC48" i="19"/>
  <c r="AB48" i="19"/>
  <c r="X48" i="19"/>
  <c r="V48" i="19"/>
  <c r="U48" i="19"/>
  <c r="T48" i="19"/>
  <c r="S48" i="19"/>
  <c r="K48" i="19"/>
  <c r="J48" i="19"/>
  <c r="I48" i="19"/>
  <c r="H48" i="19"/>
  <c r="G48" i="19"/>
  <c r="DE48" i="19"/>
  <c r="DW47" i="19"/>
  <c r="DV47" i="19"/>
  <c r="DU47" i="19"/>
  <c r="P47" i="19"/>
  <c r="DS47" i="19"/>
  <c r="DQ47" i="19"/>
  <c r="DO47" i="19"/>
  <c r="DH47" i="19"/>
  <c r="DG47" i="19"/>
  <c r="DE47" i="19"/>
  <c r="DD47" i="19"/>
  <c r="DC47" i="19"/>
  <c r="CY47" i="19"/>
  <c r="CX47" i="19"/>
  <c r="CW47" i="19"/>
  <c r="CV47" i="19"/>
  <c r="CU47" i="19"/>
  <c r="CQ47" i="19"/>
  <c r="CP47" i="19"/>
  <c r="CO47" i="19"/>
  <c r="CN47" i="19"/>
  <c r="CM47" i="19"/>
  <c r="CH47" i="19"/>
  <c r="CG47" i="19"/>
  <c r="CF47" i="19"/>
  <c r="CE47" i="19"/>
  <c r="CD47" i="19"/>
  <c r="BZ47" i="19"/>
  <c r="BY47" i="19"/>
  <c r="BX47" i="19"/>
  <c r="BV47" i="19"/>
  <c r="BU47" i="19"/>
  <c r="BQ47" i="19"/>
  <c r="BP47" i="19"/>
  <c r="BO47" i="19"/>
  <c r="BN47" i="19"/>
  <c r="BM47" i="19"/>
  <c r="BI47" i="19"/>
  <c r="BH47" i="19"/>
  <c r="BG47" i="19"/>
  <c r="BF47" i="19"/>
  <c r="BE47" i="19"/>
  <c r="BA47" i="19"/>
  <c r="AZ47" i="19"/>
  <c r="AY47" i="19"/>
  <c r="AX47" i="19"/>
  <c r="AW47" i="19"/>
  <c r="AS47" i="19"/>
  <c r="AR47" i="19"/>
  <c r="AQ47" i="19"/>
  <c r="AP47" i="19"/>
  <c r="AO47" i="19"/>
  <c r="AK47" i="19"/>
  <c r="AJ47" i="19"/>
  <c r="AI47" i="19"/>
  <c r="AH47" i="19"/>
  <c r="AG47" i="19"/>
  <c r="AE47" i="19"/>
  <c r="AD47" i="19"/>
  <c r="AC47" i="19"/>
  <c r="AB47" i="19"/>
  <c r="AA47" i="19"/>
  <c r="Z47" i="19"/>
  <c r="Y47" i="19"/>
  <c r="W47" i="19"/>
  <c r="V47" i="19"/>
  <c r="U47" i="19"/>
  <c r="T47" i="19"/>
  <c r="S47" i="19"/>
  <c r="O47" i="19"/>
  <c r="N47" i="19"/>
  <c r="L47" i="19"/>
  <c r="K47" i="19"/>
  <c r="J47" i="19"/>
  <c r="I47" i="19"/>
  <c r="H47" i="19"/>
  <c r="G47" i="19"/>
  <c r="F47" i="19"/>
  <c r="DY47" i="19"/>
  <c r="DW46" i="19"/>
  <c r="DV46" i="19"/>
  <c r="DU46" i="19"/>
  <c r="P46" i="19"/>
  <c r="DS46" i="19"/>
  <c r="DQ46" i="19"/>
  <c r="DO46" i="19"/>
  <c r="DI46" i="19"/>
  <c r="DH46" i="19"/>
  <c r="DG46" i="19"/>
  <c r="DE46" i="19"/>
  <c r="DD46" i="19"/>
  <c r="DC46" i="19"/>
  <c r="DA46" i="19"/>
  <c r="CZ46" i="19"/>
  <c r="CY46" i="19"/>
  <c r="CX46" i="19"/>
  <c r="CW46" i="19"/>
  <c r="CV46" i="19"/>
  <c r="CU46" i="19"/>
  <c r="CS46" i="19"/>
  <c r="CR46" i="19"/>
  <c r="CQ46" i="19"/>
  <c r="CP46" i="19"/>
  <c r="CO46" i="19"/>
  <c r="CN46" i="19"/>
  <c r="CM46" i="19"/>
  <c r="CK46" i="19"/>
  <c r="CI46" i="19"/>
  <c r="CH46" i="19"/>
  <c r="CG46" i="19"/>
  <c r="CF46" i="19"/>
  <c r="CE46" i="19"/>
  <c r="CD46" i="19"/>
  <c r="CB46" i="19"/>
  <c r="CA46" i="19"/>
  <c r="BZ46" i="19"/>
  <c r="BY46" i="19"/>
  <c r="BX46" i="19"/>
  <c r="BV46" i="19"/>
  <c r="BU46" i="19"/>
  <c r="BS46" i="19"/>
  <c r="BR46" i="19"/>
  <c r="BQ46" i="19"/>
  <c r="BP46" i="19"/>
  <c r="BO46" i="19"/>
  <c r="BN46" i="19"/>
  <c r="BM46" i="19"/>
  <c r="BK46" i="19"/>
  <c r="BJ46" i="19"/>
  <c r="BI46" i="19"/>
  <c r="BH46" i="19"/>
  <c r="BG46" i="19"/>
  <c r="BF46" i="19"/>
  <c r="BE46" i="19"/>
  <c r="BC46" i="19"/>
  <c r="BB46" i="19"/>
  <c r="BA46" i="19"/>
  <c r="AZ46" i="19"/>
  <c r="AY46" i="19"/>
  <c r="AX46" i="19"/>
  <c r="AW46" i="19"/>
  <c r="AU46" i="19"/>
  <c r="AT46" i="19"/>
  <c r="AS46" i="19"/>
  <c r="AR46" i="19"/>
  <c r="AQ46" i="19"/>
  <c r="AP46" i="19"/>
  <c r="AO46" i="19"/>
  <c r="AM46" i="19"/>
  <c r="AL46" i="19"/>
  <c r="AK46" i="19"/>
  <c r="AJ46" i="19"/>
  <c r="AI46" i="19"/>
  <c r="AH46" i="19"/>
  <c r="AG46" i="19"/>
  <c r="AE46" i="19"/>
  <c r="AD46" i="19"/>
  <c r="AC46" i="19"/>
  <c r="AB46" i="19"/>
  <c r="AA46" i="19"/>
  <c r="Z46" i="19"/>
  <c r="Y46" i="19"/>
  <c r="W46" i="19"/>
  <c r="V46" i="19"/>
  <c r="U46" i="19"/>
  <c r="T46" i="19"/>
  <c r="S46" i="19"/>
  <c r="O46" i="19"/>
  <c r="N46" i="19"/>
  <c r="L46" i="19"/>
  <c r="K46" i="19"/>
  <c r="J46" i="19"/>
  <c r="I46" i="19"/>
  <c r="H46" i="19"/>
  <c r="G46" i="19"/>
  <c r="F46" i="19"/>
  <c r="DM46" i="19"/>
  <c r="P45" i="19"/>
  <c r="DY45" i="19"/>
  <c r="DW45" i="19"/>
  <c r="DV45" i="19"/>
  <c r="DU45" i="19"/>
  <c r="DS45" i="19"/>
  <c r="DQ45" i="19"/>
  <c r="DO45" i="19"/>
  <c r="DK45" i="19"/>
  <c r="DI45" i="19"/>
  <c r="DH45" i="19"/>
  <c r="DG45" i="19"/>
  <c r="DE45" i="19"/>
  <c r="DD45" i="19"/>
  <c r="DC45" i="19"/>
  <c r="DA45" i="19"/>
  <c r="CZ45" i="19"/>
  <c r="CY45" i="19"/>
  <c r="CX45" i="19"/>
  <c r="CW45" i="19"/>
  <c r="CV45" i="19"/>
  <c r="CU45" i="19"/>
  <c r="CS45" i="19"/>
  <c r="CR45" i="19"/>
  <c r="CQ45" i="19"/>
  <c r="CP45" i="19"/>
  <c r="CO45" i="19"/>
  <c r="CN45" i="19"/>
  <c r="CM45" i="19"/>
  <c r="CK45" i="19"/>
  <c r="CI45" i="19"/>
  <c r="CH45" i="19"/>
  <c r="CG45" i="19"/>
  <c r="CF45" i="19"/>
  <c r="CE45" i="19"/>
  <c r="CD45" i="19"/>
  <c r="CB45" i="19"/>
  <c r="CA45" i="19"/>
  <c r="BZ45" i="19"/>
  <c r="BY45" i="19"/>
  <c r="BX45" i="19"/>
  <c r="BV45" i="19"/>
  <c r="BU45" i="19"/>
  <c r="BS45" i="19"/>
  <c r="BR45" i="19"/>
  <c r="BQ45" i="19"/>
  <c r="BP45" i="19"/>
  <c r="BO45" i="19"/>
  <c r="BN45" i="19"/>
  <c r="BM45" i="19"/>
  <c r="BK45" i="19"/>
  <c r="BJ45" i="19"/>
  <c r="BI45" i="19"/>
  <c r="BH45" i="19"/>
  <c r="BG45" i="19"/>
  <c r="BF45" i="19"/>
  <c r="BE45" i="19"/>
  <c r="BC45" i="19"/>
  <c r="BB45" i="19"/>
  <c r="BA45" i="19"/>
  <c r="AZ45" i="19"/>
  <c r="AY45" i="19"/>
  <c r="AX45" i="19"/>
  <c r="AW45" i="19"/>
  <c r="AU45" i="19"/>
  <c r="AT45" i="19"/>
  <c r="AS45" i="19"/>
  <c r="AR45" i="19"/>
  <c r="AQ45" i="19"/>
  <c r="AP45" i="19"/>
  <c r="AO45" i="19"/>
  <c r="AM45" i="19"/>
  <c r="AL45" i="19"/>
  <c r="AK45" i="19"/>
  <c r="AJ45" i="19"/>
  <c r="AI45" i="19"/>
  <c r="AH45" i="19"/>
  <c r="AG45" i="19"/>
  <c r="AE45" i="19"/>
  <c r="AD45" i="19"/>
  <c r="AC45" i="19"/>
  <c r="AB45" i="19"/>
  <c r="AA45" i="19"/>
  <c r="Z45" i="19"/>
  <c r="Y45" i="19"/>
  <c r="W45" i="19"/>
  <c r="V45" i="19"/>
  <c r="U45" i="19"/>
  <c r="T45" i="19"/>
  <c r="S45" i="19"/>
  <c r="O45" i="19"/>
  <c r="N45" i="19"/>
  <c r="L45" i="19"/>
  <c r="K45" i="19"/>
  <c r="J45" i="19"/>
  <c r="I45" i="19"/>
  <c r="H45" i="19"/>
  <c r="G45" i="19"/>
  <c r="F45" i="19"/>
  <c r="DM45" i="19"/>
  <c r="P44" i="19"/>
  <c r="DY44" i="19"/>
  <c r="DW44" i="19"/>
  <c r="DV44" i="19"/>
  <c r="DU44" i="19"/>
  <c r="DS44" i="19"/>
  <c r="DQ44" i="19"/>
  <c r="DO44" i="19"/>
  <c r="DK44" i="19"/>
  <c r="DI44" i="19"/>
  <c r="DH44" i="19"/>
  <c r="DG44" i="19"/>
  <c r="DE44" i="19"/>
  <c r="DD44" i="19"/>
  <c r="DC44" i="19"/>
  <c r="DA44" i="19"/>
  <c r="CZ44" i="19"/>
  <c r="CY44" i="19"/>
  <c r="CX44" i="19"/>
  <c r="CW44" i="19"/>
  <c r="CV44" i="19"/>
  <c r="CU44" i="19"/>
  <c r="CS44" i="19"/>
  <c r="CR44" i="19"/>
  <c r="CQ44" i="19"/>
  <c r="CP44" i="19"/>
  <c r="CO44" i="19"/>
  <c r="CN44" i="19"/>
  <c r="CM44" i="19"/>
  <c r="CK44" i="19"/>
  <c r="CI44" i="19"/>
  <c r="CH44" i="19"/>
  <c r="CG44" i="19"/>
  <c r="CF44" i="19"/>
  <c r="CE44" i="19"/>
  <c r="CD44" i="19"/>
  <c r="CB44" i="19"/>
  <c r="CA44" i="19"/>
  <c r="BZ44" i="19"/>
  <c r="BY44" i="19"/>
  <c r="BX44" i="19"/>
  <c r="BV44" i="19"/>
  <c r="BU44" i="19"/>
  <c r="BS44" i="19"/>
  <c r="BR44" i="19"/>
  <c r="BQ44" i="19"/>
  <c r="BP44" i="19"/>
  <c r="BO44" i="19"/>
  <c r="BN44" i="19"/>
  <c r="BM44" i="19"/>
  <c r="BK44" i="19"/>
  <c r="BJ44" i="19"/>
  <c r="BI44" i="19"/>
  <c r="BH44" i="19"/>
  <c r="BG44" i="19"/>
  <c r="BF44" i="19"/>
  <c r="BE44" i="19"/>
  <c r="BC44" i="19"/>
  <c r="BB44" i="19"/>
  <c r="BA44" i="19"/>
  <c r="AZ44" i="19"/>
  <c r="AY44" i="19"/>
  <c r="AX44" i="19"/>
  <c r="AW44" i="19"/>
  <c r="AU44" i="19"/>
  <c r="AT44" i="19"/>
  <c r="AS44" i="19"/>
  <c r="AR44" i="19"/>
  <c r="AQ44" i="19"/>
  <c r="AP44" i="19"/>
  <c r="AO44" i="19"/>
  <c r="AM44" i="19"/>
  <c r="AL44" i="19"/>
  <c r="AK44" i="19"/>
  <c r="AJ44" i="19"/>
  <c r="AI44" i="19"/>
  <c r="AH44" i="19"/>
  <c r="AG44" i="19"/>
  <c r="AE44" i="19"/>
  <c r="AD44" i="19"/>
  <c r="AC44" i="19"/>
  <c r="AB44" i="19"/>
  <c r="AA44" i="19"/>
  <c r="Z44" i="19"/>
  <c r="Y44" i="19"/>
  <c r="W44" i="19"/>
  <c r="V44" i="19"/>
  <c r="U44" i="19"/>
  <c r="T44" i="19"/>
  <c r="S44" i="19"/>
  <c r="O44" i="19"/>
  <c r="N44" i="19"/>
  <c r="L44" i="19"/>
  <c r="K44" i="19"/>
  <c r="J44" i="19"/>
  <c r="I44" i="19"/>
  <c r="H44" i="19"/>
  <c r="G44" i="19"/>
  <c r="F44" i="19"/>
  <c r="DM44" i="19"/>
  <c r="P43" i="19"/>
  <c r="DY43" i="19"/>
  <c r="DW43" i="19"/>
  <c r="DV43" i="19"/>
  <c r="DU43" i="19"/>
  <c r="DS43" i="19"/>
  <c r="DQ43" i="19"/>
  <c r="DO43" i="19"/>
  <c r="DK43" i="19"/>
  <c r="DI43" i="19"/>
  <c r="DH43" i="19"/>
  <c r="DG43" i="19"/>
  <c r="DE43" i="19"/>
  <c r="DD43" i="19"/>
  <c r="DC43" i="19"/>
  <c r="DA43" i="19"/>
  <c r="CZ43" i="19"/>
  <c r="CY43" i="19"/>
  <c r="CX43" i="19"/>
  <c r="CW43" i="19"/>
  <c r="CV43" i="19"/>
  <c r="CU43" i="19"/>
  <c r="CS43" i="19"/>
  <c r="CR43" i="19"/>
  <c r="CQ43" i="19"/>
  <c r="CP43" i="19"/>
  <c r="CO43" i="19"/>
  <c r="CN43" i="19"/>
  <c r="CM43" i="19"/>
  <c r="CK43" i="19"/>
  <c r="CI43" i="19"/>
  <c r="CH43" i="19"/>
  <c r="CG43" i="19"/>
  <c r="CF43" i="19"/>
  <c r="CE43" i="19"/>
  <c r="CD43" i="19"/>
  <c r="CB43" i="19"/>
  <c r="CA43" i="19"/>
  <c r="BZ43" i="19"/>
  <c r="BY43" i="19"/>
  <c r="BX43" i="19"/>
  <c r="BV43" i="19"/>
  <c r="BU43" i="19"/>
  <c r="BS43" i="19"/>
  <c r="BR43" i="19"/>
  <c r="BQ43" i="19"/>
  <c r="BP43" i="19"/>
  <c r="BO43" i="19"/>
  <c r="BN43" i="19"/>
  <c r="BM43" i="19"/>
  <c r="BK43" i="19"/>
  <c r="BJ43" i="19"/>
  <c r="BI43" i="19"/>
  <c r="BH43" i="19"/>
  <c r="BG43" i="19"/>
  <c r="BF43" i="19"/>
  <c r="BE43" i="19"/>
  <c r="BC43" i="19"/>
  <c r="BB43" i="19"/>
  <c r="BA43" i="19"/>
  <c r="AZ43" i="19"/>
  <c r="AY43" i="19"/>
  <c r="AX43" i="19"/>
  <c r="AW43" i="19"/>
  <c r="AU43" i="19"/>
  <c r="AT43" i="19"/>
  <c r="AS43" i="19"/>
  <c r="AR43" i="19"/>
  <c r="AQ43" i="19"/>
  <c r="AP43" i="19"/>
  <c r="AO43" i="19"/>
  <c r="AM43" i="19"/>
  <c r="AL43" i="19"/>
  <c r="AK43" i="19"/>
  <c r="AJ43" i="19"/>
  <c r="AI43" i="19"/>
  <c r="AH43" i="19"/>
  <c r="AG43" i="19"/>
  <c r="AE43" i="19"/>
  <c r="AD43" i="19"/>
  <c r="AC43" i="19"/>
  <c r="AB43" i="19"/>
  <c r="AA43" i="19"/>
  <c r="Z43" i="19"/>
  <c r="Y43" i="19"/>
  <c r="W43" i="19"/>
  <c r="V43" i="19"/>
  <c r="U43" i="19"/>
  <c r="T43" i="19"/>
  <c r="S43" i="19"/>
  <c r="O43" i="19"/>
  <c r="N43" i="19"/>
  <c r="L43" i="19"/>
  <c r="K43" i="19"/>
  <c r="J43" i="19"/>
  <c r="I43" i="19"/>
  <c r="H43" i="19"/>
  <c r="G43" i="19"/>
  <c r="F43" i="19"/>
  <c r="DM43" i="19"/>
  <c r="P42" i="19"/>
  <c r="DY42" i="19"/>
  <c r="DW42" i="19"/>
  <c r="DV42" i="19"/>
  <c r="DU42" i="19"/>
  <c r="DS42" i="19"/>
  <c r="DQ42" i="19"/>
  <c r="DO42" i="19"/>
  <c r="DK42" i="19"/>
  <c r="DI42" i="19"/>
  <c r="DH42" i="19"/>
  <c r="DG42" i="19"/>
  <c r="DE42" i="19"/>
  <c r="DD42" i="19"/>
  <c r="DC42" i="19"/>
  <c r="DA42" i="19"/>
  <c r="CZ42" i="19"/>
  <c r="CY42" i="19"/>
  <c r="CX42" i="19"/>
  <c r="CW42" i="19"/>
  <c r="CV42" i="19"/>
  <c r="CU42" i="19"/>
  <c r="CS42" i="19"/>
  <c r="CR42" i="19"/>
  <c r="CQ42" i="19"/>
  <c r="CP42" i="19"/>
  <c r="CO42" i="19"/>
  <c r="CN42" i="19"/>
  <c r="CM42" i="19"/>
  <c r="CK42" i="19"/>
  <c r="CI42" i="19"/>
  <c r="CH42" i="19"/>
  <c r="CG42" i="19"/>
  <c r="CF42" i="19"/>
  <c r="CE42" i="19"/>
  <c r="CD42" i="19"/>
  <c r="CB42" i="19"/>
  <c r="CA42" i="19"/>
  <c r="BZ42" i="19"/>
  <c r="BY42" i="19"/>
  <c r="BX42" i="19"/>
  <c r="BV42" i="19"/>
  <c r="BU42" i="19"/>
  <c r="BS42" i="19"/>
  <c r="BR42" i="19"/>
  <c r="BQ42" i="19"/>
  <c r="BP42" i="19"/>
  <c r="BO42" i="19"/>
  <c r="BN42" i="19"/>
  <c r="BM42" i="19"/>
  <c r="BK42" i="19"/>
  <c r="BJ42" i="19"/>
  <c r="BI42" i="19"/>
  <c r="BH42" i="19"/>
  <c r="BG42" i="19"/>
  <c r="BF42" i="19"/>
  <c r="BE42" i="19"/>
  <c r="BC42" i="19"/>
  <c r="BB42" i="19"/>
  <c r="BA42" i="19"/>
  <c r="AZ42" i="19"/>
  <c r="AY42" i="19"/>
  <c r="AX42" i="19"/>
  <c r="AW42" i="19"/>
  <c r="AU42" i="19"/>
  <c r="AT42" i="19"/>
  <c r="AS42" i="19"/>
  <c r="AR42" i="19"/>
  <c r="AQ42" i="19"/>
  <c r="AP42" i="19"/>
  <c r="AO42" i="19"/>
  <c r="AM42" i="19"/>
  <c r="AL42" i="19"/>
  <c r="AK42" i="19"/>
  <c r="AJ42" i="19"/>
  <c r="AI42" i="19"/>
  <c r="AH42" i="19"/>
  <c r="AG42" i="19"/>
  <c r="AE42" i="19"/>
  <c r="AD42" i="19"/>
  <c r="AC42" i="19"/>
  <c r="AB42" i="19"/>
  <c r="AA42" i="19"/>
  <c r="Z42" i="19"/>
  <c r="Y42" i="19"/>
  <c r="W42" i="19"/>
  <c r="V42" i="19"/>
  <c r="U42" i="19"/>
  <c r="T42" i="19"/>
  <c r="S42" i="19"/>
  <c r="O42" i="19"/>
  <c r="N42" i="19"/>
  <c r="L42" i="19"/>
  <c r="K42" i="19"/>
  <c r="J42" i="19"/>
  <c r="I42" i="19"/>
  <c r="H42" i="19"/>
  <c r="G42" i="19"/>
  <c r="F42" i="19"/>
  <c r="DM42" i="19"/>
  <c r="P41" i="19"/>
  <c r="DY41" i="19"/>
  <c r="DW41" i="19"/>
  <c r="DV41" i="19"/>
  <c r="DU41" i="19"/>
  <c r="DS41" i="19"/>
  <c r="DQ41" i="19"/>
  <c r="DO41" i="19"/>
  <c r="DK41" i="19"/>
  <c r="DI41" i="19"/>
  <c r="DH41" i="19"/>
  <c r="DG41" i="19"/>
  <c r="DE41" i="19"/>
  <c r="DD41" i="19"/>
  <c r="DC41" i="19"/>
  <c r="DA41" i="19"/>
  <c r="CZ41" i="19"/>
  <c r="CY41" i="19"/>
  <c r="CX41" i="19"/>
  <c r="CW41" i="19"/>
  <c r="CV41" i="19"/>
  <c r="CU41" i="19"/>
  <c r="CS41" i="19"/>
  <c r="CR41" i="19"/>
  <c r="CQ41" i="19"/>
  <c r="CP41" i="19"/>
  <c r="CO41" i="19"/>
  <c r="CN41" i="19"/>
  <c r="CM41" i="19"/>
  <c r="CK41" i="19"/>
  <c r="CI41" i="19"/>
  <c r="CH41" i="19"/>
  <c r="CG41" i="19"/>
  <c r="CF41" i="19"/>
  <c r="CE41" i="19"/>
  <c r="CD41" i="19"/>
  <c r="CB41" i="19"/>
  <c r="CA41" i="19"/>
  <c r="BZ41" i="19"/>
  <c r="BY41" i="19"/>
  <c r="BX41" i="19"/>
  <c r="BV41" i="19"/>
  <c r="BU41" i="19"/>
  <c r="BS41" i="19"/>
  <c r="BR41" i="19"/>
  <c r="BQ41" i="19"/>
  <c r="BP41" i="19"/>
  <c r="BO41" i="19"/>
  <c r="BN41" i="19"/>
  <c r="BM41" i="19"/>
  <c r="BK41" i="19"/>
  <c r="BJ41" i="19"/>
  <c r="BI41" i="19"/>
  <c r="BH41" i="19"/>
  <c r="BG41" i="19"/>
  <c r="BF41" i="19"/>
  <c r="BE41" i="19"/>
  <c r="BC41" i="19"/>
  <c r="BB41" i="19"/>
  <c r="BA41" i="19"/>
  <c r="AZ41" i="19"/>
  <c r="AY41" i="19"/>
  <c r="AX41" i="19"/>
  <c r="AW41" i="19"/>
  <c r="AU41" i="19"/>
  <c r="AT41" i="19"/>
  <c r="AS41" i="19"/>
  <c r="AR41" i="19"/>
  <c r="AQ41" i="19"/>
  <c r="AP41" i="19"/>
  <c r="AO41" i="19"/>
  <c r="AM41" i="19"/>
  <c r="AL41" i="19"/>
  <c r="AK41" i="19"/>
  <c r="AJ41" i="19"/>
  <c r="AI41" i="19"/>
  <c r="AH41" i="19"/>
  <c r="AG41" i="19"/>
  <c r="AE41" i="19"/>
  <c r="AD41" i="19"/>
  <c r="AC41" i="19"/>
  <c r="AB41" i="19"/>
  <c r="AA41" i="19"/>
  <c r="Z41" i="19"/>
  <c r="Y41" i="19"/>
  <c r="W41" i="19"/>
  <c r="V41" i="19"/>
  <c r="U41" i="19"/>
  <c r="T41" i="19"/>
  <c r="S41" i="19"/>
  <c r="O41" i="19"/>
  <c r="N41" i="19"/>
  <c r="L41" i="19"/>
  <c r="K41" i="19"/>
  <c r="J41" i="19"/>
  <c r="I41" i="19"/>
  <c r="H41" i="19"/>
  <c r="G41" i="19"/>
  <c r="F41" i="19"/>
  <c r="DM41" i="19"/>
  <c r="P40" i="19"/>
  <c r="DY40" i="19"/>
  <c r="DW40" i="19"/>
  <c r="DV40" i="19"/>
  <c r="DU40" i="19"/>
  <c r="DS40" i="19"/>
  <c r="DQ40" i="19"/>
  <c r="DO40" i="19"/>
  <c r="DK40" i="19"/>
  <c r="DI40" i="19"/>
  <c r="DH40" i="19"/>
  <c r="DG40" i="19"/>
  <c r="DE40" i="19"/>
  <c r="DD40" i="19"/>
  <c r="DC40" i="19"/>
  <c r="DA40" i="19"/>
  <c r="CZ40" i="19"/>
  <c r="CY40" i="19"/>
  <c r="CX40" i="19"/>
  <c r="CW40" i="19"/>
  <c r="CV40" i="19"/>
  <c r="CU40" i="19"/>
  <c r="CS40" i="19"/>
  <c r="CR40" i="19"/>
  <c r="CQ40" i="19"/>
  <c r="CP40" i="19"/>
  <c r="CO40" i="19"/>
  <c r="CN40" i="19"/>
  <c r="CM40" i="19"/>
  <c r="CK40" i="19"/>
  <c r="CI40" i="19"/>
  <c r="CH40" i="19"/>
  <c r="CG40" i="19"/>
  <c r="CF40" i="19"/>
  <c r="CE40" i="19"/>
  <c r="CD40" i="19"/>
  <c r="CB40" i="19"/>
  <c r="CA40" i="19"/>
  <c r="BZ40" i="19"/>
  <c r="BY40" i="19"/>
  <c r="BX40" i="19"/>
  <c r="BV40" i="19"/>
  <c r="BU40" i="19"/>
  <c r="BS40" i="19"/>
  <c r="BR40" i="19"/>
  <c r="BQ40" i="19"/>
  <c r="BP40" i="19"/>
  <c r="BO40" i="19"/>
  <c r="BN40" i="19"/>
  <c r="BM40" i="19"/>
  <c r="BK40" i="19"/>
  <c r="BJ40" i="19"/>
  <c r="BI40" i="19"/>
  <c r="BH40" i="19"/>
  <c r="BG40" i="19"/>
  <c r="BF40" i="19"/>
  <c r="BE40" i="19"/>
  <c r="BC40" i="19"/>
  <c r="BB40" i="19"/>
  <c r="BA40" i="19"/>
  <c r="AZ40" i="19"/>
  <c r="AY40" i="19"/>
  <c r="AX40" i="19"/>
  <c r="AW40" i="19"/>
  <c r="AU40" i="19"/>
  <c r="AT40" i="19"/>
  <c r="AS40" i="19"/>
  <c r="AR40" i="19"/>
  <c r="AQ40" i="19"/>
  <c r="AP40" i="19"/>
  <c r="AO40" i="19"/>
  <c r="AM40" i="19"/>
  <c r="AL40" i="19"/>
  <c r="AK40" i="19"/>
  <c r="AJ40" i="19"/>
  <c r="AI40" i="19"/>
  <c r="AH40" i="19"/>
  <c r="AG40" i="19"/>
  <c r="AE40" i="19"/>
  <c r="AD40" i="19"/>
  <c r="AC40" i="19"/>
  <c r="AB40" i="19"/>
  <c r="AA40" i="19"/>
  <c r="Z40" i="19"/>
  <c r="Y40" i="19"/>
  <c r="W40" i="19"/>
  <c r="V40" i="19"/>
  <c r="U40" i="19"/>
  <c r="T40" i="19"/>
  <c r="S40" i="19"/>
  <c r="O40" i="19"/>
  <c r="N40" i="19"/>
  <c r="L40" i="19"/>
  <c r="K40" i="19"/>
  <c r="J40" i="19"/>
  <c r="I40" i="19"/>
  <c r="H40" i="19"/>
  <c r="G40" i="19"/>
  <c r="F40" i="19"/>
  <c r="DM40" i="19"/>
  <c r="P39" i="19"/>
  <c r="DY39" i="19"/>
  <c r="DW39" i="19"/>
  <c r="DV39" i="19"/>
  <c r="DU39" i="19"/>
  <c r="DS39" i="19"/>
  <c r="DQ39" i="19"/>
  <c r="DO39" i="19"/>
  <c r="DK39" i="19"/>
  <c r="DI39" i="19"/>
  <c r="DH39" i="19"/>
  <c r="DG39" i="19"/>
  <c r="DE39" i="19"/>
  <c r="DD39" i="19"/>
  <c r="DC39" i="19"/>
  <c r="DA39" i="19"/>
  <c r="CZ39" i="19"/>
  <c r="CY39" i="19"/>
  <c r="CX39" i="19"/>
  <c r="CW39" i="19"/>
  <c r="CV39" i="19"/>
  <c r="CU39" i="19"/>
  <c r="CS39" i="19"/>
  <c r="CR39" i="19"/>
  <c r="CQ39" i="19"/>
  <c r="CP39" i="19"/>
  <c r="CO39" i="19"/>
  <c r="CN39" i="19"/>
  <c r="CM39" i="19"/>
  <c r="CK39" i="19"/>
  <c r="CI39" i="19"/>
  <c r="CH39" i="19"/>
  <c r="CG39" i="19"/>
  <c r="CF39" i="19"/>
  <c r="CE39" i="19"/>
  <c r="CD39" i="19"/>
  <c r="CB39" i="19"/>
  <c r="CA39" i="19"/>
  <c r="BZ39" i="19"/>
  <c r="BY39" i="19"/>
  <c r="BX39" i="19"/>
  <c r="BV39" i="19"/>
  <c r="BU39" i="19"/>
  <c r="BS39" i="19"/>
  <c r="BR39" i="19"/>
  <c r="BQ39" i="19"/>
  <c r="BP39" i="19"/>
  <c r="BO39" i="19"/>
  <c r="BN39" i="19"/>
  <c r="BM39" i="19"/>
  <c r="BK39" i="19"/>
  <c r="BJ39" i="19"/>
  <c r="BI39" i="19"/>
  <c r="BH39" i="19"/>
  <c r="BG39" i="19"/>
  <c r="BF39" i="19"/>
  <c r="BE39" i="19"/>
  <c r="BC39" i="19"/>
  <c r="BB39" i="19"/>
  <c r="BA39" i="19"/>
  <c r="AZ39" i="19"/>
  <c r="AY39" i="19"/>
  <c r="AX39" i="19"/>
  <c r="AW39" i="19"/>
  <c r="AU39" i="19"/>
  <c r="AT39" i="19"/>
  <c r="AS39" i="19"/>
  <c r="AR39" i="19"/>
  <c r="AQ39" i="19"/>
  <c r="AP39" i="19"/>
  <c r="AO39" i="19"/>
  <c r="AM39" i="19"/>
  <c r="AL39" i="19"/>
  <c r="AK39" i="19"/>
  <c r="AJ39" i="19"/>
  <c r="AI39" i="19"/>
  <c r="AH39" i="19"/>
  <c r="AG39" i="19"/>
  <c r="AE39" i="19"/>
  <c r="AD39" i="19"/>
  <c r="AC39" i="19"/>
  <c r="AB39" i="19"/>
  <c r="AA39" i="19"/>
  <c r="Z39" i="19"/>
  <c r="Y39" i="19"/>
  <c r="W39" i="19"/>
  <c r="V39" i="19"/>
  <c r="U39" i="19"/>
  <c r="T39" i="19"/>
  <c r="S39" i="19"/>
  <c r="O39" i="19"/>
  <c r="N39" i="19"/>
  <c r="L39" i="19"/>
  <c r="K39" i="19"/>
  <c r="J39" i="19"/>
  <c r="I39" i="19"/>
  <c r="H39" i="19"/>
  <c r="G39" i="19"/>
  <c r="F39" i="19"/>
  <c r="DM39" i="19"/>
  <c r="DW38" i="19"/>
  <c r="DV38" i="19"/>
  <c r="DU38" i="19"/>
  <c r="P38" i="19"/>
  <c r="DQ38" i="19"/>
  <c r="DD38" i="19"/>
  <c r="CN38" i="19"/>
  <c r="CI38" i="19"/>
  <c r="CD38" i="19"/>
  <c r="CB38" i="19"/>
  <c r="BZ38" i="19"/>
  <c r="BI38" i="19"/>
  <c r="BH38" i="19"/>
  <c r="BA38" i="19"/>
  <c r="AX38" i="19"/>
  <c r="AQ38" i="19"/>
  <c r="AP38" i="19"/>
  <c r="AA38" i="19"/>
  <c r="Y38" i="19"/>
  <c r="X38" i="19"/>
  <c r="S38" i="19"/>
  <c r="M38" i="19"/>
  <c r="G38" i="19"/>
  <c r="CW38" i="19"/>
  <c r="DW37" i="19"/>
  <c r="DV37" i="19"/>
  <c r="DU37" i="19"/>
  <c r="P37" i="19"/>
  <c r="DS37" i="19"/>
  <c r="DQ37" i="19"/>
  <c r="DO37" i="19"/>
  <c r="DE37" i="19"/>
  <c r="CV37" i="19"/>
  <c r="CU37" i="19"/>
  <c r="CT37" i="19"/>
  <c r="CN37" i="19"/>
  <c r="CL37" i="19"/>
  <c r="CF37" i="19"/>
  <c r="BX37" i="19"/>
  <c r="BT37" i="19"/>
  <c r="BO37" i="19"/>
  <c r="BN37" i="19"/>
  <c r="BL37" i="19"/>
  <c r="BG37" i="19"/>
  <c r="AX37" i="19"/>
  <c r="AW37" i="19"/>
  <c r="AQ37" i="19"/>
  <c r="AP37" i="19"/>
  <c r="AN37" i="19"/>
  <c r="AH37" i="19"/>
  <c r="Z37" i="19"/>
  <c r="X37" i="19"/>
  <c r="S37" i="19"/>
  <c r="N37" i="19"/>
  <c r="M37" i="19"/>
  <c r="H37" i="19"/>
  <c r="DB37" i="19"/>
  <c r="DW36" i="19"/>
  <c r="DV36" i="19"/>
  <c r="DU36" i="19"/>
  <c r="P36" i="19"/>
  <c r="DS36" i="19"/>
  <c r="DQ36" i="19"/>
  <c r="DO36" i="19"/>
  <c r="DD36" i="19"/>
  <c r="CV36" i="19"/>
  <c r="CU36" i="19"/>
  <c r="CO36" i="19"/>
  <c r="CM36" i="19"/>
  <c r="CL36" i="19"/>
  <c r="CF36" i="19"/>
  <c r="BV36" i="19"/>
  <c r="BT36" i="19"/>
  <c r="BO36" i="19"/>
  <c r="BN36" i="19"/>
  <c r="BG36" i="19"/>
  <c r="BF36" i="19"/>
  <c r="AX36" i="19"/>
  <c r="AW36" i="19"/>
  <c r="AP36" i="19"/>
  <c r="AO36" i="19"/>
  <c r="AN36" i="19"/>
  <c r="AH36" i="19"/>
  <c r="Y36" i="19"/>
  <c r="X36" i="19"/>
  <c r="S36" i="19"/>
  <c r="N36" i="19"/>
  <c r="H36" i="19"/>
  <c r="G36" i="19"/>
  <c r="DB36" i="19"/>
  <c r="DW35" i="19"/>
  <c r="DV35" i="19"/>
  <c r="DU35" i="19"/>
  <c r="P35" i="19"/>
  <c r="DQ35" i="19"/>
  <c r="DO35" i="19"/>
  <c r="DM35" i="19"/>
  <c r="DE35" i="19"/>
  <c r="DD35" i="19"/>
  <c r="DC35" i="19"/>
  <c r="DB35" i="19"/>
  <c r="CU35" i="19"/>
  <c r="CT35" i="19"/>
  <c r="CO35" i="19"/>
  <c r="CN35" i="19"/>
  <c r="CM35" i="19"/>
  <c r="CL35" i="19"/>
  <c r="CE35" i="19"/>
  <c r="CC35" i="19"/>
  <c r="BX35" i="19"/>
  <c r="BV35" i="19"/>
  <c r="BU35" i="19"/>
  <c r="BT35" i="19"/>
  <c r="BO35" i="19"/>
  <c r="BN35" i="19"/>
  <c r="BL35" i="19"/>
  <c r="BH35" i="19"/>
  <c r="BG35" i="19"/>
  <c r="BF35" i="19"/>
  <c r="BD35" i="19"/>
  <c r="AZ35" i="19"/>
  <c r="AY35" i="19"/>
  <c r="AW35" i="19"/>
  <c r="AV35" i="19"/>
  <c r="AR35" i="19"/>
  <c r="AP35" i="19"/>
  <c r="AO35" i="19"/>
  <c r="AN35" i="19"/>
  <c r="AJ35" i="19"/>
  <c r="AH35" i="19"/>
  <c r="AG35" i="19"/>
  <c r="AB35" i="19"/>
  <c r="AA35" i="19"/>
  <c r="Z35" i="19"/>
  <c r="Y35" i="19"/>
  <c r="X35" i="19"/>
  <c r="S35" i="19"/>
  <c r="N35" i="19"/>
  <c r="M35" i="19"/>
  <c r="I35" i="19"/>
  <c r="H35" i="19"/>
  <c r="G35" i="19"/>
  <c r="F35" i="19"/>
  <c r="DW34" i="19"/>
  <c r="DV34" i="19"/>
  <c r="DU34" i="19"/>
  <c r="P34" i="19"/>
  <c r="DS34" i="19"/>
  <c r="DQ34" i="19"/>
  <c r="DO34" i="19"/>
  <c r="DM34" i="19"/>
  <c r="DD34" i="19"/>
  <c r="DC34" i="19"/>
  <c r="DB34" i="19"/>
  <c r="CX34" i="19"/>
  <c r="CW34" i="19"/>
  <c r="CV34" i="19"/>
  <c r="CU34" i="19"/>
  <c r="CO34" i="19"/>
  <c r="CN34" i="19"/>
  <c r="CM34" i="19"/>
  <c r="CL34" i="19"/>
  <c r="CG34" i="19"/>
  <c r="CF34" i="19"/>
  <c r="CD34" i="19"/>
  <c r="BY34" i="19"/>
  <c r="BX34" i="19"/>
  <c r="BV34" i="19"/>
  <c r="BU34" i="19"/>
  <c r="BT34" i="19"/>
  <c r="BO34" i="19"/>
  <c r="BN34" i="19"/>
  <c r="BL34" i="19"/>
  <c r="BH34" i="19"/>
  <c r="BG34" i="19"/>
  <c r="BF34" i="19"/>
  <c r="BD34" i="19"/>
  <c r="AZ34" i="19"/>
  <c r="AY34" i="19"/>
  <c r="AW34" i="19"/>
  <c r="AV34" i="19"/>
  <c r="AR34" i="19"/>
  <c r="AP34" i="19"/>
  <c r="AO34" i="19"/>
  <c r="AN34" i="19"/>
  <c r="AJ34" i="19"/>
  <c r="AH34" i="19"/>
  <c r="AG34" i="19"/>
  <c r="AB34" i="19"/>
  <c r="AA34" i="19"/>
  <c r="Z34" i="19"/>
  <c r="Y34" i="19"/>
  <c r="X34" i="19"/>
  <c r="S34" i="19"/>
  <c r="N34" i="19"/>
  <c r="M34" i="19"/>
  <c r="I34" i="19"/>
  <c r="H34" i="19"/>
  <c r="G34" i="19"/>
  <c r="F34" i="19"/>
  <c r="DW33" i="19"/>
  <c r="DV33" i="19"/>
  <c r="DU33" i="19"/>
  <c r="P33" i="19"/>
  <c r="DS33" i="19"/>
  <c r="DQ33" i="19"/>
  <c r="DO33" i="19"/>
  <c r="DM33" i="19"/>
  <c r="DD33" i="19"/>
  <c r="DC33" i="19"/>
  <c r="CW33" i="19"/>
  <c r="CV33" i="19"/>
  <c r="CU33" i="19"/>
  <c r="CO33" i="19"/>
  <c r="CN33" i="19"/>
  <c r="CM33" i="19"/>
  <c r="CF33" i="19"/>
  <c r="CD33" i="19"/>
  <c r="BY33" i="19"/>
  <c r="BX33" i="19"/>
  <c r="BV33" i="19"/>
  <c r="BU33" i="19"/>
  <c r="BN33" i="19"/>
  <c r="BL33" i="19"/>
  <c r="BH33" i="19"/>
  <c r="BG33" i="19"/>
  <c r="BF33" i="19"/>
  <c r="BD33" i="19"/>
  <c r="AW33" i="19"/>
  <c r="AV33" i="19"/>
  <c r="AR33" i="19"/>
  <c r="AP33" i="19"/>
  <c r="AO33" i="19"/>
  <c r="AN33" i="19"/>
  <c r="AG33" i="19"/>
  <c r="AB33" i="19"/>
  <c r="AA33" i="19"/>
  <c r="Z33" i="19"/>
  <c r="Y33" i="19"/>
  <c r="X33" i="19"/>
  <c r="N33" i="19"/>
  <c r="M33" i="19"/>
  <c r="K33" i="19"/>
  <c r="J33" i="19"/>
  <c r="I33" i="19"/>
  <c r="F33" i="19"/>
  <c r="CX33" i="19"/>
  <c r="DW32" i="19"/>
  <c r="DV32" i="19"/>
  <c r="DU32" i="19"/>
  <c r="P32" i="19"/>
  <c r="DS32" i="19"/>
  <c r="DQ32" i="19"/>
  <c r="DI32" i="19"/>
  <c r="DH32" i="19"/>
  <c r="DG32" i="19"/>
  <c r="DE32" i="19"/>
  <c r="DD32" i="19"/>
  <c r="DC32" i="19"/>
  <c r="CZ32" i="19"/>
  <c r="CX32" i="19"/>
  <c r="CW32" i="19"/>
  <c r="CV32" i="19"/>
  <c r="CU32" i="19"/>
  <c r="CT32" i="19"/>
  <c r="CQ32" i="19"/>
  <c r="CP32" i="19"/>
  <c r="CN32" i="19"/>
  <c r="CM32" i="19"/>
  <c r="CL32" i="19"/>
  <c r="CI32" i="19"/>
  <c r="CG32" i="19"/>
  <c r="CF32" i="19"/>
  <c r="CE32" i="19"/>
  <c r="CC32" i="19"/>
  <c r="CA32" i="19"/>
  <c r="BZ32" i="19"/>
  <c r="BX32" i="19"/>
  <c r="BV32" i="19"/>
  <c r="BU32" i="19"/>
  <c r="BT32" i="19"/>
  <c r="BQ32" i="19"/>
  <c r="BP32" i="19"/>
  <c r="BN32" i="19"/>
  <c r="BM32" i="19"/>
  <c r="BL32" i="19"/>
  <c r="BJ32" i="19"/>
  <c r="BI32" i="19"/>
  <c r="BG32" i="19"/>
  <c r="BE32" i="19"/>
  <c r="BD32" i="19"/>
  <c r="BB32" i="19"/>
  <c r="BA32" i="19"/>
  <c r="AZ32" i="19"/>
  <c r="AY32" i="19"/>
  <c r="AV32" i="19"/>
  <c r="AT32" i="19"/>
  <c r="AS32" i="19"/>
  <c r="AR32" i="19"/>
  <c r="AQ32" i="19"/>
  <c r="AP32" i="19"/>
  <c r="AO32" i="19"/>
  <c r="AK32" i="19"/>
  <c r="AJ32" i="19"/>
  <c r="AI32" i="19"/>
  <c r="AH32" i="19"/>
  <c r="AG32" i="19"/>
  <c r="AF32" i="19"/>
  <c r="AC32" i="19"/>
  <c r="AA32" i="19"/>
  <c r="Z32" i="19"/>
  <c r="Y32" i="19"/>
  <c r="X32" i="19"/>
  <c r="V32" i="19"/>
  <c r="T32" i="19"/>
  <c r="S32" i="19"/>
  <c r="N32" i="19"/>
  <c r="M32" i="19"/>
  <c r="K32" i="19"/>
  <c r="J32" i="19"/>
  <c r="H32" i="19"/>
  <c r="G32" i="19"/>
  <c r="F32" i="19"/>
  <c r="DW31" i="19"/>
  <c r="DV31" i="19"/>
  <c r="DU31" i="19"/>
  <c r="P31" i="19"/>
  <c r="DQ31" i="19"/>
  <c r="DO31" i="19"/>
  <c r="DM31" i="19"/>
  <c r="DI31" i="19"/>
  <c r="DG31" i="19"/>
  <c r="DE31" i="19"/>
  <c r="DC31" i="19"/>
  <c r="DB31" i="19"/>
  <c r="CZ31" i="19"/>
  <c r="CY31" i="19"/>
  <c r="CX31" i="19"/>
  <c r="CV31" i="19"/>
  <c r="CT31" i="19"/>
  <c r="CR31" i="19"/>
  <c r="CQ31" i="19"/>
  <c r="CP31" i="19"/>
  <c r="CO31" i="19"/>
  <c r="CN31" i="19"/>
  <c r="CI31" i="19"/>
  <c r="CH31" i="19"/>
  <c r="CG31" i="19"/>
  <c r="CF31" i="19"/>
  <c r="CE31" i="19"/>
  <c r="CD31" i="19"/>
  <c r="CC31" i="19"/>
  <c r="BY31" i="19"/>
  <c r="BX31" i="19"/>
  <c r="BV31" i="19"/>
  <c r="BU31" i="19"/>
  <c r="BT31" i="19"/>
  <c r="BR31" i="19"/>
  <c r="BP31" i="19"/>
  <c r="BN31" i="19"/>
  <c r="BM31" i="19"/>
  <c r="BL31" i="19"/>
  <c r="BJ31" i="19"/>
  <c r="BI31" i="19"/>
  <c r="BG31" i="19"/>
  <c r="BF31" i="19"/>
  <c r="BD31" i="19"/>
  <c r="BB31" i="19"/>
  <c r="BA31" i="19"/>
  <c r="AZ31" i="19"/>
  <c r="AX31" i="19"/>
  <c r="AW31" i="19"/>
  <c r="AV31" i="19"/>
  <c r="AS31" i="19"/>
  <c r="AR31" i="19"/>
  <c r="AQ31" i="19"/>
  <c r="AO31" i="19"/>
  <c r="AN31" i="19"/>
  <c r="AL31" i="19"/>
  <c r="AK31" i="19"/>
  <c r="AI31" i="19"/>
  <c r="AH31" i="19"/>
  <c r="AF31" i="19"/>
  <c r="AE31" i="19"/>
  <c r="AD31" i="19"/>
  <c r="AC31" i="19"/>
  <c r="AB31" i="19"/>
  <c r="Z31" i="19"/>
  <c r="X31" i="19"/>
  <c r="W31" i="19"/>
  <c r="V31" i="19"/>
  <c r="U31" i="19"/>
  <c r="T31" i="19"/>
  <c r="S31" i="19"/>
  <c r="M31" i="19"/>
  <c r="L31" i="19"/>
  <c r="K31" i="19"/>
  <c r="J31" i="19"/>
  <c r="I31" i="19"/>
  <c r="H31" i="19"/>
  <c r="G31" i="19"/>
  <c r="DW30" i="19"/>
  <c r="DV30" i="19"/>
  <c r="DU30" i="19"/>
  <c r="P30" i="19"/>
  <c r="DS30" i="19"/>
  <c r="DH30" i="19"/>
  <c r="DG30" i="19"/>
  <c r="CV30" i="19"/>
  <c r="CT30" i="19"/>
  <c r="CS30" i="19"/>
  <c r="CR30" i="19"/>
  <c r="CF30" i="19"/>
  <c r="CA30" i="19"/>
  <c r="BZ30" i="19"/>
  <c r="BY30" i="19"/>
  <c r="BL30" i="19"/>
  <c r="BK30" i="19"/>
  <c r="BJ30" i="19"/>
  <c r="BF30" i="19"/>
  <c r="AT30" i="19"/>
  <c r="AS30" i="19"/>
  <c r="AR30" i="19"/>
  <c r="AQ30" i="19"/>
  <c r="AG30" i="19"/>
  <c r="AF30" i="19"/>
  <c r="AA30" i="19"/>
  <c r="Z30" i="19"/>
  <c r="N30" i="19"/>
  <c r="M30" i="19"/>
  <c r="L30" i="19"/>
  <c r="J30" i="19"/>
  <c r="DB30" i="19"/>
  <c r="DW29" i="19"/>
  <c r="DV29" i="19"/>
  <c r="DU29" i="19"/>
  <c r="P29" i="19"/>
  <c r="DO29" i="19"/>
  <c r="DM29" i="19"/>
  <c r="DA29" i="19"/>
  <c r="CY29" i="19"/>
  <c r="CX29" i="19"/>
  <c r="CW29" i="19"/>
  <c r="CN29" i="19"/>
  <c r="CH29" i="19"/>
  <c r="CG29" i="19"/>
  <c r="CF29" i="19"/>
  <c r="BV29" i="19"/>
  <c r="BU29" i="19"/>
  <c r="BT29" i="19"/>
  <c r="BO29" i="19"/>
  <c r="BF29" i="19"/>
  <c r="BE29" i="19"/>
  <c r="BD29" i="19"/>
  <c r="BC29" i="19"/>
  <c r="AS29" i="19"/>
  <c r="AR29" i="19"/>
  <c r="AN29" i="19"/>
  <c r="AM29" i="19"/>
  <c r="AC29" i="19"/>
  <c r="AB29" i="19"/>
  <c r="AA29" i="19"/>
  <c r="Z29" i="19"/>
  <c r="N29" i="19"/>
  <c r="I29" i="19"/>
  <c r="H29" i="19"/>
  <c r="G29" i="19"/>
  <c r="DY29" i="19"/>
  <c r="DW28" i="19"/>
  <c r="DV28" i="19"/>
  <c r="DU28" i="19"/>
  <c r="P28" i="19"/>
  <c r="DS28" i="19"/>
  <c r="DQ28" i="19"/>
  <c r="DO28" i="19"/>
  <c r="CU28" i="19"/>
  <c r="CK28" i="19"/>
  <c r="CH28" i="19"/>
  <c r="CG28" i="19"/>
  <c r="BP28" i="19"/>
  <c r="BF28" i="19"/>
  <c r="BE28" i="19"/>
  <c r="AZ28" i="19"/>
  <c r="AO28" i="19"/>
  <c r="AF28" i="19"/>
  <c r="AE28" i="19"/>
  <c r="AC28" i="19"/>
  <c r="M28" i="19"/>
  <c r="P27" i="19"/>
  <c r="DY27" i="19"/>
  <c r="DW27" i="19"/>
  <c r="DV27" i="19"/>
  <c r="DU27" i="19"/>
  <c r="DE27" i="19"/>
  <c r="CV27" i="19"/>
  <c r="CU27" i="19"/>
  <c r="CQ27" i="19"/>
  <c r="CE27" i="19"/>
  <c r="BU27" i="19"/>
  <c r="BT27" i="19"/>
  <c r="BS27" i="19"/>
  <c r="BE27" i="19"/>
  <c r="AV27" i="19"/>
  <c r="AU27" i="19"/>
  <c r="AS27" i="19"/>
  <c r="AH27" i="19"/>
  <c r="Y27" i="19"/>
  <c r="X27" i="19"/>
  <c r="T27" i="19"/>
  <c r="F27" i="19"/>
  <c r="P26" i="19"/>
  <c r="DY26" i="19"/>
  <c r="DW26" i="19"/>
  <c r="DV26" i="19"/>
  <c r="DU26" i="19"/>
  <c r="DS26" i="19"/>
  <c r="DQ26" i="19"/>
  <c r="DO26" i="19"/>
  <c r="DM26" i="19"/>
  <c r="DK26" i="19"/>
  <c r="DH26" i="19"/>
  <c r="DD26" i="19"/>
  <c r="DC26" i="19"/>
  <c r="DB26" i="19"/>
  <c r="DA26" i="19"/>
  <c r="CY26" i="19"/>
  <c r="CX26" i="19"/>
  <c r="CU26" i="19"/>
  <c r="CT26" i="19"/>
  <c r="CS26" i="19"/>
  <c r="CQ26" i="19"/>
  <c r="CP26" i="19"/>
  <c r="CO26" i="19"/>
  <c r="CL26" i="19"/>
  <c r="CK26" i="19"/>
  <c r="CH26" i="19"/>
  <c r="CG26" i="19"/>
  <c r="CF26" i="19"/>
  <c r="CE26" i="19"/>
  <c r="CB26" i="19"/>
  <c r="BZ26" i="19"/>
  <c r="BY26" i="19"/>
  <c r="BX26" i="19"/>
  <c r="BV26" i="19"/>
  <c r="BU26" i="19"/>
  <c r="BQ26" i="19"/>
  <c r="BP26" i="19"/>
  <c r="BO26" i="19"/>
  <c r="BN26" i="19"/>
  <c r="BM26" i="19"/>
  <c r="BL26" i="19"/>
  <c r="BH26" i="19"/>
  <c r="BG26" i="19"/>
  <c r="BF26" i="19"/>
  <c r="BE26" i="19"/>
  <c r="BD26" i="19"/>
  <c r="BC26" i="19"/>
  <c r="AY26" i="19"/>
  <c r="AX26" i="19"/>
  <c r="AW26" i="19"/>
  <c r="AV26" i="19"/>
  <c r="AU26" i="19"/>
  <c r="AS26" i="19"/>
  <c r="AP26" i="19"/>
  <c r="AO26" i="19"/>
  <c r="AN26" i="19"/>
  <c r="AM26" i="19"/>
  <c r="AK26" i="19"/>
  <c r="AJ26" i="19"/>
  <c r="AG26" i="19"/>
  <c r="AF26" i="19"/>
  <c r="AE26" i="19"/>
  <c r="AC26" i="19"/>
  <c r="AB26" i="19"/>
  <c r="AA26" i="19"/>
  <c r="X26" i="19"/>
  <c r="W26" i="19"/>
  <c r="U26" i="19"/>
  <c r="T26" i="19"/>
  <c r="S26" i="19"/>
  <c r="O26" i="19"/>
  <c r="L26" i="19"/>
  <c r="J26" i="19"/>
  <c r="I26" i="19"/>
  <c r="H26" i="19"/>
  <c r="G26" i="19"/>
  <c r="F26" i="19"/>
  <c r="DE26" i="19"/>
  <c r="DW25" i="19"/>
  <c r="DV25" i="19"/>
  <c r="DU25" i="19"/>
  <c r="P25" i="19"/>
  <c r="DG25" i="19"/>
  <c r="DE25" i="19"/>
  <c r="DD25" i="19"/>
  <c r="CH25" i="19"/>
  <c r="CD25" i="19"/>
  <c r="BG25" i="19"/>
  <c r="BF25" i="19"/>
  <c r="AI25" i="19"/>
  <c r="AH25" i="19"/>
  <c r="AG25" i="19"/>
  <c r="F25" i="19"/>
  <c r="P24" i="19"/>
  <c r="DY24" i="19"/>
  <c r="DW24" i="19"/>
  <c r="DV24" i="19"/>
  <c r="DU24" i="19"/>
  <c r="DM24" i="19"/>
  <c r="DK24" i="19"/>
  <c r="DH24" i="19"/>
  <c r="DG24" i="19"/>
  <c r="CX24" i="19"/>
  <c r="CW24" i="19"/>
  <c r="CV24" i="19"/>
  <c r="CS24" i="19"/>
  <c r="CM24" i="19"/>
  <c r="CH24" i="19"/>
  <c r="CG24" i="19"/>
  <c r="CF24" i="19"/>
  <c r="BX24" i="19"/>
  <c r="BV24" i="19"/>
  <c r="BU24" i="19"/>
  <c r="BT24" i="19"/>
  <c r="BL24" i="19"/>
  <c r="BK24" i="19"/>
  <c r="BI24" i="19"/>
  <c r="BF24" i="19"/>
  <c r="AZ24" i="19"/>
  <c r="AW24" i="19"/>
  <c r="AV24" i="19"/>
  <c r="AU24" i="19"/>
  <c r="AM24" i="19"/>
  <c r="AK24" i="19"/>
  <c r="AJ24" i="19"/>
  <c r="AI24" i="19"/>
  <c r="AA24" i="19"/>
  <c r="Z24" i="19"/>
  <c r="Y24" i="19"/>
  <c r="U24" i="19"/>
  <c r="M24" i="19"/>
  <c r="I24" i="19"/>
  <c r="H24" i="19"/>
  <c r="G24" i="19"/>
  <c r="DA24" i="19"/>
  <c r="P23" i="19"/>
  <c r="DY23" i="19"/>
  <c r="DW23" i="19"/>
  <c r="DV23" i="19"/>
  <c r="DU23" i="19"/>
  <c r="DS23" i="19"/>
  <c r="DQ23" i="19"/>
  <c r="DO23" i="19"/>
  <c r="DM23" i="19"/>
  <c r="DK23" i="19"/>
  <c r="DH23" i="19"/>
  <c r="DE23" i="19"/>
  <c r="DD23" i="19"/>
  <c r="DC23" i="19"/>
  <c r="DB23" i="19"/>
  <c r="DA23" i="19"/>
  <c r="CY23" i="19"/>
  <c r="CX23" i="19"/>
  <c r="CV23" i="19"/>
  <c r="CU23" i="19"/>
  <c r="CT23" i="19"/>
  <c r="CS23" i="19"/>
  <c r="CQ23" i="19"/>
  <c r="CP23" i="19"/>
  <c r="CO23" i="19"/>
  <c r="CM23" i="19"/>
  <c r="CL23" i="19"/>
  <c r="CK23" i="19"/>
  <c r="CH23" i="19"/>
  <c r="CG23" i="19"/>
  <c r="CF23" i="19"/>
  <c r="CE23" i="19"/>
  <c r="CC23" i="19"/>
  <c r="CB23" i="19"/>
  <c r="BZ23" i="19"/>
  <c r="BY23" i="19"/>
  <c r="BX23" i="19"/>
  <c r="BV23" i="19"/>
  <c r="BU23" i="19"/>
  <c r="BS23" i="19"/>
  <c r="BQ23" i="19"/>
  <c r="BP23" i="19"/>
  <c r="BO23" i="19"/>
  <c r="BN23" i="19"/>
  <c r="BM23" i="19"/>
  <c r="BL23" i="19"/>
  <c r="BI23" i="19"/>
  <c r="BH23" i="19"/>
  <c r="BG23" i="19"/>
  <c r="BF23" i="19"/>
  <c r="BE23" i="19"/>
  <c r="BD23" i="19"/>
  <c r="BC23" i="19"/>
  <c r="AZ23" i="19"/>
  <c r="AY23" i="19"/>
  <c r="AX23" i="19"/>
  <c r="AW23" i="19"/>
  <c r="AV23" i="19"/>
  <c r="AU23" i="19"/>
  <c r="AS23" i="19"/>
  <c r="AQ23" i="19"/>
  <c r="AP23" i="19"/>
  <c r="AO23" i="19"/>
  <c r="AN23" i="19"/>
  <c r="AM23" i="19"/>
  <c r="AK23" i="19"/>
  <c r="AJ23" i="19"/>
  <c r="AH23" i="19"/>
  <c r="AG23" i="19"/>
  <c r="AF23" i="19"/>
  <c r="AE23" i="19"/>
  <c r="AC23" i="19"/>
  <c r="AB23" i="19"/>
  <c r="AA23" i="19"/>
  <c r="Y23" i="19"/>
  <c r="X23" i="19"/>
  <c r="W23" i="19"/>
  <c r="U23" i="19"/>
  <c r="T23" i="19"/>
  <c r="S23" i="19"/>
  <c r="O23" i="19"/>
  <c r="M23" i="19"/>
  <c r="L23" i="19"/>
  <c r="J23" i="19"/>
  <c r="I23" i="19"/>
  <c r="H23" i="19"/>
  <c r="G23" i="19"/>
  <c r="F23" i="19"/>
  <c r="DW22" i="19"/>
  <c r="DV22" i="19"/>
  <c r="DU22" i="19"/>
  <c r="P22" i="19"/>
  <c r="DS22" i="19"/>
  <c r="DQ22" i="19"/>
  <c r="DK22" i="19"/>
  <c r="DE22" i="19"/>
  <c r="DD22" i="19"/>
  <c r="DC22" i="19"/>
  <c r="DB22" i="19"/>
  <c r="CX22" i="19"/>
  <c r="CU22" i="19"/>
  <c r="CT22" i="19"/>
  <c r="CS22" i="19"/>
  <c r="CP22" i="19"/>
  <c r="CN22" i="19"/>
  <c r="CK22" i="19"/>
  <c r="CH22" i="19"/>
  <c r="CF22" i="19"/>
  <c r="CE22" i="19"/>
  <c r="CC22" i="19"/>
  <c r="BY22" i="19"/>
  <c r="BV22" i="19"/>
  <c r="BU22" i="19"/>
  <c r="BT22" i="19"/>
  <c r="BQ22" i="19"/>
  <c r="BM22" i="19"/>
  <c r="BL22" i="19"/>
  <c r="BK22" i="19"/>
  <c r="BI22" i="19"/>
  <c r="BG22" i="19"/>
  <c r="BC22" i="19"/>
  <c r="BA22" i="19"/>
  <c r="AZ22" i="19"/>
  <c r="AY22" i="19"/>
  <c r="AW22" i="19"/>
  <c r="AR22" i="19"/>
  <c r="AQ22" i="19"/>
  <c r="AP22" i="19"/>
  <c r="AO22" i="19"/>
  <c r="AK22" i="19"/>
  <c r="AH22" i="19"/>
  <c r="AG22" i="19"/>
  <c r="AF22" i="19"/>
  <c r="AE22" i="19"/>
  <c r="AA22" i="19"/>
  <c r="X22" i="19"/>
  <c r="W22" i="19"/>
  <c r="U22" i="19"/>
  <c r="S22" i="19"/>
  <c r="N22" i="19"/>
  <c r="J22" i="19"/>
  <c r="I22" i="19"/>
  <c r="G22" i="19"/>
  <c r="F22" i="19"/>
  <c r="DY22" i="19"/>
  <c r="DW21" i="19"/>
  <c r="DV21" i="19"/>
  <c r="DU21" i="19"/>
  <c r="P21" i="19"/>
  <c r="DQ21" i="19"/>
  <c r="DO21" i="19"/>
  <c r="DM21" i="19"/>
  <c r="DA21" i="19"/>
  <c r="CY21" i="19"/>
  <c r="CW21" i="19"/>
  <c r="CS21" i="19"/>
  <c r="CQ21" i="19"/>
  <c r="CG21" i="19"/>
  <c r="CF21" i="19"/>
  <c r="CE21" i="19"/>
  <c r="CD21" i="19"/>
  <c r="BZ21" i="19"/>
  <c r="BS21" i="19"/>
  <c r="BO21" i="19"/>
  <c r="BL21" i="19"/>
  <c r="BK21" i="19"/>
  <c r="BI21" i="19"/>
  <c r="AZ21" i="19"/>
  <c r="AX21" i="19"/>
  <c r="AW21" i="19"/>
  <c r="AU21" i="19"/>
  <c r="AQ21" i="19"/>
  <c r="AJ21" i="19"/>
  <c r="AF21" i="19"/>
  <c r="AE21" i="19"/>
  <c r="AC21" i="19"/>
  <c r="AB21" i="19"/>
  <c r="S21" i="19"/>
  <c r="O21" i="19"/>
  <c r="M21" i="19"/>
  <c r="H21" i="19"/>
  <c r="G21" i="19"/>
  <c r="DB21" i="19"/>
  <c r="DW20" i="19"/>
  <c r="DV20" i="19"/>
  <c r="DU20" i="19"/>
  <c r="P20" i="19"/>
  <c r="DS20" i="19"/>
  <c r="DQ20" i="19"/>
  <c r="DO20" i="19"/>
  <c r="DB20" i="19"/>
  <c r="DA20" i="19"/>
  <c r="CY20" i="19"/>
  <c r="CV20" i="19"/>
  <c r="CS20" i="19"/>
  <c r="CL20" i="19"/>
  <c r="CG20" i="19"/>
  <c r="CF20" i="19"/>
  <c r="CD20" i="19"/>
  <c r="CC20" i="19"/>
  <c r="BS20" i="19"/>
  <c r="BQ20" i="19"/>
  <c r="BO20" i="19"/>
  <c r="BK20" i="19"/>
  <c r="BI20" i="19"/>
  <c r="AZ20" i="19"/>
  <c r="AY20" i="19"/>
  <c r="AX20" i="19"/>
  <c r="AW20" i="19"/>
  <c r="AU20" i="19"/>
  <c r="AM20" i="19"/>
  <c r="AI20" i="19"/>
  <c r="AF20" i="19"/>
  <c r="AE20" i="19"/>
  <c r="AC20" i="19"/>
  <c r="T20" i="19"/>
  <c r="S20" i="19"/>
  <c r="N20" i="19"/>
  <c r="L20" i="19"/>
  <c r="H20" i="19"/>
  <c r="DC20" i="19"/>
  <c r="DW19" i="19"/>
  <c r="DV19" i="19"/>
  <c r="DU19" i="19"/>
  <c r="P19" i="19"/>
  <c r="DQ19" i="19"/>
  <c r="DM19" i="19"/>
  <c r="DA19" i="19"/>
  <c r="CY19" i="19"/>
  <c r="CX19" i="19"/>
  <c r="CW19" i="19"/>
  <c r="CU19" i="19"/>
  <c r="CM19" i="19"/>
  <c r="CK19" i="19"/>
  <c r="CE19" i="19"/>
  <c r="CD19" i="19"/>
  <c r="CC19" i="19"/>
  <c r="BS19" i="19"/>
  <c r="BQ19" i="19"/>
  <c r="BP19" i="19"/>
  <c r="BM19" i="19"/>
  <c r="BI19" i="19"/>
  <c r="BC19" i="19"/>
  <c r="AY19" i="19"/>
  <c r="AX19" i="19"/>
  <c r="AV19" i="19"/>
  <c r="AU19" i="19"/>
  <c r="AK19" i="19"/>
  <c r="AJ19" i="19"/>
  <c r="AH19" i="19"/>
  <c r="AC19" i="19"/>
  <c r="AB19" i="19"/>
  <c r="S19" i="19"/>
  <c r="O19" i="19"/>
  <c r="N19" i="19"/>
  <c r="M19" i="19"/>
  <c r="J19" i="19"/>
  <c r="DY19" i="19"/>
  <c r="DW18" i="19"/>
  <c r="DV18" i="19"/>
  <c r="DU18" i="19"/>
  <c r="P18" i="19"/>
  <c r="DO18" i="19"/>
  <c r="DM18" i="19"/>
  <c r="DA18" i="19"/>
  <c r="CY18" i="19"/>
  <c r="CX18" i="19"/>
  <c r="CW18" i="19"/>
  <c r="CT18" i="19"/>
  <c r="CL18" i="19"/>
  <c r="CH18" i="19"/>
  <c r="CE18" i="19"/>
  <c r="CD18" i="19"/>
  <c r="CB18" i="19"/>
  <c r="BQ18" i="19"/>
  <c r="BP18" i="19"/>
  <c r="BO18" i="19"/>
  <c r="BM18" i="19"/>
  <c r="BH18" i="19"/>
  <c r="BC18" i="19"/>
  <c r="AX18" i="19"/>
  <c r="AW18" i="19"/>
  <c r="AV18" i="19"/>
  <c r="AU18" i="19"/>
  <c r="AK18" i="19"/>
  <c r="AJ18" i="19"/>
  <c r="AG18" i="19"/>
  <c r="AC18" i="19"/>
  <c r="AB18" i="19"/>
  <c r="S18" i="19"/>
  <c r="O18" i="19"/>
  <c r="N18" i="19"/>
  <c r="L18" i="19"/>
  <c r="I18" i="19"/>
  <c r="DY18" i="19"/>
  <c r="P17" i="19"/>
  <c r="DY17" i="19"/>
  <c r="DW17" i="19"/>
  <c r="DV17" i="19"/>
  <c r="DU17" i="19"/>
  <c r="DO17" i="19"/>
  <c r="DM17" i="19"/>
  <c r="DK17" i="19"/>
  <c r="DH17" i="19"/>
  <c r="DE17" i="19"/>
  <c r="DB17" i="19"/>
  <c r="DA17" i="19"/>
  <c r="CY17" i="19"/>
  <c r="CX17" i="19"/>
  <c r="CV17" i="19"/>
  <c r="CS17" i="19"/>
  <c r="CQ17" i="19"/>
  <c r="CP17" i="19"/>
  <c r="CO17" i="19"/>
  <c r="CM17" i="19"/>
  <c r="CH17" i="19"/>
  <c r="CG17" i="19"/>
  <c r="CF17" i="19"/>
  <c r="CE17" i="19"/>
  <c r="CC17" i="19"/>
  <c r="BY17" i="19"/>
  <c r="BX17" i="19"/>
  <c r="BV17" i="19"/>
  <c r="BU17" i="19"/>
  <c r="BS17" i="19"/>
  <c r="BO17" i="19"/>
  <c r="BN17" i="19"/>
  <c r="BM17" i="19"/>
  <c r="BL17" i="19"/>
  <c r="BI17" i="19"/>
  <c r="BF17" i="19"/>
  <c r="BE17" i="19"/>
  <c r="BD17" i="19"/>
  <c r="BC17" i="19"/>
  <c r="AZ17" i="19"/>
  <c r="AW17" i="19"/>
  <c r="AV17" i="19"/>
  <c r="AU17" i="19"/>
  <c r="AS17" i="19"/>
  <c r="AQ17" i="19"/>
  <c r="AN17" i="19"/>
  <c r="AM17" i="19"/>
  <c r="AK17" i="19"/>
  <c r="AJ17" i="19"/>
  <c r="AH17" i="19"/>
  <c r="AE17" i="19"/>
  <c r="AC17" i="19"/>
  <c r="AB17" i="19"/>
  <c r="AA17" i="19"/>
  <c r="Y17" i="19"/>
  <c r="U17" i="19"/>
  <c r="T17" i="19"/>
  <c r="S17" i="19"/>
  <c r="O17" i="19"/>
  <c r="M17" i="19"/>
  <c r="I17" i="19"/>
  <c r="H17" i="19"/>
  <c r="G17" i="19"/>
  <c r="F17" i="19"/>
  <c r="DS17" i="19"/>
  <c r="P16" i="19"/>
  <c r="DY16" i="19"/>
  <c r="DW16" i="19"/>
  <c r="DV16" i="19"/>
  <c r="DU16" i="19"/>
  <c r="DS16" i="19"/>
  <c r="DQ16" i="19"/>
  <c r="DO16" i="19"/>
  <c r="DM16" i="19"/>
  <c r="DK16" i="19"/>
  <c r="DE16" i="19"/>
  <c r="DD16" i="19"/>
  <c r="DC16" i="19"/>
  <c r="DB16" i="19"/>
  <c r="DA16" i="19"/>
  <c r="CY16" i="19"/>
  <c r="CV16" i="19"/>
  <c r="CU16" i="19"/>
  <c r="CT16" i="19"/>
  <c r="CS16" i="19"/>
  <c r="CQ16" i="19"/>
  <c r="CP16" i="19"/>
  <c r="CM16" i="19"/>
  <c r="CL16" i="19"/>
  <c r="CK16" i="19"/>
  <c r="CH16" i="19"/>
  <c r="CG16" i="19"/>
  <c r="CF16" i="19"/>
  <c r="CC16" i="19"/>
  <c r="CB16" i="19"/>
  <c r="BZ16" i="19"/>
  <c r="BY16" i="19"/>
  <c r="BX16" i="19"/>
  <c r="BV16" i="19"/>
  <c r="BS16" i="19"/>
  <c r="BQ16" i="19"/>
  <c r="BP16" i="19"/>
  <c r="BO16" i="19"/>
  <c r="BN16" i="19"/>
  <c r="BM16" i="19"/>
  <c r="BI16" i="19"/>
  <c r="BH16" i="19"/>
  <c r="BG16" i="19"/>
  <c r="BF16" i="19"/>
  <c r="BE16" i="19"/>
  <c r="BD16" i="19"/>
  <c r="AZ16" i="19"/>
  <c r="AY16" i="19"/>
  <c r="AX16" i="19"/>
  <c r="AW16" i="19"/>
  <c r="AV16" i="19"/>
  <c r="AU16" i="19"/>
  <c r="AQ16" i="19"/>
  <c r="AP16" i="19"/>
  <c r="AO16" i="19"/>
  <c r="AN16" i="19"/>
  <c r="AM16" i="19"/>
  <c r="AK16" i="19"/>
  <c r="AH16" i="19"/>
  <c r="AG16" i="19"/>
  <c r="AF16" i="19"/>
  <c r="AE16" i="19"/>
  <c r="AC16" i="19"/>
  <c r="AB16" i="19"/>
  <c r="Y16" i="19"/>
  <c r="X16" i="19"/>
  <c r="W16" i="19"/>
  <c r="U16" i="19"/>
  <c r="T16" i="19"/>
  <c r="S16" i="19"/>
  <c r="M16" i="19"/>
  <c r="L16" i="19"/>
  <c r="J16" i="19"/>
  <c r="I16" i="19"/>
  <c r="H16" i="19"/>
  <c r="G16" i="19"/>
  <c r="P15" i="19"/>
  <c r="DY15" i="19"/>
  <c r="DW15" i="19"/>
  <c r="DV15" i="19"/>
  <c r="DU15" i="19"/>
  <c r="DS15" i="19"/>
  <c r="DQ15" i="19"/>
  <c r="DK15" i="19"/>
  <c r="DH15" i="19"/>
  <c r="DG15" i="19"/>
  <c r="DE15" i="19"/>
  <c r="DC15" i="19"/>
  <c r="CY15" i="19"/>
  <c r="CX15" i="19"/>
  <c r="CW15" i="19"/>
  <c r="CV15" i="19"/>
  <c r="CU15" i="19"/>
  <c r="CT15" i="19"/>
  <c r="CO15" i="19"/>
  <c r="CN15" i="19"/>
  <c r="CM15" i="19"/>
  <c r="CL15" i="19"/>
  <c r="CK15" i="19"/>
  <c r="CF15" i="19"/>
  <c r="CE15" i="19"/>
  <c r="CC15" i="19"/>
  <c r="CB15" i="19"/>
  <c r="BZ15" i="19"/>
  <c r="BV15" i="19"/>
  <c r="BU15" i="19"/>
  <c r="BT15" i="19"/>
  <c r="BS15" i="19"/>
  <c r="BP15" i="19"/>
  <c r="BM15" i="19"/>
  <c r="BL15" i="19"/>
  <c r="BK15" i="19"/>
  <c r="BI15" i="19"/>
  <c r="BH15" i="19"/>
  <c r="BG15" i="19"/>
  <c r="BC15" i="19"/>
  <c r="BA15" i="19"/>
  <c r="AZ15" i="19"/>
  <c r="AY15" i="19"/>
  <c r="AX15" i="19"/>
  <c r="AU15" i="19"/>
  <c r="AS15" i="19"/>
  <c r="AQ15" i="19"/>
  <c r="AP15" i="19"/>
  <c r="AO15" i="19"/>
  <c r="AK15" i="19"/>
  <c r="AJ15" i="19"/>
  <c r="AI15" i="19"/>
  <c r="AH15" i="19"/>
  <c r="AF15" i="19"/>
  <c r="AB15" i="19"/>
  <c r="AA15" i="19"/>
  <c r="Z15" i="19"/>
  <c r="Y15" i="19"/>
  <c r="X15" i="19"/>
  <c r="W15" i="19"/>
  <c r="O15" i="19"/>
  <c r="N15" i="19"/>
  <c r="M15" i="19"/>
  <c r="L15" i="19"/>
  <c r="J15" i="19"/>
  <c r="G15" i="19"/>
  <c r="F15" i="19"/>
  <c r="DW14" i="19"/>
  <c r="DV14" i="19"/>
  <c r="DU14" i="19"/>
  <c r="P14" i="19"/>
  <c r="DQ14" i="19"/>
  <c r="DO14" i="19"/>
  <c r="DM14" i="19"/>
  <c r="DC14" i="19"/>
  <c r="DA14" i="19"/>
  <c r="CY14" i="19"/>
  <c r="CX14" i="19"/>
  <c r="CQ14" i="19"/>
  <c r="CO14" i="19"/>
  <c r="CN14" i="19"/>
  <c r="CK14" i="19"/>
  <c r="CE14" i="19"/>
  <c r="BZ14" i="19"/>
  <c r="BY14" i="19"/>
  <c r="BX14" i="19"/>
  <c r="BP14" i="19"/>
  <c r="BN14" i="19"/>
  <c r="BM14" i="19"/>
  <c r="BL14" i="19"/>
  <c r="BE14" i="19"/>
  <c r="BC14" i="19"/>
  <c r="BA14" i="19"/>
  <c r="AX14" i="19"/>
  <c r="AS14" i="19"/>
  <c r="AO14" i="19"/>
  <c r="AN14" i="19"/>
  <c r="AM14" i="19"/>
  <c r="AF14" i="19"/>
  <c r="AC14" i="19"/>
  <c r="AB14" i="19"/>
  <c r="AA14" i="19"/>
  <c r="T14" i="19"/>
  <c r="O14" i="19"/>
  <c r="N14" i="19"/>
  <c r="J14" i="19"/>
  <c r="F14" i="19"/>
  <c r="DW13" i="19"/>
  <c r="DV13" i="19"/>
  <c r="DU13" i="19"/>
  <c r="P13" i="19"/>
  <c r="CT13" i="19"/>
  <c r="CQ13" i="19"/>
  <c r="CG13" i="19"/>
  <c r="CD13" i="19"/>
  <c r="BP13" i="19"/>
  <c r="BF13" i="19"/>
  <c r="BE13" i="19"/>
  <c r="AV13" i="19"/>
  <c r="AG13" i="19"/>
  <c r="W13" i="19"/>
  <c r="U13" i="19"/>
  <c r="T13" i="19"/>
  <c r="DC13" i="19"/>
  <c r="P12" i="19"/>
  <c r="DY12" i="19"/>
  <c r="DW12" i="19"/>
  <c r="DV12" i="19"/>
  <c r="DU12" i="19"/>
  <c r="DS12" i="19"/>
  <c r="DM12" i="19"/>
  <c r="DK12" i="19"/>
  <c r="DH12" i="19"/>
  <c r="DG12" i="19"/>
  <c r="DD12" i="19"/>
  <c r="CY12" i="19"/>
  <c r="CX12" i="19"/>
  <c r="CW12" i="19"/>
  <c r="CV12" i="19"/>
  <c r="CU12" i="19"/>
  <c r="CP12" i="19"/>
  <c r="CN12" i="19"/>
  <c r="CM12" i="19"/>
  <c r="CL12" i="19"/>
  <c r="CG12" i="19"/>
  <c r="CF12" i="19"/>
  <c r="CD12" i="19"/>
  <c r="CB12" i="19"/>
  <c r="BX12" i="19"/>
  <c r="BV12" i="19"/>
  <c r="BU12" i="19"/>
  <c r="BT12" i="19"/>
  <c r="BQ12" i="19"/>
  <c r="BM12" i="19"/>
  <c r="BL12" i="19"/>
  <c r="BK12" i="19"/>
  <c r="BI12" i="19"/>
  <c r="BH12" i="19"/>
  <c r="BD12" i="19"/>
  <c r="BA12" i="19"/>
  <c r="AZ12" i="19"/>
  <c r="AY12" i="19"/>
  <c r="AV12" i="19"/>
  <c r="AU12" i="19"/>
  <c r="AR12" i="19"/>
  <c r="AP12" i="19"/>
  <c r="AM12" i="19"/>
  <c r="AK12" i="19"/>
  <c r="AJ12" i="19"/>
  <c r="AI12" i="19"/>
  <c r="AG12" i="19"/>
  <c r="AB12" i="19"/>
  <c r="AA12" i="19"/>
  <c r="Z12" i="19"/>
  <c r="Y12" i="19"/>
  <c r="X12" i="19"/>
  <c r="S12" i="19"/>
  <c r="N12" i="19"/>
  <c r="M12" i="19"/>
  <c r="L12" i="19"/>
  <c r="I12" i="19"/>
  <c r="H12" i="19"/>
  <c r="F12" i="19"/>
  <c r="P11" i="19"/>
  <c r="DY11" i="19"/>
  <c r="DW11" i="19"/>
  <c r="DV11" i="19"/>
  <c r="DU11" i="19"/>
  <c r="DS11" i="19"/>
  <c r="DQ11" i="19"/>
  <c r="DO11" i="19"/>
  <c r="DM11" i="19"/>
  <c r="DK11" i="19"/>
  <c r="DH11" i="19"/>
  <c r="DE11" i="19"/>
  <c r="DD11" i="19"/>
  <c r="DC11" i="19"/>
  <c r="DB11" i="19"/>
  <c r="DA11" i="19"/>
  <c r="CY11" i="19"/>
  <c r="CX11" i="19"/>
  <c r="CV11" i="19"/>
  <c r="CU11" i="19"/>
  <c r="CT11" i="19"/>
  <c r="CS11" i="19"/>
  <c r="CQ11" i="19"/>
  <c r="CP11" i="19"/>
  <c r="CO11" i="19"/>
  <c r="CM11" i="19"/>
  <c r="CL11" i="19"/>
  <c r="CK11" i="19"/>
  <c r="CH11" i="19"/>
  <c r="CG11" i="19"/>
  <c r="CF11" i="19"/>
  <c r="CE11" i="19"/>
  <c r="CC11" i="19"/>
  <c r="CB11" i="19"/>
  <c r="BZ11" i="19"/>
  <c r="BY11" i="19"/>
  <c r="BX11" i="19"/>
  <c r="BV11" i="19"/>
  <c r="BU11" i="19"/>
  <c r="BS11" i="19"/>
  <c r="BQ11" i="19"/>
  <c r="BP11" i="19"/>
  <c r="BO11" i="19"/>
  <c r="BN11" i="19"/>
  <c r="BM11" i="19"/>
  <c r="BL11" i="19"/>
  <c r="BI11" i="19"/>
  <c r="BH11" i="19"/>
  <c r="BG11" i="19"/>
  <c r="BF11" i="19"/>
  <c r="BE11" i="19"/>
  <c r="BD11" i="19"/>
  <c r="BC11" i="19"/>
  <c r="AZ11" i="19"/>
  <c r="AY11" i="19"/>
  <c r="AX11" i="19"/>
  <c r="AW11" i="19"/>
  <c r="AV11" i="19"/>
  <c r="AU11" i="19"/>
  <c r="AS11" i="19"/>
  <c r="AQ11" i="19"/>
  <c r="AP11" i="19"/>
  <c r="AO11" i="19"/>
  <c r="AN11" i="19"/>
  <c r="AM11" i="19"/>
  <c r="AK11" i="19"/>
  <c r="AJ11" i="19"/>
  <c r="AH11" i="19"/>
  <c r="AG11" i="19"/>
  <c r="AF11" i="19"/>
  <c r="AE11" i="19"/>
  <c r="AC11" i="19"/>
  <c r="AB11" i="19"/>
  <c r="AA11" i="19"/>
  <c r="Y11" i="19"/>
  <c r="X11" i="19"/>
  <c r="W11" i="19"/>
  <c r="U11" i="19"/>
  <c r="T11" i="19"/>
  <c r="S11" i="19"/>
  <c r="O11" i="19"/>
  <c r="M11" i="19"/>
  <c r="L11" i="19"/>
  <c r="J11" i="19"/>
  <c r="I11" i="19"/>
  <c r="H11" i="19"/>
  <c r="G11" i="19"/>
  <c r="F11" i="19"/>
  <c r="DW10" i="19"/>
  <c r="DV10" i="19"/>
  <c r="DU10" i="19"/>
  <c r="P10" i="19"/>
  <c r="DE10" i="19"/>
  <c r="DW9" i="19"/>
  <c r="DV9" i="19"/>
  <c r="DU9" i="19"/>
  <c r="P9" i="19"/>
  <c r="DK9" i="19"/>
  <c r="DH9" i="19"/>
  <c r="CP9" i="19"/>
  <c r="CO9" i="19"/>
  <c r="BV9" i="19"/>
  <c r="BU9" i="19"/>
  <c r="BD9" i="19"/>
  <c r="BC9" i="19"/>
  <c r="AM9" i="19"/>
  <c r="AL9" i="19"/>
  <c r="W9" i="19"/>
  <c r="V9" i="19"/>
  <c r="DQ9" i="19"/>
  <c r="DW8" i="19"/>
  <c r="DV8" i="19"/>
  <c r="DU8" i="19"/>
  <c r="P8" i="19"/>
  <c r="DW7" i="19"/>
  <c r="DV7" i="19"/>
  <c r="DU7" i="19"/>
  <c r="P7" i="19"/>
  <c r="DM7" i="19"/>
  <c r="DK7" i="19"/>
  <c r="DI7" i="19"/>
  <c r="CZ7" i="19"/>
  <c r="CT7" i="19"/>
  <c r="CS7" i="19"/>
  <c r="CR7" i="19"/>
  <c r="CI7" i="19"/>
  <c r="CC7" i="19"/>
  <c r="CB7" i="19"/>
  <c r="CA7" i="19"/>
  <c r="BR7" i="19"/>
  <c r="BL7" i="19"/>
  <c r="BK7" i="19"/>
  <c r="BJ7" i="19"/>
  <c r="BB7" i="19"/>
  <c r="AV7" i="19"/>
  <c r="AU7" i="19"/>
  <c r="AT7" i="19"/>
  <c r="AL7" i="19"/>
  <c r="AF7" i="19"/>
  <c r="AE7" i="19"/>
  <c r="AD7" i="19"/>
  <c r="V7" i="19"/>
  <c r="M7" i="19"/>
  <c r="L7" i="19"/>
  <c r="K7" i="19"/>
  <c r="DA7" i="19"/>
  <c r="DW6" i="19"/>
  <c r="DV6" i="19"/>
  <c r="DU6" i="19"/>
  <c r="P6" i="19"/>
  <c r="DM6" i="19"/>
  <c r="CT6" i="19"/>
  <c r="CE6" i="19"/>
  <c r="BS6" i="19"/>
  <c r="BE6" i="19"/>
  <c r="AT6" i="19"/>
  <c r="AF6" i="19"/>
  <c r="O6" i="19"/>
  <c r="CM6" i="19"/>
  <c r="P5" i="19"/>
  <c r="DY5" i="19"/>
  <c r="DW5" i="19"/>
  <c r="DV5" i="19"/>
  <c r="DU5" i="19"/>
  <c r="DI5" i="19"/>
  <c r="CT5" i="19"/>
  <c r="CE5" i="19"/>
  <c r="BS5" i="19"/>
  <c r="BE5" i="19"/>
  <c r="AT5" i="19"/>
  <c r="AF5" i="19"/>
  <c r="O5" i="19"/>
  <c r="DB5" i="19"/>
  <c r="P4" i="19"/>
  <c r="DY4" i="19"/>
  <c r="DW4" i="19"/>
  <c r="DV4" i="19"/>
  <c r="DU4" i="19"/>
  <c r="DI4" i="19"/>
  <c r="CT4" i="19"/>
  <c r="CE4" i="19"/>
  <c r="BS4" i="19"/>
  <c r="BE4" i="19"/>
  <c r="AT4" i="19"/>
  <c r="AF4" i="19"/>
  <c r="O4" i="19"/>
  <c r="CC4" i="19"/>
  <c r="P3" i="19"/>
  <c r="DY3" i="19"/>
  <c r="DW3" i="19"/>
  <c r="DV3" i="19"/>
  <c r="DU3" i="19"/>
  <c r="DI3" i="19"/>
  <c r="CT3" i="19"/>
  <c r="CE3" i="19"/>
  <c r="BS3" i="19"/>
  <c r="BE3" i="19"/>
  <c r="AT3" i="19"/>
  <c r="AF3" i="19"/>
  <c r="O3" i="19"/>
  <c r="DO3" i="19"/>
  <c r="B282" i="46"/>
  <c r="B275" i="46"/>
  <c r="D284" i="46"/>
  <c r="D273" i="46"/>
  <c r="B279" i="46"/>
  <c r="H50" i="14"/>
  <c r="C188" i="46"/>
  <c r="H188" i="46"/>
  <c r="D276" i="46"/>
  <c r="D287" i="46"/>
  <c r="D151" i="46"/>
  <c r="D283" i="46"/>
  <c r="D272" i="46"/>
  <c r="B290" i="46"/>
  <c r="B271" i="46"/>
  <c r="H125" i="14"/>
  <c r="C263" i="46"/>
  <c r="G263" i="46"/>
  <c r="L263" i="46"/>
  <c r="B277" i="46"/>
  <c r="D285" i="46"/>
  <c r="D274" i="46"/>
  <c r="B288" i="46"/>
  <c r="H61" i="14"/>
  <c r="C199" i="46"/>
  <c r="G199" i="46"/>
  <c r="D289" i="46"/>
  <c r="D278" i="46"/>
  <c r="B286" i="46"/>
  <c r="B285" i="46"/>
  <c r="E19" i="26"/>
  <c r="I56" i="26"/>
  <c r="B64" i="46"/>
  <c r="C25" i="26"/>
  <c r="B20" i="46"/>
  <c r="J106" i="20"/>
  <c r="K65" i="20"/>
  <c r="K26" i="20"/>
  <c r="K75" i="20"/>
  <c r="K100" i="20"/>
  <c r="K107" i="20"/>
  <c r="K17" i="20"/>
  <c r="K49" i="20"/>
  <c r="K82" i="20"/>
  <c r="K53" i="20"/>
  <c r="K61" i="20"/>
  <c r="J69" i="20"/>
  <c r="K87" i="20"/>
  <c r="K103" i="20"/>
  <c r="K25" i="20"/>
  <c r="K99" i="20"/>
  <c r="J110" i="20"/>
  <c r="J79" i="20"/>
  <c r="I91" i="26"/>
  <c r="B99" i="46"/>
  <c r="C23" i="26"/>
  <c r="B18" i="46"/>
  <c r="I34" i="26"/>
  <c r="B42" i="46"/>
  <c r="I59" i="26"/>
  <c r="B67" i="46"/>
  <c r="I92" i="26"/>
  <c r="B100" i="46"/>
  <c r="I96" i="26"/>
  <c r="B104" i="46"/>
  <c r="I109" i="26"/>
  <c r="B117" i="46"/>
  <c r="I115" i="26"/>
  <c r="B123" i="46"/>
  <c r="I57" i="26"/>
  <c r="B65" i="46"/>
  <c r="I79" i="26"/>
  <c r="B87" i="46"/>
  <c r="I99" i="26"/>
  <c r="B107" i="46"/>
  <c r="I101" i="26"/>
  <c r="B109" i="46"/>
  <c r="I43" i="26"/>
  <c r="B51" i="46"/>
  <c r="I67" i="26"/>
  <c r="B75" i="46"/>
  <c r="I111" i="26"/>
  <c r="B119" i="46"/>
  <c r="I32" i="26"/>
  <c r="B40" i="46"/>
  <c r="I35" i="26"/>
  <c r="B43" i="46"/>
  <c r="I85" i="26"/>
  <c r="B93" i="46"/>
  <c r="I65" i="26"/>
  <c r="B73" i="46"/>
  <c r="D19" i="26"/>
  <c r="I68" i="26"/>
  <c r="B76" i="46"/>
  <c r="I33" i="26"/>
  <c r="B41" i="46"/>
  <c r="I88" i="26"/>
  <c r="B96" i="46"/>
  <c r="I110" i="26"/>
  <c r="B118" i="46"/>
  <c r="I98" i="26"/>
  <c r="B106" i="46"/>
  <c r="E18" i="26"/>
  <c r="D16" i="26"/>
  <c r="C17" i="26"/>
  <c r="B12" i="46"/>
  <c r="I94" i="26"/>
  <c r="B102" i="46"/>
  <c r="I18" i="26"/>
  <c r="B26" i="46"/>
  <c r="I82" i="26"/>
  <c r="B90" i="46"/>
  <c r="I17" i="26"/>
  <c r="B25" i="46"/>
  <c r="I30" i="26"/>
  <c r="B38" i="46"/>
  <c r="I48" i="26"/>
  <c r="B56" i="46"/>
  <c r="I26" i="26"/>
  <c r="B34" i="46"/>
  <c r="I20" i="26"/>
  <c r="B28" i="46"/>
  <c r="I54" i="26"/>
  <c r="B62" i="46"/>
  <c r="I22" i="26"/>
  <c r="B30" i="46"/>
  <c r="I76" i="26"/>
  <c r="B84" i="46"/>
  <c r="I36" i="26"/>
  <c r="B44" i="46"/>
  <c r="I75" i="26"/>
  <c r="B83" i="46"/>
  <c r="I84" i="26"/>
  <c r="B92" i="46"/>
  <c r="I77" i="26"/>
  <c r="B85" i="46"/>
  <c r="I64" i="26"/>
  <c r="B72" i="46"/>
  <c r="I104" i="26"/>
  <c r="B112" i="46"/>
  <c r="I93" i="26"/>
  <c r="B101" i="46"/>
  <c r="I72" i="26"/>
  <c r="B80" i="46"/>
  <c r="D17" i="26"/>
  <c r="I60" i="26"/>
  <c r="B68" i="46"/>
  <c r="I83" i="26"/>
  <c r="B91" i="46"/>
  <c r="I25" i="26"/>
  <c r="B33" i="46"/>
  <c r="I70" i="26"/>
  <c r="B78" i="46"/>
  <c r="C21" i="26"/>
  <c r="B16" i="46"/>
  <c r="I19" i="26"/>
  <c r="B27" i="46"/>
  <c r="I117" i="26"/>
  <c r="B125" i="46"/>
  <c r="I97" i="26"/>
  <c r="B105" i="46"/>
  <c r="I80" i="26"/>
  <c r="B88" i="46"/>
  <c r="I63" i="26"/>
  <c r="B71" i="46"/>
  <c r="I47" i="26"/>
  <c r="B55" i="46"/>
  <c r="I31" i="26"/>
  <c r="B39" i="46"/>
  <c r="C20" i="26"/>
  <c r="B15" i="46"/>
  <c r="I113" i="26"/>
  <c r="B121" i="46"/>
  <c r="I95" i="26"/>
  <c r="B103" i="46"/>
  <c r="I78" i="26"/>
  <c r="B86" i="46"/>
  <c r="I61" i="26"/>
  <c r="B69" i="46"/>
  <c r="I45" i="26"/>
  <c r="B53" i="46"/>
  <c r="C16" i="26"/>
  <c r="B11" i="46"/>
  <c r="I106" i="26"/>
  <c r="B114" i="46"/>
  <c r="I105" i="26"/>
  <c r="B113" i="46"/>
  <c r="I71" i="26"/>
  <c r="B79" i="46"/>
  <c r="I39" i="26"/>
  <c r="B47" i="46"/>
  <c r="C22" i="26"/>
  <c r="B17" i="46"/>
  <c r="C18" i="26"/>
  <c r="B13" i="46"/>
  <c r="I90" i="26"/>
  <c r="B98" i="46"/>
  <c r="I103" i="26"/>
  <c r="B111" i="46"/>
  <c r="I37" i="26"/>
  <c r="B45" i="46"/>
  <c r="I89" i="26"/>
  <c r="B97" i="46"/>
  <c r="I23" i="26"/>
  <c r="B31" i="46"/>
  <c r="C24" i="26"/>
  <c r="B19" i="46"/>
  <c r="I87" i="26"/>
  <c r="B95" i="46"/>
  <c r="I21" i="26"/>
  <c r="B29" i="46"/>
  <c r="I69" i="26"/>
  <c r="B77" i="46"/>
  <c r="I55" i="26"/>
  <c r="B63" i="46"/>
  <c r="I53" i="26"/>
  <c r="B61" i="46"/>
  <c r="I29" i="26"/>
  <c r="B37" i="46"/>
  <c r="I100" i="26"/>
  <c r="B108" i="46"/>
  <c r="E16" i="26"/>
  <c r="I40" i="26"/>
  <c r="B48" i="46"/>
  <c r="I119" i="26"/>
  <c r="B127" i="46"/>
  <c r="I107" i="26"/>
  <c r="B115" i="46"/>
  <c r="I74" i="26"/>
  <c r="B82" i="46"/>
  <c r="I41" i="26"/>
  <c r="B49" i="46"/>
  <c r="I44" i="26"/>
  <c r="B52" i="46"/>
  <c r="I46" i="26"/>
  <c r="B54" i="46"/>
  <c r="I38" i="26"/>
  <c r="B46" i="46"/>
  <c r="I49" i="26"/>
  <c r="B57" i="46"/>
  <c r="I62" i="26"/>
  <c r="B70" i="46"/>
  <c r="I27" i="26"/>
  <c r="B35" i="46"/>
  <c r="I42" i="26"/>
  <c r="B50" i="46"/>
  <c r="I52" i="26"/>
  <c r="B60" i="46"/>
  <c r="I58" i="26"/>
  <c r="B66" i="46"/>
  <c r="C19" i="26"/>
  <c r="B14" i="46"/>
  <c r="I51" i="26"/>
  <c r="B59" i="46"/>
  <c r="I24" i="26"/>
  <c r="B32" i="46"/>
  <c r="E17" i="26"/>
  <c r="I28" i="26"/>
  <c r="B36" i="46"/>
  <c r="I102" i="26"/>
  <c r="B110" i="46"/>
  <c r="I50" i="26"/>
  <c r="B58" i="46"/>
  <c r="C29" i="26"/>
  <c r="B136" i="46"/>
  <c r="I121" i="26"/>
  <c r="B129" i="46"/>
  <c r="D18" i="26"/>
  <c r="I66" i="26"/>
  <c r="B74" i="46"/>
  <c r="I81" i="26"/>
  <c r="B89" i="46"/>
  <c r="J39" i="20"/>
  <c r="J23" i="20"/>
  <c r="J55" i="20"/>
  <c r="J63" i="20"/>
  <c r="J71" i="20"/>
  <c r="J80" i="20"/>
  <c r="J89" i="20"/>
  <c r="J97" i="20"/>
  <c r="J105" i="20"/>
  <c r="J46" i="20"/>
  <c r="J54" i="20"/>
  <c r="J88" i="20"/>
  <c r="J115" i="20"/>
  <c r="D21" i="20"/>
  <c r="K41" i="20"/>
  <c r="K57" i="20"/>
  <c r="K74" i="20"/>
  <c r="K91" i="20"/>
  <c r="J92" i="20"/>
  <c r="K109" i="20"/>
  <c r="K33" i="20"/>
  <c r="K42" i="20"/>
  <c r="J50" i="20"/>
  <c r="K66" i="20"/>
  <c r="J83" i="20"/>
  <c r="K123" i="20"/>
  <c r="K24" i="20"/>
  <c r="K98" i="20"/>
  <c r="K29" i="20"/>
  <c r="K45" i="20"/>
  <c r="J78" i="20"/>
  <c r="K95" i="20"/>
  <c r="K37" i="20"/>
  <c r="K18" i="20"/>
  <c r="J34" i="20"/>
  <c r="K64" i="20"/>
  <c r="K22" i="20"/>
  <c r="J47" i="20"/>
  <c r="K58" i="20"/>
  <c r="J31" i="20"/>
  <c r="K21" i="20"/>
  <c r="J117" i="20"/>
  <c r="D22" i="20"/>
  <c r="K106" i="20"/>
  <c r="K50" i="20"/>
  <c r="K78" i="20"/>
  <c r="J66" i="20"/>
  <c r="J74" i="20"/>
  <c r="J26" i="20"/>
  <c r="K55" i="20"/>
  <c r="K97" i="20"/>
  <c r="K83" i="20"/>
  <c r="J91" i="20"/>
  <c r="K121" i="20"/>
  <c r="E24" i="20"/>
  <c r="J33" i="20"/>
  <c r="K105" i="20"/>
  <c r="K92" i="20"/>
  <c r="K113" i="20"/>
  <c r="E20" i="20"/>
  <c r="J42" i="20"/>
  <c r="B26" i="20"/>
  <c r="D8" i="46"/>
  <c r="J37" i="20"/>
  <c r="J49" i="20"/>
  <c r="K47" i="20"/>
  <c r="K89" i="20"/>
  <c r="J21" i="20"/>
  <c r="J25" i="20"/>
  <c r="J61" i="20"/>
  <c r="J65" i="20"/>
  <c r="K69" i="20"/>
  <c r="J75" i="20"/>
  <c r="J103" i="20"/>
  <c r="J121" i="20"/>
  <c r="D24" i="20"/>
  <c r="J17" i="20"/>
  <c r="K34" i="20"/>
  <c r="K39" i="20"/>
  <c r="J53" i="20"/>
  <c r="J57" i="20"/>
  <c r="K80" i="20"/>
  <c r="J95" i="20"/>
  <c r="J99" i="20"/>
  <c r="J107" i="20"/>
  <c r="J113" i="20"/>
  <c r="D20" i="20"/>
  <c r="J18" i="20"/>
  <c r="K31" i="20"/>
  <c r="J45" i="20"/>
  <c r="J58" i="20"/>
  <c r="K71" i="20"/>
  <c r="J87" i="20"/>
  <c r="J100" i="20"/>
  <c r="J109" i="20"/>
  <c r="K23" i="20"/>
  <c r="J41" i="20"/>
  <c r="K54" i="20"/>
  <c r="K63" i="20"/>
  <c r="J82" i="20"/>
  <c r="J29" i="20"/>
  <c r="K117" i="20"/>
  <c r="E22" i="20"/>
  <c r="DH8" i="19"/>
  <c r="CY8" i="19"/>
  <c r="CQ8" i="19"/>
  <c r="CH8" i="19"/>
  <c r="BZ8" i="19"/>
  <c r="BQ8" i="19"/>
  <c r="BI8" i="19"/>
  <c r="BA8" i="19"/>
  <c r="AS8" i="19"/>
  <c r="AK8" i="19"/>
  <c r="AC8" i="19"/>
  <c r="U8" i="19"/>
  <c r="J8" i="19"/>
  <c r="DG8" i="19"/>
  <c r="CX8" i="19"/>
  <c r="CP8" i="19"/>
  <c r="CG8" i="19"/>
  <c r="BY8" i="19"/>
  <c r="BP8" i="19"/>
  <c r="BH8" i="19"/>
  <c r="AZ8" i="19"/>
  <c r="AR8" i="19"/>
  <c r="AJ8" i="19"/>
  <c r="T8" i="19"/>
  <c r="I8" i="19"/>
  <c r="AB8" i="19"/>
  <c r="DS8" i="19"/>
  <c r="DE8" i="19"/>
  <c r="CW8" i="19"/>
  <c r="CO8" i="19"/>
  <c r="CF8" i="19"/>
  <c r="BX8" i="19"/>
  <c r="BO8" i="19"/>
  <c r="BG8" i="19"/>
  <c r="AY8" i="19"/>
  <c r="AQ8" i="19"/>
  <c r="AI8" i="19"/>
  <c r="AA8" i="19"/>
  <c r="S8" i="19"/>
  <c r="H8" i="19"/>
  <c r="DO8" i="19"/>
  <c r="DC8" i="19"/>
  <c r="CU8" i="19"/>
  <c r="CM8" i="19"/>
  <c r="CD8" i="19"/>
  <c r="BU8" i="19"/>
  <c r="BM8" i="19"/>
  <c r="BE8" i="19"/>
  <c r="AW8" i="19"/>
  <c r="AO8" i="19"/>
  <c r="AG8" i="19"/>
  <c r="Y8" i="19"/>
  <c r="N8" i="19"/>
  <c r="F8" i="19"/>
  <c r="BT8" i="19"/>
  <c r="AR10" i="19"/>
  <c r="AG3" i="19"/>
  <c r="BF3" i="19"/>
  <c r="BT3" i="19"/>
  <c r="CU3" i="19"/>
  <c r="V4" i="19"/>
  <c r="AU4" i="19"/>
  <c r="BT4" i="19"/>
  <c r="CU4" i="19"/>
  <c r="AG5" i="19"/>
  <c r="CI5" i="19"/>
  <c r="AU6" i="19"/>
  <c r="BM10" i="19"/>
  <c r="AH3" i="19"/>
  <c r="CV3" i="19"/>
  <c r="AV4" i="19"/>
  <c r="F5" i="19"/>
  <c r="CK5" i="19"/>
  <c r="BU6" i="19"/>
  <c r="AD8" i="19"/>
  <c r="BJ8" i="19"/>
  <c r="DI8" i="19"/>
  <c r="BE9" i="19"/>
  <c r="CQ9" i="19"/>
  <c r="AY10" i="19"/>
  <c r="CL10" i="19"/>
  <c r="DY10" i="19"/>
  <c r="G3" i="19"/>
  <c r="X3" i="19"/>
  <c r="AL3" i="19"/>
  <c r="AW3" i="19"/>
  <c r="BK3" i="19"/>
  <c r="BV3" i="19"/>
  <c r="CL3" i="19"/>
  <c r="CZ3" i="19"/>
  <c r="G4" i="19"/>
  <c r="X4" i="19"/>
  <c r="AL4" i="19"/>
  <c r="AW4" i="19"/>
  <c r="BK4" i="19"/>
  <c r="BV4" i="19"/>
  <c r="CL4" i="19"/>
  <c r="CZ4" i="19"/>
  <c r="DO4" i="19"/>
  <c r="G5" i="19"/>
  <c r="X5" i="19"/>
  <c r="AL5" i="19"/>
  <c r="AW5" i="19"/>
  <c r="BK5" i="19"/>
  <c r="BV5" i="19"/>
  <c r="CL5" i="19"/>
  <c r="CZ5" i="19"/>
  <c r="DO5" i="19"/>
  <c r="G6" i="19"/>
  <c r="X6" i="19"/>
  <c r="AL6" i="19"/>
  <c r="AW6" i="19"/>
  <c r="BK6" i="19"/>
  <c r="BV6" i="19"/>
  <c r="CL6" i="19"/>
  <c r="DA6" i="19"/>
  <c r="O7" i="19"/>
  <c r="AH7" i="19"/>
  <c r="AX7" i="19"/>
  <c r="BN7" i="19"/>
  <c r="CE7" i="19"/>
  <c r="CV7" i="19"/>
  <c r="DQ7" i="19"/>
  <c r="L8" i="19"/>
  <c r="AE8" i="19"/>
  <c r="AU8" i="19"/>
  <c r="BK8" i="19"/>
  <c r="CB8" i="19"/>
  <c r="CS8" i="19"/>
  <c r="DK8" i="19"/>
  <c r="G9" i="19"/>
  <c r="Z9" i="19"/>
  <c r="AP9" i="19"/>
  <c r="BG9" i="19"/>
  <c r="BZ9" i="19"/>
  <c r="CT9" i="19"/>
  <c r="M10" i="19"/>
  <c r="AH10" i="19"/>
  <c r="AZ10" i="19"/>
  <c r="BS10" i="19"/>
  <c r="CM10" i="19"/>
  <c r="AF13" i="19"/>
  <c r="BG13" i="19"/>
  <c r="CS13" i="19"/>
  <c r="X8" i="19"/>
  <c r="BD8" i="19"/>
  <c r="DB8" i="19"/>
  <c r="DI10" i="19"/>
  <c r="CZ10" i="19"/>
  <c r="CR10" i="19"/>
  <c r="CI10" i="19"/>
  <c r="CA10" i="19"/>
  <c r="BR10" i="19"/>
  <c r="BJ10" i="19"/>
  <c r="BB10" i="19"/>
  <c r="AT10" i="19"/>
  <c r="AL10" i="19"/>
  <c r="AD10" i="19"/>
  <c r="V10" i="19"/>
  <c r="K10" i="19"/>
  <c r="DQ10" i="19"/>
  <c r="DC10" i="19"/>
  <c r="CT10" i="19"/>
  <c r="CK10" i="19"/>
  <c r="BZ10" i="19"/>
  <c r="BP10" i="19"/>
  <c r="BG10" i="19"/>
  <c r="AX10" i="19"/>
  <c r="AO10" i="19"/>
  <c r="AF10" i="19"/>
  <c r="W10" i="19"/>
  <c r="J10" i="19"/>
  <c r="CS10" i="19"/>
  <c r="BY10" i="19"/>
  <c r="BF10" i="19"/>
  <c r="AN10" i="19"/>
  <c r="U10" i="19"/>
  <c r="DO10" i="19"/>
  <c r="DB10" i="19"/>
  <c r="CH10" i="19"/>
  <c r="BO10" i="19"/>
  <c r="AW10" i="19"/>
  <c r="AE10" i="19"/>
  <c r="I10" i="19"/>
  <c r="DM10" i="19"/>
  <c r="DA10" i="19"/>
  <c r="CQ10" i="19"/>
  <c r="CG10" i="19"/>
  <c r="BX10" i="19"/>
  <c r="BN10" i="19"/>
  <c r="BE10" i="19"/>
  <c r="AV10" i="19"/>
  <c r="AM10" i="19"/>
  <c r="AC10" i="19"/>
  <c r="T10" i="19"/>
  <c r="H10" i="19"/>
  <c r="DH10" i="19"/>
  <c r="CX10" i="19"/>
  <c r="CO10" i="19"/>
  <c r="CE10" i="19"/>
  <c r="BU10" i="19"/>
  <c r="BL10" i="19"/>
  <c r="BC10" i="19"/>
  <c r="AS10" i="19"/>
  <c r="AJ10" i="19"/>
  <c r="AA10" i="19"/>
  <c r="O10" i="19"/>
  <c r="F10" i="19"/>
  <c r="DH3" i="19"/>
  <c r="CY3" i="19"/>
  <c r="CQ3" i="19"/>
  <c r="CH3" i="19"/>
  <c r="BZ3" i="19"/>
  <c r="BQ3" i="19"/>
  <c r="BI3" i="19"/>
  <c r="BA3" i="19"/>
  <c r="AS3" i="19"/>
  <c r="AK3" i="19"/>
  <c r="AC3" i="19"/>
  <c r="U3" i="19"/>
  <c r="J3" i="19"/>
  <c r="AJ3" i="19"/>
  <c r="DG3" i="19"/>
  <c r="CX3" i="19"/>
  <c r="CP3" i="19"/>
  <c r="CG3" i="19"/>
  <c r="BY3" i="19"/>
  <c r="BP3" i="19"/>
  <c r="BH3" i="19"/>
  <c r="AZ3" i="19"/>
  <c r="AR3" i="19"/>
  <c r="AB3" i="19"/>
  <c r="T3" i="19"/>
  <c r="I3" i="19"/>
  <c r="DS3" i="19"/>
  <c r="DE3" i="19"/>
  <c r="CW3" i="19"/>
  <c r="CO3" i="19"/>
  <c r="CF3" i="19"/>
  <c r="BX3" i="19"/>
  <c r="BO3" i="19"/>
  <c r="BG3" i="19"/>
  <c r="AY3" i="19"/>
  <c r="AQ3" i="19"/>
  <c r="AI3" i="19"/>
  <c r="AA3" i="19"/>
  <c r="S3" i="19"/>
  <c r="H3" i="19"/>
  <c r="AU3" i="19"/>
  <c r="CI3" i="19"/>
  <c r="DK3" i="19"/>
  <c r="AG4" i="19"/>
  <c r="BF4" i="19"/>
  <c r="CI4" i="19"/>
  <c r="DK4" i="19"/>
  <c r="V5" i="19"/>
  <c r="BF5" i="19"/>
  <c r="BT5" i="19"/>
  <c r="CU5" i="19"/>
  <c r="V6" i="19"/>
  <c r="AG6" i="19"/>
  <c r="BF6" i="19"/>
  <c r="CI6" i="19"/>
  <c r="CV6" i="19"/>
  <c r="DQ6" i="19"/>
  <c r="BF8" i="19"/>
  <c r="BV8" i="19"/>
  <c r="DD8" i="19"/>
  <c r="W3" i="19"/>
  <c r="BJ3" i="19"/>
  <c r="DM3" i="19"/>
  <c r="W4" i="19"/>
  <c r="BU4" i="19"/>
  <c r="DM4" i="19"/>
  <c r="AH5" i="19"/>
  <c r="BU5" i="19"/>
  <c r="F6" i="19"/>
  <c r="AH6" i="19"/>
  <c r="CK6" i="19"/>
  <c r="DI9" i="19"/>
  <c r="CZ9" i="19"/>
  <c r="CR9" i="19"/>
  <c r="CI9" i="19"/>
  <c r="CA9" i="19"/>
  <c r="BR9" i="19"/>
  <c r="BJ9" i="19"/>
  <c r="BB9" i="19"/>
  <c r="DG9" i="19"/>
  <c r="CW9" i="19"/>
  <c r="CN9" i="19"/>
  <c r="CD9" i="19"/>
  <c r="BT9" i="19"/>
  <c r="BK9" i="19"/>
  <c r="BA9" i="19"/>
  <c r="AS9" i="19"/>
  <c r="AK9" i="19"/>
  <c r="AC9" i="19"/>
  <c r="U9" i="19"/>
  <c r="J9" i="19"/>
  <c r="I9" i="19"/>
  <c r="DE9" i="19"/>
  <c r="CV9" i="19"/>
  <c r="CM9" i="19"/>
  <c r="CC9" i="19"/>
  <c r="BS9" i="19"/>
  <c r="BI9" i="19"/>
  <c r="AZ9" i="19"/>
  <c r="AR9" i="19"/>
  <c r="AJ9" i="19"/>
  <c r="AB9" i="19"/>
  <c r="T9" i="19"/>
  <c r="DS9" i="19"/>
  <c r="DD9" i="19"/>
  <c r="CU9" i="19"/>
  <c r="CL9" i="19"/>
  <c r="CB9" i="19"/>
  <c r="BQ9" i="19"/>
  <c r="BH9" i="19"/>
  <c r="AY9" i="19"/>
  <c r="AQ9" i="19"/>
  <c r="AI9" i="19"/>
  <c r="AA9" i="19"/>
  <c r="S9" i="19"/>
  <c r="H9" i="19"/>
  <c r="DO9" i="19"/>
  <c r="DB9" i="19"/>
  <c r="CS9" i="19"/>
  <c r="CH9" i="19"/>
  <c r="BY9" i="19"/>
  <c r="BO9" i="19"/>
  <c r="BF9" i="19"/>
  <c r="AW9" i="19"/>
  <c r="AO9" i="19"/>
  <c r="AG9" i="19"/>
  <c r="Y9" i="19"/>
  <c r="N9" i="19"/>
  <c r="F9" i="19"/>
  <c r="DM9" i="19"/>
  <c r="Y3" i="19"/>
  <c r="BL3" i="19"/>
  <c r="K4" i="19"/>
  <c r="CA4" i="19"/>
  <c r="BL5" i="19"/>
  <c r="AV8" i="19"/>
  <c r="CC8" i="19"/>
  <c r="DM8" i="19"/>
  <c r="AD9" i="19"/>
  <c r="CX9" i="19"/>
  <c r="BA10" i="19"/>
  <c r="L3" i="19"/>
  <c r="Z3" i="19"/>
  <c r="AN3" i="19"/>
  <c r="BB3" i="19"/>
  <c r="BM3" i="19"/>
  <c r="CB3" i="19"/>
  <c r="CN3" i="19"/>
  <c r="DB3" i="19"/>
  <c r="L4" i="19"/>
  <c r="Z4" i="19"/>
  <c r="AN4" i="19"/>
  <c r="BB4" i="19"/>
  <c r="BM4" i="19"/>
  <c r="CB4" i="19"/>
  <c r="CN4" i="19"/>
  <c r="DB4" i="19"/>
  <c r="L5" i="19"/>
  <c r="Z5" i="19"/>
  <c r="AN5" i="19"/>
  <c r="BB5" i="19"/>
  <c r="BM5" i="19"/>
  <c r="CB5" i="19"/>
  <c r="CN5" i="19"/>
  <c r="L6" i="19"/>
  <c r="Z6" i="19"/>
  <c r="AN6" i="19"/>
  <c r="BB6" i="19"/>
  <c r="BM6" i="19"/>
  <c r="CB6" i="19"/>
  <c r="CN6" i="19"/>
  <c r="DD6" i="19"/>
  <c r="DY6" i="19"/>
  <c r="W7" i="19"/>
  <c r="AM7" i="19"/>
  <c r="BC7" i="19"/>
  <c r="BS7" i="19"/>
  <c r="CK7" i="19"/>
  <c r="O8" i="19"/>
  <c r="AH8" i="19"/>
  <c r="AX8" i="19"/>
  <c r="BN8" i="19"/>
  <c r="CE8" i="19"/>
  <c r="CV8" i="19"/>
  <c r="DQ8" i="19"/>
  <c r="L9" i="19"/>
  <c r="AE9" i="19"/>
  <c r="AU9" i="19"/>
  <c r="BM9" i="19"/>
  <c r="CF9" i="19"/>
  <c r="CY9" i="19"/>
  <c r="S10" i="19"/>
  <c r="AK10" i="19"/>
  <c r="BD10" i="19"/>
  <c r="BV10" i="19"/>
  <c r="CP10" i="19"/>
  <c r="DK10" i="19"/>
  <c r="AH13" i="19"/>
  <c r="BQ13" i="19"/>
  <c r="DI25" i="19"/>
  <c r="CZ25" i="19"/>
  <c r="CR25" i="19"/>
  <c r="CI25" i="19"/>
  <c r="CA25" i="19"/>
  <c r="BR25" i="19"/>
  <c r="BJ25" i="19"/>
  <c r="BB25" i="19"/>
  <c r="AT25" i="19"/>
  <c r="AL25" i="19"/>
  <c r="AD25" i="19"/>
  <c r="V25" i="19"/>
  <c r="K25" i="19"/>
  <c r="DM25" i="19"/>
  <c r="DA25" i="19"/>
  <c r="CQ25" i="19"/>
  <c r="CG25" i="19"/>
  <c r="BX25" i="19"/>
  <c r="BN25" i="19"/>
  <c r="BE25" i="19"/>
  <c r="AV25" i="19"/>
  <c r="AM25" i="19"/>
  <c r="AC25" i="19"/>
  <c r="T25" i="19"/>
  <c r="H25" i="19"/>
  <c r="DY25" i="19"/>
  <c r="DK25" i="19"/>
  <c r="CY25" i="19"/>
  <c r="CP25" i="19"/>
  <c r="CF25" i="19"/>
  <c r="BV25" i="19"/>
  <c r="BM25" i="19"/>
  <c r="BD25" i="19"/>
  <c r="AU25" i="19"/>
  <c r="AK25" i="19"/>
  <c r="AB25" i="19"/>
  <c r="S25" i="19"/>
  <c r="G25" i="19"/>
  <c r="DS25" i="19"/>
  <c r="DB25" i="19"/>
  <c r="CN25" i="19"/>
  <c r="CB25" i="19"/>
  <c r="BO25" i="19"/>
  <c r="BA25" i="19"/>
  <c r="AP25" i="19"/>
  <c r="AE25" i="19"/>
  <c r="N25" i="19"/>
  <c r="DQ25" i="19"/>
  <c r="CX25" i="19"/>
  <c r="CM25" i="19"/>
  <c r="BZ25" i="19"/>
  <c r="BL25" i="19"/>
  <c r="AZ25" i="19"/>
  <c r="AO25" i="19"/>
  <c r="AA25" i="19"/>
  <c r="M25" i="19"/>
  <c r="DO25" i="19"/>
  <c r="CW25" i="19"/>
  <c r="CL25" i="19"/>
  <c r="BY25" i="19"/>
  <c r="BK25" i="19"/>
  <c r="AY25" i="19"/>
  <c r="AN25" i="19"/>
  <c r="Z25" i="19"/>
  <c r="L25" i="19"/>
  <c r="DH25" i="19"/>
  <c r="CV25" i="19"/>
  <c r="CK25" i="19"/>
  <c r="BU25" i="19"/>
  <c r="BI25" i="19"/>
  <c r="AX25" i="19"/>
  <c r="AJ25" i="19"/>
  <c r="Y25" i="19"/>
  <c r="J25" i="19"/>
  <c r="DC25" i="19"/>
  <c r="CC25" i="19"/>
  <c r="BC25" i="19"/>
  <c r="AF25" i="19"/>
  <c r="AR25" i="19"/>
  <c r="CU25" i="19"/>
  <c r="BT25" i="19"/>
  <c r="AW25" i="19"/>
  <c r="X25" i="19"/>
  <c r="CT25" i="19"/>
  <c r="BS25" i="19"/>
  <c r="AS25" i="19"/>
  <c r="W25" i="19"/>
  <c r="CS25" i="19"/>
  <c r="BQ25" i="19"/>
  <c r="U25" i="19"/>
  <c r="CO25" i="19"/>
  <c r="BP25" i="19"/>
  <c r="AQ25" i="19"/>
  <c r="O25" i="19"/>
  <c r="BH25" i="19"/>
  <c r="Z10" i="19"/>
  <c r="CD10" i="19"/>
  <c r="CW10" i="19"/>
  <c r="V3" i="19"/>
  <c r="DH5" i="19"/>
  <c r="CY5" i="19"/>
  <c r="CQ5" i="19"/>
  <c r="CH5" i="19"/>
  <c r="BZ5" i="19"/>
  <c r="BQ5" i="19"/>
  <c r="BI5" i="19"/>
  <c r="BA5" i="19"/>
  <c r="AS5" i="19"/>
  <c r="AK5" i="19"/>
  <c r="AC5" i="19"/>
  <c r="U5" i="19"/>
  <c r="J5" i="19"/>
  <c r="AB5" i="19"/>
  <c r="DG5" i="19"/>
  <c r="CX5" i="19"/>
  <c r="CP5" i="19"/>
  <c r="CG5" i="19"/>
  <c r="BY5" i="19"/>
  <c r="BP5" i="19"/>
  <c r="BH5" i="19"/>
  <c r="AZ5" i="19"/>
  <c r="AR5" i="19"/>
  <c r="AJ5" i="19"/>
  <c r="T5" i="19"/>
  <c r="I5" i="19"/>
  <c r="DS5" i="19"/>
  <c r="DE5" i="19"/>
  <c r="CW5" i="19"/>
  <c r="CO5" i="19"/>
  <c r="CF5" i="19"/>
  <c r="BX5" i="19"/>
  <c r="BO5" i="19"/>
  <c r="BG5" i="19"/>
  <c r="AY5" i="19"/>
  <c r="AQ5" i="19"/>
  <c r="AI5" i="19"/>
  <c r="AA5" i="19"/>
  <c r="S5" i="19"/>
  <c r="H5" i="19"/>
  <c r="AU5" i="19"/>
  <c r="DK5" i="19"/>
  <c r="BT6" i="19"/>
  <c r="G8" i="19"/>
  <c r="AP8" i="19"/>
  <c r="CN8" i="19"/>
  <c r="DY8" i="19"/>
  <c r="AB10" i="19"/>
  <c r="CF10" i="19"/>
  <c r="AV3" i="19"/>
  <c r="CK3" i="19"/>
  <c r="F4" i="19"/>
  <c r="BJ4" i="19"/>
  <c r="CV4" i="19"/>
  <c r="W5" i="19"/>
  <c r="BJ5" i="19"/>
  <c r="CV5" i="19"/>
  <c r="W6" i="19"/>
  <c r="BJ6" i="19"/>
  <c r="CZ6" i="19"/>
  <c r="AT8" i="19"/>
  <c r="CR8" i="19"/>
  <c r="X9" i="19"/>
  <c r="BX9" i="19"/>
  <c r="AG10" i="19"/>
  <c r="BQ10" i="19"/>
  <c r="DD10" i="19"/>
  <c r="K3" i="19"/>
  <c r="AX3" i="19"/>
  <c r="CA3" i="19"/>
  <c r="DA3" i="19"/>
  <c r="Y4" i="19"/>
  <c r="AX4" i="19"/>
  <c r="CM4" i="19"/>
  <c r="DQ4" i="19"/>
  <c r="K5" i="19"/>
  <c r="AM5" i="19"/>
  <c r="CA5" i="19"/>
  <c r="DA5" i="19"/>
  <c r="Y6" i="19"/>
  <c r="AX6" i="19"/>
  <c r="AF8" i="19"/>
  <c r="BL9" i="19"/>
  <c r="M3" i="19"/>
  <c r="AO3" i="19"/>
  <c r="BN3" i="19"/>
  <c r="CR3" i="19"/>
  <c r="M4" i="19"/>
  <c r="AO4" i="19"/>
  <c r="M5" i="19"/>
  <c r="CR5" i="19"/>
  <c r="DH7" i="19"/>
  <c r="CY7" i="19"/>
  <c r="CQ7" i="19"/>
  <c r="CH7" i="19"/>
  <c r="BZ7" i="19"/>
  <c r="BQ7" i="19"/>
  <c r="BI7" i="19"/>
  <c r="BA7" i="19"/>
  <c r="AS7" i="19"/>
  <c r="AK7" i="19"/>
  <c r="AC7" i="19"/>
  <c r="U7" i="19"/>
  <c r="J7" i="19"/>
  <c r="AR7" i="19"/>
  <c r="T7" i="19"/>
  <c r="DG7" i="19"/>
  <c r="CX7" i="19"/>
  <c r="CP7" i="19"/>
  <c r="CG7" i="19"/>
  <c r="BY7" i="19"/>
  <c r="BP7" i="19"/>
  <c r="BH7" i="19"/>
  <c r="AZ7" i="19"/>
  <c r="AJ7" i="19"/>
  <c r="AB7" i="19"/>
  <c r="I7" i="19"/>
  <c r="DS7" i="19"/>
  <c r="DE7" i="19"/>
  <c r="CW7" i="19"/>
  <c r="CO7" i="19"/>
  <c r="CF7" i="19"/>
  <c r="BX7" i="19"/>
  <c r="BO7" i="19"/>
  <c r="BG7" i="19"/>
  <c r="AY7" i="19"/>
  <c r="AQ7" i="19"/>
  <c r="AI7" i="19"/>
  <c r="AA7" i="19"/>
  <c r="S7" i="19"/>
  <c r="H7" i="19"/>
  <c r="DO7" i="19"/>
  <c r="DC7" i="19"/>
  <c r="CU7" i="19"/>
  <c r="CM7" i="19"/>
  <c r="CD7" i="19"/>
  <c r="BU7" i="19"/>
  <c r="BM7" i="19"/>
  <c r="BE7" i="19"/>
  <c r="AW7" i="19"/>
  <c r="AO7" i="19"/>
  <c r="AG7" i="19"/>
  <c r="Y7" i="19"/>
  <c r="N7" i="19"/>
  <c r="F7" i="19"/>
  <c r="X7" i="19"/>
  <c r="AN7" i="19"/>
  <c r="BD7" i="19"/>
  <c r="BT7" i="19"/>
  <c r="CL7" i="19"/>
  <c r="DB7" i="19"/>
  <c r="BR8" i="19"/>
  <c r="BN9" i="19"/>
  <c r="DI13" i="19"/>
  <c r="CZ13" i="19"/>
  <c r="CR13" i="19"/>
  <c r="CI13" i="19"/>
  <c r="CA13" i="19"/>
  <c r="BR13" i="19"/>
  <c r="BJ13" i="19"/>
  <c r="BB13" i="19"/>
  <c r="AT13" i="19"/>
  <c r="AL13" i="19"/>
  <c r="AD13" i="19"/>
  <c r="V13" i="19"/>
  <c r="K13" i="19"/>
  <c r="DY13" i="19"/>
  <c r="DK13" i="19"/>
  <c r="CY13" i="19"/>
  <c r="CP13" i="19"/>
  <c r="CF13" i="19"/>
  <c r="BV13" i="19"/>
  <c r="BM13" i="19"/>
  <c r="BD13" i="19"/>
  <c r="AU13" i="19"/>
  <c r="AK13" i="19"/>
  <c r="AB13" i="19"/>
  <c r="S13" i="19"/>
  <c r="G13" i="19"/>
  <c r="DH13" i="19"/>
  <c r="CX13" i="19"/>
  <c r="CO13" i="19"/>
  <c r="CE13" i="19"/>
  <c r="BU13" i="19"/>
  <c r="BL13" i="19"/>
  <c r="BC13" i="19"/>
  <c r="AS13" i="19"/>
  <c r="AJ13" i="19"/>
  <c r="AA13" i="19"/>
  <c r="O13" i="19"/>
  <c r="F13" i="19"/>
  <c r="DS13" i="19"/>
  <c r="DB13" i="19"/>
  <c r="CN13" i="19"/>
  <c r="CB13" i="19"/>
  <c r="BO13" i="19"/>
  <c r="BA13" i="19"/>
  <c r="AP13" i="19"/>
  <c r="AE13" i="19"/>
  <c r="N13" i="19"/>
  <c r="BX13" i="19"/>
  <c r="Y13" i="19"/>
  <c r="DQ13" i="19"/>
  <c r="DA13" i="19"/>
  <c r="CM13" i="19"/>
  <c r="BZ13" i="19"/>
  <c r="BN13" i="19"/>
  <c r="AZ13" i="19"/>
  <c r="AO13" i="19"/>
  <c r="AC13" i="19"/>
  <c r="M13" i="19"/>
  <c r="CV13" i="19"/>
  <c r="AX13" i="19"/>
  <c r="J13" i="19"/>
  <c r="DO13" i="19"/>
  <c r="CW13" i="19"/>
  <c r="CL13" i="19"/>
  <c r="BY13" i="19"/>
  <c r="BK13" i="19"/>
  <c r="AY13" i="19"/>
  <c r="AN13" i="19"/>
  <c r="Z13" i="19"/>
  <c r="L13" i="19"/>
  <c r="DM13" i="19"/>
  <c r="CK13" i="19"/>
  <c r="BI13" i="19"/>
  <c r="AM13" i="19"/>
  <c r="DG13" i="19"/>
  <c r="CU13" i="19"/>
  <c r="CH13" i="19"/>
  <c r="BT13" i="19"/>
  <c r="BH13" i="19"/>
  <c r="AW13" i="19"/>
  <c r="AI13" i="19"/>
  <c r="X13" i="19"/>
  <c r="I13" i="19"/>
  <c r="AQ13" i="19"/>
  <c r="BS13" i="19"/>
  <c r="DD13" i="19"/>
  <c r="AN8" i="19"/>
  <c r="CL8" i="19"/>
  <c r="BK10" i="19"/>
  <c r="DH4" i="19"/>
  <c r="CY4" i="19"/>
  <c r="CQ4" i="19"/>
  <c r="CH4" i="19"/>
  <c r="BZ4" i="19"/>
  <c r="BQ4" i="19"/>
  <c r="BI4" i="19"/>
  <c r="BA4" i="19"/>
  <c r="AS4" i="19"/>
  <c r="AK4" i="19"/>
  <c r="AC4" i="19"/>
  <c r="U4" i="19"/>
  <c r="J4" i="19"/>
  <c r="DG4" i="19"/>
  <c r="CX4" i="19"/>
  <c r="CP4" i="19"/>
  <c r="CG4" i="19"/>
  <c r="BY4" i="19"/>
  <c r="BP4" i="19"/>
  <c r="BH4" i="19"/>
  <c r="AZ4" i="19"/>
  <c r="AR4" i="19"/>
  <c r="AJ4" i="19"/>
  <c r="T4" i="19"/>
  <c r="I4" i="19"/>
  <c r="AB4" i="19"/>
  <c r="DS4" i="19"/>
  <c r="DE4" i="19"/>
  <c r="CW4" i="19"/>
  <c r="CO4" i="19"/>
  <c r="CF4" i="19"/>
  <c r="BX4" i="19"/>
  <c r="BO4" i="19"/>
  <c r="BG4" i="19"/>
  <c r="AY4" i="19"/>
  <c r="AQ4" i="19"/>
  <c r="AI4" i="19"/>
  <c r="AA4" i="19"/>
  <c r="S4" i="19"/>
  <c r="H4" i="19"/>
  <c r="DH6" i="19"/>
  <c r="CY6" i="19"/>
  <c r="CQ6" i="19"/>
  <c r="CH6" i="19"/>
  <c r="BZ6" i="19"/>
  <c r="BQ6" i="19"/>
  <c r="BI6" i="19"/>
  <c r="BA6" i="19"/>
  <c r="AS6" i="19"/>
  <c r="AK6" i="19"/>
  <c r="AC6" i="19"/>
  <c r="U6" i="19"/>
  <c r="J6" i="19"/>
  <c r="AB6" i="19"/>
  <c r="DG6" i="19"/>
  <c r="CX6" i="19"/>
  <c r="CP6" i="19"/>
  <c r="CG6" i="19"/>
  <c r="BY6" i="19"/>
  <c r="BP6" i="19"/>
  <c r="BH6" i="19"/>
  <c r="AZ6" i="19"/>
  <c r="AR6" i="19"/>
  <c r="AJ6" i="19"/>
  <c r="T6" i="19"/>
  <c r="I6" i="19"/>
  <c r="DS6" i="19"/>
  <c r="DE6" i="19"/>
  <c r="CW6" i="19"/>
  <c r="CO6" i="19"/>
  <c r="CF6" i="19"/>
  <c r="BX6" i="19"/>
  <c r="BO6" i="19"/>
  <c r="BG6" i="19"/>
  <c r="AY6" i="19"/>
  <c r="AQ6" i="19"/>
  <c r="AI6" i="19"/>
  <c r="AA6" i="19"/>
  <c r="S6" i="19"/>
  <c r="H6" i="19"/>
  <c r="DO6" i="19"/>
  <c r="DC6" i="19"/>
  <c r="CU6" i="19"/>
  <c r="Z8" i="19"/>
  <c r="G10" i="19"/>
  <c r="AU10" i="19"/>
  <c r="CY10" i="19"/>
  <c r="F3" i="19"/>
  <c r="BU3" i="19"/>
  <c r="AH4" i="19"/>
  <c r="CK4" i="19"/>
  <c r="AV5" i="19"/>
  <c r="DM5" i="19"/>
  <c r="AV6" i="19"/>
  <c r="K8" i="19"/>
  <c r="CA8" i="19"/>
  <c r="AN9" i="19"/>
  <c r="L10" i="19"/>
  <c r="AM3" i="19"/>
  <c r="CM3" i="19"/>
  <c r="DQ3" i="19"/>
  <c r="AM4" i="19"/>
  <c r="BL4" i="19"/>
  <c r="DA4" i="19"/>
  <c r="Y5" i="19"/>
  <c r="AX5" i="19"/>
  <c r="CM5" i="19"/>
  <c r="DQ5" i="19"/>
  <c r="K6" i="19"/>
  <c r="AM6" i="19"/>
  <c r="BL6" i="19"/>
  <c r="CA6" i="19"/>
  <c r="DB6" i="19"/>
  <c r="M8" i="19"/>
  <c r="BL8" i="19"/>
  <c r="CT8" i="19"/>
  <c r="K9" i="19"/>
  <c r="AT9" i="19"/>
  <c r="CE9" i="19"/>
  <c r="N10" i="19"/>
  <c r="AI10" i="19"/>
  <c r="BT10" i="19"/>
  <c r="CN10" i="19"/>
  <c r="DG10" i="19"/>
  <c r="AD3" i="19"/>
  <c r="BC3" i="19"/>
  <c r="CC3" i="19"/>
  <c r="DC3" i="19"/>
  <c r="AD4" i="19"/>
  <c r="BC4" i="19"/>
  <c r="BN4" i="19"/>
  <c r="CR4" i="19"/>
  <c r="DC4" i="19"/>
  <c r="AD5" i="19"/>
  <c r="AO5" i="19"/>
  <c r="BC5" i="19"/>
  <c r="BN5" i="19"/>
  <c r="CC5" i="19"/>
  <c r="DC5" i="19"/>
  <c r="M6" i="19"/>
  <c r="AD6" i="19"/>
  <c r="AO6" i="19"/>
  <c r="BC6" i="19"/>
  <c r="BN6" i="19"/>
  <c r="CC6" i="19"/>
  <c r="CR6" i="19"/>
  <c r="DI6" i="19"/>
  <c r="V8" i="19"/>
  <c r="AL8" i="19"/>
  <c r="BB8" i="19"/>
  <c r="CI8" i="19"/>
  <c r="CZ8" i="19"/>
  <c r="M9" i="19"/>
  <c r="AF9" i="19"/>
  <c r="AV9" i="19"/>
  <c r="CG9" i="19"/>
  <c r="DA9" i="19"/>
  <c r="X10" i="19"/>
  <c r="AP10" i="19"/>
  <c r="BH10" i="19"/>
  <c r="CB10" i="19"/>
  <c r="CU10" i="19"/>
  <c r="DS10" i="19"/>
  <c r="N3" i="19"/>
  <c r="AE3" i="19"/>
  <c r="AP3" i="19"/>
  <c r="BD3" i="19"/>
  <c r="BR3" i="19"/>
  <c r="CD3" i="19"/>
  <c r="CS3" i="19"/>
  <c r="DD3" i="19"/>
  <c r="N4" i="19"/>
  <c r="AE4" i="19"/>
  <c r="AP4" i="19"/>
  <c r="BD4" i="19"/>
  <c r="BR4" i="19"/>
  <c r="CD4" i="19"/>
  <c r="CS4" i="19"/>
  <c r="DD4" i="19"/>
  <c r="N5" i="19"/>
  <c r="AE5" i="19"/>
  <c r="AP5" i="19"/>
  <c r="BD5" i="19"/>
  <c r="BR5" i="19"/>
  <c r="CD5" i="19"/>
  <c r="CS5" i="19"/>
  <c r="DD5" i="19"/>
  <c r="N6" i="19"/>
  <c r="AE6" i="19"/>
  <c r="AP6" i="19"/>
  <c r="BD6" i="19"/>
  <c r="BR6" i="19"/>
  <c r="CD6" i="19"/>
  <c r="CS6" i="19"/>
  <c r="DK6" i="19"/>
  <c r="G7" i="19"/>
  <c r="Z7" i="19"/>
  <c r="AP7" i="19"/>
  <c r="BF7" i="19"/>
  <c r="BV7" i="19"/>
  <c r="CN7" i="19"/>
  <c r="DD7" i="19"/>
  <c r="DY7" i="19"/>
  <c r="W8" i="19"/>
  <c r="AM8" i="19"/>
  <c r="BC8" i="19"/>
  <c r="BS8" i="19"/>
  <c r="CK8" i="19"/>
  <c r="DA8" i="19"/>
  <c r="O9" i="19"/>
  <c r="AH9" i="19"/>
  <c r="AX9" i="19"/>
  <c r="BP9" i="19"/>
  <c r="CK9" i="19"/>
  <c r="DC9" i="19"/>
  <c r="DY9" i="19"/>
  <c r="Y10" i="19"/>
  <c r="AQ10" i="19"/>
  <c r="BI10" i="19"/>
  <c r="CC10" i="19"/>
  <c r="CV10" i="19"/>
  <c r="H13" i="19"/>
  <c r="AR13" i="19"/>
  <c r="CC13" i="19"/>
  <c r="DE13" i="19"/>
  <c r="I25" i="19"/>
  <c r="CE25" i="19"/>
  <c r="DI14" i="19"/>
  <c r="CZ14" i="19"/>
  <c r="CR14" i="19"/>
  <c r="CI14" i="19"/>
  <c r="CA14" i="19"/>
  <c r="BR14" i="19"/>
  <c r="BJ14" i="19"/>
  <c r="BB14" i="19"/>
  <c r="AT14" i="19"/>
  <c r="AL14" i="19"/>
  <c r="AD14" i="19"/>
  <c r="V14" i="19"/>
  <c r="K14" i="19"/>
  <c r="DE14" i="19"/>
  <c r="CV14" i="19"/>
  <c r="CM14" i="19"/>
  <c r="CC14" i="19"/>
  <c r="BS14" i="19"/>
  <c r="BI14" i="19"/>
  <c r="AZ14" i="19"/>
  <c r="AQ14" i="19"/>
  <c r="AH14" i="19"/>
  <c r="Y14" i="19"/>
  <c r="M14" i="19"/>
  <c r="DS14" i="19"/>
  <c r="DD14" i="19"/>
  <c r="CU14" i="19"/>
  <c r="CL14" i="19"/>
  <c r="CB14" i="19"/>
  <c r="BQ14" i="19"/>
  <c r="BH14" i="19"/>
  <c r="AY14" i="19"/>
  <c r="AP14" i="19"/>
  <c r="AG14" i="19"/>
  <c r="X14" i="19"/>
  <c r="L14" i="19"/>
  <c r="S14" i="19"/>
  <c r="AE14" i="19"/>
  <c r="AR14" i="19"/>
  <c r="BD14" i="19"/>
  <c r="BO14" i="19"/>
  <c r="CD14" i="19"/>
  <c r="CP14" i="19"/>
  <c r="DB14" i="19"/>
  <c r="DI27" i="19"/>
  <c r="CZ27" i="19"/>
  <c r="CR27" i="19"/>
  <c r="CI27" i="19"/>
  <c r="CA27" i="19"/>
  <c r="BR27" i="19"/>
  <c r="BJ27" i="19"/>
  <c r="BB27" i="19"/>
  <c r="AT27" i="19"/>
  <c r="AL27" i="19"/>
  <c r="AD27" i="19"/>
  <c r="V27" i="19"/>
  <c r="K27" i="19"/>
  <c r="DQ27" i="19"/>
  <c r="DC27" i="19"/>
  <c r="CT27" i="19"/>
  <c r="CK27" i="19"/>
  <c r="BZ27" i="19"/>
  <c r="BP27" i="19"/>
  <c r="BG27" i="19"/>
  <c r="AX27" i="19"/>
  <c r="AO27" i="19"/>
  <c r="AF27" i="19"/>
  <c r="W27" i="19"/>
  <c r="J27" i="19"/>
  <c r="DO27" i="19"/>
  <c r="DB27" i="19"/>
  <c r="CS27" i="19"/>
  <c r="CH27" i="19"/>
  <c r="BY27" i="19"/>
  <c r="BO27" i="19"/>
  <c r="BF27" i="19"/>
  <c r="AW27" i="19"/>
  <c r="AN27" i="19"/>
  <c r="AE27" i="19"/>
  <c r="U27" i="19"/>
  <c r="I27" i="19"/>
  <c r="DA27" i="19"/>
  <c r="CO27" i="19"/>
  <c r="CC27" i="19"/>
  <c r="BN27" i="19"/>
  <c r="BC27" i="19"/>
  <c r="AQ27" i="19"/>
  <c r="AC27" i="19"/>
  <c r="O27" i="19"/>
  <c r="DS27" i="19"/>
  <c r="CY27" i="19"/>
  <c r="CN27" i="19"/>
  <c r="CB27" i="19"/>
  <c r="BM27" i="19"/>
  <c r="BA27" i="19"/>
  <c r="AP27" i="19"/>
  <c r="AB27" i="19"/>
  <c r="N27" i="19"/>
  <c r="DM27" i="19"/>
  <c r="CX27" i="19"/>
  <c r="CM27" i="19"/>
  <c r="BX27" i="19"/>
  <c r="BL27" i="19"/>
  <c r="AZ27" i="19"/>
  <c r="AM27" i="19"/>
  <c r="AA27" i="19"/>
  <c r="M27" i="19"/>
  <c r="DK27" i="19"/>
  <c r="CW27" i="19"/>
  <c r="CL27" i="19"/>
  <c r="BV27" i="19"/>
  <c r="BK27" i="19"/>
  <c r="AY27" i="19"/>
  <c r="AK27" i="19"/>
  <c r="Z27" i="19"/>
  <c r="L27" i="19"/>
  <c r="AG27" i="19"/>
  <c r="BD27" i="19"/>
  <c r="CD27" i="19"/>
  <c r="DD27" i="19"/>
  <c r="DI28" i="19"/>
  <c r="CZ28" i="19"/>
  <c r="CR28" i="19"/>
  <c r="CI28" i="19"/>
  <c r="CA28" i="19"/>
  <c r="BR28" i="19"/>
  <c r="BJ28" i="19"/>
  <c r="BB28" i="19"/>
  <c r="AT28" i="19"/>
  <c r="AL28" i="19"/>
  <c r="AD28" i="19"/>
  <c r="V28" i="19"/>
  <c r="K28" i="19"/>
  <c r="DY28" i="19"/>
  <c r="DK28" i="19"/>
  <c r="CY28" i="19"/>
  <c r="CP28" i="19"/>
  <c r="CF28" i="19"/>
  <c r="BV28" i="19"/>
  <c r="BM28" i="19"/>
  <c r="BD28" i="19"/>
  <c r="AU28" i="19"/>
  <c r="AK28" i="19"/>
  <c r="AB28" i="19"/>
  <c r="S28" i="19"/>
  <c r="G28" i="19"/>
  <c r="DH28" i="19"/>
  <c r="CX28" i="19"/>
  <c r="CO28" i="19"/>
  <c r="CE28" i="19"/>
  <c r="BU28" i="19"/>
  <c r="BL28" i="19"/>
  <c r="BC28" i="19"/>
  <c r="AS28" i="19"/>
  <c r="AJ28" i="19"/>
  <c r="AA28" i="19"/>
  <c r="O28" i="19"/>
  <c r="F28" i="19"/>
  <c r="DG28" i="19"/>
  <c r="CW28" i="19"/>
  <c r="CN28" i="19"/>
  <c r="CD28" i="19"/>
  <c r="BT28" i="19"/>
  <c r="BK28" i="19"/>
  <c r="BA28" i="19"/>
  <c r="DM28" i="19"/>
  <c r="CT28" i="19"/>
  <c r="CC28" i="19"/>
  <c r="BO28" i="19"/>
  <c r="AY28" i="19"/>
  <c r="AN28" i="19"/>
  <c r="Z28" i="19"/>
  <c r="L28" i="19"/>
  <c r="DE28" i="19"/>
  <c r="CS28" i="19"/>
  <c r="CB28" i="19"/>
  <c r="BN28" i="19"/>
  <c r="AX28" i="19"/>
  <c r="AM28" i="19"/>
  <c r="Y28" i="19"/>
  <c r="J28" i="19"/>
  <c r="DD28" i="19"/>
  <c r="CQ28" i="19"/>
  <c r="BZ28" i="19"/>
  <c r="BI28" i="19"/>
  <c r="AW28" i="19"/>
  <c r="AI28" i="19"/>
  <c r="X28" i="19"/>
  <c r="I28" i="19"/>
  <c r="DC28" i="19"/>
  <c r="CM28" i="19"/>
  <c r="BY28" i="19"/>
  <c r="BH28" i="19"/>
  <c r="AV28" i="19"/>
  <c r="AH28" i="19"/>
  <c r="W28" i="19"/>
  <c r="H28" i="19"/>
  <c r="AG28" i="19"/>
  <c r="BG28" i="19"/>
  <c r="CL28" i="19"/>
  <c r="DI12" i="19"/>
  <c r="CZ12" i="19"/>
  <c r="CR12" i="19"/>
  <c r="CI12" i="19"/>
  <c r="CA12" i="19"/>
  <c r="BR12" i="19"/>
  <c r="BJ12" i="19"/>
  <c r="BB12" i="19"/>
  <c r="AT12" i="19"/>
  <c r="AL12" i="19"/>
  <c r="AD12" i="19"/>
  <c r="V12" i="19"/>
  <c r="K12" i="19"/>
  <c r="DQ12" i="19"/>
  <c r="DC12" i="19"/>
  <c r="CT12" i="19"/>
  <c r="CK12" i="19"/>
  <c r="BZ12" i="19"/>
  <c r="BP12" i="19"/>
  <c r="BG12" i="19"/>
  <c r="AX12" i="19"/>
  <c r="AO12" i="19"/>
  <c r="AF12" i="19"/>
  <c r="W12" i="19"/>
  <c r="J12" i="19"/>
  <c r="DO12" i="19"/>
  <c r="DB12" i="19"/>
  <c r="CS12" i="19"/>
  <c r="CH12" i="19"/>
  <c r="BY12" i="19"/>
  <c r="BO12" i="19"/>
  <c r="BF12" i="19"/>
  <c r="AW12" i="19"/>
  <c r="AN12" i="19"/>
  <c r="AE12" i="19"/>
  <c r="U12" i="19"/>
  <c r="O12" i="19"/>
  <c r="AC12" i="19"/>
  <c r="AQ12" i="19"/>
  <c r="BC12" i="19"/>
  <c r="BN12" i="19"/>
  <c r="CC12" i="19"/>
  <c r="CO12" i="19"/>
  <c r="DA12" i="19"/>
  <c r="G14" i="19"/>
  <c r="U14" i="19"/>
  <c r="AI14" i="19"/>
  <c r="AU14" i="19"/>
  <c r="BF14" i="19"/>
  <c r="BT14" i="19"/>
  <c r="CF14" i="19"/>
  <c r="CS14" i="19"/>
  <c r="DG14" i="19"/>
  <c r="W18" i="19"/>
  <c r="AM18" i="19"/>
  <c r="BE18" i="19"/>
  <c r="BT18" i="19"/>
  <c r="CN18" i="19"/>
  <c r="DD18" i="19"/>
  <c r="X19" i="19"/>
  <c r="AM19" i="19"/>
  <c r="BE19" i="19"/>
  <c r="BT19" i="19"/>
  <c r="CN19" i="19"/>
  <c r="DE19" i="19"/>
  <c r="U20" i="19"/>
  <c r="AN20" i="19"/>
  <c r="BE20" i="19"/>
  <c r="BT20" i="19"/>
  <c r="CN20" i="19"/>
  <c r="T21" i="19"/>
  <c r="AM21" i="19"/>
  <c r="BA21" i="19"/>
  <c r="BT21" i="19"/>
  <c r="CM21" i="19"/>
  <c r="G27" i="19"/>
  <c r="AI27" i="19"/>
  <c r="BH27" i="19"/>
  <c r="CF27" i="19"/>
  <c r="DG27" i="19"/>
  <c r="N28" i="19"/>
  <c r="AP28" i="19"/>
  <c r="BQ28" i="19"/>
  <c r="CV28" i="19"/>
  <c r="H14" i="19"/>
  <c r="W14" i="19"/>
  <c r="AJ14" i="19"/>
  <c r="AV14" i="19"/>
  <c r="BG14" i="19"/>
  <c r="BU14" i="19"/>
  <c r="CG14" i="19"/>
  <c r="CT14" i="19"/>
  <c r="DH14" i="19"/>
  <c r="DY14" i="19"/>
  <c r="DI18" i="19"/>
  <c r="CZ18" i="19"/>
  <c r="CR18" i="19"/>
  <c r="CI18" i="19"/>
  <c r="CA18" i="19"/>
  <c r="BR18" i="19"/>
  <c r="BJ18" i="19"/>
  <c r="BB18" i="19"/>
  <c r="AT18" i="19"/>
  <c r="AL18" i="19"/>
  <c r="AD18" i="19"/>
  <c r="V18" i="19"/>
  <c r="K18" i="19"/>
  <c r="DE18" i="19"/>
  <c r="CV18" i="19"/>
  <c r="CM18" i="19"/>
  <c r="CC18" i="19"/>
  <c r="BS18" i="19"/>
  <c r="BI18" i="19"/>
  <c r="AZ18" i="19"/>
  <c r="AQ18" i="19"/>
  <c r="AH18" i="19"/>
  <c r="Y18" i="19"/>
  <c r="M18" i="19"/>
  <c r="DG18" i="19"/>
  <c r="CU18" i="19"/>
  <c r="CK18" i="19"/>
  <c r="BY18" i="19"/>
  <c r="BN18" i="19"/>
  <c r="BD18" i="19"/>
  <c r="AS18" i="19"/>
  <c r="AI18" i="19"/>
  <c r="X18" i="19"/>
  <c r="J18" i="19"/>
  <c r="DS18" i="19"/>
  <c r="DC18" i="19"/>
  <c r="CS18" i="19"/>
  <c r="CG18" i="19"/>
  <c r="BV18" i="19"/>
  <c r="BL18" i="19"/>
  <c r="BA18" i="19"/>
  <c r="AP18" i="19"/>
  <c r="AF18" i="19"/>
  <c r="U18" i="19"/>
  <c r="H18" i="19"/>
  <c r="DQ18" i="19"/>
  <c r="DB18" i="19"/>
  <c r="CQ18" i="19"/>
  <c r="CF18" i="19"/>
  <c r="BU18" i="19"/>
  <c r="BK18" i="19"/>
  <c r="AY18" i="19"/>
  <c r="AO18" i="19"/>
  <c r="AE18" i="19"/>
  <c r="T18" i="19"/>
  <c r="G18" i="19"/>
  <c r="Z18" i="19"/>
  <c r="AN18" i="19"/>
  <c r="BF18" i="19"/>
  <c r="BX18" i="19"/>
  <c r="CO18" i="19"/>
  <c r="DH18" i="19"/>
  <c r="DI19" i="19"/>
  <c r="CZ19" i="19"/>
  <c r="CR19" i="19"/>
  <c r="CI19" i="19"/>
  <c r="CA19" i="19"/>
  <c r="BR19" i="19"/>
  <c r="BJ19" i="19"/>
  <c r="BB19" i="19"/>
  <c r="AT19" i="19"/>
  <c r="AL19" i="19"/>
  <c r="AD19" i="19"/>
  <c r="V19" i="19"/>
  <c r="K19" i="19"/>
  <c r="DO19" i="19"/>
  <c r="DB19" i="19"/>
  <c r="CS19" i="19"/>
  <c r="CH19" i="19"/>
  <c r="BY19" i="19"/>
  <c r="BO19" i="19"/>
  <c r="BF19" i="19"/>
  <c r="AW19" i="19"/>
  <c r="AN19" i="19"/>
  <c r="AE19" i="19"/>
  <c r="U19" i="19"/>
  <c r="I19" i="19"/>
  <c r="DG19" i="19"/>
  <c r="CV19" i="19"/>
  <c r="CL19" i="19"/>
  <c r="BZ19" i="19"/>
  <c r="BN19" i="19"/>
  <c r="BD19" i="19"/>
  <c r="AS19" i="19"/>
  <c r="AI19" i="19"/>
  <c r="Y19" i="19"/>
  <c r="L19" i="19"/>
  <c r="DD19" i="19"/>
  <c r="CT19" i="19"/>
  <c r="CG19" i="19"/>
  <c r="BV19" i="19"/>
  <c r="BL19" i="19"/>
  <c r="BA19" i="19"/>
  <c r="AQ19" i="19"/>
  <c r="AG19" i="19"/>
  <c r="W19" i="19"/>
  <c r="H19" i="19"/>
  <c r="DS19" i="19"/>
  <c r="DC19" i="19"/>
  <c r="CQ19" i="19"/>
  <c r="CF19" i="19"/>
  <c r="BU19" i="19"/>
  <c r="BK19" i="19"/>
  <c r="AZ19" i="19"/>
  <c r="AP19" i="19"/>
  <c r="AF19" i="19"/>
  <c r="T19" i="19"/>
  <c r="G19" i="19"/>
  <c r="Z19" i="19"/>
  <c r="AO19" i="19"/>
  <c r="BG19" i="19"/>
  <c r="BX19" i="19"/>
  <c r="CO19" i="19"/>
  <c r="DH19" i="19"/>
  <c r="DI20" i="19"/>
  <c r="CZ20" i="19"/>
  <c r="CR20" i="19"/>
  <c r="CI20" i="19"/>
  <c r="CA20" i="19"/>
  <c r="BR20" i="19"/>
  <c r="BJ20" i="19"/>
  <c r="BB20" i="19"/>
  <c r="AT20" i="19"/>
  <c r="AL20" i="19"/>
  <c r="AD20" i="19"/>
  <c r="V20" i="19"/>
  <c r="K20" i="19"/>
  <c r="DH20" i="19"/>
  <c r="CX20" i="19"/>
  <c r="CO20" i="19"/>
  <c r="CE20" i="19"/>
  <c r="BU20" i="19"/>
  <c r="BL20" i="19"/>
  <c r="BC20" i="19"/>
  <c r="AS20" i="19"/>
  <c r="AJ20" i="19"/>
  <c r="AA20" i="19"/>
  <c r="O20" i="19"/>
  <c r="F20" i="19"/>
  <c r="DY20" i="19"/>
  <c r="DK20" i="19"/>
  <c r="CW20" i="19"/>
  <c r="CM20" i="19"/>
  <c r="CB20" i="19"/>
  <c r="BP20" i="19"/>
  <c r="BF20" i="19"/>
  <c r="AV20" i="19"/>
  <c r="AK20" i="19"/>
  <c r="Z20" i="19"/>
  <c r="M20" i="19"/>
  <c r="DE20" i="19"/>
  <c r="CU20" i="19"/>
  <c r="CK20" i="19"/>
  <c r="BY20" i="19"/>
  <c r="BN20" i="19"/>
  <c r="BD20" i="19"/>
  <c r="AR20" i="19"/>
  <c r="AH20" i="19"/>
  <c r="X20" i="19"/>
  <c r="J20" i="19"/>
  <c r="DD20" i="19"/>
  <c r="CT20" i="19"/>
  <c r="CH20" i="19"/>
  <c r="BX20" i="19"/>
  <c r="BM20" i="19"/>
  <c r="BA20" i="19"/>
  <c r="AQ20" i="19"/>
  <c r="AG20" i="19"/>
  <c r="W20" i="19"/>
  <c r="I20" i="19"/>
  <c r="Y20" i="19"/>
  <c r="AO20" i="19"/>
  <c r="BG20" i="19"/>
  <c r="BV20" i="19"/>
  <c r="CP20" i="19"/>
  <c r="DG20" i="19"/>
  <c r="DI21" i="19"/>
  <c r="CZ21" i="19"/>
  <c r="CR21" i="19"/>
  <c r="CI21" i="19"/>
  <c r="CA21" i="19"/>
  <c r="BR21" i="19"/>
  <c r="BJ21" i="19"/>
  <c r="BB21" i="19"/>
  <c r="AT21" i="19"/>
  <c r="AL21" i="19"/>
  <c r="AD21" i="19"/>
  <c r="V21" i="19"/>
  <c r="K21" i="19"/>
  <c r="DS21" i="19"/>
  <c r="DD21" i="19"/>
  <c r="CU21" i="19"/>
  <c r="CL21" i="19"/>
  <c r="CB21" i="19"/>
  <c r="BQ21" i="19"/>
  <c r="BH21" i="19"/>
  <c r="AY21" i="19"/>
  <c r="AP21" i="19"/>
  <c r="AG21" i="19"/>
  <c r="X21" i="19"/>
  <c r="L21" i="19"/>
  <c r="DK21" i="19"/>
  <c r="CX21" i="19"/>
  <c r="CN21" i="19"/>
  <c r="CC21" i="19"/>
  <c r="BP21" i="19"/>
  <c r="BF21" i="19"/>
  <c r="AV21" i="19"/>
  <c r="AK21" i="19"/>
  <c r="AA21" i="19"/>
  <c r="N21" i="19"/>
  <c r="DG21" i="19"/>
  <c r="CV21" i="19"/>
  <c r="CK21" i="19"/>
  <c r="BY21" i="19"/>
  <c r="BN21" i="19"/>
  <c r="BD21" i="19"/>
  <c r="AS21" i="19"/>
  <c r="AI21" i="19"/>
  <c r="Y21" i="19"/>
  <c r="J21" i="19"/>
  <c r="DE21" i="19"/>
  <c r="CT21" i="19"/>
  <c r="CH21" i="19"/>
  <c r="BX21" i="19"/>
  <c r="BM21" i="19"/>
  <c r="BC21" i="19"/>
  <c r="AR21" i="19"/>
  <c r="AH21" i="19"/>
  <c r="W21" i="19"/>
  <c r="I21" i="19"/>
  <c r="U21" i="19"/>
  <c r="AN21" i="19"/>
  <c r="BE21" i="19"/>
  <c r="BU21" i="19"/>
  <c r="CO21" i="19"/>
  <c r="DC21" i="19"/>
  <c r="DY21" i="19"/>
  <c r="H27" i="19"/>
  <c r="AJ27" i="19"/>
  <c r="BI27" i="19"/>
  <c r="CG27" i="19"/>
  <c r="DH27" i="19"/>
  <c r="T28" i="19"/>
  <c r="AQ28" i="19"/>
  <c r="BS28" i="19"/>
  <c r="DA28" i="19"/>
  <c r="G12" i="19"/>
  <c r="T12" i="19"/>
  <c r="AH12" i="19"/>
  <c r="AS12" i="19"/>
  <c r="BE12" i="19"/>
  <c r="BS12" i="19"/>
  <c r="CE12" i="19"/>
  <c r="CQ12" i="19"/>
  <c r="DE12" i="19"/>
  <c r="I14" i="19"/>
  <c r="Z14" i="19"/>
  <c r="AK14" i="19"/>
  <c r="AW14" i="19"/>
  <c r="BK14" i="19"/>
  <c r="BV14" i="19"/>
  <c r="CH14" i="19"/>
  <c r="CW14" i="19"/>
  <c r="DK14" i="19"/>
  <c r="DI15" i="19"/>
  <c r="CZ15" i="19"/>
  <c r="CR15" i="19"/>
  <c r="CI15" i="19"/>
  <c r="CA15" i="19"/>
  <c r="BR15" i="19"/>
  <c r="BJ15" i="19"/>
  <c r="BB15" i="19"/>
  <c r="AT15" i="19"/>
  <c r="AL15" i="19"/>
  <c r="AD15" i="19"/>
  <c r="V15" i="19"/>
  <c r="K15" i="19"/>
  <c r="DO15" i="19"/>
  <c r="DB15" i="19"/>
  <c r="CS15" i="19"/>
  <c r="CH15" i="19"/>
  <c r="BY15" i="19"/>
  <c r="BO15" i="19"/>
  <c r="BF15" i="19"/>
  <c r="AW15" i="19"/>
  <c r="AN15" i="19"/>
  <c r="AE15" i="19"/>
  <c r="U15" i="19"/>
  <c r="I15" i="19"/>
  <c r="DM15" i="19"/>
  <c r="DA15" i="19"/>
  <c r="CQ15" i="19"/>
  <c r="CG15" i="19"/>
  <c r="BX15" i="19"/>
  <c r="BN15" i="19"/>
  <c r="BE15" i="19"/>
  <c r="AV15" i="19"/>
  <c r="AM15" i="19"/>
  <c r="AC15" i="19"/>
  <c r="T15" i="19"/>
  <c r="H15" i="19"/>
  <c r="S15" i="19"/>
  <c r="AG15" i="19"/>
  <c r="AR15" i="19"/>
  <c r="BD15" i="19"/>
  <c r="BQ15" i="19"/>
  <c r="CD15" i="19"/>
  <c r="CP15" i="19"/>
  <c r="DD15" i="19"/>
  <c r="F18" i="19"/>
  <c r="AA18" i="19"/>
  <c r="AR18" i="19"/>
  <c r="BG18" i="19"/>
  <c r="BZ18" i="19"/>
  <c r="CP18" i="19"/>
  <c r="DK18" i="19"/>
  <c r="F19" i="19"/>
  <c r="AA19" i="19"/>
  <c r="AR19" i="19"/>
  <c r="BH19" i="19"/>
  <c r="CB19" i="19"/>
  <c r="CP19" i="19"/>
  <c r="DK19" i="19"/>
  <c r="G20" i="19"/>
  <c r="AB20" i="19"/>
  <c r="AP20" i="19"/>
  <c r="BH20" i="19"/>
  <c r="BZ20" i="19"/>
  <c r="CQ20" i="19"/>
  <c r="DM20" i="19"/>
  <c r="F21" i="19"/>
  <c r="Z21" i="19"/>
  <c r="AO21" i="19"/>
  <c r="BG21" i="19"/>
  <c r="BV21" i="19"/>
  <c r="CP21" i="19"/>
  <c r="DH21" i="19"/>
  <c r="S27" i="19"/>
  <c r="AR27" i="19"/>
  <c r="BQ27" i="19"/>
  <c r="CP27" i="19"/>
  <c r="U28" i="19"/>
  <c r="AR28" i="19"/>
  <c r="BX28" i="19"/>
  <c r="DB28" i="19"/>
  <c r="DI16" i="19"/>
  <c r="CZ16" i="19"/>
  <c r="CR16" i="19"/>
  <c r="CI16" i="19"/>
  <c r="CA16" i="19"/>
  <c r="BR16" i="19"/>
  <c r="BJ16" i="19"/>
  <c r="BB16" i="19"/>
  <c r="AT16" i="19"/>
  <c r="AL16" i="19"/>
  <c r="AD16" i="19"/>
  <c r="V16" i="19"/>
  <c r="K16" i="19"/>
  <c r="N16" i="19"/>
  <c r="Z16" i="19"/>
  <c r="AI16" i="19"/>
  <c r="AR16" i="19"/>
  <c r="BA16" i="19"/>
  <c r="BK16" i="19"/>
  <c r="BT16" i="19"/>
  <c r="CD16" i="19"/>
  <c r="CN16" i="19"/>
  <c r="CW16" i="19"/>
  <c r="DG16" i="19"/>
  <c r="J17" i="19"/>
  <c r="W17" i="19"/>
  <c r="AF17" i="19"/>
  <c r="AO17" i="19"/>
  <c r="AX17" i="19"/>
  <c r="BG17" i="19"/>
  <c r="BP17" i="19"/>
  <c r="BZ17" i="19"/>
  <c r="CK17" i="19"/>
  <c r="CT17" i="19"/>
  <c r="DC17" i="19"/>
  <c r="DQ17" i="19"/>
  <c r="L22" i="19"/>
  <c r="Y22" i="19"/>
  <c r="AI22" i="19"/>
  <c r="AS22" i="19"/>
  <c r="BD22" i="19"/>
  <c r="BO22" i="19"/>
  <c r="BZ22" i="19"/>
  <c r="CL22" i="19"/>
  <c r="CV22" i="19"/>
  <c r="DG22" i="19"/>
  <c r="N24" i="19"/>
  <c r="AB24" i="19"/>
  <c r="AN24" i="19"/>
  <c r="BA24" i="19"/>
  <c r="BM24" i="19"/>
  <c r="BY24" i="19"/>
  <c r="CN24" i="19"/>
  <c r="CY24" i="19"/>
  <c r="DO24" i="19"/>
  <c r="O29" i="19"/>
  <c r="AE29" i="19"/>
  <c r="AU29" i="19"/>
  <c r="BK29" i="19"/>
  <c r="BX29" i="19"/>
  <c r="CO29" i="19"/>
  <c r="DB29" i="19"/>
  <c r="O30" i="19"/>
  <c r="AH30" i="19"/>
  <c r="AZ30" i="19"/>
  <c r="BO30" i="19"/>
  <c r="CH30" i="19"/>
  <c r="CW30" i="19"/>
  <c r="DI11" i="19"/>
  <c r="CZ11" i="19"/>
  <c r="CR11" i="19"/>
  <c r="CI11" i="19"/>
  <c r="CA11" i="19"/>
  <c r="BR11" i="19"/>
  <c r="BJ11" i="19"/>
  <c r="BB11" i="19"/>
  <c r="AT11" i="19"/>
  <c r="AL11" i="19"/>
  <c r="AD11" i="19"/>
  <c r="V11" i="19"/>
  <c r="K11" i="19"/>
  <c r="N11" i="19"/>
  <c r="Z11" i="19"/>
  <c r="AI11" i="19"/>
  <c r="AR11" i="19"/>
  <c r="BA11" i="19"/>
  <c r="BK11" i="19"/>
  <c r="BT11" i="19"/>
  <c r="CD11" i="19"/>
  <c r="CN11" i="19"/>
  <c r="CW11" i="19"/>
  <c r="DG11" i="19"/>
  <c r="F16" i="19"/>
  <c r="O16" i="19"/>
  <c r="AA16" i="19"/>
  <c r="AJ16" i="19"/>
  <c r="AS16" i="19"/>
  <c r="BC16" i="19"/>
  <c r="BL16" i="19"/>
  <c r="BU16" i="19"/>
  <c r="CE16" i="19"/>
  <c r="CO16" i="19"/>
  <c r="CX16" i="19"/>
  <c r="DH16" i="19"/>
  <c r="L17" i="19"/>
  <c r="X17" i="19"/>
  <c r="AG17" i="19"/>
  <c r="AP17" i="19"/>
  <c r="AY17" i="19"/>
  <c r="BH17" i="19"/>
  <c r="BQ17" i="19"/>
  <c r="CB17" i="19"/>
  <c r="CL17" i="19"/>
  <c r="CU17" i="19"/>
  <c r="DD17" i="19"/>
  <c r="M22" i="19"/>
  <c r="Z22" i="19"/>
  <c r="AJ22" i="19"/>
  <c r="AU22" i="19"/>
  <c r="BF22" i="19"/>
  <c r="BP22" i="19"/>
  <c r="CB22" i="19"/>
  <c r="CM22" i="19"/>
  <c r="CW22" i="19"/>
  <c r="DH22" i="19"/>
  <c r="O24" i="19"/>
  <c r="AC24" i="19"/>
  <c r="AQ24" i="19"/>
  <c r="BC24" i="19"/>
  <c r="BN24" i="19"/>
  <c r="CC24" i="19"/>
  <c r="CO24" i="19"/>
  <c r="S29" i="19"/>
  <c r="AI29" i="19"/>
  <c r="AV29" i="19"/>
  <c r="BL29" i="19"/>
  <c r="BY29" i="19"/>
  <c r="CP29" i="19"/>
  <c r="DG29" i="19"/>
  <c r="W30" i="19"/>
  <c r="AI30" i="19"/>
  <c r="BA30" i="19"/>
  <c r="BP30" i="19"/>
  <c r="CI30" i="19"/>
  <c r="DI24" i="19"/>
  <c r="CZ24" i="19"/>
  <c r="CR24" i="19"/>
  <c r="CI24" i="19"/>
  <c r="CA24" i="19"/>
  <c r="BR24" i="19"/>
  <c r="BJ24" i="19"/>
  <c r="BB24" i="19"/>
  <c r="AT24" i="19"/>
  <c r="AL24" i="19"/>
  <c r="AD24" i="19"/>
  <c r="V24" i="19"/>
  <c r="K24" i="19"/>
  <c r="DS24" i="19"/>
  <c r="DD24" i="19"/>
  <c r="CU24" i="19"/>
  <c r="CL24" i="19"/>
  <c r="CB24" i="19"/>
  <c r="BQ24" i="19"/>
  <c r="BH24" i="19"/>
  <c r="AY24" i="19"/>
  <c r="AP24" i="19"/>
  <c r="AG24" i="19"/>
  <c r="X24" i="19"/>
  <c r="L24" i="19"/>
  <c r="DQ24" i="19"/>
  <c r="DC24" i="19"/>
  <c r="CT24" i="19"/>
  <c r="CK24" i="19"/>
  <c r="BZ24" i="19"/>
  <c r="BP24" i="19"/>
  <c r="BG24" i="19"/>
  <c r="AX24" i="19"/>
  <c r="AO24" i="19"/>
  <c r="AF24" i="19"/>
  <c r="W24" i="19"/>
  <c r="J24" i="19"/>
  <c r="S24" i="19"/>
  <c r="AE24" i="19"/>
  <c r="AR24" i="19"/>
  <c r="BD24" i="19"/>
  <c r="BO24" i="19"/>
  <c r="CD24" i="19"/>
  <c r="CP24" i="19"/>
  <c r="DB24" i="19"/>
  <c r="DI29" i="19"/>
  <c r="CZ29" i="19"/>
  <c r="CR29" i="19"/>
  <c r="CI29" i="19"/>
  <c r="CA29" i="19"/>
  <c r="BR29" i="19"/>
  <c r="BJ29" i="19"/>
  <c r="BB29" i="19"/>
  <c r="AT29" i="19"/>
  <c r="AL29" i="19"/>
  <c r="AD29" i="19"/>
  <c r="V29" i="19"/>
  <c r="K29" i="19"/>
  <c r="DE29" i="19"/>
  <c r="CV29" i="19"/>
  <c r="CM29" i="19"/>
  <c r="CC29" i="19"/>
  <c r="BS29" i="19"/>
  <c r="BI29" i="19"/>
  <c r="AZ29" i="19"/>
  <c r="AQ29" i="19"/>
  <c r="AH29" i="19"/>
  <c r="Y29" i="19"/>
  <c r="M29" i="19"/>
  <c r="DS29" i="19"/>
  <c r="DD29" i="19"/>
  <c r="CU29" i="19"/>
  <c r="CL29" i="19"/>
  <c r="CB29" i="19"/>
  <c r="BQ29" i="19"/>
  <c r="BH29" i="19"/>
  <c r="AY29" i="19"/>
  <c r="AP29" i="19"/>
  <c r="AG29" i="19"/>
  <c r="X29" i="19"/>
  <c r="L29" i="19"/>
  <c r="DQ29" i="19"/>
  <c r="DC29" i="19"/>
  <c r="CT29" i="19"/>
  <c r="CK29" i="19"/>
  <c r="BZ29" i="19"/>
  <c r="BP29" i="19"/>
  <c r="BG29" i="19"/>
  <c r="AX29" i="19"/>
  <c r="AO29" i="19"/>
  <c r="AF29" i="19"/>
  <c r="W29" i="19"/>
  <c r="J29" i="19"/>
  <c r="T29" i="19"/>
  <c r="AJ29" i="19"/>
  <c r="AW29" i="19"/>
  <c r="BM29" i="19"/>
  <c r="CD29" i="19"/>
  <c r="CQ29" i="19"/>
  <c r="DH29" i="19"/>
  <c r="DO30" i="19"/>
  <c r="DC30" i="19"/>
  <c r="CU30" i="19"/>
  <c r="CM30" i="19"/>
  <c r="CD30" i="19"/>
  <c r="BU30" i="19"/>
  <c r="BM30" i="19"/>
  <c r="BE30" i="19"/>
  <c r="AW30" i="19"/>
  <c r="AO30" i="19"/>
  <c r="DK30" i="19"/>
  <c r="CZ30" i="19"/>
  <c r="CQ30" i="19"/>
  <c r="CG30" i="19"/>
  <c r="BX30" i="19"/>
  <c r="BN30" i="19"/>
  <c r="BD30" i="19"/>
  <c r="AU30" i="19"/>
  <c r="AL30" i="19"/>
  <c r="AD30" i="19"/>
  <c r="V30" i="19"/>
  <c r="K30" i="19"/>
  <c r="DQ30" i="19"/>
  <c r="DA30" i="19"/>
  <c r="CP30" i="19"/>
  <c r="CE30" i="19"/>
  <c r="BS30" i="19"/>
  <c r="BI30" i="19"/>
  <c r="AY30" i="19"/>
  <c r="AN30" i="19"/>
  <c r="AE30" i="19"/>
  <c r="U30" i="19"/>
  <c r="I30" i="19"/>
  <c r="DM30" i="19"/>
  <c r="CY30" i="19"/>
  <c r="CO30" i="19"/>
  <c r="CC30" i="19"/>
  <c r="BR30" i="19"/>
  <c r="BH30" i="19"/>
  <c r="AX30" i="19"/>
  <c r="AM30" i="19"/>
  <c r="AC30" i="19"/>
  <c r="T30" i="19"/>
  <c r="H30" i="19"/>
  <c r="DI30" i="19"/>
  <c r="CX30" i="19"/>
  <c r="CN30" i="19"/>
  <c r="CB30" i="19"/>
  <c r="BQ30" i="19"/>
  <c r="BG30" i="19"/>
  <c r="AV30" i="19"/>
  <c r="AK30" i="19"/>
  <c r="AB30" i="19"/>
  <c r="S30" i="19"/>
  <c r="G30" i="19"/>
  <c r="X30" i="19"/>
  <c r="AJ30" i="19"/>
  <c r="BB30" i="19"/>
  <c r="BT30" i="19"/>
  <c r="CK30" i="19"/>
  <c r="DD30" i="19"/>
  <c r="DY30" i="19"/>
  <c r="DI17" i="19"/>
  <c r="CZ17" i="19"/>
  <c r="CR17" i="19"/>
  <c r="CI17" i="19"/>
  <c r="CA17" i="19"/>
  <c r="BR17" i="19"/>
  <c r="BJ17" i="19"/>
  <c r="BB17" i="19"/>
  <c r="AT17" i="19"/>
  <c r="AL17" i="19"/>
  <c r="AD17" i="19"/>
  <c r="V17" i="19"/>
  <c r="K17" i="19"/>
  <c r="N17" i="19"/>
  <c r="Z17" i="19"/>
  <c r="AI17" i="19"/>
  <c r="AR17" i="19"/>
  <c r="BA17" i="19"/>
  <c r="BK17" i="19"/>
  <c r="BT17" i="19"/>
  <c r="CD17" i="19"/>
  <c r="CN17" i="19"/>
  <c r="CW17" i="19"/>
  <c r="DG17" i="19"/>
  <c r="DI22" i="19"/>
  <c r="CZ22" i="19"/>
  <c r="CR22" i="19"/>
  <c r="CI22" i="19"/>
  <c r="CA22" i="19"/>
  <c r="BR22" i="19"/>
  <c r="BJ22" i="19"/>
  <c r="BB22" i="19"/>
  <c r="AT22" i="19"/>
  <c r="AL22" i="19"/>
  <c r="AD22" i="19"/>
  <c r="V22" i="19"/>
  <c r="K22" i="19"/>
  <c r="DM22" i="19"/>
  <c r="DA22" i="19"/>
  <c r="CQ22" i="19"/>
  <c r="CG22" i="19"/>
  <c r="BX22" i="19"/>
  <c r="BN22" i="19"/>
  <c r="BE22" i="19"/>
  <c r="AV22" i="19"/>
  <c r="AM22" i="19"/>
  <c r="AC22" i="19"/>
  <c r="T22" i="19"/>
  <c r="H22" i="19"/>
  <c r="O22" i="19"/>
  <c r="AB22" i="19"/>
  <c r="AN22" i="19"/>
  <c r="AX22" i="19"/>
  <c r="BH22" i="19"/>
  <c r="BS22" i="19"/>
  <c r="CD22" i="19"/>
  <c r="CO22" i="19"/>
  <c r="CY22" i="19"/>
  <c r="DO22" i="19"/>
  <c r="F24" i="19"/>
  <c r="T24" i="19"/>
  <c r="AH24" i="19"/>
  <c r="AS24" i="19"/>
  <c r="BE24" i="19"/>
  <c r="BS24" i="19"/>
  <c r="CE24" i="19"/>
  <c r="CQ24" i="19"/>
  <c r="DE24" i="19"/>
  <c r="F29" i="19"/>
  <c r="U29" i="19"/>
  <c r="AK29" i="19"/>
  <c r="BA29" i="19"/>
  <c r="BN29" i="19"/>
  <c r="CE29" i="19"/>
  <c r="CS29" i="19"/>
  <c r="DK29" i="19"/>
  <c r="F30" i="19"/>
  <c r="Y30" i="19"/>
  <c r="AP30" i="19"/>
  <c r="BC30" i="19"/>
  <c r="BV30" i="19"/>
  <c r="CL30" i="19"/>
  <c r="DE30" i="19"/>
  <c r="CU38" i="19"/>
  <c r="DI23" i="19"/>
  <c r="CZ23" i="19"/>
  <c r="CR23" i="19"/>
  <c r="CI23" i="19"/>
  <c r="CA23" i="19"/>
  <c r="BR23" i="19"/>
  <c r="BJ23" i="19"/>
  <c r="BB23" i="19"/>
  <c r="AT23" i="19"/>
  <c r="AL23" i="19"/>
  <c r="AD23" i="19"/>
  <c r="V23" i="19"/>
  <c r="K23" i="19"/>
  <c r="N23" i="19"/>
  <c r="Z23" i="19"/>
  <c r="AI23" i="19"/>
  <c r="AR23" i="19"/>
  <c r="BA23" i="19"/>
  <c r="BK23" i="19"/>
  <c r="BT23" i="19"/>
  <c r="CD23" i="19"/>
  <c r="CN23" i="19"/>
  <c r="CW23" i="19"/>
  <c r="DG23" i="19"/>
  <c r="M26" i="19"/>
  <c r="Y26" i="19"/>
  <c r="AH26" i="19"/>
  <c r="AQ26" i="19"/>
  <c r="AZ26" i="19"/>
  <c r="BI26" i="19"/>
  <c r="BS26" i="19"/>
  <c r="CC26" i="19"/>
  <c r="CM26" i="19"/>
  <c r="CV26" i="19"/>
  <c r="O33" i="19"/>
  <c r="AH33" i="19"/>
  <c r="AY33" i="19"/>
  <c r="BO33" i="19"/>
  <c r="CG33" i="19"/>
  <c r="AA36" i="19"/>
  <c r="AY36" i="19"/>
  <c r="BX36" i="19"/>
  <c r="AF37" i="19"/>
  <c r="AY37" i="19"/>
  <c r="CC37" i="19"/>
  <c r="AG38" i="19"/>
  <c r="BJ38" i="19"/>
  <c r="DI26" i="19"/>
  <c r="CZ26" i="19"/>
  <c r="CR26" i="19"/>
  <c r="CI26" i="19"/>
  <c r="CA26" i="19"/>
  <c r="BR26" i="19"/>
  <c r="BJ26" i="19"/>
  <c r="BB26" i="19"/>
  <c r="AT26" i="19"/>
  <c r="AL26" i="19"/>
  <c r="AD26" i="19"/>
  <c r="V26" i="19"/>
  <c r="K26" i="19"/>
  <c r="N26" i="19"/>
  <c r="Z26" i="19"/>
  <c r="AI26" i="19"/>
  <c r="AR26" i="19"/>
  <c r="BA26" i="19"/>
  <c r="BK26" i="19"/>
  <c r="BT26" i="19"/>
  <c r="CD26" i="19"/>
  <c r="CN26" i="19"/>
  <c r="CW26" i="19"/>
  <c r="DG26" i="19"/>
  <c r="DY33" i="19"/>
  <c r="DK33" i="19"/>
  <c r="DA33" i="19"/>
  <c r="CS33" i="19"/>
  <c r="CK33" i="19"/>
  <c r="CB33" i="19"/>
  <c r="BS33" i="19"/>
  <c r="BK33" i="19"/>
  <c r="BC33" i="19"/>
  <c r="AU33" i="19"/>
  <c r="AM33" i="19"/>
  <c r="AE33" i="19"/>
  <c r="W33" i="19"/>
  <c r="L33" i="19"/>
  <c r="DI33" i="19"/>
  <c r="CZ33" i="19"/>
  <c r="CR33" i="19"/>
  <c r="CI33" i="19"/>
  <c r="CA33" i="19"/>
  <c r="BR33" i="19"/>
  <c r="BJ33" i="19"/>
  <c r="BB33" i="19"/>
  <c r="AT33" i="19"/>
  <c r="AL33" i="19"/>
  <c r="AD33" i="19"/>
  <c r="DH33" i="19"/>
  <c r="CY33" i="19"/>
  <c r="CQ33" i="19"/>
  <c r="CH33" i="19"/>
  <c r="BZ33" i="19"/>
  <c r="BQ33" i="19"/>
  <c r="BI33" i="19"/>
  <c r="BA33" i="19"/>
  <c r="AS33" i="19"/>
  <c r="AK33" i="19"/>
  <c r="AC33" i="19"/>
  <c r="U33" i="19"/>
  <c r="DE33" i="19"/>
  <c r="CT33" i="19"/>
  <c r="CE33" i="19"/>
  <c r="BP33" i="19"/>
  <c r="BE33" i="19"/>
  <c r="AQ33" i="19"/>
  <c r="AF33" i="19"/>
  <c r="S33" i="19"/>
  <c r="G33" i="19"/>
  <c r="DG33" i="19"/>
  <c r="CP33" i="19"/>
  <c r="CC33" i="19"/>
  <c r="BM33" i="19"/>
  <c r="AX33" i="19"/>
  <c r="AI33" i="19"/>
  <c r="V33" i="19"/>
  <c r="H33" i="19"/>
  <c r="T33" i="19"/>
  <c r="AJ33" i="19"/>
  <c r="AZ33" i="19"/>
  <c r="BT33" i="19"/>
  <c r="CL33" i="19"/>
  <c r="DB33" i="19"/>
  <c r="DY36" i="19"/>
  <c r="DK36" i="19"/>
  <c r="DA36" i="19"/>
  <c r="CS36" i="19"/>
  <c r="CK36" i="19"/>
  <c r="CB36" i="19"/>
  <c r="BS36" i="19"/>
  <c r="BK36" i="19"/>
  <c r="BC36" i="19"/>
  <c r="AU36" i="19"/>
  <c r="AM36" i="19"/>
  <c r="AE36" i="19"/>
  <c r="W36" i="19"/>
  <c r="L36" i="19"/>
  <c r="DI36" i="19"/>
  <c r="CZ36" i="19"/>
  <c r="CR36" i="19"/>
  <c r="CI36" i="19"/>
  <c r="CA36" i="19"/>
  <c r="BR36" i="19"/>
  <c r="BJ36" i="19"/>
  <c r="BB36" i="19"/>
  <c r="AT36" i="19"/>
  <c r="AL36" i="19"/>
  <c r="AD36" i="19"/>
  <c r="V36" i="19"/>
  <c r="K36" i="19"/>
  <c r="DH36" i="19"/>
  <c r="CY36" i="19"/>
  <c r="CQ36" i="19"/>
  <c r="CH36" i="19"/>
  <c r="BZ36" i="19"/>
  <c r="BQ36" i="19"/>
  <c r="BI36" i="19"/>
  <c r="BA36" i="19"/>
  <c r="AS36" i="19"/>
  <c r="AK36" i="19"/>
  <c r="AC36" i="19"/>
  <c r="U36" i="19"/>
  <c r="J36" i="19"/>
  <c r="DG36" i="19"/>
  <c r="CX36" i="19"/>
  <c r="CP36" i="19"/>
  <c r="CG36" i="19"/>
  <c r="BY36" i="19"/>
  <c r="BP36" i="19"/>
  <c r="BH36" i="19"/>
  <c r="AZ36" i="19"/>
  <c r="AR36" i="19"/>
  <c r="AJ36" i="19"/>
  <c r="AB36" i="19"/>
  <c r="T36" i="19"/>
  <c r="I36" i="19"/>
  <c r="DM36" i="19"/>
  <c r="CT36" i="19"/>
  <c r="CC36" i="19"/>
  <c r="BL36" i="19"/>
  <c r="AV36" i="19"/>
  <c r="AF36" i="19"/>
  <c r="M36" i="19"/>
  <c r="DE36" i="19"/>
  <c r="CN36" i="19"/>
  <c r="BU36" i="19"/>
  <c r="BD36" i="19"/>
  <c r="AI36" i="19"/>
  <c r="O36" i="19"/>
  <c r="CW36" i="19"/>
  <c r="CE36" i="19"/>
  <c r="BM36" i="19"/>
  <c r="AQ36" i="19"/>
  <c r="Z36" i="19"/>
  <c r="F36" i="19"/>
  <c r="AG36" i="19"/>
  <c r="BE36" i="19"/>
  <c r="CD36" i="19"/>
  <c r="DC36" i="19"/>
  <c r="DY37" i="19"/>
  <c r="DK37" i="19"/>
  <c r="DA37" i="19"/>
  <c r="CS37" i="19"/>
  <c r="CK37" i="19"/>
  <c r="CB37" i="19"/>
  <c r="BS37" i="19"/>
  <c r="BK37" i="19"/>
  <c r="BC37" i="19"/>
  <c r="AU37" i="19"/>
  <c r="AM37" i="19"/>
  <c r="AE37" i="19"/>
  <c r="W37" i="19"/>
  <c r="L37" i="19"/>
  <c r="DI37" i="19"/>
  <c r="CZ37" i="19"/>
  <c r="CR37" i="19"/>
  <c r="CI37" i="19"/>
  <c r="CA37" i="19"/>
  <c r="BR37" i="19"/>
  <c r="BJ37" i="19"/>
  <c r="BB37" i="19"/>
  <c r="AT37" i="19"/>
  <c r="AL37" i="19"/>
  <c r="AD37" i="19"/>
  <c r="V37" i="19"/>
  <c r="K37" i="19"/>
  <c r="DH37" i="19"/>
  <c r="CY37" i="19"/>
  <c r="CQ37" i="19"/>
  <c r="CH37" i="19"/>
  <c r="BZ37" i="19"/>
  <c r="BQ37" i="19"/>
  <c r="BI37" i="19"/>
  <c r="BA37" i="19"/>
  <c r="AS37" i="19"/>
  <c r="AK37" i="19"/>
  <c r="AC37" i="19"/>
  <c r="U37" i="19"/>
  <c r="J37" i="19"/>
  <c r="DG37" i="19"/>
  <c r="CX37" i="19"/>
  <c r="CP37" i="19"/>
  <c r="CG37" i="19"/>
  <c r="BY37" i="19"/>
  <c r="BP37" i="19"/>
  <c r="BH37" i="19"/>
  <c r="AZ37" i="19"/>
  <c r="AR37" i="19"/>
  <c r="AJ37" i="19"/>
  <c r="AB37" i="19"/>
  <c r="T37" i="19"/>
  <c r="I37" i="19"/>
  <c r="DC37" i="19"/>
  <c r="CM37" i="19"/>
  <c r="BU37" i="19"/>
  <c r="BE37" i="19"/>
  <c r="AO37" i="19"/>
  <c r="Y37" i="19"/>
  <c r="F37" i="19"/>
  <c r="CW37" i="19"/>
  <c r="CE37" i="19"/>
  <c r="BM37" i="19"/>
  <c r="AV37" i="19"/>
  <c r="AA37" i="19"/>
  <c r="G37" i="19"/>
  <c r="DM37" i="19"/>
  <c r="CO37" i="19"/>
  <c r="BV37" i="19"/>
  <c r="BD37" i="19"/>
  <c r="AI37" i="19"/>
  <c r="O37" i="19"/>
  <c r="AG37" i="19"/>
  <c r="BF37" i="19"/>
  <c r="CD37" i="19"/>
  <c r="DD37" i="19"/>
  <c r="DM38" i="19"/>
  <c r="DB38" i="19"/>
  <c r="CT38" i="19"/>
  <c r="CL38" i="19"/>
  <c r="CC38" i="19"/>
  <c r="BT38" i="19"/>
  <c r="BL38" i="19"/>
  <c r="BD38" i="19"/>
  <c r="AV38" i="19"/>
  <c r="AN38" i="19"/>
  <c r="DO38" i="19"/>
  <c r="DA38" i="19"/>
  <c r="CR38" i="19"/>
  <c r="CH38" i="19"/>
  <c r="BY38" i="19"/>
  <c r="BO38" i="19"/>
  <c r="BF38" i="19"/>
  <c r="AW38" i="19"/>
  <c r="AM38" i="19"/>
  <c r="AE38" i="19"/>
  <c r="W38" i="19"/>
  <c r="L38" i="19"/>
  <c r="DK38" i="19"/>
  <c r="CZ38" i="19"/>
  <c r="CQ38" i="19"/>
  <c r="CG38" i="19"/>
  <c r="BX38" i="19"/>
  <c r="BN38" i="19"/>
  <c r="BE38" i="19"/>
  <c r="AU38" i="19"/>
  <c r="AL38" i="19"/>
  <c r="AD38" i="19"/>
  <c r="V38" i="19"/>
  <c r="K38" i="19"/>
  <c r="DY38" i="19"/>
  <c r="DI38" i="19"/>
  <c r="CY38" i="19"/>
  <c r="CP38" i="19"/>
  <c r="CF38" i="19"/>
  <c r="BV38" i="19"/>
  <c r="BM38" i="19"/>
  <c r="BC38" i="19"/>
  <c r="AT38" i="19"/>
  <c r="AK38" i="19"/>
  <c r="AC38" i="19"/>
  <c r="U38" i="19"/>
  <c r="J38" i="19"/>
  <c r="DH38" i="19"/>
  <c r="CX38" i="19"/>
  <c r="CO38" i="19"/>
  <c r="CE38" i="19"/>
  <c r="BU38" i="19"/>
  <c r="BK38" i="19"/>
  <c r="BB38" i="19"/>
  <c r="AS38" i="19"/>
  <c r="AJ38" i="19"/>
  <c r="AB38" i="19"/>
  <c r="T38" i="19"/>
  <c r="I38" i="19"/>
  <c r="DE38" i="19"/>
  <c r="CM38" i="19"/>
  <c r="BR38" i="19"/>
  <c r="AZ38" i="19"/>
  <c r="AH38" i="19"/>
  <c r="O38" i="19"/>
  <c r="CV38" i="19"/>
  <c r="CA38" i="19"/>
  <c r="BG38" i="19"/>
  <c r="AI38" i="19"/>
  <c r="N38" i="19"/>
  <c r="DS38" i="19"/>
  <c r="CS38" i="19"/>
  <c r="BS38" i="19"/>
  <c r="AY38" i="19"/>
  <c r="AF38" i="19"/>
  <c r="H38" i="19"/>
  <c r="DG38" i="19"/>
  <c r="CK38" i="19"/>
  <c r="BP38" i="19"/>
  <c r="AR38" i="19"/>
  <c r="Z38" i="19"/>
  <c r="F38" i="19"/>
  <c r="AO38" i="19"/>
  <c r="BQ38" i="19"/>
  <c r="DC38" i="19"/>
  <c r="K72" i="20"/>
  <c r="J72" i="20"/>
  <c r="H126" i="20"/>
  <c r="D9" i="46"/>
  <c r="D277" i="46"/>
  <c r="K93" i="20"/>
  <c r="J93" i="20"/>
  <c r="K102" i="20"/>
  <c r="J102" i="20"/>
  <c r="J119" i="20"/>
  <c r="D23" i="20"/>
  <c r="DY31" i="19"/>
  <c r="DK31" i="19"/>
  <c r="DA31" i="19"/>
  <c r="CS31" i="19"/>
  <c r="CK31" i="19"/>
  <c r="CB31" i="19"/>
  <c r="BS31" i="19"/>
  <c r="BK31" i="19"/>
  <c r="BC31" i="19"/>
  <c r="AU31" i="19"/>
  <c r="AM31" i="19"/>
  <c r="DS31" i="19"/>
  <c r="DD31" i="19"/>
  <c r="CU31" i="19"/>
  <c r="CL31" i="19"/>
  <c r="CA31" i="19"/>
  <c r="BQ31" i="19"/>
  <c r="BH31" i="19"/>
  <c r="AY31" i="19"/>
  <c r="AP31" i="19"/>
  <c r="AG31" i="19"/>
  <c r="Y31" i="19"/>
  <c r="N31" i="19"/>
  <c r="F31" i="19"/>
  <c r="O31" i="19"/>
  <c r="AA31" i="19"/>
  <c r="AJ31" i="19"/>
  <c r="AT31" i="19"/>
  <c r="BE31" i="19"/>
  <c r="BO31" i="19"/>
  <c r="BZ31" i="19"/>
  <c r="CM31" i="19"/>
  <c r="CW31" i="19"/>
  <c r="DH31" i="19"/>
  <c r="DY32" i="19"/>
  <c r="DK32" i="19"/>
  <c r="DA32" i="19"/>
  <c r="CS32" i="19"/>
  <c r="CK32" i="19"/>
  <c r="CB32" i="19"/>
  <c r="BS32" i="19"/>
  <c r="BK32" i="19"/>
  <c r="BC32" i="19"/>
  <c r="AU32" i="19"/>
  <c r="AM32" i="19"/>
  <c r="AE32" i="19"/>
  <c r="W32" i="19"/>
  <c r="L32" i="19"/>
  <c r="DO32" i="19"/>
  <c r="DB32" i="19"/>
  <c r="CR32" i="19"/>
  <c r="CH32" i="19"/>
  <c r="BY32" i="19"/>
  <c r="BO32" i="19"/>
  <c r="BF32" i="19"/>
  <c r="AW32" i="19"/>
  <c r="AN32" i="19"/>
  <c r="AD32" i="19"/>
  <c r="U32" i="19"/>
  <c r="I32" i="19"/>
  <c r="O32" i="19"/>
  <c r="AB32" i="19"/>
  <c r="AL32" i="19"/>
  <c r="AX32" i="19"/>
  <c r="BH32" i="19"/>
  <c r="BR32" i="19"/>
  <c r="CD32" i="19"/>
  <c r="CO32" i="19"/>
  <c r="CY32" i="19"/>
  <c r="DM32" i="19"/>
  <c r="DY34" i="19"/>
  <c r="DK34" i="19"/>
  <c r="DA34" i="19"/>
  <c r="CS34" i="19"/>
  <c r="CK34" i="19"/>
  <c r="CB34" i="19"/>
  <c r="BS34" i="19"/>
  <c r="BK34" i="19"/>
  <c r="BC34" i="19"/>
  <c r="AU34" i="19"/>
  <c r="AM34" i="19"/>
  <c r="AE34" i="19"/>
  <c r="W34" i="19"/>
  <c r="L34" i="19"/>
  <c r="DI34" i="19"/>
  <c r="CZ34" i="19"/>
  <c r="CR34" i="19"/>
  <c r="CI34" i="19"/>
  <c r="CA34" i="19"/>
  <c r="BR34" i="19"/>
  <c r="BJ34" i="19"/>
  <c r="BB34" i="19"/>
  <c r="AT34" i="19"/>
  <c r="AL34" i="19"/>
  <c r="AD34" i="19"/>
  <c r="V34" i="19"/>
  <c r="K34" i="19"/>
  <c r="DH34" i="19"/>
  <c r="CY34" i="19"/>
  <c r="CQ34" i="19"/>
  <c r="CH34" i="19"/>
  <c r="BZ34" i="19"/>
  <c r="BQ34" i="19"/>
  <c r="BI34" i="19"/>
  <c r="BA34" i="19"/>
  <c r="AS34" i="19"/>
  <c r="AK34" i="19"/>
  <c r="AC34" i="19"/>
  <c r="U34" i="19"/>
  <c r="J34" i="19"/>
  <c r="DE34" i="19"/>
  <c r="CT34" i="19"/>
  <c r="CE34" i="19"/>
  <c r="BP34" i="19"/>
  <c r="BE34" i="19"/>
  <c r="AQ34" i="19"/>
  <c r="AF34" i="19"/>
  <c r="O34" i="19"/>
  <c r="T34" i="19"/>
  <c r="AI34" i="19"/>
  <c r="AX34" i="19"/>
  <c r="BM34" i="19"/>
  <c r="CC34" i="19"/>
  <c r="CP34" i="19"/>
  <c r="DG34" i="19"/>
  <c r="DY35" i="19"/>
  <c r="DK35" i="19"/>
  <c r="DA35" i="19"/>
  <c r="CS35" i="19"/>
  <c r="CK35" i="19"/>
  <c r="CB35" i="19"/>
  <c r="BS35" i="19"/>
  <c r="BK35" i="19"/>
  <c r="BC35" i="19"/>
  <c r="AU35" i="19"/>
  <c r="AM35" i="19"/>
  <c r="AE35" i="19"/>
  <c r="W35" i="19"/>
  <c r="L35" i="19"/>
  <c r="DI35" i="19"/>
  <c r="CZ35" i="19"/>
  <c r="CR35" i="19"/>
  <c r="CI35" i="19"/>
  <c r="CA35" i="19"/>
  <c r="BR35" i="19"/>
  <c r="BJ35" i="19"/>
  <c r="BB35" i="19"/>
  <c r="AT35" i="19"/>
  <c r="AL35" i="19"/>
  <c r="AD35" i="19"/>
  <c r="V35" i="19"/>
  <c r="K35" i="19"/>
  <c r="DH35" i="19"/>
  <c r="CY35" i="19"/>
  <c r="CQ35" i="19"/>
  <c r="CH35" i="19"/>
  <c r="BZ35" i="19"/>
  <c r="BQ35" i="19"/>
  <c r="BI35" i="19"/>
  <c r="BA35" i="19"/>
  <c r="AS35" i="19"/>
  <c r="AK35" i="19"/>
  <c r="AC35" i="19"/>
  <c r="U35" i="19"/>
  <c r="J35" i="19"/>
  <c r="DG35" i="19"/>
  <c r="CX35" i="19"/>
  <c r="CP35" i="19"/>
  <c r="CG35" i="19"/>
  <c r="BY35" i="19"/>
  <c r="DS35" i="19"/>
  <c r="CW35" i="19"/>
  <c r="CF35" i="19"/>
  <c r="BP35" i="19"/>
  <c r="BE35" i="19"/>
  <c r="AQ35" i="19"/>
  <c r="AF35" i="19"/>
  <c r="O35" i="19"/>
  <c r="T35" i="19"/>
  <c r="AI35" i="19"/>
  <c r="AX35" i="19"/>
  <c r="BM35" i="19"/>
  <c r="CD35" i="19"/>
  <c r="CV35" i="19"/>
  <c r="DS52" i="19"/>
  <c r="DE52" i="19"/>
  <c r="CW52" i="19"/>
  <c r="CO52" i="19"/>
  <c r="CF52" i="19"/>
  <c r="BX52" i="19"/>
  <c r="BO52" i="19"/>
  <c r="BG52" i="19"/>
  <c r="AY52" i="19"/>
  <c r="AQ52" i="19"/>
  <c r="AI52" i="19"/>
  <c r="AA52" i="19"/>
  <c r="S52" i="19"/>
  <c r="H52" i="19"/>
  <c r="DQ52" i="19"/>
  <c r="DD52" i="19"/>
  <c r="CV52" i="19"/>
  <c r="CN52" i="19"/>
  <c r="CE52" i="19"/>
  <c r="BV52" i="19"/>
  <c r="BN52" i="19"/>
  <c r="BF52" i="19"/>
  <c r="AX52" i="19"/>
  <c r="AP52" i="19"/>
  <c r="AH52" i="19"/>
  <c r="Z52" i="19"/>
  <c r="O52" i="19"/>
  <c r="G52" i="19"/>
  <c r="DM52" i="19"/>
  <c r="CZ52" i="19"/>
  <c r="CP52" i="19"/>
  <c r="CC52" i="19"/>
  <c r="BR52" i="19"/>
  <c r="BH52" i="19"/>
  <c r="AV52" i="19"/>
  <c r="AL52" i="19"/>
  <c r="AB52" i="19"/>
  <c r="M52" i="19"/>
  <c r="DI52" i="19"/>
  <c r="CX52" i="19"/>
  <c r="CL52" i="19"/>
  <c r="CA52" i="19"/>
  <c r="BP52" i="19"/>
  <c r="BD52" i="19"/>
  <c r="AT52" i="19"/>
  <c r="AJ52" i="19"/>
  <c r="X52" i="19"/>
  <c r="K52" i="19"/>
  <c r="DG52" i="19"/>
  <c r="CT52" i="19"/>
  <c r="CI52" i="19"/>
  <c r="BY52" i="19"/>
  <c r="BL52" i="19"/>
  <c r="BB52" i="19"/>
  <c r="AR52" i="19"/>
  <c r="AF52" i="19"/>
  <c r="V52" i="19"/>
  <c r="I52" i="19"/>
  <c r="DY52" i="19"/>
  <c r="DB52" i="19"/>
  <c r="CK52" i="19"/>
  <c r="BS52" i="19"/>
  <c r="BA52" i="19"/>
  <c r="AK52" i="19"/>
  <c r="T52" i="19"/>
  <c r="DA52" i="19"/>
  <c r="CH52" i="19"/>
  <c r="BQ52" i="19"/>
  <c r="AZ52" i="19"/>
  <c r="AG52" i="19"/>
  <c r="N52" i="19"/>
  <c r="CY52" i="19"/>
  <c r="CG52" i="19"/>
  <c r="BM52" i="19"/>
  <c r="AW52" i="19"/>
  <c r="AE52" i="19"/>
  <c r="L52" i="19"/>
  <c r="CU52" i="19"/>
  <c r="CD52" i="19"/>
  <c r="BK52" i="19"/>
  <c r="AU52" i="19"/>
  <c r="AD52" i="19"/>
  <c r="J52" i="19"/>
  <c r="CS52" i="19"/>
  <c r="BJ52" i="19"/>
  <c r="AC52" i="19"/>
  <c r="CR52" i="19"/>
  <c r="BI52" i="19"/>
  <c r="Y52" i="19"/>
  <c r="CQ52" i="19"/>
  <c r="BE52" i="19"/>
  <c r="W52" i="19"/>
  <c r="CM52" i="19"/>
  <c r="BC52" i="19"/>
  <c r="U52" i="19"/>
  <c r="DK52" i="19"/>
  <c r="AO52" i="19"/>
  <c r="DH52" i="19"/>
  <c r="AN52" i="19"/>
  <c r="DC52" i="19"/>
  <c r="AM52" i="19"/>
  <c r="CB52" i="19"/>
  <c r="F52" i="19"/>
  <c r="K111" i="20"/>
  <c r="J111" i="20"/>
  <c r="K119" i="20"/>
  <c r="E23" i="20"/>
  <c r="K84" i="20"/>
  <c r="J84" i="20"/>
  <c r="K90" i="20"/>
  <c r="J90" i="20"/>
  <c r="J22" i="20"/>
  <c r="J30" i="20"/>
  <c r="K30" i="20"/>
  <c r="K35" i="20"/>
  <c r="J35" i="20"/>
  <c r="K40" i="20"/>
  <c r="J40" i="20"/>
  <c r="K76" i="20"/>
  <c r="J76" i="20"/>
  <c r="DY49" i="19"/>
  <c r="DK49" i="19"/>
  <c r="DA49" i="19"/>
  <c r="CS49" i="19"/>
  <c r="CK49" i="19"/>
  <c r="CB49" i="19"/>
  <c r="BS49" i="19"/>
  <c r="BK49" i="19"/>
  <c r="BC49" i="19"/>
  <c r="AU49" i="19"/>
  <c r="AM49" i="19"/>
  <c r="AE49" i="19"/>
  <c r="W49" i="19"/>
  <c r="L49" i="19"/>
  <c r="DH49" i="19"/>
  <c r="DS49" i="19"/>
  <c r="DE49" i="19"/>
  <c r="CW49" i="19"/>
  <c r="CO49" i="19"/>
  <c r="CF49" i="19"/>
  <c r="BX49" i="19"/>
  <c r="BO49" i="19"/>
  <c r="BG49" i="19"/>
  <c r="AY49" i="19"/>
  <c r="AQ49" i="19"/>
  <c r="AI49" i="19"/>
  <c r="AA49" i="19"/>
  <c r="S49" i="19"/>
  <c r="DO49" i="19"/>
  <c r="CY49" i="19"/>
  <c r="CN49" i="19"/>
  <c r="CC49" i="19"/>
  <c r="BQ49" i="19"/>
  <c r="BF49" i="19"/>
  <c r="AV49" i="19"/>
  <c r="AK49" i="19"/>
  <c r="Z49" i="19"/>
  <c r="M49" i="19"/>
  <c r="DM49" i="19"/>
  <c r="CX49" i="19"/>
  <c r="CM49" i="19"/>
  <c r="CA49" i="19"/>
  <c r="BP49" i="19"/>
  <c r="BE49" i="19"/>
  <c r="AT49" i="19"/>
  <c r="AJ49" i="19"/>
  <c r="Y49" i="19"/>
  <c r="K49" i="19"/>
  <c r="DI49" i="19"/>
  <c r="CV49" i="19"/>
  <c r="CL49" i="19"/>
  <c r="BZ49" i="19"/>
  <c r="BN49" i="19"/>
  <c r="BD49" i="19"/>
  <c r="AS49" i="19"/>
  <c r="AH49" i="19"/>
  <c r="X49" i="19"/>
  <c r="J49" i="19"/>
  <c r="DG49" i="19"/>
  <c r="CU49" i="19"/>
  <c r="CI49" i="19"/>
  <c r="BY49" i="19"/>
  <c r="BM49" i="19"/>
  <c r="BB49" i="19"/>
  <c r="AR49" i="19"/>
  <c r="AG49" i="19"/>
  <c r="V49" i="19"/>
  <c r="I49" i="19"/>
  <c r="DB49" i="19"/>
  <c r="CE49" i="19"/>
  <c r="BI49" i="19"/>
  <c r="AN49" i="19"/>
  <c r="O49" i="19"/>
  <c r="CZ49" i="19"/>
  <c r="CD49" i="19"/>
  <c r="BH49" i="19"/>
  <c r="AL49" i="19"/>
  <c r="N49" i="19"/>
  <c r="CT49" i="19"/>
  <c r="BV49" i="19"/>
  <c r="BA49" i="19"/>
  <c r="AF49" i="19"/>
  <c r="H49" i="19"/>
  <c r="CR49" i="19"/>
  <c r="BU49" i="19"/>
  <c r="AZ49" i="19"/>
  <c r="AD49" i="19"/>
  <c r="G49" i="19"/>
  <c r="AW49" i="19"/>
  <c r="CP49" i="19"/>
  <c r="K59" i="20"/>
  <c r="J59" i="20"/>
  <c r="K68" i="20"/>
  <c r="J68" i="20"/>
  <c r="J81" i="20"/>
  <c r="K85" i="20"/>
  <c r="J85" i="20"/>
  <c r="K51" i="20"/>
  <c r="J51" i="20"/>
  <c r="K77" i="20"/>
  <c r="J77" i="20"/>
  <c r="K81" i="20"/>
  <c r="J38" i="20"/>
  <c r="K38" i="20"/>
  <c r="K43" i="20"/>
  <c r="J43" i="20"/>
  <c r="DS50" i="19"/>
  <c r="DE50" i="19"/>
  <c r="CW50" i="19"/>
  <c r="CO50" i="19"/>
  <c r="CF50" i="19"/>
  <c r="BX50" i="19"/>
  <c r="BO50" i="19"/>
  <c r="BG50" i="19"/>
  <c r="AY50" i="19"/>
  <c r="AQ50" i="19"/>
  <c r="AI50" i="19"/>
  <c r="AA50" i="19"/>
  <c r="S50" i="19"/>
  <c r="H50" i="19"/>
  <c r="DQ50" i="19"/>
  <c r="DD50" i="19"/>
  <c r="CV50" i="19"/>
  <c r="CN50" i="19"/>
  <c r="CE50" i="19"/>
  <c r="BV50" i="19"/>
  <c r="BN50" i="19"/>
  <c r="BF50" i="19"/>
  <c r="AX50" i="19"/>
  <c r="AP50" i="19"/>
  <c r="AH50" i="19"/>
  <c r="Z50" i="19"/>
  <c r="O50" i="19"/>
  <c r="DM50" i="19"/>
  <c r="CZ50" i="19"/>
  <c r="CP50" i="19"/>
  <c r="CC50" i="19"/>
  <c r="BR50" i="19"/>
  <c r="BH50" i="19"/>
  <c r="AV50" i="19"/>
  <c r="AL50" i="19"/>
  <c r="AB50" i="19"/>
  <c r="M50" i="19"/>
  <c r="DI50" i="19"/>
  <c r="CX50" i="19"/>
  <c r="CL50" i="19"/>
  <c r="CA50" i="19"/>
  <c r="BP50" i="19"/>
  <c r="BD50" i="19"/>
  <c r="AT50" i="19"/>
  <c r="AJ50" i="19"/>
  <c r="X50" i="19"/>
  <c r="K50" i="19"/>
  <c r="DG50" i="19"/>
  <c r="CT50" i="19"/>
  <c r="CI50" i="19"/>
  <c r="BY50" i="19"/>
  <c r="BL50" i="19"/>
  <c r="BB50" i="19"/>
  <c r="AR50" i="19"/>
  <c r="AF50" i="19"/>
  <c r="V50" i="19"/>
  <c r="I50" i="19"/>
  <c r="W50" i="19"/>
  <c r="AN50" i="19"/>
  <c r="BE50" i="19"/>
  <c r="BU50" i="19"/>
  <c r="CQ50" i="19"/>
  <c r="DH50" i="19"/>
  <c r="K27" i="20"/>
  <c r="J27" i="20"/>
  <c r="J32" i="20"/>
  <c r="K36" i="20"/>
  <c r="J36" i="20"/>
  <c r="J48" i="20"/>
  <c r="K52" i="20"/>
  <c r="J52" i="20"/>
  <c r="K56" i="20"/>
  <c r="J56" i="20"/>
  <c r="J104" i="20"/>
  <c r="K104" i="20"/>
  <c r="AL47" i="19"/>
  <c r="AT47" i="19"/>
  <c r="BB47" i="19"/>
  <c r="BJ47" i="19"/>
  <c r="BR47" i="19"/>
  <c r="CA47" i="19"/>
  <c r="CI47" i="19"/>
  <c r="CR47" i="19"/>
  <c r="CZ47" i="19"/>
  <c r="DI47" i="19"/>
  <c r="M48" i="19"/>
  <c r="Y48" i="19"/>
  <c r="AH48" i="19"/>
  <c r="AQ48" i="19"/>
  <c r="AZ48" i="19"/>
  <c r="BI48" i="19"/>
  <c r="BR48" i="19"/>
  <c r="CC48" i="19"/>
  <c r="CM48" i="19"/>
  <c r="CV48" i="19"/>
  <c r="F50" i="19"/>
  <c r="Y50" i="19"/>
  <c r="AO50" i="19"/>
  <c r="BI50" i="19"/>
  <c r="BZ50" i="19"/>
  <c r="CR50" i="19"/>
  <c r="DK50" i="19"/>
  <c r="K19" i="20"/>
  <c r="J19" i="20"/>
  <c r="J24" i="20"/>
  <c r="K28" i="20"/>
  <c r="J28" i="20"/>
  <c r="K32" i="20"/>
  <c r="K44" i="20"/>
  <c r="J44" i="20"/>
  <c r="K48" i="20"/>
  <c r="J96" i="20"/>
  <c r="K96" i="20"/>
  <c r="DK46" i="19"/>
  <c r="DY46" i="19"/>
  <c r="AM47" i="19"/>
  <c r="AU47" i="19"/>
  <c r="BC47" i="19"/>
  <c r="BK47" i="19"/>
  <c r="BS47" i="19"/>
  <c r="CB47" i="19"/>
  <c r="CK47" i="19"/>
  <c r="CS47" i="19"/>
  <c r="DA47" i="19"/>
  <c r="DK47" i="19"/>
  <c r="DY48" i="19"/>
  <c r="DK48" i="19"/>
  <c r="DA48" i="19"/>
  <c r="CS48" i="19"/>
  <c r="CK48" i="19"/>
  <c r="CB48" i="19"/>
  <c r="BS48" i="19"/>
  <c r="BK48" i="19"/>
  <c r="BC48" i="19"/>
  <c r="AU48" i="19"/>
  <c r="AM48" i="19"/>
  <c r="AE48" i="19"/>
  <c r="W48" i="19"/>
  <c r="L48" i="19"/>
  <c r="N48" i="19"/>
  <c r="Z48" i="19"/>
  <c r="AI48" i="19"/>
  <c r="AR48" i="19"/>
  <c r="BA48" i="19"/>
  <c r="BJ48" i="19"/>
  <c r="BT48" i="19"/>
  <c r="CD48" i="19"/>
  <c r="CN48" i="19"/>
  <c r="CW48" i="19"/>
  <c r="DG48" i="19"/>
  <c r="G50" i="19"/>
  <c r="AC50" i="19"/>
  <c r="AS50" i="19"/>
  <c r="BJ50" i="19"/>
  <c r="CB50" i="19"/>
  <c r="CS50" i="19"/>
  <c r="DO50" i="19"/>
  <c r="K20" i="20"/>
  <c r="J20" i="20"/>
  <c r="J70" i="20"/>
  <c r="K70" i="20"/>
  <c r="I124" i="20"/>
  <c r="D132" i="46"/>
  <c r="M39" i="19"/>
  <c r="X39" i="19"/>
  <c r="AF39" i="19"/>
  <c r="AN39" i="19"/>
  <c r="AV39" i="19"/>
  <c r="BD39" i="19"/>
  <c r="BL39" i="19"/>
  <c r="BT39" i="19"/>
  <c r="CC39" i="19"/>
  <c r="CL39" i="19"/>
  <c r="CT39" i="19"/>
  <c r="DB39" i="19"/>
  <c r="M40" i="19"/>
  <c r="X40" i="19"/>
  <c r="AF40" i="19"/>
  <c r="AN40" i="19"/>
  <c r="AV40" i="19"/>
  <c r="BD40" i="19"/>
  <c r="BL40" i="19"/>
  <c r="BT40" i="19"/>
  <c r="CC40" i="19"/>
  <c r="CL40" i="19"/>
  <c r="CT40" i="19"/>
  <c r="DB40" i="19"/>
  <c r="M41" i="19"/>
  <c r="X41" i="19"/>
  <c r="AF41" i="19"/>
  <c r="AN41" i="19"/>
  <c r="AV41" i="19"/>
  <c r="BD41" i="19"/>
  <c r="BL41" i="19"/>
  <c r="BT41" i="19"/>
  <c r="CC41" i="19"/>
  <c r="CL41" i="19"/>
  <c r="CT41" i="19"/>
  <c r="DB41" i="19"/>
  <c r="M42" i="19"/>
  <c r="X42" i="19"/>
  <c r="AF42" i="19"/>
  <c r="AN42" i="19"/>
  <c r="AV42" i="19"/>
  <c r="BD42" i="19"/>
  <c r="BL42" i="19"/>
  <c r="BT42" i="19"/>
  <c r="CC42" i="19"/>
  <c r="CL42" i="19"/>
  <c r="CT42" i="19"/>
  <c r="DB42" i="19"/>
  <c r="M43" i="19"/>
  <c r="X43" i="19"/>
  <c r="AF43" i="19"/>
  <c r="AN43" i="19"/>
  <c r="AV43" i="19"/>
  <c r="BD43" i="19"/>
  <c r="BL43" i="19"/>
  <c r="BT43" i="19"/>
  <c r="CC43" i="19"/>
  <c r="CL43" i="19"/>
  <c r="CT43" i="19"/>
  <c r="DB43" i="19"/>
  <c r="M44" i="19"/>
  <c r="X44" i="19"/>
  <c r="AF44" i="19"/>
  <c r="AN44" i="19"/>
  <c r="AV44" i="19"/>
  <c r="BD44" i="19"/>
  <c r="BL44" i="19"/>
  <c r="BT44" i="19"/>
  <c r="CC44" i="19"/>
  <c r="CL44" i="19"/>
  <c r="CT44" i="19"/>
  <c r="DB44" i="19"/>
  <c r="M45" i="19"/>
  <c r="X45" i="19"/>
  <c r="AF45" i="19"/>
  <c r="AN45" i="19"/>
  <c r="AV45" i="19"/>
  <c r="BD45" i="19"/>
  <c r="BL45" i="19"/>
  <c r="BT45" i="19"/>
  <c r="CC45" i="19"/>
  <c r="CL45" i="19"/>
  <c r="CT45" i="19"/>
  <c r="DB45" i="19"/>
  <c r="M46" i="19"/>
  <c r="X46" i="19"/>
  <c r="AF46" i="19"/>
  <c r="AN46" i="19"/>
  <c r="AV46" i="19"/>
  <c r="BD46" i="19"/>
  <c r="BL46" i="19"/>
  <c r="BT46" i="19"/>
  <c r="CC46" i="19"/>
  <c r="CL46" i="19"/>
  <c r="CT46" i="19"/>
  <c r="DB46" i="19"/>
  <c r="M47" i="19"/>
  <c r="X47" i="19"/>
  <c r="AF47" i="19"/>
  <c r="AN47" i="19"/>
  <c r="AV47" i="19"/>
  <c r="BD47" i="19"/>
  <c r="BL47" i="19"/>
  <c r="BT47" i="19"/>
  <c r="CC47" i="19"/>
  <c r="CL47" i="19"/>
  <c r="CT47" i="19"/>
  <c r="DB47" i="19"/>
  <c r="DM47" i="19"/>
  <c r="F48" i="19"/>
  <c r="O48" i="19"/>
  <c r="AA48" i="19"/>
  <c r="AJ48" i="19"/>
  <c r="AS48" i="19"/>
  <c r="BB48" i="19"/>
  <c r="BL48" i="19"/>
  <c r="BU48" i="19"/>
  <c r="CE48" i="19"/>
  <c r="CO48" i="19"/>
  <c r="CX48" i="19"/>
  <c r="DH48" i="19"/>
  <c r="J50" i="19"/>
  <c r="AD50" i="19"/>
  <c r="AU50" i="19"/>
  <c r="BK50" i="19"/>
  <c r="CD50" i="19"/>
  <c r="CU50" i="19"/>
  <c r="J62" i="20"/>
  <c r="K62" i="20"/>
  <c r="K88" i="20"/>
  <c r="K110" i="20"/>
  <c r="K124" i="20"/>
  <c r="M51" i="19"/>
  <c r="AB51" i="19"/>
  <c r="AL51" i="19"/>
  <c r="AV51" i="19"/>
  <c r="BH51" i="19"/>
  <c r="BR51" i="19"/>
  <c r="CC51" i="19"/>
  <c r="CP51" i="19"/>
  <c r="CZ51" i="19"/>
  <c r="I125" i="20"/>
  <c r="D133" i="46"/>
  <c r="K125" i="20"/>
  <c r="DS51" i="19"/>
  <c r="DE51" i="19"/>
  <c r="CW51" i="19"/>
  <c r="CO51" i="19"/>
  <c r="CF51" i="19"/>
  <c r="BX51" i="19"/>
  <c r="BO51" i="19"/>
  <c r="BG51" i="19"/>
  <c r="AY51" i="19"/>
  <c r="AQ51" i="19"/>
  <c r="AI51" i="19"/>
  <c r="AA51" i="19"/>
  <c r="S51" i="19"/>
  <c r="H51" i="19"/>
  <c r="DQ51" i="19"/>
  <c r="DD51" i="19"/>
  <c r="CV51" i="19"/>
  <c r="CN51" i="19"/>
  <c r="CE51" i="19"/>
  <c r="BV51" i="19"/>
  <c r="BN51" i="19"/>
  <c r="BF51" i="19"/>
  <c r="AX51" i="19"/>
  <c r="AP51" i="19"/>
  <c r="AH51" i="19"/>
  <c r="Z51" i="19"/>
  <c r="O51" i="19"/>
  <c r="G51" i="19"/>
  <c r="T51" i="19"/>
  <c r="AD51" i="19"/>
  <c r="AN51" i="19"/>
  <c r="AZ51" i="19"/>
  <c r="BJ51" i="19"/>
  <c r="BT51" i="19"/>
  <c r="CG51" i="19"/>
  <c r="CR51" i="19"/>
  <c r="DB51" i="19"/>
  <c r="K60" i="20"/>
  <c r="J60" i="20"/>
  <c r="K67" i="20"/>
  <c r="K94" i="20"/>
  <c r="J94" i="20"/>
  <c r="K101" i="20"/>
  <c r="I51" i="19"/>
  <c r="V51" i="19"/>
  <c r="AF51" i="19"/>
  <c r="AR51" i="19"/>
  <c r="BB51" i="19"/>
  <c r="BL51" i="19"/>
  <c r="BY51" i="19"/>
  <c r="CI51" i="19"/>
  <c r="CT51" i="19"/>
  <c r="DG51" i="19"/>
  <c r="K46" i="20"/>
  <c r="J64" i="20"/>
  <c r="J67" i="20"/>
  <c r="K79" i="20"/>
  <c r="J98" i="20"/>
  <c r="J101" i="20"/>
  <c r="K115" i="20"/>
  <c r="E21" i="20"/>
  <c r="I123" i="20"/>
  <c r="D131" i="46"/>
  <c r="C31" i="20"/>
  <c r="D138" i="46"/>
  <c r="B31" i="14"/>
  <c r="C268" i="46"/>
  <c r="B29" i="14" a="1"/>
  <c r="B29" i="14"/>
  <c r="C266" i="46"/>
  <c r="B25" i="14"/>
  <c r="C150" i="46"/>
  <c r="B24" i="14"/>
  <c r="C149" i="46"/>
  <c r="B23" i="14"/>
  <c r="C148" i="46"/>
  <c r="B22" i="14"/>
  <c r="C147" i="46"/>
  <c r="B21" i="14"/>
  <c r="C146" i="46"/>
  <c r="B20" i="14"/>
  <c r="C145" i="46"/>
  <c r="B19" i="14"/>
  <c r="C144" i="46"/>
  <c r="B18" i="14"/>
  <c r="C143" i="46"/>
  <c r="B17" i="14"/>
  <c r="C142" i="46"/>
  <c r="B16" i="14"/>
  <c r="C141" i="46"/>
  <c r="B10" i="14"/>
  <c r="H124" i="14"/>
  <c r="C262" i="46"/>
  <c r="H123" i="14"/>
  <c r="C261" i="46"/>
  <c r="H121" i="14"/>
  <c r="C259" i="46"/>
  <c r="H119" i="14"/>
  <c r="C257" i="46"/>
  <c r="H117" i="14"/>
  <c r="C255" i="46"/>
  <c r="H115" i="14"/>
  <c r="C253" i="46"/>
  <c r="H113" i="14"/>
  <c r="C251" i="46"/>
  <c r="H111" i="14"/>
  <c r="C249" i="46"/>
  <c r="H110" i="14"/>
  <c r="C248" i="46"/>
  <c r="H109" i="14"/>
  <c r="C247" i="46"/>
  <c r="H107" i="14"/>
  <c r="C245" i="46"/>
  <c r="H106" i="14"/>
  <c r="C244" i="46"/>
  <c r="H105" i="14"/>
  <c r="C243" i="46"/>
  <c r="H104" i="14"/>
  <c r="C242" i="46"/>
  <c r="H103" i="14"/>
  <c r="C241" i="46"/>
  <c r="H102" i="14"/>
  <c r="C240" i="46"/>
  <c r="H101" i="14"/>
  <c r="C239" i="46"/>
  <c r="H100" i="14"/>
  <c r="C238" i="46"/>
  <c r="H99" i="14"/>
  <c r="C237" i="46"/>
  <c r="H98" i="14"/>
  <c r="C236" i="46"/>
  <c r="H97" i="14"/>
  <c r="C235" i="46"/>
  <c r="H96" i="14"/>
  <c r="C234" i="46"/>
  <c r="H95" i="14"/>
  <c r="C233" i="46"/>
  <c r="G233" i="46"/>
  <c r="H94" i="14"/>
  <c r="C232" i="46"/>
  <c r="H93" i="14"/>
  <c r="C231" i="46"/>
  <c r="H92" i="14"/>
  <c r="C230" i="46"/>
  <c r="H91" i="14"/>
  <c r="C229" i="46"/>
  <c r="H90" i="14"/>
  <c r="C228" i="46"/>
  <c r="H89" i="14"/>
  <c r="C227" i="46"/>
  <c r="H88" i="14"/>
  <c r="C226" i="46"/>
  <c r="H87" i="14"/>
  <c r="C225" i="46"/>
  <c r="H85" i="14"/>
  <c r="C223" i="46"/>
  <c r="H223" i="46"/>
  <c r="H84" i="14"/>
  <c r="C222" i="46"/>
  <c r="H83" i="14"/>
  <c r="C221" i="46"/>
  <c r="H82" i="14"/>
  <c r="C220" i="46"/>
  <c r="H81" i="14"/>
  <c r="C219" i="46"/>
  <c r="H80" i="14"/>
  <c r="C218" i="46"/>
  <c r="H79" i="14"/>
  <c r="C217" i="46"/>
  <c r="H78" i="14"/>
  <c r="C216" i="46"/>
  <c r="G216" i="46"/>
  <c r="H77" i="14"/>
  <c r="C215" i="46"/>
  <c r="H76" i="14"/>
  <c r="C214" i="46"/>
  <c r="H75" i="14"/>
  <c r="C213" i="46"/>
  <c r="H74" i="14"/>
  <c r="C212" i="46"/>
  <c r="H72" i="14"/>
  <c r="C210" i="46"/>
  <c r="H71" i="14"/>
  <c r="C209" i="46"/>
  <c r="H70" i="14"/>
  <c r="C208" i="46"/>
  <c r="H69" i="14"/>
  <c r="C207" i="46"/>
  <c r="H68" i="14"/>
  <c r="C206" i="46"/>
  <c r="H67" i="14"/>
  <c r="C205" i="46"/>
  <c r="H66" i="14"/>
  <c r="C204" i="46"/>
  <c r="H65" i="14"/>
  <c r="C203" i="46"/>
  <c r="H64" i="14"/>
  <c r="C202" i="46"/>
  <c r="H63" i="14"/>
  <c r="C201" i="46"/>
  <c r="H62" i="14"/>
  <c r="C200" i="46"/>
  <c r="H60" i="14"/>
  <c r="C198" i="46"/>
  <c r="H59" i="14"/>
  <c r="C197" i="46"/>
  <c r="H58" i="14"/>
  <c r="C196" i="46"/>
  <c r="H57" i="14"/>
  <c r="C195" i="46"/>
  <c r="H56" i="14"/>
  <c r="C194" i="46"/>
  <c r="H55" i="14"/>
  <c r="C193" i="46"/>
  <c r="H54" i="14"/>
  <c r="C192" i="46"/>
  <c r="H53" i="14"/>
  <c r="C191" i="46"/>
  <c r="H52" i="14"/>
  <c r="C190" i="46"/>
  <c r="G190" i="46"/>
  <c r="H51" i="14"/>
  <c r="C189" i="46"/>
  <c r="H49" i="14"/>
  <c r="C187" i="46"/>
  <c r="H48" i="14"/>
  <c r="C186" i="46"/>
  <c r="H47" i="14"/>
  <c r="C185" i="46"/>
  <c r="H46" i="14"/>
  <c r="C184" i="46"/>
  <c r="H45" i="14"/>
  <c r="C183" i="46"/>
  <c r="G183" i="46"/>
  <c r="H44" i="14"/>
  <c r="C182" i="46"/>
  <c r="H43" i="14"/>
  <c r="C181" i="46"/>
  <c r="H42" i="14"/>
  <c r="C180" i="46"/>
  <c r="H41" i="14"/>
  <c r="C179" i="46"/>
  <c r="H40" i="14"/>
  <c r="C178" i="46"/>
  <c r="H39" i="14"/>
  <c r="C177" i="46"/>
  <c r="H38" i="14"/>
  <c r="C176" i="46"/>
  <c r="H37" i="14"/>
  <c r="C175" i="46"/>
  <c r="H36" i="14"/>
  <c r="C174" i="46"/>
  <c r="H35" i="14"/>
  <c r="C173" i="46"/>
  <c r="H34" i="14"/>
  <c r="C172" i="46"/>
  <c r="H33" i="14"/>
  <c r="C171" i="46"/>
  <c r="H32" i="14"/>
  <c r="C170" i="46"/>
  <c r="H31" i="14"/>
  <c r="C169" i="46"/>
  <c r="H30" i="14"/>
  <c r="C168" i="46"/>
  <c r="H29" i="14"/>
  <c r="C167" i="46"/>
  <c r="H28" i="14"/>
  <c r="C166" i="46"/>
  <c r="H27" i="14"/>
  <c r="C165" i="46"/>
  <c r="H26" i="14"/>
  <c r="C164" i="46"/>
  <c r="H25" i="14"/>
  <c r="C163" i="46"/>
  <c r="H24" i="14"/>
  <c r="C162" i="46"/>
  <c r="H23" i="14"/>
  <c r="C161" i="46"/>
  <c r="H22" i="14"/>
  <c r="C160" i="46"/>
  <c r="H21" i="14"/>
  <c r="C159" i="46"/>
  <c r="G159" i="46"/>
  <c r="H20" i="14"/>
  <c r="C158" i="46"/>
  <c r="H19" i="14"/>
  <c r="C157" i="46"/>
  <c r="H18" i="14"/>
  <c r="C156" i="46"/>
  <c r="H17" i="14"/>
  <c r="C155" i="46"/>
  <c r="P52" i="13"/>
  <c r="DY52" i="13"/>
  <c r="DW52" i="13"/>
  <c r="DV52" i="13"/>
  <c r="DU52" i="13"/>
  <c r="DM52" i="13"/>
  <c r="DI52" i="13"/>
  <c r="DH52" i="13"/>
  <c r="DG52" i="13"/>
  <c r="DB52" i="13"/>
  <c r="DA52" i="13"/>
  <c r="CZ52" i="13"/>
  <c r="CY52" i="13"/>
  <c r="CT52" i="13"/>
  <c r="CS52" i="13"/>
  <c r="CR52" i="13"/>
  <c r="CQ52" i="13"/>
  <c r="CP52" i="13"/>
  <c r="CL52" i="13"/>
  <c r="CK52" i="13"/>
  <c r="CH52" i="13"/>
  <c r="CG52" i="13"/>
  <c r="CC52" i="13"/>
  <c r="CB52" i="13"/>
  <c r="CA52" i="13"/>
  <c r="BZ52" i="13"/>
  <c r="BY52" i="13"/>
  <c r="BS52" i="13"/>
  <c r="BR52" i="13"/>
  <c r="BQ52" i="13"/>
  <c r="BP52" i="13"/>
  <c r="BL52" i="13"/>
  <c r="BK52" i="13"/>
  <c r="BJ52" i="13"/>
  <c r="BH52" i="13"/>
  <c r="BD52" i="13"/>
  <c r="BC52" i="13"/>
  <c r="BB52" i="13"/>
  <c r="BA52" i="13"/>
  <c r="AZ52" i="13"/>
  <c r="AV52" i="13"/>
  <c r="AT52" i="13"/>
  <c r="AS52" i="13"/>
  <c r="AR52" i="13"/>
  <c r="AN52" i="13"/>
  <c r="AM52" i="13"/>
  <c r="AL52" i="13"/>
  <c r="AK52" i="13"/>
  <c r="AF52" i="13"/>
  <c r="AE52" i="13"/>
  <c r="AD52" i="13"/>
  <c r="AC52" i="13"/>
  <c r="AB52" i="13"/>
  <c r="X52" i="13"/>
  <c r="W52" i="13"/>
  <c r="U52" i="13"/>
  <c r="T52" i="13"/>
  <c r="M52" i="13"/>
  <c r="L52" i="13"/>
  <c r="K52" i="13"/>
  <c r="J52" i="13"/>
  <c r="I52" i="13"/>
  <c r="DW51" i="13"/>
  <c r="DV51" i="13"/>
  <c r="DU51" i="13"/>
  <c r="P51" i="13"/>
  <c r="DI51" i="13"/>
  <c r="DG51" i="13"/>
  <c r="DW50" i="13"/>
  <c r="DV50" i="13"/>
  <c r="DU50" i="13"/>
  <c r="P50" i="13"/>
  <c r="DI50" i="13"/>
  <c r="DA50" i="13"/>
  <c r="CZ50" i="13"/>
  <c r="CY50" i="13"/>
  <c r="CN50" i="13"/>
  <c r="CF50" i="13"/>
  <c r="CE50" i="13"/>
  <c r="CC50" i="13"/>
  <c r="BQ50" i="13"/>
  <c r="BJ50" i="13"/>
  <c r="BI50" i="13"/>
  <c r="BH50" i="13"/>
  <c r="AU50" i="13"/>
  <c r="AP50" i="13"/>
  <c r="AM50" i="13"/>
  <c r="AL50" i="13"/>
  <c r="AA50" i="13"/>
  <c r="T50" i="13"/>
  <c r="S50" i="13"/>
  <c r="O50" i="13"/>
  <c r="P49" i="13"/>
  <c r="DY49" i="13"/>
  <c r="DW49" i="13"/>
  <c r="DV49" i="13"/>
  <c r="DU49" i="13"/>
  <c r="DS49" i="13"/>
  <c r="DQ49" i="13"/>
  <c r="DO49" i="13"/>
  <c r="DM49" i="13"/>
  <c r="DK49" i="13"/>
  <c r="DI49" i="13"/>
  <c r="DE49" i="13"/>
  <c r="DD49" i="13"/>
  <c r="DC49" i="13"/>
  <c r="DB49" i="13"/>
  <c r="DA49" i="13"/>
  <c r="CZ49" i="13"/>
  <c r="CX49" i="13"/>
  <c r="CV49" i="13"/>
  <c r="CU49" i="13"/>
  <c r="CT49" i="13"/>
  <c r="CS49" i="13"/>
  <c r="CR49" i="13"/>
  <c r="CP49" i="13"/>
  <c r="CO49" i="13"/>
  <c r="CM49" i="13"/>
  <c r="CL49" i="13"/>
  <c r="CK49" i="13"/>
  <c r="CI49" i="13"/>
  <c r="CG49" i="13"/>
  <c r="CF49" i="13"/>
  <c r="CE49" i="13"/>
  <c r="CC49" i="13"/>
  <c r="CB49" i="13"/>
  <c r="CA49" i="13"/>
  <c r="BY49" i="13"/>
  <c r="BX49" i="13"/>
  <c r="BV49" i="13"/>
  <c r="BU49" i="13"/>
  <c r="BS49" i="13"/>
  <c r="BR49" i="13"/>
  <c r="BP49" i="13"/>
  <c r="BO49" i="13"/>
  <c r="BN49" i="13"/>
  <c r="BM49" i="13"/>
  <c r="BL49" i="13"/>
  <c r="BJ49" i="13"/>
  <c r="BH49" i="13"/>
  <c r="BG49" i="13"/>
  <c r="BF49" i="13"/>
  <c r="BE49" i="13"/>
  <c r="BD49" i="13"/>
  <c r="BC49" i="13"/>
  <c r="AZ49" i="13"/>
  <c r="AY49" i="13"/>
  <c r="AX49" i="13"/>
  <c r="AW49" i="13"/>
  <c r="AV49" i="13"/>
  <c r="AU49" i="13"/>
  <c r="AT49" i="13"/>
  <c r="AQ49" i="13"/>
  <c r="AP49" i="13"/>
  <c r="AO49" i="13"/>
  <c r="AN49" i="13"/>
  <c r="AM49" i="13"/>
  <c r="AL49" i="13"/>
  <c r="AJ49" i="13"/>
  <c r="AH49" i="13"/>
  <c r="AG49" i="13"/>
  <c r="AF49" i="13"/>
  <c r="AE49" i="13"/>
  <c r="AD49" i="13"/>
  <c r="AB49" i="13"/>
  <c r="AA49" i="13"/>
  <c r="Y49" i="13"/>
  <c r="X49" i="13"/>
  <c r="W49" i="13"/>
  <c r="V49" i="13"/>
  <c r="T49" i="13"/>
  <c r="S49" i="13"/>
  <c r="O49" i="13"/>
  <c r="M49" i="13"/>
  <c r="L49" i="13"/>
  <c r="K49" i="13"/>
  <c r="I49" i="13"/>
  <c r="H49" i="13"/>
  <c r="G49" i="13"/>
  <c r="F49" i="13"/>
  <c r="P48" i="13"/>
  <c r="DY48" i="13"/>
  <c r="DW48" i="13"/>
  <c r="DV48" i="13"/>
  <c r="DU48" i="13"/>
  <c r="DQ48" i="13"/>
  <c r="DK48" i="13"/>
  <c r="DI48" i="13"/>
  <c r="DG48" i="13"/>
  <c r="DE48" i="13"/>
  <c r="DD48" i="13"/>
  <c r="DB48" i="13"/>
  <c r="CX48" i="13"/>
  <c r="CW48" i="13"/>
  <c r="CV48" i="13"/>
  <c r="CU48" i="13"/>
  <c r="CT48" i="13"/>
  <c r="CP48" i="13"/>
  <c r="CN48" i="13"/>
  <c r="CM48" i="13"/>
  <c r="CL48" i="13"/>
  <c r="CK48" i="13"/>
  <c r="CI48" i="13"/>
  <c r="CE48" i="13"/>
  <c r="CC48" i="13"/>
  <c r="CB48" i="13"/>
  <c r="CA48" i="13"/>
  <c r="BY48" i="13"/>
  <c r="BV48" i="13"/>
  <c r="BT48" i="13"/>
  <c r="BR48" i="13"/>
  <c r="BP48" i="13"/>
  <c r="BO48" i="13"/>
  <c r="BM48" i="13"/>
  <c r="BL48" i="13"/>
  <c r="BJ48" i="13"/>
  <c r="BG48" i="13"/>
  <c r="BF48" i="13"/>
  <c r="BD48" i="13"/>
  <c r="BC48" i="13"/>
  <c r="BB48" i="13"/>
  <c r="AY48" i="13"/>
  <c r="AW48" i="13"/>
  <c r="AU48" i="13"/>
  <c r="AT48" i="13"/>
  <c r="AR48" i="13"/>
  <c r="AQ48" i="13"/>
  <c r="AO48" i="13"/>
  <c r="AL48" i="13"/>
  <c r="AJ48" i="13"/>
  <c r="AI48" i="13"/>
  <c r="AH48" i="13"/>
  <c r="AG48" i="13"/>
  <c r="AE48" i="13"/>
  <c r="AA48" i="13"/>
  <c r="Z48" i="13"/>
  <c r="Y48" i="13"/>
  <c r="X48" i="13"/>
  <c r="W48" i="13"/>
  <c r="S48" i="13"/>
  <c r="N48" i="13"/>
  <c r="M48" i="13"/>
  <c r="L48" i="13"/>
  <c r="K48" i="13"/>
  <c r="I48" i="13"/>
  <c r="F48" i="13"/>
  <c r="P47" i="13"/>
  <c r="DY47" i="13"/>
  <c r="DW47" i="13"/>
  <c r="DV47" i="13"/>
  <c r="DU47" i="13"/>
  <c r="DQ47" i="13"/>
  <c r="DO47" i="13"/>
  <c r="DM47" i="13"/>
  <c r="DK47" i="13"/>
  <c r="DI47" i="13"/>
  <c r="DG47" i="13"/>
  <c r="DE47" i="13"/>
  <c r="DC47" i="13"/>
  <c r="DB47" i="13"/>
  <c r="DA47" i="13"/>
  <c r="CZ47" i="13"/>
  <c r="CX47" i="13"/>
  <c r="CW47" i="13"/>
  <c r="CV47" i="13"/>
  <c r="CT47" i="13"/>
  <c r="CS47" i="13"/>
  <c r="CR47" i="13"/>
  <c r="CP47" i="13"/>
  <c r="CO47" i="13"/>
  <c r="CN47" i="13"/>
  <c r="CM47" i="13"/>
  <c r="CK47" i="13"/>
  <c r="CI47" i="13"/>
  <c r="CH47" i="13"/>
  <c r="CG47" i="13"/>
  <c r="CF47" i="13"/>
  <c r="CE47" i="13"/>
  <c r="CD47" i="13"/>
  <c r="CB47" i="13"/>
  <c r="CA47" i="13"/>
  <c r="BZ47" i="13"/>
  <c r="BY47" i="13"/>
  <c r="BX47" i="13"/>
  <c r="BV47" i="13"/>
  <c r="BU47" i="13"/>
  <c r="BS47" i="13"/>
  <c r="BR47" i="13"/>
  <c r="BQ47" i="13"/>
  <c r="BP47" i="13"/>
  <c r="BO47" i="13"/>
  <c r="BN47" i="13"/>
  <c r="BM47" i="13"/>
  <c r="BK47" i="13"/>
  <c r="BJ47" i="13"/>
  <c r="BI47" i="13"/>
  <c r="BH47" i="13"/>
  <c r="BG47" i="13"/>
  <c r="BF47" i="13"/>
  <c r="BE47" i="13"/>
  <c r="BC47" i="13"/>
  <c r="BB47" i="13"/>
  <c r="BA47" i="13"/>
  <c r="AZ47" i="13"/>
  <c r="AY47" i="13"/>
  <c r="AX47" i="13"/>
  <c r="AW47" i="13"/>
  <c r="AU47" i="13"/>
  <c r="AT47" i="13"/>
  <c r="AS47" i="13"/>
  <c r="AR47" i="13"/>
  <c r="AQ47" i="13"/>
  <c r="AP47" i="13"/>
  <c r="AO47" i="13"/>
  <c r="AM47" i="13"/>
  <c r="AL47" i="13"/>
  <c r="AK47" i="13"/>
  <c r="AJ47" i="13"/>
  <c r="AI47" i="13"/>
  <c r="AH47" i="13"/>
  <c r="AG47" i="13"/>
  <c r="AE47" i="13"/>
  <c r="AD47" i="13"/>
  <c r="AC47" i="13"/>
  <c r="AB47" i="13"/>
  <c r="AA47" i="13"/>
  <c r="Z47" i="13"/>
  <c r="Y47" i="13"/>
  <c r="W47" i="13"/>
  <c r="V47" i="13"/>
  <c r="U47" i="13"/>
  <c r="T47" i="13"/>
  <c r="S47" i="13"/>
  <c r="O47" i="13"/>
  <c r="N47" i="13"/>
  <c r="L47" i="13"/>
  <c r="K47" i="13"/>
  <c r="J47" i="13"/>
  <c r="I47" i="13"/>
  <c r="H47" i="13"/>
  <c r="G47" i="13"/>
  <c r="F47" i="13"/>
  <c r="P46" i="13"/>
  <c r="DY46" i="13"/>
  <c r="DW46" i="13"/>
  <c r="DV46" i="13"/>
  <c r="DU46" i="13"/>
  <c r="DS46" i="13"/>
  <c r="DQ46" i="13"/>
  <c r="DO46" i="13"/>
  <c r="DK46" i="13"/>
  <c r="DI46" i="13"/>
  <c r="DH46" i="13"/>
  <c r="DG46" i="13"/>
  <c r="DE46" i="13"/>
  <c r="DD46" i="13"/>
  <c r="DC46" i="13"/>
  <c r="DA46" i="13"/>
  <c r="CZ46" i="13"/>
  <c r="CY46" i="13"/>
  <c r="CX46" i="13"/>
  <c r="CW46" i="13"/>
  <c r="CV46" i="13"/>
  <c r="CU46" i="13"/>
  <c r="CS46" i="13"/>
  <c r="CR46" i="13"/>
  <c r="CQ46" i="13"/>
  <c r="CP46" i="13"/>
  <c r="CO46" i="13"/>
  <c r="CN46" i="13"/>
  <c r="CM46" i="13"/>
  <c r="CK46" i="13"/>
  <c r="CI46" i="13"/>
  <c r="CH46" i="13"/>
  <c r="CG46" i="13"/>
  <c r="CF46" i="13"/>
  <c r="CE46" i="13"/>
  <c r="CD46" i="13"/>
  <c r="CB46" i="13"/>
  <c r="CA46" i="13"/>
  <c r="BZ46" i="13"/>
  <c r="BY46" i="13"/>
  <c r="BX46" i="13"/>
  <c r="BV46" i="13"/>
  <c r="BU46" i="13"/>
  <c r="BS46" i="13"/>
  <c r="BR46" i="13"/>
  <c r="BQ46" i="13"/>
  <c r="BP46" i="13"/>
  <c r="BO46" i="13"/>
  <c r="BN46" i="13"/>
  <c r="BM46" i="13"/>
  <c r="BK46" i="13"/>
  <c r="BJ46" i="13"/>
  <c r="BI46" i="13"/>
  <c r="BH46" i="13"/>
  <c r="BG46" i="13"/>
  <c r="BF46" i="13"/>
  <c r="BE46" i="13"/>
  <c r="BC46" i="13"/>
  <c r="BB46" i="13"/>
  <c r="BA46" i="13"/>
  <c r="AZ46" i="13"/>
  <c r="AY46" i="13"/>
  <c r="AX46" i="13"/>
  <c r="AW46" i="13"/>
  <c r="AU46" i="13"/>
  <c r="AT46" i="13"/>
  <c r="AS46" i="13"/>
  <c r="AR46" i="13"/>
  <c r="AQ46" i="13"/>
  <c r="AP46" i="13"/>
  <c r="AO46" i="13"/>
  <c r="AM46" i="13"/>
  <c r="AL46" i="13"/>
  <c r="AK46" i="13"/>
  <c r="AJ46" i="13"/>
  <c r="AI46" i="13"/>
  <c r="AH46" i="13"/>
  <c r="AG46" i="13"/>
  <c r="AE46" i="13"/>
  <c r="AD46" i="13"/>
  <c r="AC46" i="13"/>
  <c r="AB46" i="13"/>
  <c r="AA46" i="13"/>
  <c r="Z46" i="13"/>
  <c r="Y46" i="13"/>
  <c r="W46" i="13"/>
  <c r="V46" i="13"/>
  <c r="U46" i="13"/>
  <c r="T46" i="13"/>
  <c r="S46" i="13"/>
  <c r="O46" i="13"/>
  <c r="N46" i="13"/>
  <c r="L46" i="13"/>
  <c r="K46" i="13"/>
  <c r="J46" i="13"/>
  <c r="I46" i="13"/>
  <c r="H46" i="13"/>
  <c r="G46" i="13"/>
  <c r="F46" i="13"/>
  <c r="DM46" i="13"/>
  <c r="P45" i="13"/>
  <c r="DY45" i="13"/>
  <c r="DW45" i="13"/>
  <c r="DV45" i="13"/>
  <c r="DU45" i="13"/>
  <c r="DO45" i="13"/>
  <c r="DK45" i="13"/>
  <c r="DI45" i="13"/>
  <c r="DH45" i="13"/>
  <c r="DE45" i="13"/>
  <c r="DC45" i="13"/>
  <c r="DA45" i="13"/>
  <c r="CY45" i="13"/>
  <c r="CX45" i="13"/>
  <c r="CV45" i="13"/>
  <c r="CS45" i="13"/>
  <c r="CR45" i="13"/>
  <c r="CQ45" i="13"/>
  <c r="CP45" i="13"/>
  <c r="CM45" i="13"/>
  <c r="CI45" i="13"/>
  <c r="CH45" i="13"/>
  <c r="CG45" i="13"/>
  <c r="CF45" i="13"/>
  <c r="CE45" i="13"/>
  <c r="CB45" i="13"/>
  <c r="BY45" i="13"/>
  <c r="BX45" i="13"/>
  <c r="BV45" i="13"/>
  <c r="BU45" i="13"/>
  <c r="BR45" i="13"/>
  <c r="BP45" i="13"/>
  <c r="BO45" i="13"/>
  <c r="BM45" i="13"/>
  <c r="BK45" i="13"/>
  <c r="BI45" i="13"/>
  <c r="BG45" i="13"/>
  <c r="BF45" i="13"/>
  <c r="BE45" i="13"/>
  <c r="BC45" i="13"/>
  <c r="AZ45" i="13"/>
  <c r="AX45" i="13"/>
  <c r="AW45" i="13"/>
  <c r="AU45" i="13"/>
  <c r="AT45" i="13"/>
  <c r="AS45" i="13"/>
  <c r="AQ45" i="13"/>
  <c r="AM45" i="13"/>
  <c r="AL45" i="13"/>
  <c r="AK45" i="13"/>
  <c r="AJ45" i="13"/>
  <c r="AH45" i="13"/>
  <c r="AF45" i="13"/>
  <c r="AE45" i="13"/>
  <c r="AC45" i="13"/>
  <c r="AB45" i="13"/>
  <c r="Z45" i="13"/>
  <c r="X45" i="13"/>
  <c r="W45" i="13"/>
  <c r="V45" i="13"/>
  <c r="U45" i="13"/>
  <c r="O45" i="13"/>
  <c r="M45" i="13"/>
  <c r="L45" i="13"/>
  <c r="K45" i="13"/>
  <c r="J45" i="13"/>
  <c r="I45" i="13"/>
  <c r="G45" i="13"/>
  <c r="DW44" i="13"/>
  <c r="DV44" i="13"/>
  <c r="DU44" i="13"/>
  <c r="P44" i="13"/>
  <c r="DQ44" i="13"/>
  <c r="DM44" i="13"/>
  <c r="DD44" i="13"/>
  <c r="DB44" i="13"/>
  <c r="CQ44" i="13"/>
  <c r="CP44" i="13"/>
  <c r="CH44" i="13"/>
  <c r="CG44" i="13"/>
  <c r="BS44" i="13"/>
  <c r="BR44" i="13"/>
  <c r="BK44" i="13"/>
  <c r="BJ44" i="13"/>
  <c r="AX44" i="13"/>
  <c r="AV44" i="13"/>
  <c r="AP44" i="13"/>
  <c r="AN44" i="13"/>
  <c r="AC44" i="13"/>
  <c r="AB44" i="13"/>
  <c r="U44" i="13"/>
  <c r="T44" i="13"/>
  <c r="P43" i="13"/>
  <c r="DY43" i="13"/>
  <c r="DW43" i="13"/>
  <c r="DV43" i="13"/>
  <c r="DU43" i="13"/>
  <c r="DQ43" i="13"/>
  <c r="DM43" i="13"/>
  <c r="DK43" i="13"/>
  <c r="DI43" i="13"/>
  <c r="DH43" i="13"/>
  <c r="DG43" i="13"/>
  <c r="DD43" i="13"/>
  <c r="DA43" i="13"/>
  <c r="CZ43" i="13"/>
  <c r="CY43" i="13"/>
  <c r="CX43" i="13"/>
  <c r="CV43" i="13"/>
  <c r="CT43" i="13"/>
  <c r="CS43" i="13"/>
  <c r="CQ43" i="13"/>
  <c r="CP43" i="13"/>
  <c r="CN43" i="13"/>
  <c r="CL43" i="13"/>
  <c r="CK43" i="13"/>
  <c r="CI43" i="13"/>
  <c r="CH43" i="13"/>
  <c r="CE43" i="13"/>
  <c r="CC43" i="13"/>
  <c r="CB43" i="13"/>
  <c r="CA43" i="13"/>
  <c r="BZ43" i="13"/>
  <c r="BY43" i="13"/>
  <c r="BV43" i="13"/>
  <c r="BS43" i="13"/>
  <c r="BR43" i="13"/>
  <c r="BQ43" i="13"/>
  <c r="BP43" i="13"/>
  <c r="BN43" i="13"/>
  <c r="BL43" i="13"/>
  <c r="BK43" i="13"/>
  <c r="BI43" i="13"/>
  <c r="BH43" i="13"/>
  <c r="BF43" i="13"/>
  <c r="BD43" i="13"/>
  <c r="BC43" i="13"/>
  <c r="BB43" i="13"/>
  <c r="BA43" i="13"/>
  <c r="AX43" i="13"/>
  <c r="AV43" i="13"/>
  <c r="AU43" i="13"/>
  <c r="AT43" i="13"/>
  <c r="AS43" i="13"/>
  <c r="AR43" i="13"/>
  <c r="AP43" i="13"/>
  <c r="AM43" i="13"/>
  <c r="AL43" i="13"/>
  <c r="AK43" i="13"/>
  <c r="AJ43" i="13"/>
  <c r="AH43" i="13"/>
  <c r="AF43" i="13"/>
  <c r="AE43" i="13"/>
  <c r="AC43" i="13"/>
  <c r="AB43" i="13"/>
  <c r="Z43" i="13"/>
  <c r="X43" i="13"/>
  <c r="W43" i="13"/>
  <c r="V43" i="13"/>
  <c r="U43" i="13"/>
  <c r="O43" i="13"/>
  <c r="M43" i="13"/>
  <c r="L43" i="13"/>
  <c r="K43" i="13"/>
  <c r="J43" i="13"/>
  <c r="I43" i="13"/>
  <c r="G43" i="13"/>
  <c r="DW42" i="13"/>
  <c r="DV42" i="13"/>
  <c r="DU42" i="13"/>
  <c r="P42" i="13"/>
  <c r="DG42" i="13"/>
  <c r="DD42" i="13"/>
  <c r="DB42" i="13"/>
  <c r="DA42" i="13"/>
  <c r="CQ42" i="13"/>
  <c r="CP42" i="13"/>
  <c r="CI42" i="13"/>
  <c r="CH42" i="13"/>
  <c r="BV42" i="13"/>
  <c r="BT42" i="13"/>
  <c r="BS42" i="13"/>
  <c r="BR42" i="13"/>
  <c r="BH42" i="13"/>
  <c r="BB42" i="13"/>
  <c r="BA42" i="13"/>
  <c r="AZ42" i="13"/>
  <c r="AN42" i="13"/>
  <c r="AM42" i="13"/>
  <c r="AL42" i="13"/>
  <c r="AF42" i="13"/>
  <c r="V42" i="13"/>
  <c r="U42" i="13"/>
  <c r="T42" i="13"/>
  <c r="O42" i="13"/>
  <c r="P41" i="13"/>
  <c r="DY41" i="13"/>
  <c r="DW41" i="13"/>
  <c r="DV41" i="13"/>
  <c r="DU41" i="13"/>
  <c r="DH41" i="13"/>
  <c r="DG41" i="13"/>
  <c r="CZ41" i="13"/>
  <c r="CY41" i="13"/>
  <c r="CX41" i="13"/>
  <c r="CN41" i="13"/>
  <c r="CL41" i="13"/>
  <c r="CK41" i="13"/>
  <c r="CI41" i="13"/>
  <c r="CC41" i="13"/>
  <c r="BY41" i="13"/>
  <c r="BS41" i="13"/>
  <c r="BR41" i="13"/>
  <c r="BQ41" i="13"/>
  <c r="BP41" i="13"/>
  <c r="BH41" i="13"/>
  <c r="BG41" i="13"/>
  <c r="BF41" i="13"/>
  <c r="BA41" i="13"/>
  <c r="AZ41" i="13"/>
  <c r="AR41" i="13"/>
  <c r="AQ41" i="13"/>
  <c r="AP41" i="13"/>
  <c r="AN41" i="13"/>
  <c r="AM41" i="13"/>
  <c r="AE41" i="13"/>
  <c r="AD41" i="13"/>
  <c r="Z41" i="13"/>
  <c r="Y41" i="13"/>
  <c r="X41" i="13"/>
  <c r="N41" i="13"/>
  <c r="M41" i="13"/>
  <c r="L41" i="13"/>
  <c r="K41" i="13"/>
  <c r="G41" i="13"/>
  <c r="DI41" i="13"/>
  <c r="DW40" i="13"/>
  <c r="DV40" i="13"/>
  <c r="DU40" i="13"/>
  <c r="P40" i="13"/>
  <c r="DQ40" i="13"/>
  <c r="DO40" i="13"/>
  <c r="DD40" i="13"/>
  <c r="DC40" i="13"/>
  <c r="DB40" i="13"/>
  <c r="DA40" i="13"/>
  <c r="CZ40" i="13"/>
  <c r="CS40" i="13"/>
  <c r="CR40" i="13"/>
  <c r="CN40" i="13"/>
  <c r="CM40" i="13"/>
  <c r="CL40" i="13"/>
  <c r="CD40" i="13"/>
  <c r="CC40" i="13"/>
  <c r="CB40" i="13"/>
  <c r="CA40" i="13"/>
  <c r="BV40" i="13"/>
  <c r="BR40" i="13"/>
  <c r="BN40" i="13"/>
  <c r="BM40" i="13"/>
  <c r="BL40" i="13"/>
  <c r="BK40" i="13"/>
  <c r="BD40" i="13"/>
  <c r="BC40" i="13"/>
  <c r="BB40" i="13"/>
  <c r="AX40" i="13"/>
  <c r="AW40" i="13"/>
  <c r="AP40" i="13"/>
  <c r="AO40" i="13"/>
  <c r="AN40" i="13"/>
  <c r="AM40" i="13"/>
  <c r="AL40" i="13"/>
  <c r="AE40" i="13"/>
  <c r="AD40" i="13"/>
  <c r="Z40" i="13"/>
  <c r="Y40" i="13"/>
  <c r="X40" i="13"/>
  <c r="N40" i="13"/>
  <c r="M40" i="13"/>
  <c r="L40" i="13"/>
  <c r="K40" i="13"/>
  <c r="G40" i="13"/>
  <c r="DY40" i="13"/>
  <c r="DW39" i="13"/>
  <c r="DV39" i="13"/>
  <c r="DU39" i="13"/>
  <c r="P39" i="13"/>
  <c r="DQ39" i="13"/>
  <c r="DO39" i="13"/>
  <c r="DD39" i="13"/>
  <c r="DC39" i="13"/>
  <c r="DB39" i="13"/>
  <c r="DA39" i="13"/>
  <c r="CZ39" i="13"/>
  <c r="CS39" i="13"/>
  <c r="CR39" i="13"/>
  <c r="CN39" i="13"/>
  <c r="CM39" i="13"/>
  <c r="CL39" i="13"/>
  <c r="CD39" i="13"/>
  <c r="CC39" i="13"/>
  <c r="CB39" i="13"/>
  <c r="CA39" i="13"/>
  <c r="BV39" i="13"/>
  <c r="BR39" i="13"/>
  <c r="BN39" i="13"/>
  <c r="BM39" i="13"/>
  <c r="BL39" i="13"/>
  <c r="BK39" i="13"/>
  <c r="BD39" i="13"/>
  <c r="BC39" i="13"/>
  <c r="BB39" i="13"/>
  <c r="AX39" i="13"/>
  <c r="AW39" i="13"/>
  <c r="AP39" i="13"/>
  <c r="AO39" i="13"/>
  <c r="AN39" i="13"/>
  <c r="AM39" i="13"/>
  <c r="AL39" i="13"/>
  <c r="AE39" i="13"/>
  <c r="AD39" i="13"/>
  <c r="Z39" i="13"/>
  <c r="Y39" i="13"/>
  <c r="X39" i="13"/>
  <c r="N39" i="13"/>
  <c r="M39" i="13"/>
  <c r="L39" i="13"/>
  <c r="K39" i="13"/>
  <c r="G39" i="13"/>
  <c r="DY39" i="13"/>
  <c r="DW38" i="13"/>
  <c r="DV38" i="13"/>
  <c r="DU38" i="13"/>
  <c r="P38" i="13"/>
  <c r="AX38" i="13"/>
  <c r="AW38" i="13"/>
  <c r="AP38" i="13"/>
  <c r="AO38" i="13"/>
  <c r="P37" i="13"/>
  <c r="DY37" i="13"/>
  <c r="DW37" i="13"/>
  <c r="DV37" i="13"/>
  <c r="DU37" i="13"/>
  <c r="DO37" i="13"/>
  <c r="DM37" i="13"/>
  <c r="DK37" i="13"/>
  <c r="DI37" i="13"/>
  <c r="DH37" i="13"/>
  <c r="DA37" i="13"/>
  <c r="CZ37" i="13"/>
  <c r="CY37" i="13"/>
  <c r="CV37" i="13"/>
  <c r="CU37" i="13"/>
  <c r="CQ37" i="13"/>
  <c r="CN37" i="13"/>
  <c r="CM37" i="13"/>
  <c r="CL37" i="13"/>
  <c r="CK37" i="13"/>
  <c r="CH37" i="13"/>
  <c r="CD37" i="13"/>
  <c r="CC37" i="13"/>
  <c r="CB37" i="13"/>
  <c r="CA37" i="13"/>
  <c r="BZ37" i="13"/>
  <c r="BU37" i="13"/>
  <c r="BS37" i="13"/>
  <c r="BR37" i="13"/>
  <c r="BQ37" i="13"/>
  <c r="BN37" i="13"/>
  <c r="BM37" i="13"/>
  <c r="BK37" i="13"/>
  <c r="BI37" i="13"/>
  <c r="BF37" i="13"/>
  <c r="BE37" i="13"/>
  <c r="BD37" i="13"/>
  <c r="BC37" i="13"/>
  <c r="BA37" i="13"/>
  <c r="AW37" i="13"/>
  <c r="AV37" i="13"/>
  <c r="AU37" i="13"/>
  <c r="AT37" i="13"/>
  <c r="AS37" i="13"/>
  <c r="AO37" i="13"/>
  <c r="AM37" i="13"/>
  <c r="AL37" i="13"/>
  <c r="AK37" i="13"/>
  <c r="AH37" i="13"/>
  <c r="AG37" i="13"/>
  <c r="AE37" i="13"/>
  <c r="AC37" i="13"/>
  <c r="Z37" i="13"/>
  <c r="Y37" i="13"/>
  <c r="X37" i="13"/>
  <c r="W37" i="13"/>
  <c r="U37" i="13"/>
  <c r="N37" i="13"/>
  <c r="M37" i="13"/>
  <c r="L37" i="13"/>
  <c r="K37" i="13"/>
  <c r="J37" i="13"/>
  <c r="F37" i="13"/>
  <c r="DW36" i="13"/>
  <c r="DV36" i="13"/>
  <c r="DU36" i="13"/>
  <c r="P36" i="13"/>
  <c r="DH36" i="13"/>
  <c r="BU36" i="13"/>
  <c r="BT36" i="13"/>
  <c r="BJ36" i="13"/>
  <c r="AO36" i="13"/>
  <c r="DW35" i="13"/>
  <c r="DV35" i="13"/>
  <c r="DU35" i="13"/>
  <c r="P35" i="13"/>
  <c r="DQ35" i="13"/>
  <c r="DO35" i="13"/>
  <c r="DM35" i="13"/>
  <c r="DK35" i="13"/>
  <c r="DH35" i="13"/>
  <c r="DC35" i="13"/>
  <c r="DB35" i="13"/>
  <c r="DA35" i="13"/>
  <c r="CZ35" i="13"/>
  <c r="CY35" i="13"/>
  <c r="CV35" i="13"/>
  <c r="CT35" i="13"/>
  <c r="CS35" i="13"/>
  <c r="CR35" i="13"/>
  <c r="CQ35" i="13"/>
  <c r="CO35" i="13"/>
  <c r="CM35" i="13"/>
  <c r="CK35" i="13"/>
  <c r="CI35" i="13"/>
  <c r="CH35" i="13"/>
  <c r="CF35" i="13"/>
  <c r="CE35" i="13"/>
  <c r="CC35" i="13"/>
  <c r="CB35" i="13"/>
  <c r="CA35" i="13"/>
  <c r="BZ35" i="13"/>
  <c r="BX35" i="13"/>
  <c r="BV35" i="13"/>
  <c r="BU35" i="13"/>
  <c r="BS35" i="13"/>
  <c r="BR35" i="13"/>
  <c r="BQ35" i="13"/>
  <c r="BO35" i="13"/>
  <c r="BN35" i="13"/>
  <c r="BM35" i="13"/>
  <c r="BL35" i="13"/>
  <c r="BJ35" i="13"/>
  <c r="BI35" i="13"/>
  <c r="BG35" i="13"/>
  <c r="BF35" i="13"/>
  <c r="BE35" i="13"/>
  <c r="BD35" i="13"/>
  <c r="BC35" i="13"/>
  <c r="BA35" i="13"/>
  <c r="AY35" i="13"/>
  <c r="AX35" i="13"/>
  <c r="AW35" i="13"/>
  <c r="AV35" i="13"/>
  <c r="AU35" i="13"/>
  <c r="AT35" i="13"/>
  <c r="AQ35" i="13"/>
  <c r="AP35" i="13"/>
  <c r="AO35" i="13"/>
  <c r="AN35" i="13"/>
  <c r="AM35" i="13"/>
  <c r="AL35" i="13"/>
  <c r="AK35" i="13"/>
  <c r="AH35" i="13"/>
  <c r="AG35" i="13"/>
  <c r="AF35" i="13"/>
  <c r="AE35" i="13"/>
  <c r="AD35" i="13"/>
  <c r="AC35" i="13"/>
  <c r="AA35" i="13"/>
  <c r="Y35" i="13"/>
  <c r="X35" i="13"/>
  <c r="W35" i="13"/>
  <c r="V35" i="13"/>
  <c r="U35" i="13"/>
  <c r="S35" i="13"/>
  <c r="O35" i="13"/>
  <c r="M35" i="13"/>
  <c r="L35" i="13"/>
  <c r="K35" i="13"/>
  <c r="J35" i="13"/>
  <c r="H35" i="13"/>
  <c r="G35" i="13"/>
  <c r="F35" i="13"/>
  <c r="DD35" i="13"/>
  <c r="P34" i="13"/>
  <c r="DY34" i="13"/>
  <c r="DW34" i="13"/>
  <c r="DV34" i="13"/>
  <c r="DU34" i="13"/>
  <c r="DS34" i="13"/>
  <c r="DQ34" i="13"/>
  <c r="DO34" i="13"/>
  <c r="DK34" i="13"/>
  <c r="DH34" i="13"/>
  <c r="CW34" i="13"/>
  <c r="CV34" i="13"/>
  <c r="CU34" i="13"/>
  <c r="CS34" i="13"/>
  <c r="CN34" i="13"/>
  <c r="CI34" i="13"/>
  <c r="CD34" i="13"/>
  <c r="CB34" i="13"/>
  <c r="CA34" i="13"/>
  <c r="BZ34" i="13"/>
  <c r="BO34" i="13"/>
  <c r="BM34" i="13"/>
  <c r="BK34" i="13"/>
  <c r="BJ34" i="13"/>
  <c r="BI34" i="13"/>
  <c r="AY34" i="13"/>
  <c r="AX34" i="13"/>
  <c r="AW34" i="13"/>
  <c r="AS34" i="13"/>
  <c r="AP34" i="13"/>
  <c r="AI34" i="13"/>
  <c r="AG34" i="13"/>
  <c r="AE34" i="13"/>
  <c r="AC34" i="13"/>
  <c r="Z34" i="13"/>
  <c r="N34" i="13"/>
  <c r="M34" i="13"/>
  <c r="L34" i="13"/>
  <c r="K34" i="13"/>
  <c r="J34" i="13"/>
  <c r="DB34" i="13"/>
  <c r="DW33" i="13"/>
  <c r="DV33" i="13"/>
  <c r="DU33" i="13"/>
  <c r="P33" i="13"/>
  <c r="DQ33" i="13"/>
  <c r="DM33" i="13"/>
  <c r="DI33" i="13"/>
  <c r="DE33" i="13"/>
  <c r="CY33" i="13"/>
  <c r="CV33" i="13"/>
  <c r="CR33" i="13"/>
  <c r="CQ33" i="13"/>
  <c r="CO33" i="13"/>
  <c r="CE33" i="13"/>
  <c r="CD33" i="13"/>
  <c r="CC33" i="13"/>
  <c r="CA33" i="13"/>
  <c r="BX33" i="13"/>
  <c r="BN33" i="13"/>
  <c r="BM33" i="13"/>
  <c r="BL33" i="13"/>
  <c r="BJ33" i="13"/>
  <c r="BE33" i="13"/>
  <c r="BA33" i="13"/>
  <c r="AV33" i="13"/>
  <c r="AT33" i="13"/>
  <c r="AS33" i="13"/>
  <c r="AQ33" i="13"/>
  <c r="AH33" i="13"/>
  <c r="AF33" i="13"/>
  <c r="AD33" i="13"/>
  <c r="AC33" i="13"/>
  <c r="AA33" i="13"/>
  <c r="O33" i="13"/>
  <c r="N33" i="13"/>
  <c r="M33" i="13"/>
  <c r="H33" i="13"/>
  <c r="F33" i="13"/>
  <c r="DA33" i="13"/>
  <c r="DW32" i="13"/>
  <c r="DV32" i="13"/>
  <c r="DU32" i="13"/>
  <c r="P32" i="13"/>
  <c r="CK32" i="13"/>
  <c r="DW31" i="13"/>
  <c r="DV31" i="13"/>
  <c r="DU31" i="13"/>
  <c r="P31" i="13"/>
  <c r="CU31" i="13"/>
  <c r="AW31" i="13"/>
  <c r="CE31" i="13"/>
  <c r="P30" i="13"/>
  <c r="DY30" i="13"/>
  <c r="DW30" i="13"/>
  <c r="DV30" i="13"/>
  <c r="DU30" i="13"/>
  <c r="DQ30" i="13"/>
  <c r="DO30" i="13"/>
  <c r="DM30" i="13"/>
  <c r="DK30" i="13"/>
  <c r="DI30" i="13"/>
  <c r="DB30" i="13"/>
  <c r="DA30" i="13"/>
  <c r="CZ30" i="13"/>
  <c r="CX30" i="13"/>
  <c r="CV30" i="13"/>
  <c r="CT30" i="13"/>
  <c r="CP30" i="13"/>
  <c r="CN30" i="13"/>
  <c r="CM30" i="13"/>
  <c r="CL30" i="13"/>
  <c r="CI30" i="13"/>
  <c r="CG30" i="13"/>
  <c r="CC30" i="13"/>
  <c r="CB30" i="13"/>
  <c r="CA30" i="13"/>
  <c r="BV30" i="13"/>
  <c r="BU30" i="13"/>
  <c r="BT30" i="13"/>
  <c r="BP30" i="13"/>
  <c r="BN30" i="13"/>
  <c r="BL30" i="13"/>
  <c r="BK30" i="13"/>
  <c r="BJ30" i="13"/>
  <c r="BH30" i="13"/>
  <c r="BD30" i="13"/>
  <c r="BB30" i="13"/>
  <c r="AZ30" i="13"/>
  <c r="AX30" i="13"/>
  <c r="AW30" i="13"/>
  <c r="AV30" i="13"/>
  <c r="AP30" i="13"/>
  <c r="AO30" i="13"/>
  <c r="AN30" i="13"/>
  <c r="AM30" i="13"/>
  <c r="AL30" i="13"/>
  <c r="AJ30" i="13"/>
  <c r="AE30" i="13"/>
  <c r="AD30" i="13"/>
  <c r="AB30" i="13"/>
  <c r="Z30" i="13"/>
  <c r="Y30" i="13"/>
  <c r="X30" i="13"/>
  <c r="O30" i="13"/>
  <c r="N30" i="13"/>
  <c r="M30" i="13"/>
  <c r="L30" i="13"/>
  <c r="K30" i="13"/>
  <c r="G30" i="13"/>
  <c r="P29" i="13"/>
  <c r="DY29" i="13"/>
  <c r="DW29" i="13"/>
  <c r="DV29" i="13"/>
  <c r="DU29" i="13"/>
  <c r="DO29" i="13"/>
  <c r="DG29" i="13"/>
  <c r="DD29" i="13"/>
  <c r="DC29" i="13"/>
  <c r="DA29" i="13"/>
  <c r="CZ29" i="13"/>
  <c r="CT29" i="13"/>
  <c r="CS29" i="13"/>
  <c r="CP29" i="13"/>
  <c r="CN29" i="13"/>
  <c r="CM29" i="13"/>
  <c r="CG29" i="13"/>
  <c r="CD29" i="13"/>
  <c r="CC29" i="13"/>
  <c r="CB29" i="13"/>
  <c r="CA29" i="13"/>
  <c r="BS29" i="13"/>
  <c r="BR29" i="13"/>
  <c r="BP29" i="13"/>
  <c r="BN29" i="13"/>
  <c r="BM29" i="13"/>
  <c r="BF29" i="13"/>
  <c r="BE29" i="13"/>
  <c r="BD29" i="13"/>
  <c r="BC29" i="13"/>
  <c r="BB29" i="13"/>
  <c r="AU29" i="13"/>
  <c r="AT29" i="13"/>
  <c r="AR29" i="13"/>
  <c r="AP29" i="13"/>
  <c r="AO29" i="13"/>
  <c r="AI29" i="13"/>
  <c r="AH29" i="13"/>
  <c r="AG29" i="13"/>
  <c r="AF29" i="13"/>
  <c r="AD29" i="13"/>
  <c r="Y29" i="13"/>
  <c r="X29" i="13"/>
  <c r="W29" i="13"/>
  <c r="T29" i="13"/>
  <c r="S29" i="13"/>
  <c r="L29" i="13"/>
  <c r="K29" i="13"/>
  <c r="H29" i="13"/>
  <c r="G29" i="13"/>
  <c r="F29" i="13"/>
  <c r="DK29" i="13"/>
  <c r="DW28" i="13"/>
  <c r="DV28" i="13"/>
  <c r="DU28" i="13"/>
  <c r="P28" i="13"/>
  <c r="DS28" i="13"/>
  <c r="DQ28" i="13"/>
  <c r="DO28" i="13"/>
  <c r="DG28" i="13"/>
  <c r="DD28" i="13"/>
  <c r="DC28" i="13"/>
  <c r="DB28" i="13"/>
  <c r="DA28" i="13"/>
  <c r="CU28" i="13"/>
  <c r="CT28" i="13"/>
  <c r="CS28" i="13"/>
  <c r="CR28" i="13"/>
  <c r="CP28" i="13"/>
  <c r="CK28" i="13"/>
  <c r="CI28" i="13"/>
  <c r="CG28" i="13"/>
  <c r="CF28" i="13"/>
  <c r="CE28" i="13"/>
  <c r="BY28" i="13"/>
  <c r="BX28" i="13"/>
  <c r="BV28" i="13"/>
  <c r="BU28" i="13"/>
  <c r="BT28" i="13"/>
  <c r="BN28" i="13"/>
  <c r="BM28" i="13"/>
  <c r="BL28" i="13"/>
  <c r="BK28" i="13"/>
  <c r="BH28" i="13"/>
  <c r="BD28" i="13"/>
  <c r="BC28" i="13"/>
  <c r="BB28" i="13"/>
  <c r="AY28" i="13"/>
  <c r="AX28" i="13"/>
  <c r="AT28" i="13"/>
  <c r="AR28" i="13"/>
  <c r="AP28" i="13"/>
  <c r="AO28" i="13"/>
  <c r="AN28" i="13"/>
  <c r="AI28" i="13"/>
  <c r="AG28" i="13"/>
  <c r="AF28" i="13"/>
  <c r="AE28" i="13"/>
  <c r="AD28" i="13"/>
  <c r="X28" i="13"/>
  <c r="W28" i="13"/>
  <c r="V28" i="13"/>
  <c r="T28" i="13"/>
  <c r="S28" i="13"/>
  <c r="K28" i="13"/>
  <c r="I28" i="13"/>
  <c r="H28" i="13"/>
  <c r="G28" i="13"/>
  <c r="F28" i="13"/>
  <c r="DY28" i="13"/>
  <c r="DW27" i="13"/>
  <c r="DV27" i="13"/>
  <c r="DU27" i="13"/>
  <c r="P27" i="13"/>
  <c r="DS27" i="13"/>
  <c r="DQ27" i="13"/>
  <c r="DO27" i="13"/>
  <c r="DM27" i="13"/>
  <c r="DD27" i="13"/>
  <c r="DC27" i="13"/>
  <c r="DB27" i="13"/>
  <c r="DA27" i="13"/>
  <c r="CX27" i="13"/>
  <c r="CT27" i="13"/>
  <c r="CS27" i="13"/>
  <c r="CR27" i="13"/>
  <c r="CP27" i="13"/>
  <c r="CO27" i="13"/>
  <c r="CK27" i="13"/>
  <c r="CI27" i="13"/>
  <c r="CG27" i="13"/>
  <c r="CF27" i="13"/>
  <c r="CE27" i="13"/>
  <c r="CA27" i="13"/>
  <c r="BY27" i="13"/>
  <c r="BX27" i="13"/>
  <c r="BV27" i="13"/>
  <c r="BU27" i="13"/>
  <c r="BP27" i="13"/>
  <c r="BO27" i="13"/>
  <c r="BN27" i="13"/>
  <c r="BM27" i="13"/>
  <c r="BL27" i="13"/>
  <c r="BG27" i="13"/>
  <c r="BF27" i="13"/>
  <c r="BE27" i="13"/>
  <c r="BD27" i="13"/>
  <c r="BC27" i="13"/>
  <c r="AX27" i="13"/>
  <c r="AW27" i="13"/>
  <c r="AV27" i="13"/>
  <c r="AU27" i="13"/>
  <c r="AT27" i="13"/>
  <c r="AO27" i="13"/>
  <c r="AN27" i="13"/>
  <c r="AM27" i="13"/>
  <c r="AL27" i="13"/>
  <c r="AJ27" i="13"/>
  <c r="AF27" i="13"/>
  <c r="AE27" i="13"/>
  <c r="AD27" i="13"/>
  <c r="AB27" i="13"/>
  <c r="AA27" i="13"/>
  <c r="W27" i="13"/>
  <c r="V27" i="13"/>
  <c r="T27" i="13"/>
  <c r="S27" i="13"/>
  <c r="O27" i="13"/>
  <c r="K27" i="13"/>
  <c r="I27" i="13"/>
  <c r="H27" i="13"/>
  <c r="G27" i="13"/>
  <c r="F27" i="13"/>
  <c r="DG27" i="13"/>
  <c r="DW26" i="13"/>
  <c r="DV26" i="13"/>
  <c r="DU26" i="13"/>
  <c r="P26" i="13"/>
  <c r="DS26" i="13"/>
  <c r="DG26" i="13"/>
  <c r="DE26" i="13"/>
  <c r="DD26" i="13"/>
  <c r="DC26" i="13"/>
  <c r="DB26" i="13"/>
  <c r="CW26" i="13"/>
  <c r="CT26" i="13"/>
  <c r="CS26" i="13"/>
  <c r="CN26" i="13"/>
  <c r="CM26" i="13"/>
  <c r="CL26" i="13"/>
  <c r="CK26" i="13"/>
  <c r="CC26" i="13"/>
  <c r="CB26" i="13"/>
  <c r="CA26" i="13"/>
  <c r="BY26" i="13"/>
  <c r="BT26" i="13"/>
  <c r="BS26" i="13"/>
  <c r="BO26" i="13"/>
  <c r="BK26" i="13"/>
  <c r="BJ26" i="13"/>
  <c r="BH26" i="13"/>
  <c r="BG26" i="13"/>
  <c r="BF26" i="13"/>
  <c r="AY26" i="13"/>
  <c r="AX26" i="13"/>
  <c r="AW26" i="13"/>
  <c r="AR26" i="13"/>
  <c r="AQ26" i="13"/>
  <c r="AP26" i="13"/>
  <c r="AI26" i="13"/>
  <c r="AH26" i="13"/>
  <c r="AG26" i="13"/>
  <c r="AF26" i="13"/>
  <c r="AE26" i="13"/>
  <c r="Z26" i="13"/>
  <c r="W26" i="13"/>
  <c r="V26" i="13"/>
  <c r="N26" i="13"/>
  <c r="M26" i="13"/>
  <c r="L26" i="13"/>
  <c r="K26" i="13"/>
  <c r="P25" i="13"/>
  <c r="DY25" i="13"/>
  <c r="DW25" i="13"/>
  <c r="DV25" i="13"/>
  <c r="DU25" i="13"/>
  <c r="DM25" i="13"/>
  <c r="DK25" i="13"/>
  <c r="DE25" i="13"/>
  <c r="DA25" i="13"/>
  <c r="CZ25" i="13"/>
  <c r="CX25" i="13"/>
  <c r="CW25" i="13"/>
  <c r="CV25" i="13"/>
  <c r="CO25" i="13"/>
  <c r="CN25" i="13"/>
  <c r="CM25" i="13"/>
  <c r="CG25" i="13"/>
  <c r="CF25" i="13"/>
  <c r="CE25" i="13"/>
  <c r="BX25" i="13"/>
  <c r="BV25" i="13"/>
  <c r="BU25" i="13"/>
  <c r="BT25" i="13"/>
  <c r="BS25" i="13"/>
  <c r="BN25" i="13"/>
  <c r="BK25" i="13"/>
  <c r="BJ25" i="13"/>
  <c r="BE25" i="13"/>
  <c r="BD25" i="13"/>
  <c r="BC25" i="13"/>
  <c r="BB25" i="13"/>
  <c r="AU25" i="13"/>
  <c r="AT25" i="13"/>
  <c r="AR25" i="13"/>
  <c r="AQ25" i="13"/>
  <c r="AM25" i="13"/>
  <c r="AL25" i="13"/>
  <c r="AH25" i="13"/>
  <c r="AD25" i="13"/>
  <c r="AB25" i="13"/>
  <c r="AA25" i="13"/>
  <c r="Z25" i="13"/>
  <c r="Y25" i="13"/>
  <c r="O25" i="13"/>
  <c r="N25" i="13"/>
  <c r="M25" i="13"/>
  <c r="H25" i="13"/>
  <c r="G25" i="13"/>
  <c r="F25" i="13"/>
  <c r="DG25" i="13"/>
  <c r="P24" i="13"/>
  <c r="DY24" i="13"/>
  <c r="DW24" i="13"/>
  <c r="DV24" i="13"/>
  <c r="DU24" i="13"/>
  <c r="DS24" i="13"/>
  <c r="DQ24" i="13"/>
  <c r="DO24" i="13"/>
  <c r="DM24" i="13"/>
  <c r="DK24" i="13"/>
  <c r="DI24" i="13"/>
  <c r="DE24" i="13"/>
  <c r="DD24" i="13"/>
  <c r="DC24" i="13"/>
  <c r="DB24" i="13"/>
  <c r="DA24" i="13"/>
  <c r="CZ24" i="13"/>
  <c r="CX24" i="13"/>
  <c r="CV24" i="13"/>
  <c r="CU24" i="13"/>
  <c r="CT24" i="13"/>
  <c r="CS24" i="13"/>
  <c r="CR24" i="13"/>
  <c r="CP24" i="13"/>
  <c r="CO24" i="13"/>
  <c r="CM24" i="13"/>
  <c r="CL24" i="13"/>
  <c r="CK24" i="13"/>
  <c r="CI24" i="13"/>
  <c r="CG24" i="13"/>
  <c r="CF24" i="13"/>
  <c r="CE24" i="13"/>
  <c r="CC24" i="13"/>
  <c r="CB24" i="13"/>
  <c r="CA24" i="13"/>
  <c r="BY24" i="13"/>
  <c r="BX24" i="13"/>
  <c r="BV24" i="13"/>
  <c r="BU24" i="13"/>
  <c r="BS24" i="13"/>
  <c r="BR24" i="13"/>
  <c r="BP24" i="13"/>
  <c r="BO24" i="13"/>
  <c r="BN24" i="13"/>
  <c r="BM24" i="13"/>
  <c r="BL24" i="13"/>
  <c r="BJ24" i="13"/>
  <c r="BH24" i="13"/>
  <c r="BG24" i="13"/>
  <c r="BF24" i="13"/>
  <c r="BE24" i="13"/>
  <c r="BD24" i="13"/>
  <c r="BC24" i="13"/>
  <c r="AZ24" i="13"/>
  <c r="AY24" i="13"/>
  <c r="AX24" i="13"/>
  <c r="AW24" i="13"/>
  <c r="AV24" i="13"/>
  <c r="AU24" i="13"/>
  <c r="AT24" i="13"/>
  <c r="AQ24" i="13"/>
  <c r="AP24" i="13"/>
  <c r="AO24" i="13"/>
  <c r="AN24" i="13"/>
  <c r="AM24" i="13"/>
  <c r="AL24" i="13"/>
  <c r="AJ24" i="13"/>
  <c r="AH24" i="13"/>
  <c r="AG24" i="13"/>
  <c r="AF24" i="13"/>
  <c r="AE24" i="13"/>
  <c r="AD24" i="13"/>
  <c r="AB24" i="13"/>
  <c r="AA24" i="13"/>
  <c r="Y24" i="13"/>
  <c r="X24" i="13"/>
  <c r="W24" i="13"/>
  <c r="V24" i="13"/>
  <c r="T24" i="13"/>
  <c r="S24" i="13"/>
  <c r="O24" i="13"/>
  <c r="M24" i="13"/>
  <c r="L24" i="13"/>
  <c r="K24" i="13"/>
  <c r="I24" i="13"/>
  <c r="H24" i="13"/>
  <c r="G24" i="13"/>
  <c r="F24" i="13"/>
  <c r="DW23" i="13"/>
  <c r="DV23" i="13"/>
  <c r="DU23" i="13"/>
  <c r="P23" i="13"/>
  <c r="DS23" i="13"/>
  <c r="DQ23" i="13"/>
  <c r="DO23" i="13"/>
  <c r="DI23" i="13"/>
  <c r="DC23" i="13"/>
  <c r="DB23" i="13"/>
  <c r="CX23" i="13"/>
  <c r="CW23" i="13"/>
  <c r="CV23" i="13"/>
  <c r="CO23" i="13"/>
  <c r="CN23" i="13"/>
  <c r="CM23" i="13"/>
  <c r="CL23" i="13"/>
  <c r="CK23" i="13"/>
  <c r="CC23" i="13"/>
  <c r="CB23" i="13"/>
  <c r="CA23" i="13"/>
  <c r="BY23" i="13"/>
  <c r="BU23" i="13"/>
  <c r="BP23" i="13"/>
  <c r="BO23" i="13"/>
  <c r="BL23" i="13"/>
  <c r="BK23" i="13"/>
  <c r="BJ23" i="13"/>
  <c r="BC23" i="13"/>
  <c r="BB23" i="13"/>
  <c r="AZ23" i="13"/>
  <c r="AY23" i="13"/>
  <c r="AX23" i="13"/>
  <c r="AQ23" i="13"/>
  <c r="AP23" i="13"/>
  <c r="AO23" i="13"/>
  <c r="AN23" i="13"/>
  <c r="AJ23" i="13"/>
  <c r="AF23" i="13"/>
  <c r="AE23" i="13"/>
  <c r="AA23" i="13"/>
  <c r="Z23" i="13"/>
  <c r="Y23" i="13"/>
  <c r="O23" i="13"/>
  <c r="N23" i="13"/>
  <c r="M23" i="13"/>
  <c r="L23" i="13"/>
  <c r="K23" i="13"/>
  <c r="DW22" i="13"/>
  <c r="DV22" i="13"/>
  <c r="DU22" i="13"/>
  <c r="P22" i="13"/>
  <c r="DO22" i="13"/>
  <c r="DE22" i="13"/>
  <c r="CR22" i="13"/>
  <c r="CP22" i="13"/>
  <c r="CO22" i="13"/>
  <c r="CN22" i="13"/>
  <c r="CE22" i="13"/>
  <c r="BS22" i="13"/>
  <c r="BO22" i="13"/>
  <c r="BN22" i="13"/>
  <c r="BM22" i="13"/>
  <c r="BE22" i="13"/>
  <c r="AT22" i="13"/>
  <c r="AR22" i="13"/>
  <c r="AQ22" i="13"/>
  <c r="AN22" i="13"/>
  <c r="AH22" i="13"/>
  <c r="T22" i="13"/>
  <c r="S22" i="13"/>
  <c r="O22" i="13"/>
  <c r="N22" i="13"/>
  <c r="F22" i="13"/>
  <c r="DA22" i="13"/>
  <c r="P21" i="13"/>
  <c r="DY21" i="13"/>
  <c r="DW21" i="13"/>
  <c r="DV21" i="13"/>
  <c r="DU21" i="13"/>
  <c r="DO21" i="13"/>
  <c r="DM21" i="13"/>
  <c r="DK21" i="13"/>
  <c r="DE21" i="13"/>
  <c r="CZ21" i="13"/>
  <c r="CU21" i="13"/>
  <c r="CT21" i="13"/>
  <c r="CL21" i="13"/>
  <c r="CK21" i="13"/>
  <c r="CI21" i="13"/>
  <c r="CG21" i="13"/>
  <c r="BY21" i="13"/>
  <c r="BV21" i="13"/>
  <c r="BS21" i="13"/>
  <c r="BM21" i="13"/>
  <c r="BJ21" i="13"/>
  <c r="BH21" i="13"/>
  <c r="BG21" i="13"/>
  <c r="AY21" i="13"/>
  <c r="AW21" i="13"/>
  <c r="AV21" i="13"/>
  <c r="AO21" i="13"/>
  <c r="AN21" i="13"/>
  <c r="AM21" i="13"/>
  <c r="AJ21" i="13"/>
  <c r="AE21" i="13"/>
  <c r="AA21" i="13"/>
  <c r="Z21" i="13"/>
  <c r="S21" i="13"/>
  <c r="O21" i="13"/>
  <c r="N21" i="13"/>
  <c r="M21" i="13"/>
  <c r="F21" i="13"/>
  <c r="P20" i="13"/>
  <c r="DY20" i="13"/>
  <c r="DW20" i="13"/>
  <c r="DV20" i="13"/>
  <c r="DU20" i="13"/>
  <c r="DO20" i="13"/>
  <c r="DM20" i="13"/>
  <c r="DK20" i="13"/>
  <c r="DG20" i="13"/>
  <c r="DA20" i="13"/>
  <c r="CX20" i="13"/>
  <c r="CW20" i="13"/>
  <c r="CV20" i="13"/>
  <c r="CO20" i="13"/>
  <c r="CN20" i="13"/>
  <c r="CM20" i="13"/>
  <c r="CL20" i="13"/>
  <c r="CD20" i="13"/>
  <c r="CC20" i="13"/>
  <c r="CB20" i="13"/>
  <c r="BY20" i="13"/>
  <c r="BS20" i="13"/>
  <c r="BP20" i="13"/>
  <c r="BO20" i="13"/>
  <c r="BN20" i="13"/>
  <c r="BG20" i="13"/>
  <c r="BF20" i="13"/>
  <c r="BE20" i="13"/>
  <c r="BD20" i="13"/>
  <c r="AW20" i="13"/>
  <c r="AV20" i="13"/>
  <c r="AU20" i="13"/>
  <c r="AR20" i="13"/>
  <c r="AM20" i="13"/>
  <c r="AJ20" i="13"/>
  <c r="AI20" i="13"/>
  <c r="AH20" i="13"/>
  <c r="AA20" i="13"/>
  <c r="Z20" i="13"/>
  <c r="Y20" i="13"/>
  <c r="X20" i="13"/>
  <c r="N20" i="13"/>
  <c r="M20" i="13"/>
  <c r="L20" i="13"/>
  <c r="I20" i="13"/>
  <c r="P19" i="13"/>
  <c r="DY19" i="13"/>
  <c r="DW19" i="13"/>
  <c r="DV19" i="13"/>
  <c r="DU19" i="13"/>
  <c r="DO19" i="13"/>
  <c r="DM19" i="13"/>
  <c r="DK19" i="13"/>
  <c r="DG19" i="13"/>
  <c r="DE19" i="13"/>
  <c r="DD19" i="13"/>
  <c r="DA19" i="13"/>
  <c r="CX19" i="13"/>
  <c r="CW19" i="13"/>
  <c r="CV19" i="13"/>
  <c r="CU19" i="13"/>
  <c r="CT19" i="13"/>
  <c r="CO19" i="13"/>
  <c r="CN19" i="13"/>
  <c r="CM19" i="13"/>
  <c r="CL19" i="13"/>
  <c r="CK19" i="13"/>
  <c r="CG19" i="13"/>
  <c r="CD19" i="13"/>
  <c r="CC19" i="13"/>
  <c r="CB19" i="13"/>
  <c r="BY19" i="13"/>
  <c r="BX19" i="13"/>
  <c r="BV19" i="13"/>
  <c r="BS19" i="13"/>
  <c r="BP19" i="13"/>
  <c r="BO19" i="13"/>
  <c r="BN19" i="13"/>
  <c r="BM19" i="13"/>
  <c r="BL19" i="13"/>
  <c r="BG19" i="13"/>
  <c r="BF19" i="13"/>
  <c r="BE19" i="13"/>
  <c r="BD19" i="13"/>
  <c r="BC19" i="13"/>
  <c r="AZ19" i="13"/>
  <c r="AW19" i="13"/>
  <c r="AV19" i="13"/>
  <c r="AU19" i="13"/>
  <c r="AR19" i="13"/>
  <c r="AQ19" i="13"/>
  <c r="AP19" i="13"/>
  <c r="AM19" i="13"/>
  <c r="AJ19" i="13"/>
  <c r="AI19" i="13"/>
  <c r="AH19" i="13"/>
  <c r="AG19" i="13"/>
  <c r="AF19" i="13"/>
  <c r="AA19" i="13"/>
  <c r="Z19" i="13"/>
  <c r="Y19" i="13"/>
  <c r="X19" i="13"/>
  <c r="W19" i="13"/>
  <c r="T19" i="13"/>
  <c r="N19" i="13"/>
  <c r="M19" i="13"/>
  <c r="L19" i="13"/>
  <c r="I19" i="13"/>
  <c r="H19" i="13"/>
  <c r="G19" i="13"/>
  <c r="DW18" i="13"/>
  <c r="DV18" i="13"/>
  <c r="DU18" i="13"/>
  <c r="P18" i="13"/>
  <c r="DS18" i="13"/>
  <c r="DQ18" i="13"/>
  <c r="DG18" i="13"/>
  <c r="DE18" i="13"/>
  <c r="DD18" i="13"/>
  <c r="DC18" i="13"/>
  <c r="DB18" i="13"/>
  <c r="CV18" i="13"/>
  <c r="CU18" i="13"/>
  <c r="CT18" i="13"/>
  <c r="CS18" i="13"/>
  <c r="CP18" i="13"/>
  <c r="CL18" i="13"/>
  <c r="CK18" i="13"/>
  <c r="CG18" i="13"/>
  <c r="CF18" i="13"/>
  <c r="CE18" i="13"/>
  <c r="BY18" i="13"/>
  <c r="BX18" i="13"/>
  <c r="BV18" i="13"/>
  <c r="BU18" i="13"/>
  <c r="BT18" i="13"/>
  <c r="BN18" i="13"/>
  <c r="BM18" i="13"/>
  <c r="BL18" i="13"/>
  <c r="BK18" i="13"/>
  <c r="BH18" i="13"/>
  <c r="BD18" i="13"/>
  <c r="BC18" i="13"/>
  <c r="AZ18" i="13"/>
  <c r="AY18" i="13"/>
  <c r="AX18" i="13"/>
  <c r="AR18" i="13"/>
  <c r="AQ18" i="13"/>
  <c r="AP18" i="13"/>
  <c r="AO18" i="13"/>
  <c r="AN18" i="13"/>
  <c r="AH18" i="13"/>
  <c r="AG18" i="13"/>
  <c r="AF18" i="13"/>
  <c r="AE18" i="13"/>
  <c r="AC18" i="13"/>
  <c r="Y18" i="13"/>
  <c r="X18" i="13"/>
  <c r="W18" i="13"/>
  <c r="U18" i="13"/>
  <c r="T18" i="13"/>
  <c r="M18" i="13"/>
  <c r="L18" i="13"/>
  <c r="J18" i="13"/>
  <c r="I18" i="13"/>
  <c r="H18" i="13"/>
  <c r="DW17" i="13"/>
  <c r="DV17" i="13"/>
  <c r="DU17" i="13"/>
  <c r="P17" i="13"/>
  <c r="DS17" i="13"/>
  <c r="DH17" i="13"/>
  <c r="DG17" i="13"/>
  <c r="DE17" i="13"/>
  <c r="DD17" i="13"/>
  <c r="CX17" i="13"/>
  <c r="CV17" i="13"/>
  <c r="CU17" i="13"/>
  <c r="CO17" i="13"/>
  <c r="CN17" i="13"/>
  <c r="CM17" i="13"/>
  <c r="CL17" i="13"/>
  <c r="CE17" i="13"/>
  <c r="CC17" i="13"/>
  <c r="CB17" i="13"/>
  <c r="BU17" i="13"/>
  <c r="BT17" i="13"/>
  <c r="BS17" i="13"/>
  <c r="BQ17" i="13"/>
  <c r="BL17" i="13"/>
  <c r="BI17" i="13"/>
  <c r="BH17" i="13"/>
  <c r="BC17" i="13"/>
  <c r="BA17" i="13"/>
  <c r="AZ17" i="13"/>
  <c r="AY17" i="13"/>
  <c r="AS17" i="13"/>
  <c r="AQ17" i="13"/>
  <c r="AP17" i="13"/>
  <c r="AJ17" i="13"/>
  <c r="AI17" i="13"/>
  <c r="AH17" i="13"/>
  <c r="AG17" i="13"/>
  <c r="AA17" i="13"/>
  <c r="Y17" i="13"/>
  <c r="X17" i="13"/>
  <c r="O17" i="13"/>
  <c r="N17" i="13"/>
  <c r="M17" i="13"/>
  <c r="L17" i="13"/>
  <c r="F17" i="13"/>
  <c r="P16" i="13"/>
  <c r="DY16" i="13"/>
  <c r="DW16" i="13"/>
  <c r="DV16" i="13"/>
  <c r="DU16" i="13"/>
  <c r="DS16" i="13"/>
  <c r="DQ16" i="13"/>
  <c r="DO16" i="13"/>
  <c r="DM16" i="13"/>
  <c r="DK16" i="13"/>
  <c r="DH16" i="13"/>
  <c r="DE16" i="13"/>
  <c r="DD16" i="13"/>
  <c r="DC16" i="13"/>
  <c r="DB16" i="13"/>
  <c r="DA16" i="13"/>
  <c r="CY16" i="13"/>
  <c r="CX16" i="13"/>
  <c r="CV16" i="13"/>
  <c r="CU16" i="13"/>
  <c r="CT16" i="13"/>
  <c r="CS16" i="13"/>
  <c r="CQ16" i="13"/>
  <c r="CP16" i="13"/>
  <c r="CO16" i="13"/>
  <c r="CM16" i="13"/>
  <c r="CL16" i="13"/>
  <c r="CK16" i="13"/>
  <c r="CH16" i="13"/>
  <c r="CG16" i="13"/>
  <c r="CF16" i="13"/>
  <c r="CE16" i="13"/>
  <c r="CC16" i="13"/>
  <c r="CB16" i="13"/>
  <c r="BZ16" i="13"/>
  <c r="BY16" i="13"/>
  <c r="BX16" i="13"/>
  <c r="BV16" i="13"/>
  <c r="BU16" i="13"/>
  <c r="BS16" i="13"/>
  <c r="BQ16" i="13"/>
  <c r="BP16" i="13"/>
  <c r="BO16" i="13"/>
  <c r="BN16" i="13"/>
  <c r="BM16" i="13"/>
  <c r="BL16" i="13"/>
  <c r="BI16" i="13"/>
  <c r="BH16" i="13"/>
  <c r="BG16" i="13"/>
  <c r="BF16" i="13"/>
  <c r="BE16" i="13"/>
  <c r="BD16" i="13"/>
  <c r="BC16" i="13"/>
  <c r="AZ16" i="13"/>
  <c r="AY16" i="13"/>
  <c r="AX16" i="13"/>
  <c r="AW16" i="13"/>
  <c r="AV16" i="13"/>
  <c r="AU16" i="13"/>
  <c r="AS16" i="13"/>
  <c r="AQ16" i="13"/>
  <c r="AP16" i="13"/>
  <c r="AO16" i="13"/>
  <c r="AN16" i="13"/>
  <c r="AM16" i="13"/>
  <c r="AK16" i="13"/>
  <c r="AJ16" i="13"/>
  <c r="AH16" i="13"/>
  <c r="AG16" i="13"/>
  <c r="AF16" i="13"/>
  <c r="AE16" i="13"/>
  <c r="AC16" i="13"/>
  <c r="AB16" i="13"/>
  <c r="AA16" i="13"/>
  <c r="Y16" i="13"/>
  <c r="X16" i="13"/>
  <c r="W16" i="13"/>
  <c r="U16" i="13"/>
  <c r="T16" i="13"/>
  <c r="S16" i="13"/>
  <c r="O16" i="13"/>
  <c r="M16" i="13"/>
  <c r="L16" i="13"/>
  <c r="J16" i="13"/>
  <c r="I16" i="13"/>
  <c r="H16" i="13"/>
  <c r="G16" i="13"/>
  <c r="F16" i="13"/>
  <c r="DW15" i="13"/>
  <c r="DV15" i="13"/>
  <c r="DU15" i="13"/>
  <c r="P15" i="13"/>
  <c r="DS15" i="13"/>
  <c r="DQ15" i="13"/>
  <c r="DD15" i="13"/>
  <c r="DC15" i="13"/>
  <c r="DB15" i="13"/>
  <c r="CW15" i="13"/>
  <c r="CV15" i="13"/>
  <c r="CN15" i="13"/>
  <c r="CM15" i="13"/>
  <c r="CL15" i="13"/>
  <c r="CK15" i="13"/>
  <c r="CH15" i="13"/>
  <c r="BZ15" i="13"/>
  <c r="BY15" i="13"/>
  <c r="BT15" i="13"/>
  <c r="BS15" i="13"/>
  <c r="BQ15" i="13"/>
  <c r="BI15" i="13"/>
  <c r="BH15" i="13"/>
  <c r="BG15" i="13"/>
  <c r="BF15" i="13"/>
  <c r="BA15" i="13"/>
  <c r="AW15" i="13"/>
  <c r="AR15" i="13"/>
  <c r="AQ15" i="13"/>
  <c r="AP15" i="13"/>
  <c r="AO15" i="13"/>
  <c r="AG15" i="13"/>
  <c r="AF15" i="13"/>
  <c r="AE15" i="13"/>
  <c r="Z15" i="13"/>
  <c r="Y15" i="13"/>
  <c r="N15" i="13"/>
  <c r="M15" i="13"/>
  <c r="L15" i="13"/>
  <c r="J15" i="13"/>
  <c r="I15" i="13"/>
  <c r="DG15" i="13"/>
  <c r="DW14" i="13"/>
  <c r="DV14" i="13"/>
  <c r="DU14" i="13"/>
  <c r="P14" i="13"/>
  <c r="DM14" i="13"/>
  <c r="DK14" i="13"/>
  <c r="CY14" i="13"/>
  <c r="CX14" i="13"/>
  <c r="CW14" i="13"/>
  <c r="CV14" i="13"/>
  <c r="CM14" i="13"/>
  <c r="CG14" i="13"/>
  <c r="CF14" i="13"/>
  <c r="CE14" i="13"/>
  <c r="BU14" i="13"/>
  <c r="BT14" i="13"/>
  <c r="BS14" i="13"/>
  <c r="BN14" i="13"/>
  <c r="BE14" i="13"/>
  <c r="BD14" i="13"/>
  <c r="BC14" i="13"/>
  <c r="BA14" i="13"/>
  <c r="AR14" i="13"/>
  <c r="AQ14" i="13"/>
  <c r="AM14" i="13"/>
  <c r="AK14" i="13"/>
  <c r="AB14" i="13"/>
  <c r="AA14" i="13"/>
  <c r="Z14" i="13"/>
  <c r="Y14" i="13"/>
  <c r="M14" i="13"/>
  <c r="H14" i="13"/>
  <c r="G14" i="13"/>
  <c r="F14" i="13"/>
  <c r="DG14" i="13"/>
  <c r="P13" i="13"/>
  <c r="DY13" i="13"/>
  <c r="DW13" i="13"/>
  <c r="DV13" i="13"/>
  <c r="DU13" i="13"/>
  <c r="DS13" i="13"/>
  <c r="DQ13" i="13"/>
  <c r="DO13" i="13"/>
  <c r="DM13" i="13"/>
  <c r="DK13" i="13"/>
  <c r="DE13" i="13"/>
  <c r="DD13" i="13"/>
  <c r="DC13" i="13"/>
  <c r="DB13" i="13"/>
  <c r="DA13" i="13"/>
  <c r="CY13" i="13"/>
  <c r="CV13" i="13"/>
  <c r="CU13" i="13"/>
  <c r="CT13" i="13"/>
  <c r="CS13" i="13"/>
  <c r="CQ13" i="13"/>
  <c r="CP13" i="13"/>
  <c r="CM13" i="13"/>
  <c r="CL13" i="13"/>
  <c r="CK13" i="13"/>
  <c r="CH13" i="13"/>
  <c r="CG13" i="13"/>
  <c r="CF13" i="13"/>
  <c r="CC13" i="13"/>
  <c r="CB13" i="13"/>
  <c r="BZ13" i="13"/>
  <c r="BY13" i="13"/>
  <c r="BX13" i="13"/>
  <c r="BV13" i="13"/>
  <c r="BS13" i="13"/>
  <c r="BQ13" i="13"/>
  <c r="BP13" i="13"/>
  <c r="BO13" i="13"/>
  <c r="BN13" i="13"/>
  <c r="BM13" i="13"/>
  <c r="BI13" i="13"/>
  <c r="BH13" i="13"/>
  <c r="BG13" i="13"/>
  <c r="BF13" i="13"/>
  <c r="BE13" i="13"/>
  <c r="BD13" i="13"/>
  <c r="AZ13" i="13"/>
  <c r="AY13" i="13"/>
  <c r="AX13" i="13"/>
  <c r="AW13" i="13"/>
  <c r="AV13" i="13"/>
  <c r="AU13" i="13"/>
  <c r="AQ13" i="13"/>
  <c r="AP13" i="13"/>
  <c r="AO13" i="13"/>
  <c r="AN13" i="13"/>
  <c r="AM13" i="13"/>
  <c r="AK13" i="13"/>
  <c r="AH13" i="13"/>
  <c r="AG13" i="13"/>
  <c r="AF13" i="13"/>
  <c r="AE13" i="13"/>
  <c r="AC13" i="13"/>
  <c r="AB13" i="13"/>
  <c r="Y13" i="13"/>
  <c r="X13" i="13"/>
  <c r="W13" i="13"/>
  <c r="U13" i="13"/>
  <c r="T13" i="13"/>
  <c r="S13" i="13"/>
  <c r="M13" i="13"/>
  <c r="L13" i="13"/>
  <c r="J13" i="13"/>
  <c r="I13" i="13"/>
  <c r="H13" i="13"/>
  <c r="G13" i="13"/>
  <c r="DW12" i="13"/>
  <c r="DV12" i="13"/>
  <c r="DU12" i="13"/>
  <c r="P12" i="13"/>
  <c r="DS12" i="13"/>
  <c r="DQ12" i="13"/>
  <c r="DE12" i="13"/>
  <c r="DD12" i="13"/>
  <c r="DC12" i="13"/>
  <c r="CX12" i="13"/>
  <c r="CW12" i="13"/>
  <c r="CV12" i="13"/>
  <c r="CO12" i="13"/>
  <c r="CN12" i="13"/>
  <c r="CM12" i="13"/>
  <c r="CL12" i="13"/>
  <c r="CK12" i="13"/>
  <c r="CE12" i="13"/>
  <c r="CB12" i="13"/>
  <c r="BZ12" i="13"/>
  <c r="BU12" i="13"/>
  <c r="BT12" i="13"/>
  <c r="BS12" i="13"/>
  <c r="BQ12" i="13"/>
  <c r="BK12" i="13"/>
  <c r="BI12" i="13"/>
  <c r="BH12" i="13"/>
  <c r="BG12" i="13"/>
  <c r="BC12" i="13"/>
  <c r="BA12" i="13"/>
  <c r="AX12" i="13"/>
  <c r="AS12" i="13"/>
  <c r="AR12" i="13"/>
  <c r="AQ12" i="13"/>
  <c r="AP12" i="13"/>
  <c r="AO12" i="13"/>
  <c r="AH12" i="13"/>
  <c r="AG12" i="13"/>
  <c r="AF12" i="13"/>
  <c r="AA12" i="13"/>
  <c r="Z12" i="13"/>
  <c r="Y12" i="13"/>
  <c r="O12" i="13"/>
  <c r="N12" i="13"/>
  <c r="M12" i="13"/>
  <c r="L12" i="13"/>
  <c r="J12" i="13"/>
  <c r="F12" i="13"/>
  <c r="DG12" i="13"/>
  <c r="DW11" i="13"/>
  <c r="DV11" i="13"/>
  <c r="DU11" i="13"/>
  <c r="P11" i="13"/>
  <c r="DO11" i="13"/>
  <c r="DM11" i="13"/>
  <c r="DK11" i="13"/>
  <c r="DB11" i="13"/>
  <c r="DA11" i="13"/>
  <c r="CY11" i="13"/>
  <c r="CX11" i="13"/>
  <c r="CW11" i="13"/>
  <c r="CS11" i="13"/>
  <c r="CO11" i="13"/>
  <c r="CN11" i="13"/>
  <c r="CH11" i="13"/>
  <c r="CG11" i="13"/>
  <c r="CF11" i="13"/>
  <c r="CE11" i="13"/>
  <c r="BX11" i="13"/>
  <c r="BV11" i="13"/>
  <c r="BU11" i="13"/>
  <c r="BT11" i="13"/>
  <c r="BO11" i="13"/>
  <c r="BN11" i="13"/>
  <c r="BK11" i="13"/>
  <c r="BF11" i="13"/>
  <c r="BE11" i="13"/>
  <c r="BD11" i="13"/>
  <c r="BC11" i="13"/>
  <c r="BA11" i="13"/>
  <c r="AU11" i="13"/>
  <c r="AS11" i="13"/>
  <c r="AR11" i="13"/>
  <c r="AN11" i="13"/>
  <c r="AM11" i="13"/>
  <c r="AK11" i="13"/>
  <c r="AE11" i="13"/>
  <c r="AC11" i="13"/>
  <c r="AB11" i="13"/>
  <c r="AA11" i="13"/>
  <c r="Z11" i="13"/>
  <c r="U11" i="13"/>
  <c r="O11" i="13"/>
  <c r="N11" i="13"/>
  <c r="I11" i="13"/>
  <c r="H11" i="13"/>
  <c r="G11" i="13"/>
  <c r="F11" i="13"/>
  <c r="DY11" i="13"/>
  <c r="DW10" i="13"/>
  <c r="DV10" i="13"/>
  <c r="DU10" i="13"/>
  <c r="P10" i="13"/>
  <c r="DS10" i="13"/>
  <c r="DQ10" i="13"/>
  <c r="DO10" i="13"/>
  <c r="DM10" i="13"/>
  <c r="DD10" i="13"/>
  <c r="DC10" i="13"/>
  <c r="DB10" i="13"/>
  <c r="CX10" i="13"/>
  <c r="CW10" i="13"/>
  <c r="CV10" i="13"/>
  <c r="CP10" i="13"/>
  <c r="CO10" i="13"/>
  <c r="CN10" i="13"/>
  <c r="CM10" i="13"/>
  <c r="CL10" i="13"/>
  <c r="CG10" i="13"/>
  <c r="CD10" i="13"/>
  <c r="CC10" i="13"/>
  <c r="BY10" i="13"/>
  <c r="BX10" i="13"/>
  <c r="BV10" i="13"/>
  <c r="BU10" i="13"/>
  <c r="BO10" i="13"/>
  <c r="BN10" i="13"/>
  <c r="BM10" i="13"/>
  <c r="BL10" i="13"/>
  <c r="BH10" i="13"/>
  <c r="BG10" i="13"/>
  <c r="BD10" i="13"/>
  <c r="AZ10" i="13"/>
  <c r="AY10" i="13"/>
  <c r="AX10" i="13"/>
  <c r="AW10" i="13"/>
  <c r="AV10" i="13"/>
  <c r="AP10" i="13"/>
  <c r="AO10" i="13"/>
  <c r="AN10" i="13"/>
  <c r="AJ10" i="13"/>
  <c r="AI10" i="13"/>
  <c r="AH10" i="13"/>
  <c r="AB10" i="13"/>
  <c r="AA10" i="13"/>
  <c r="Z10" i="13"/>
  <c r="Y10" i="13"/>
  <c r="X10" i="13"/>
  <c r="T10" i="13"/>
  <c r="N10" i="13"/>
  <c r="M10" i="13"/>
  <c r="I10" i="13"/>
  <c r="H10" i="13"/>
  <c r="G10" i="13"/>
  <c r="F10" i="13"/>
  <c r="DE10" i="13"/>
  <c r="DW9" i="13"/>
  <c r="DV9" i="13"/>
  <c r="DU9" i="13"/>
  <c r="P9" i="13"/>
  <c r="DS9" i="13"/>
  <c r="DQ9" i="13"/>
  <c r="DO9" i="13"/>
  <c r="DM9" i="13"/>
  <c r="DD9" i="13"/>
  <c r="DC9" i="13"/>
  <c r="DB9" i="13"/>
  <c r="CX9" i="13"/>
  <c r="CW9" i="13"/>
  <c r="CV9" i="13"/>
  <c r="CP9" i="13"/>
  <c r="CO9" i="13"/>
  <c r="CN9" i="13"/>
  <c r="CM9" i="13"/>
  <c r="CL9" i="13"/>
  <c r="CG9" i="13"/>
  <c r="CD9" i="13"/>
  <c r="CC9" i="13"/>
  <c r="BY9" i="13"/>
  <c r="BX9" i="13"/>
  <c r="BV9" i="13"/>
  <c r="BU9" i="13"/>
  <c r="BO9" i="13"/>
  <c r="BN9" i="13"/>
  <c r="BM9" i="13"/>
  <c r="BL9" i="13"/>
  <c r="BH9" i="13"/>
  <c r="BG9" i="13"/>
  <c r="BD9" i="13"/>
  <c r="AZ9" i="13"/>
  <c r="AY9" i="13"/>
  <c r="AX9" i="13"/>
  <c r="AW9" i="13"/>
  <c r="AV9" i="13"/>
  <c r="AP9" i="13"/>
  <c r="AO9" i="13"/>
  <c r="AN9" i="13"/>
  <c r="AJ9" i="13"/>
  <c r="AI9" i="13"/>
  <c r="AH9" i="13"/>
  <c r="AB9" i="13"/>
  <c r="AA9" i="13"/>
  <c r="Z9" i="13"/>
  <c r="Y9" i="13"/>
  <c r="X9" i="13"/>
  <c r="T9" i="13"/>
  <c r="N9" i="13"/>
  <c r="M9" i="13"/>
  <c r="I9" i="13"/>
  <c r="H9" i="13"/>
  <c r="G9" i="13"/>
  <c r="F9" i="13"/>
  <c r="DE9" i="13"/>
  <c r="DW8" i="13"/>
  <c r="DV8" i="13"/>
  <c r="DU8" i="13"/>
  <c r="P8" i="13"/>
  <c r="DS8" i="13"/>
  <c r="DQ8" i="13"/>
  <c r="DO8" i="13"/>
  <c r="DM8" i="13"/>
  <c r="DD8" i="13"/>
  <c r="DC8" i="13"/>
  <c r="DB8" i="13"/>
  <c r="CX8" i="13"/>
  <c r="CW8" i="13"/>
  <c r="CV8" i="13"/>
  <c r="CP8" i="13"/>
  <c r="CO8" i="13"/>
  <c r="CN8" i="13"/>
  <c r="CM8" i="13"/>
  <c r="CL8" i="13"/>
  <c r="CG8" i="13"/>
  <c r="CD8" i="13"/>
  <c r="CC8" i="13"/>
  <c r="BY8" i="13"/>
  <c r="BX8" i="13"/>
  <c r="BV8" i="13"/>
  <c r="BU8" i="13"/>
  <c r="BO8" i="13"/>
  <c r="BN8" i="13"/>
  <c r="BM8" i="13"/>
  <c r="BL8" i="13"/>
  <c r="BH8" i="13"/>
  <c r="BG8" i="13"/>
  <c r="BD8" i="13"/>
  <c r="AZ8" i="13"/>
  <c r="AY8" i="13"/>
  <c r="AX8" i="13"/>
  <c r="AW8" i="13"/>
  <c r="AV8" i="13"/>
  <c r="AP8" i="13"/>
  <c r="AO8" i="13"/>
  <c r="AN8" i="13"/>
  <c r="AJ8" i="13"/>
  <c r="AI8" i="13"/>
  <c r="AH8" i="13"/>
  <c r="AB8" i="13"/>
  <c r="AA8" i="13"/>
  <c r="Z8" i="13"/>
  <c r="Y8" i="13"/>
  <c r="X8" i="13"/>
  <c r="T8" i="13"/>
  <c r="N8" i="13"/>
  <c r="M8" i="13"/>
  <c r="I8" i="13"/>
  <c r="H8" i="13"/>
  <c r="G8" i="13"/>
  <c r="F8" i="13"/>
  <c r="DE8" i="13"/>
  <c r="DW7" i="13"/>
  <c r="DV7" i="13"/>
  <c r="DU7" i="13"/>
  <c r="P7" i="13"/>
  <c r="DS7" i="13"/>
  <c r="DQ7" i="13"/>
  <c r="DO7" i="13"/>
  <c r="DM7" i="13"/>
  <c r="DD7" i="13"/>
  <c r="DC7" i="13"/>
  <c r="DB7" i="13"/>
  <c r="CX7" i="13"/>
  <c r="CW7" i="13"/>
  <c r="CV7" i="13"/>
  <c r="CP7" i="13"/>
  <c r="CO7" i="13"/>
  <c r="CN7" i="13"/>
  <c r="CM7" i="13"/>
  <c r="CL7" i="13"/>
  <c r="CG7" i="13"/>
  <c r="CD7" i="13"/>
  <c r="CC7" i="13"/>
  <c r="BY7" i="13"/>
  <c r="BX7" i="13"/>
  <c r="BV7" i="13"/>
  <c r="BU7" i="13"/>
  <c r="BO7" i="13"/>
  <c r="BN7" i="13"/>
  <c r="BM7" i="13"/>
  <c r="BL7" i="13"/>
  <c r="BH7" i="13"/>
  <c r="BG7" i="13"/>
  <c r="BD7" i="13"/>
  <c r="AZ7" i="13"/>
  <c r="AY7" i="13"/>
  <c r="AX7" i="13"/>
  <c r="AW7" i="13"/>
  <c r="AV7" i="13"/>
  <c r="AP7" i="13"/>
  <c r="AO7" i="13"/>
  <c r="AN7" i="13"/>
  <c r="AJ7" i="13"/>
  <c r="AI7" i="13"/>
  <c r="AH7" i="13"/>
  <c r="AB7" i="13"/>
  <c r="AA7" i="13"/>
  <c r="Z7" i="13"/>
  <c r="Y7" i="13"/>
  <c r="X7" i="13"/>
  <c r="T7" i="13"/>
  <c r="N7" i="13"/>
  <c r="M7" i="13"/>
  <c r="I7" i="13"/>
  <c r="H7" i="13"/>
  <c r="G7" i="13"/>
  <c r="F7" i="13"/>
  <c r="DE7" i="13"/>
  <c r="DW6" i="13"/>
  <c r="DV6" i="13"/>
  <c r="DU6" i="13"/>
  <c r="P6" i="13"/>
  <c r="DS6" i="13"/>
  <c r="DQ6" i="13"/>
  <c r="DO6" i="13"/>
  <c r="DM6" i="13"/>
  <c r="DD6" i="13"/>
  <c r="DC6" i="13"/>
  <c r="DB6" i="13"/>
  <c r="CX6" i="13"/>
  <c r="CW6" i="13"/>
  <c r="CV6" i="13"/>
  <c r="CP6" i="13"/>
  <c r="CO6" i="13"/>
  <c r="CN6" i="13"/>
  <c r="CM6" i="13"/>
  <c r="CL6" i="13"/>
  <c r="CG6" i="13"/>
  <c r="CD6" i="13"/>
  <c r="CC6" i="13"/>
  <c r="BY6" i="13"/>
  <c r="BX6" i="13"/>
  <c r="BV6" i="13"/>
  <c r="BU6" i="13"/>
  <c r="BO6" i="13"/>
  <c r="BN6" i="13"/>
  <c r="BM6" i="13"/>
  <c r="BL6" i="13"/>
  <c r="BH6" i="13"/>
  <c r="BG6" i="13"/>
  <c r="BD6" i="13"/>
  <c r="AZ6" i="13"/>
  <c r="AY6" i="13"/>
  <c r="AX6" i="13"/>
  <c r="AW6" i="13"/>
  <c r="AV6" i="13"/>
  <c r="AP6" i="13"/>
  <c r="AO6" i="13"/>
  <c r="AN6" i="13"/>
  <c r="AJ6" i="13"/>
  <c r="AI6" i="13"/>
  <c r="AH6" i="13"/>
  <c r="AB6" i="13"/>
  <c r="AA6" i="13"/>
  <c r="Z6" i="13"/>
  <c r="Y6" i="13"/>
  <c r="X6" i="13"/>
  <c r="T6" i="13"/>
  <c r="N6" i="13"/>
  <c r="M6" i="13"/>
  <c r="I6" i="13"/>
  <c r="H6" i="13"/>
  <c r="G6" i="13"/>
  <c r="F6" i="13"/>
  <c r="DE6" i="13"/>
  <c r="DW5" i="13"/>
  <c r="DV5" i="13"/>
  <c r="DU5" i="13"/>
  <c r="P5" i="13"/>
  <c r="DG5" i="13"/>
  <c r="DW4" i="13"/>
  <c r="DV4" i="13"/>
  <c r="DU4" i="13"/>
  <c r="P4" i="13"/>
  <c r="DO4" i="13"/>
  <c r="DM4" i="13"/>
  <c r="DH4" i="13"/>
  <c r="CY4" i="13"/>
  <c r="CX4" i="13"/>
  <c r="CW4" i="13"/>
  <c r="CO4" i="13"/>
  <c r="CN4" i="13"/>
  <c r="CM4" i="13"/>
  <c r="CD4" i="13"/>
  <c r="CC4" i="13"/>
  <c r="BZ4" i="13"/>
  <c r="BQ4" i="13"/>
  <c r="BP4" i="13"/>
  <c r="BO4" i="13"/>
  <c r="BG4" i="13"/>
  <c r="BF4" i="13"/>
  <c r="BE4" i="13"/>
  <c r="AW4" i="13"/>
  <c r="AV4" i="13"/>
  <c r="AS4" i="13"/>
  <c r="AK4" i="13"/>
  <c r="AJ4" i="13"/>
  <c r="AI4" i="13"/>
  <c r="AA4" i="13"/>
  <c r="Z4" i="13"/>
  <c r="Y4" i="13"/>
  <c r="N4" i="13"/>
  <c r="M4" i="13"/>
  <c r="J4" i="13"/>
  <c r="DS4" i="13"/>
  <c r="DW3" i="13"/>
  <c r="DV3" i="13"/>
  <c r="DU3" i="13"/>
  <c r="P3" i="13"/>
  <c r="DS3" i="13"/>
  <c r="DH3" i="13"/>
  <c r="DG3" i="13"/>
  <c r="DE3" i="13"/>
  <c r="DD3" i="13"/>
  <c r="DC3" i="13"/>
  <c r="CW3" i="13"/>
  <c r="CV3" i="13"/>
  <c r="CU3" i="13"/>
  <c r="CT3" i="13"/>
  <c r="CQ3" i="13"/>
  <c r="CM3" i="13"/>
  <c r="CL3" i="13"/>
  <c r="CH3" i="13"/>
  <c r="CG3" i="13"/>
  <c r="CF3" i="13"/>
  <c r="BZ3" i="13"/>
  <c r="BY3" i="13"/>
  <c r="BX3" i="13"/>
  <c r="BV3" i="13"/>
  <c r="BU3" i="13"/>
  <c r="BO3" i="13"/>
  <c r="BN3" i="13"/>
  <c r="BM3" i="13"/>
  <c r="BL3" i="13"/>
  <c r="BI3" i="13"/>
  <c r="BE3" i="13"/>
  <c r="BD3" i="13"/>
  <c r="BA3" i="13"/>
  <c r="AZ3" i="13"/>
  <c r="AY3" i="13"/>
  <c r="AS3" i="13"/>
  <c r="AR3" i="13"/>
  <c r="AQ3" i="13"/>
  <c r="AP3" i="13"/>
  <c r="AO3" i="13"/>
  <c r="AI3" i="13"/>
  <c r="AH3" i="13"/>
  <c r="AG3" i="13"/>
  <c r="AF3" i="13"/>
  <c r="AC3" i="13"/>
  <c r="Y3" i="13"/>
  <c r="X3" i="13"/>
  <c r="U3" i="13"/>
  <c r="T3" i="13"/>
  <c r="S3" i="13"/>
  <c r="J3" i="13"/>
  <c r="I3" i="13"/>
  <c r="H3" i="13"/>
  <c r="G3" i="13"/>
  <c r="F3" i="13"/>
  <c r="DO3" i="13"/>
  <c r="B281" i="46"/>
  <c r="B270" i="46"/>
  <c r="D279" i="46"/>
  <c r="I176" i="46"/>
  <c r="J176" i="46"/>
  <c r="G176" i="46"/>
  <c r="H176" i="46"/>
  <c r="I208" i="46"/>
  <c r="J208" i="46"/>
  <c r="H208" i="46"/>
  <c r="G208" i="46"/>
  <c r="C151" i="46"/>
  <c r="G141" i="46"/>
  <c r="I141" i="46"/>
  <c r="J141" i="46"/>
  <c r="H141" i="46"/>
  <c r="K233" i="46"/>
  <c r="L233" i="46"/>
  <c r="G177" i="46"/>
  <c r="I177" i="46"/>
  <c r="J177" i="46"/>
  <c r="H177" i="46"/>
  <c r="G209" i="46"/>
  <c r="H209" i="46"/>
  <c r="I209" i="46"/>
  <c r="J209" i="46"/>
  <c r="I255" i="46"/>
  <c r="J255" i="46"/>
  <c r="H255" i="46"/>
  <c r="G255" i="46"/>
  <c r="K216" i="46"/>
  <c r="L216" i="46"/>
  <c r="I162" i="46"/>
  <c r="J162" i="46"/>
  <c r="G162" i="46"/>
  <c r="H162" i="46"/>
  <c r="H194" i="46"/>
  <c r="G194" i="46"/>
  <c r="I194" i="46"/>
  <c r="J194" i="46"/>
  <c r="G202" i="46"/>
  <c r="H202" i="46"/>
  <c r="I202" i="46"/>
  <c r="J202" i="46"/>
  <c r="H210" i="46"/>
  <c r="I210" i="46"/>
  <c r="J210" i="46"/>
  <c r="G210" i="46"/>
  <c r="H219" i="46"/>
  <c r="I219" i="46"/>
  <c r="J219" i="46"/>
  <c r="G219" i="46"/>
  <c r="H228" i="46"/>
  <c r="G228" i="46"/>
  <c r="I228" i="46"/>
  <c r="J228" i="46"/>
  <c r="H236" i="46"/>
  <c r="G236" i="46"/>
  <c r="I236" i="46"/>
  <c r="J236" i="46"/>
  <c r="H244" i="46"/>
  <c r="I244" i="46"/>
  <c r="J244" i="46"/>
  <c r="G244" i="46"/>
  <c r="G257" i="46"/>
  <c r="I257" i="46"/>
  <c r="J257" i="46"/>
  <c r="H257" i="46"/>
  <c r="C273" i="46"/>
  <c r="C284" i="46"/>
  <c r="H143" i="46"/>
  <c r="I143" i="46"/>
  <c r="J143" i="46"/>
  <c r="G143" i="46"/>
  <c r="I266" i="46"/>
  <c r="J266" i="46"/>
  <c r="H266" i="46"/>
  <c r="G266" i="46"/>
  <c r="K199" i="46"/>
  <c r="L199" i="46"/>
  <c r="L190" i="46"/>
  <c r="K190" i="46"/>
  <c r="D271" i="46"/>
  <c r="H155" i="46"/>
  <c r="I155" i="46"/>
  <c r="J155" i="46"/>
  <c r="G155" i="46"/>
  <c r="I163" i="46"/>
  <c r="J163" i="46"/>
  <c r="H163" i="46"/>
  <c r="G163" i="46"/>
  <c r="H171" i="46"/>
  <c r="I171" i="46"/>
  <c r="J171" i="46"/>
  <c r="G171" i="46"/>
  <c r="H179" i="46"/>
  <c r="G179" i="46"/>
  <c r="I179" i="46"/>
  <c r="J179" i="46"/>
  <c r="G187" i="46"/>
  <c r="I187" i="46"/>
  <c r="J187" i="46"/>
  <c r="H187" i="46"/>
  <c r="I195" i="46"/>
  <c r="J195" i="46"/>
  <c r="G195" i="46"/>
  <c r="H195" i="46"/>
  <c r="G203" i="46"/>
  <c r="I203" i="46"/>
  <c r="J203" i="46"/>
  <c r="H203" i="46"/>
  <c r="G212" i="46"/>
  <c r="H212" i="46"/>
  <c r="I212" i="46"/>
  <c r="J212" i="46"/>
  <c r="H220" i="46"/>
  <c r="I220" i="46"/>
  <c r="J220" i="46"/>
  <c r="G220" i="46"/>
  <c r="H229" i="46"/>
  <c r="G229" i="46"/>
  <c r="I229" i="46"/>
  <c r="J229" i="46"/>
  <c r="G237" i="46"/>
  <c r="I237" i="46"/>
  <c r="J237" i="46"/>
  <c r="H237" i="46"/>
  <c r="H245" i="46"/>
  <c r="I245" i="46"/>
  <c r="J245" i="46"/>
  <c r="G245" i="46"/>
  <c r="H259" i="46"/>
  <c r="G259" i="46"/>
  <c r="I259" i="46"/>
  <c r="J259" i="46"/>
  <c r="I144" i="46"/>
  <c r="J144" i="46"/>
  <c r="G144" i="46"/>
  <c r="H144" i="46"/>
  <c r="H268" i="46"/>
  <c r="G268" i="46"/>
  <c r="I268" i="46"/>
  <c r="J268" i="46"/>
  <c r="D275" i="46"/>
  <c r="I168" i="46"/>
  <c r="J168" i="46"/>
  <c r="H168" i="46"/>
  <c r="G168" i="46"/>
  <c r="H184" i="46"/>
  <c r="I184" i="46"/>
  <c r="J184" i="46"/>
  <c r="G184" i="46"/>
  <c r="I217" i="46"/>
  <c r="J217" i="46"/>
  <c r="H217" i="46"/>
  <c r="G217" i="46"/>
  <c r="I242" i="46"/>
  <c r="J242" i="46"/>
  <c r="G242" i="46"/>
  <c r="H242" i="46"/>
  <c r="H169" i="46"/>
  <c r="G169" i="46"/>
  <c r="I169" i="46"/>
  <c r="J169" i="46"/>
  <c r="G193" i="46"/>
  <c r="H193" i="46"/>
  <c r="I193" i="46"/>
  <c r="J193" i="46"/>
  <c r="I227" i="46"/>
  <c r="J227" i="46"/>
  <c r="H227" i="46"/>
  <c r="G227" i="46"/>
  <c r="I150" i="46"/>
  <c r="J150" i="46"/>
  <c r="H150" i="46"/>
  <c r="G150" i="46"/>
  <c r="D290" i="46"/>
  <c r="G170" i="46"/>
  <c r="I170" i="46"/>
  <c r="J170" i="46"/>
  <c r="H170" i="46"/>
  <c r="H156" i="46"/>
  <c r="I156" i="46"/>
  <c r="J156" i="46"/>
  <c r="G156" i="46"/>
  <c r="H180" i="46"/>
  <c r="G180" i="46"/>
  <c r="I180" i="46"/>
  <c r="J180" i="46"/>
  <c r="I188" i="46"/>
  <c r="J188" i="46"/>
  <c r="G188" i="46"/>
  <c r="G196" i="46"/>
  <c r="I196" i="46"/>
  <c r="J196" i="46"/>
  <c r="I204" i="46"/>
  <c r="J204" i="46"/>
  <c r="H204" i="46"/>
  <c r="G204" i="46"/>
  <c r="I213" i="46"/>
  <c r="J213" i="46"/>
  <c r="H213" i="46"/>
  <c r="G213" i="46"/>
  <c r="I221" i="46"/>
  <c r="J221" i="46"/>
  <c r="G221" i="46"/>
  <c r="H221" i="46"/>
  <c r="I230" i="46"/>
  <c r="J230" i="46"/>
  <c r="G230" i="46"/>
  <c r="H230" i="46"/>
  <c r="G238" i="46"/>
  <c r="H238" i="46"/>
  <c r="I238" i="46"/>
  <c r="J238" i="46"/>
  <c r="I247" i="46"/>
  <c r="J247" i="46"/>
  <c r="H247" i="46"/>
  <c r="G247" i="46"/>
  <c r="I261" i="46"/>
  <c r="J261" i="46"/>
  <c r="H261" i="46"/>
  <c r="G261" i="46"/>
  <c r="L261" i="46"/>
  <c r="H126" i="14"/>
  <c r="C9" i="46"/>
  <c r="C286" i="46"/>
  <c r="C275" i="46"/>
  <c r="H145" i="46"/>
  <c r="G145" i="46"/>
  <c r="I145" i="46"/>
  <c r="J145" i="46"/>
  <c r="L159" i="46"/>
  <c r="K159" i="46"/>
  <c r="D286" i="46"/>
  <c r="D282" i="46"/>
  <c r="D288" i="46"/>
  <c r="D281" i="46"/>
  <c r="I160" i="46"/>
  <c r="J160" i="46"/>
  <c r="H160" i="46"/>
  <c r="G160" i="46"/>
  <c r="I200" i="46"/>
  <c r="J200" i="46"/>
  <c r="H200" i="46"/>
  <c r="G200" i="46"/>
  <c r="G226" i="46"/>
  <c r="H226" i="46"/>
  <c r="I226" i="46"/>
  <c r="J226" i="46"/>
  <c r="G253" i="46"/>
  <c r="I253" i="46"/>
  <c r="J253" i="46"/>
  <c r="H253" i="46"/>
  <c r="H161" i="46"/>
  <c r="I161" i="46"/>
  <c r="J161" i="46"/>
  <c r="G161" i="46"/>
  <c r="H201" i="46"/>
  <c r="G201" i="46"/>
  <c r="I201" i="46"/>
  <c r="J201" i="46"/>
  <c r="I235" i="46"/>
  <c r="J235" i="46"/>
  <c r="G235" i="46"/>
  <c r="H235" i="46"/>
  <c r="C283" i="46"/>
  <c r="C272" i="46"/>
  <c r="G142" i="46"/>
  <c r="I142" i="46"/>
  <c r="J142" i="46"/>
  <c r="H142" i="46"/>
  <c r="H178" i="46"/>
  <c r="G178" i="46"/>
  <c r="I178" i="46"/>
  <c r="J178" i="46"/>
  <c r="H172" i="46"/>
  <c r="I172" i="46"/>
  <c r="J172" i="46"/>
  <c r="G172" i="46"/>
  <c r="H165" i="46"/>
  <c r="I165" i="46"/>
  <c r="J165" i="46"/>
  <c r="G165" i="46"/>
  <c r="I181" i="46"/>
  <c r="J181" i="46"/>
  <c r="H181" i="46"/>
  <c r="G181" i="46"/>
  <c r="H197" i="46"/>
  <c r="G197" i="46"/>
  <c r="I197" i="46"/>
  <c r="J197" i="46"/>
  <c r="G214" i="46"/>
  <c r="I214" i="46"/>
  <c r="J214" i="46"/>
  <c r="H214" i="46"/>
  <c r="G231" i="46"/>
  <c r="H231" i="46"/>
  <c r="I231" i="46"/>
  <c r="J231" i="46"/>
  <c r="I239" i="46"/>
  <c r="J239" i="46"/>
  <c r="G239" i="46"/>
  <c r="H239" i="46"/>
  <c r="G262" i="46"/>
  <c r="L262" i="46"/>
  <c r="H262" i="46"/>
  <c r="I262" i="46"/>
  <c r="J262" i="46"/>
  <c r="B21" i="46"/>
  <c r="H196" i="46"/>
  <c r="G158" i="46"/>
  <c r="H158" i="46"/>
  <c r="I158" i="46"/>
  <c r="J158" i="46"/>
  <c r="I166" i="46"/>
  <c r="J166" i="46"/>
  <c r="G166" i="46"/>
  <c r="H166" i="46"/>
  <c r="I174" i="46"/>
  <c r="J174" i="46"/>
  <c r="G174" i="46"/>
  <c r="H174" i="46"/>
  <c r="I182" i="46"/>
  <c r="J182" i="46"/>
  <c r="G182" i="46"/>
  <c r="H182" i="46"/>
  <c r="H190" i="46"/>
  <c r="I190" i="46"/>
  <c r="J190" i="46"/>
  <c r="G198" i="46"/>
  <c r="I198" i="46"/>
  <c r="J198" i="46"/>
  <c r="H198" i="46"/>
  <c r="H206" i="46"/>
  <c r="I206" i="46"/>
  <c r="J206" i="46"/>
  <c r="G206" i="46"/>
  <c r="H215" i="46"/>
  <c r="G215" i="46"/>
  <c r="I215" i="46"/>
  <c r="J215" i="46"/>
  <c r="G223" i="46"/>
  <c r="I223" i="46"/>
  <c r="J223" i="46"/>
  <c r="H232" i="46"/>
  <c r="I232" i="46"/>
  <c r="J232" i="46"/>
  <c r="G232" i="46"/>
  <c r="H240" i="46"/>
  <c r="G240" i="46"/>
  <c r="I240" i="46"/>
  <c r="J240" i="46"/>
  <c r="G249" i="46"/>
  <c r="H249" i="46"/>
  <c r="I249" i="46"/>
  <c r="J249" i="46"/>
  <c r="I263" i="46"/>
  <c r="J263" i="46"/>
  <c r="H263" i="46"/>
  <c r="I147" i="46"/>
  <c r="J147" i="46"/>
  <c r="H147" i="46"/>
  <c r="G147" i="46"/>
  <c r="H192" i="46"/>
  <c r="G192" i="46"/>
  <c r="I192" i="46"/>
  <c r="J192" i="46"/>
  <c r="H234" i="46"/>
  <c r="G234" i="46"/>
  <c r="I234" i="46"/>
  <c r="J234" i="46"/>
  <c r="H149" i="46"/>
  <c r="G149" i="46"/>
  <c r="I149" i="46"/>
  <c r="J149" i="46"/>
  <c r="G185" i="46"/>
  <c r="H185" i="46"/>
  <c r="I185" i="46"/>
  <c r="J185" i="46"/>
  <c r="I218" i="46"/>
  <c r="J218" i="46"/>
  <c r="G218" i="46"/>
  <c r="H218" i="46"/>
  <c r="G243" i="46"/>
  <c r="I243" i="46"/>
  <c r="J243" i="46"/>
  <c r="H243" i="46"/>
  <c r="G186" i="46"/>
  <c r="I186" i="46"/>
  <c r="J186" i="46"/>
  <c r="H186" i="46"/>
  <c r="H164" i="46"/>
  <c r="I164" i="46"/>
  <c r="J164" i="46"/>
  <c r="G164" i="46"/>
  <c r="H157" i="46"/>
  <c r="I157" i="46"/>
  <c r="J157" i="46"/>
  <c r="G157" i="46"/>
  <c r="I173" i="46"/>
  <c r="J173" i="46"/>
  <c r="H173" i="46"/>
  <c r="G173" i="46"/>
  <c r="I189" i="46"/>
  <c r="J189" i="46"/>
  <c r="G189" i="46"/>
  <c r="H189" i="46"/>
  <c r="G205" i="46"/>
  <c r="H205" i="46"/>
  <c r="I205" i="46"/>
  <c r="J205" i="46"/>
  <c r="H222" i="46"/>
  <c r="I222" i="46"/>
  <c r="J222" i="46"/>
  <c r="G222" i="46"/>
  <c r="G248" i="46"/>
  <c r="L248" i="46"/>
  <c r="I248" i="46"/>
  <c r="J248" i="46"/>
  <c r="H248" i="46"/>
  <c r="C287" i="46"/>
  <c r="C276" i="46"/>
  <c r="G146" i="46"/>
  <c r="I146" i="46"/>
  <c r="J146" i="46"/>
  <c r="H146" i="46"/>
  <c r="H159" i="46"/>
  <c r="I159" i="46"/>
  <c r="J159" i="46"/>
  <c r="G167" i="46"/>
  <c r="I167" i="46"/>
  <c r="J167" i="46"/>
  <c r="H167" i="46"/>
  <c r="H175" i="46"/>
  <c r="I175" i="46"/>
  <c r="J175" i="46"/>
  <c r="G175" i="46"/>
  <c r="I183" i="46"/>
  <c r="J183" i="46"/>
  <c r="H183" i="46"/>
  <c r="G191" i="46"/>
  <c r="H191" i="46"/>
  <c r="I191" i="46"/>
  <c r="J191" i="46"/>
  <c r="H199" i="46"/>
  <c r="I199" i="46"/>
  <c r="J199" i="46"/>
  <c r="G207" i="46"/>
  <c r="H207" i="46"/>
  <c r="I207" i="46"/>
  <c r="J207" i="46"/>
  <c r="I216" i="46"/>
  <c r="J216" i="46"/>
  <c r="H216" i="46"/>
  <c r="I225" i="46"/>
  <c r="J225" i="46"/>
  <c r="G225" i="46"/>
  <c r="H225" i="46"/>
  <c r="I233" i="46"/>
  <c r="J233" i="46"/>
  <c r="H233" i="46"/>
  <c r="I241" i="46"/>
  <c r="J241" i="46"/>
  <c r="H241" i="46"/>
  <c r="G241" i="46"/>
  <c r="I251" i="46"/>
  <c r="J251" i="46"/>
  <c r="H251" i="46"/>
  <c r="G251" i="46"/>
  <c r="C278" i="46"/>
  <c r="C289" i="46"/>
  <c r="H148" i="46"/>
  <c r="G148" i="46"/>
  <c r="I148" i="46"/>
  <c r="J148" i="46"/>
  <c r="I126" i="26"/>
  <c r="C26" i="26"/>
  <c r="J26" i="14"/>
  <c r="J83" i="14"/>
  <c r="K109" i="14"/>
  <c r="J66" i="14"/>
  <c r="K92" i="14"/>
  <c r="K75" i="14"/>
  <c r="K123" i="14"/>
  <c r="K72" i="14"/>
  <c r="K90" i="14"/>
  <c r="K106" i="14"/>
  <c r="K50" i="14"/>
  <c r="K100" i="14"/>
  <c r="J55" i="14"/>
  <c r="I93" i="20"/>
  <c r="D101" i="46"/>
  <c r="K19" i="14"/>
  <c r="J35" i="14"/>
  <c r="K51" i="14"/>
  <c r="J59" i="14"/>
  <c r="J67" i="14"/>
  <c r="K84" i="14"/>
  <c r="J101" i="14"/>
  <c r="K20" i="14"/>
  <c r="K44" i="14"/>
  <c r="K52" i="14"/>
  <c r="J68" i="14"/>
  <c r="J77" i="14"/>
  <c r="K85" i="14"/>
  <c r="K94" i="14"/>
  <c r="K102" i="14"/>
  <c r="K111" i="14"/>
  <c r="K125" i="14"/>
  <c r="K103" i="14"/>
  <c r="K88" i="14"/>
  <c r="K96" i="14"/>
  <c r="C25" i="20"/>
  <c r="D20" i="46"/>
  <c r="E19" i="20"/>
  <c r="I70" i="20"/>
  <c r="D78" i="46"/>
  <c r="D19" i="20"/>
  <c r="I102" i="20"/>
  <c r="D110" i="46"/>
  <c r="I110" i="20"/>
  <c r="D118" i="46"/>
  <c r="I43" i="20"/>
  <c r="D51" i="46"/>
  <c r="E17" i="20"/>
  <c r="I58" i="20"/>
  <c r="D66" i="46"/>
  <c r="C29" i="20"/>
  <c r="D136" i="46"/>
  <c r="I18" i="20"/>
  <c r="D26" i="46"/>
  <c r="I64" i="20"/>
  <c r="D72" i="46"/>
  <c r="E16" i="20"/>
  <c r="I76" i="20"/>
  <c r="D84" i="46"/>
  <c r="I84" i="20"/>
  <c r="D92" i="46"/>
  <c r="D18" i="20"/>
  <c r="I52" i="20"/>
  <c r="D60" i="46"/>
  <c r="I68" i="20"/>
  <c r="D76" i="46"/>
  <c r="I30" i="20"/>
  <c r="D38" i="46"/>
  <c r="I38" i="20"/>
  <c r="D46" i="46"/>
  <c r="I79" i="20"/>
  <c r="D87" i="46"/>
  <c r="I92" i="20"/>
  <c r="D100" i="46"/>
  <c r="I111" i="20"/>
  <c r="D119" i="46"/>
  <c r="I83" i="20"/>
  <c r="D91" i="46"/>
  <c r="I115" i="20"/>
  <c r="D123" i="46"/>
  <c r="D16" i="20"/>
  <c r="I17" i="20"/>
  <c r="D25" i="46"/>
  <c r="E18" i="20"/>
  <c r="I46" i="20"/>
  <c r="D54" i="46"/>
  <c r="I62" i="20"/>
  <c r="D70" i="46"/>
  <c r="I20" i="20"/>
  <c r="D28" i="46"/>
  <c r="I36" i="20"/>
  <c r="D44" i="46"/>
  <c r="I35" i="20"/>
  <c r="D43" i="46"/>
  <c r="I51" i="20"/>
  <c r="D59" i="46"/>
  <c r="I94" i="20"/>
  <c r="D102" i="46"/>
  <c r="I75" i="20"/>
  <c r="D83" i="46"/>
  <c r="I34" i="20"/>
  <c r="D42" i="46"/>
  <c r="I19" i="20"/>
  <c r="D27" i="46"/>
  <c r="I56" i="20"/>
  <c r="D64" i="46"/>
  <c r="D17" i="20"/>
  <c r="I54" i="20"/>
  <c r="D62" i="46"/>
  <c r="I67" i="20"/>
  <c r="D75" i="46"/>
  <c r="I109" i="20"/>
  <c r="D117" i="46"/>
  <c r="I28" i="20"/>
  <c r="D36" i="46"/>
  <c r="I32" i="20"/>
  <c r="D40" i="46"/>
  <c r="I121" i="20"/>
  <c r="D129" i="46"/>
  <c r="I99" i="20"/>
  <c r="D107" i="46"/>
  <c r="I82" i="20"/>
  <c r="D90" i="46"/>
  <c r="I65" i="20"/>
  <c r="D73" i="46"/>
  <c r="I49" i="20"/>
  <c r="D57" i="46"/>
  <c r="I33" i="20"/>
  <c r="D41" i="46"/>
  <c r="C24" i="20"/>
  <c r="D19" i="46"/>
  <c r="C21" i="20"/>
  <c r="D16" i="46"/>
  <c r="C16" i="20"/>
  <c r="D11" i="46"/>
  <c r="I117" i="20"/>
  <c r="D125" i="46"/>
  <c r="I97" i="20"/>
  <c r="D105" i="46"/>
  <c r="I80" i="20"/>
  <c r="D88" i="46"/>
  <c r="I63" i="20"/>
  <c r="D71" i="46"/>
  <c r="I47" i="20"/>
  <c r="D55" i="46"/>
  <c r="I31" i="20"/>
  <c r="D39" i="46"/>
  <c r="C23" i="20"/>
  <c r="D18" i="46"/>
  <c r="C18" i="20"/>
  <c r="D13" i="46"/>
  <c r="I107" i="20"/>
  <c r="D115" i="46"/>
  <c r="I91" i="20"/>
  <c r="D99" i="46"/>
  <c r="I74" i="20"/>
  <c r="D82" i="46"/>
  <c r="I57" i="20"/>
  <c r="D65" i="46"/>
  <c r="I41" i="20"/>
  <c r="D49" i="46"/>
  <c r="I25" i="20"/>
  <c r="D33" i="46"/>
  <c r="C20" i="20"/>
  <c r="D15" i="46"/>
  <c r="C17" i="20"/>
  <c r="D12" i="46"/>
  <c r="I113" i="20"/>
  <c r="D121" i="46"/>
  <c r="I78" i="20"/>
  <c r="D86" i="46"/>
  <c r="I45" i="20"/>
  <c r="D53" i="46"/>
  <c r="I105" i="20"/>
  <c r="D113" i="46"/>
  <c r="I71" i="20"/>
  <c r="D79" i="46"/>
  <c r="I39" i="20"/>
  <c r="D47" i="46"/>
  <c r="C22" i="20"/>
  <c r="D17" i="46"/>
  <c r="I103" i="20"/>
  <c r="D111" i="46"/>
  <c r="I69" i="20"/>
  <c r="D77" i="46"/>
  <c r="I37" i="20"/>
  <c r="D45" i="46"/>
  <c r="I95" i="20"/>
  <c r="D103" i="46"/>
  <c r="I29" i="20"/>
  <c r="D37" i="46"/>
  <c r="C19" i="20"/>
  <c r="D14" i="46"/>
  <c r="I89" i="20"/>
  <c r="D97" i="46"/>
  <c r="I23" i="20"/>
  <c r="D31" i="46"/>
  <c r="I88" i="20"/>
  <c r="D96" i="46"/>
  <c r="I87" i="20"/>
  <c r="D95" i="46"/>
  <c r="I21" i="20"/>
  <c r="D29" i="46"/>
  <c r="I61" i="20"/>
  <c r="D69" i="46"/>
  <c r="I55" i="20"/>
  <c r="D63" i="46"/>
  <c r="I53" i="20"/>
  <c r="D61" i="46"/>
  <c r="I101" i="20"/>
  <c r="D109" i="46"/>
  <c r="I42" i="20"/>
  <c r="D50" i="46"/>
  <c r="I100" i="20"/>
  <c r="D108" i="46"/>
  <c r="I106" i="20"/>
  <c r="D114" i="46"/>
  <c r="I104" i="20"/>
  <c r="D112" i="46"/>
  <c r="I24" i="20"/>
  <c r="D32" i="46"/>
  <c r="I85" i="20"/>
  <c r="D93" i="46"/>
  <c r="I59" i="20"/>
  <c r="D67" i="46"/>
  <c r="I40" i="20"/>
  <c r="D48" i="46"/>
  <c r="I90" i="20"/>
  <c r="D98" i="46"/>
  <c r="I119" i="20"/>
  <c r="D127" i="46"/>
  <c r="I50" i="20"/>
  <c r="D58" i="46"/>
  <c r="I98" i="20"/>
  <c r="D106" i="46"/>
  <c r="I48" i="20"/>
  <c r="D56" i="46"/>
  <c r="I27" i="20"/>
  <c r="D35" i="46"/>
  <c r="I26" i="20"/>
  <c r="D34" i="46"/>
  <c r="I60" i="20"/>
  <c r="D68" i="46"/>
  <c r="I66" i="20"/>
  <c r="D74" i="46"/>
  <c r="I96" i="20"/>
  <c r="D104" i="46"/>
  <c r="I44" i="20"/>
  <c r="D52" i="46"/>
  <c r="I77" i="20"/>
  <c r="D85" i="46"/>
  <c r="I81" i="20"/>
  <c r="D89" i="46"/>
  <c r="I22" i="20"/>
  <c r="D30" i="46"/>
  <c r="I72" i="20"/>
  <c r="D80" i="46"/>
  <c r="K37" i="14"/>
  <c r="K38" i="14"/>
  <c r="J39" i="14"/>
  <c r="J47" i="14"/>
  <c r="J71" i="14"/>
  <c r="J80" i="14"/>
  <c r="J89" i="14"/>
  <c r="J97" i="14"/>
  <c r="J23" i="14"/>
  <c r="J53" i="14"/>
  <c r="K69" i="14"/>
  <c r="K78" i="14"/>
  <c r="K87" i="14"/>
  <c r="K95" i="14"/>
  <c r="K79" i="14"/>
  <c r="K104" i="14"/>
  <c r="K115" i="14"/>
  <c r="E21" i="14"/>
  <c r="J105" i="14"/>
  <c r="K60" i="14"/>
  <c r="J43" i="14"/>
  <c r="J45" i="14"/>
  <c r="K64" i="14"/>
  <c r="J34" i="14"/>
  <c r="J61" i="14"/>
  <c r="K18" i="14"/>
  <c r="K70" i="14"/>
  <c r="J42" i="14"/>
  <c r="J63" i="14"/>
  <c r="J28" i="14"/>
  <c r="J32" i="14"/>
  <c r="J31" i="14"/>
  <c r="J117" i="14"/>
  <c r="D22" i="14"/>
  <c r="J36" i="14"/>
  <c r="K58" i="14"/>
  <c r="K113" i="14"/>
  <c r="E20" i="14"/>
  <c r="C31" i="14"/>
  <c r="C138" i="46"/>
  <c r="K26" i="14"/>
  <c r="K21" i="14"/>
  <c r="J37" i="14"/>
  <c r="J58" i="14"/>
  <c r="J64" i="14"/>
  <c r="J88" i="14"/>
  <c r="J19" i="14"/>
  <c r="K53" i="14"/>
  <c r="K101" i="14"/>
  <c r="J21" i="14"/>
  <c r="K45" i="14"/>
  <c r="K68" i="14"/>
  <c r="J50" i="14"/>
  <c r="K97" i="14"/>
  <c r="K77" i="14"/>
  <c r="J84" i="14"/>
  <c r="K35" i="14"/>
  <c r="K67" i="14"/>
  <c r="K71" i="14"/>
  <c r="K117" i="14"/>
  <c r="E22" i="14"/>
  <c r="K34" i="14"/>
  <c r="K61" i="14"/>
  <c r="J70" i="14"/>
  <c r="K42" i="14"/>
  <c r="K105" i="14"/>
  <c r="J111" i="14"/>
  <c r="J51" i="14"/>
  <c r="J102" i="14"/>
  <c r="J20" i="14"/>
  <c r="K28" i="14"/>
  <c r="K66" i="14"/>
  <c r="J69" i="14"/>
  <c r="J78" i="14"/>
  <c r="K36" i="14"/>
  <c r="J44" i="14"/>
  <c r="K55" i="14"/>
  <c r="K63" i="14"/>
  <c r="J75" i="14"/>
  <c r="K83" i="14"/>
  <c r="J87" i="14"/>
  <c r="J95" i="14"/>
  <c r="J100" i="14"/>
  <c r="J113" i="14"/>
  <c r="D20" i="14"/>
  <c r="J85" i="14"/>
  <c r="J94" i="14"/>
  <c r="K23" i="14"/>
  <c r="K32" i="14"/>
  <c r="J18" i="14"/>
  <c r="J52" i="14"/>
  <c r="J60" i="14"/>
  <c r="J92" i="14"/>
  <c r="J103" i="14"/>
  <c r="J109" i="14"/>
  <c r="K39" i="14"/>
  <c r="K47" i="14"/>
  <c r="J38" i="14"/>
  <c r="K89" i="14"/>
  <c r="K31" i="14"/>
  <c r="K80" i="14"/>
  <c r="AN5" i="13"/>
  <c r="BG32" i="13"/>
  <c r="AC5" i="13"/>
  <c r="CF5" i="13"/>
  <c r="DC31" i="13"/>
  <c r="G5" i="13"/>
  <c r="AF5" i="13"/>
  <c r="AZ5" i="13"/>
  <c r="BV5" i="13"/>
  <c r="CT5" i="13"/>
  <c r="DD31" i="13"/>
  <c r="AN4" i="13"/>
  <c r="CE4" i="13"/>
  <c r="DQ4" i="13"/>
  <c r="AG5" i="13"/>
  <c r="BA5" i="13"/>
  <c r="BX5" i="13"/>
  <c r="DE5" i="13"/>
  <c r="BH31" i="13"/>
  <c r="AF32" i="13"/>
  <c r="M3" i="13"/>
  <c r="Z3" i="13"/>
  <c r="AJ3" i="13"/>
  <c r="AV3" i="13"/>
  <c r="BF3" i="13"/>
  <c r="BP3" i="13"/>
  <c r="CC3" i="13"/>
  <c r="CN3" i="13"/>
  <c r="CX3" i="13"/>
  <c r="DM3" i="13"/>
  <c r="F4" i="13"/>
  <c r="S4" i="13"/>
  <c r="AC4" i="13"/>
  <c r="AO4" i="13"/>
  <c r="AY4" i="13"/>
  <c r="BI4" i="13"/>
  <c r="BU4" i="13"/>
  <c r="CF4" i="13"/>
  <c r="CQ4" i="13"/>
  <c r="DC4" i="13"/>
  <c r="I5" i="13"/>
  <c r="X5" i="13"/>
  <c r="AH5" i="13"/>
  <c r="AR5" i="13"/>
  <c r="BD5" i="13"/>
  <c r="BN5" i="13"/>
  <c r="BY5" i="13"/>
  <c r="CL5" i="13"/>
  <c r="CV5" i="13"/>
  <c r="O6" i="13"/>
  <c r="AF6" i="13"/>
  <c r="AQ6" i="13"/>
  <c r="BE6" i="13"/>
  <c r="BP6" i="13"/>
  <c r="CE6" i="13"/>
  <c r="CT6" i="13"/>
  <c r="O7" i="13"/>
  <c r="AF7" i="13"/>
  <c r="AQ7" i="13"/>
  <c r="BE7" i="13"/>
  <c r="BP7" i="13"/>
  <c r="CE7" i="13"/>
  <c r="CT7" i="13"/>
  <c r="O8" i="13"/>
  <c r="AF8" i="13"/>
  <c r="AQ8" i="13"/>
  <c r="BE8" i="13"/>
  <c r="BP8" i="13"/>
  <c r="CE8" i="13"/>
  <c r="CT8" i="13"/>
  <c r="O9" i="13"/>
  <c r="AF9" i="13"/>
  <c r="AQ9" i="13"/>
  <c r="BE9" i="13"/>
  <c r="BP9" i="13"/>
  <c r="CE9" i="13"/>
  <c r="CT9" i="13"/>
  <c r="O10" i="13"/>
  <c r="AF10" i="13"/>
  <c r="AQ10" i="13"/>
  <c r="BE10" i="13"/>
  <c r="BP10" i="13"/>
  <c r="CE10" i="13"/>
  <c r="CT10" i="13"/>
  <c r="S11" i="13"/>
  <c r="AI11" i="13"/>
  <c r="AV11" i="13"/>
  <c r="BL11" i="13"/>
  <c r="BY11" i="13"/>
  <c r="CP11" i="13"/>
  <c r="DG11" i="13"/>
  <c r="W12" i="13"/>
  <c r="AI12" i="13"/>
  <c r="AY12" i="13"/>
  <c r="BL12" i="13"/>
  <c r="CC12" i="13"/>
  <c r="CT12" i="13"/>
  <c r="N14" i="13"/>
  <c r="AC14" i="13"/>
  <c r="AS14" i="13"/>
  <c r="BI14" i="13"/>
  <c r="BV14" i="13"/>
  <c r="CN14" i="13"/>
  <c r="DA14" i="13"/>
  <c r="U15" i="13"/>
  <c r="AH15" i="13"/>
  <c r="AX15" i="13"/>
  <c r="BK15" i="13"/>
  <c r="CB15" i="13"/>
  <c r="CS15" i="13"/>
  <c r="DE15" i="13"/>
  <c r="DI17" i="13"/>
  <c r="CZ17" i="13"/>
  <c r="CR17" i="13"/>
  <c r="CI17" i="13"/>
  <c r="CA17" i="13"/>
  <c r="BR17" i="13"/>
  <c r="BJ17" i="13"/>
  <c r="BB17" i="13"/>
  <c r="AT17" i="13"/>
  <c r="AL17" i="13"/>
  <c r="AD17" i="13"/>
  <c r="V17" i="13"/>
  <c r="K17" i="13"/>
  <c r="DQ17" i="13"/>
  <c r="DC17" i="13"/>
  <c r="CT17" i="13"/>
  <c r="CK17" i="13"/>
  <c r="BZ17" i="13"/>
  <c r="BP17" i="13"/>
  <c r="BG17" i="13"/>
  <c r="AX17" i="13"/>
  <c r="AO17" i="13"/>
  <c r="AF17" i="13"/>
  <c r="W17" i="13"/>
  <c r="J17" i="13"/>
  <c r="DO17" i="13"/>
  <c r="DB17" i="13"/>
  <c r="CS17" i="13"/>
  <c r="CH17" i="13"/>
  <c r="BY17" i="13"/>
  <c r="BO17" i="13"/>
  <c r="BF17" i="13"/>
  <c r="AW17" i="13"/>
  <c r="AN17" i="13"/>
  <c r="AE17" i="13"/>
  <c r="U17" i="13"/>
  <c r="I17" i="13"/>
  <c r="DM17" i="13"/>
  <c r="DA17" i="13"/>
  <c r="CQ17" i="13"/>
  <c r="CG17" i="13"/>
  <c r="BX17" i="13"/>
  <c r="BN17" i="13"/>
  <c r="BE17" i="13"/>
  <c r="AV17" i="13"/>
  <c r="AM17" i="13"/>
  <c r="AC17" i="13"/>
  <c r="T17" i="13"/>
  <c r="H17" i="13"/>
  <c r="DY17" i="13"/>
  <c r="DK17" i="13"/>
  <c r="CY17" i="13"/>
  <c r="CP17" i="13"/>
  <c r="CF17" i="13"/>
  <c r="BV17" i="13"/>
  <c r="BM17" i="13"/>
  <c r="BD17" i="13"/>
  <c r="AU17" i="13"/>
  <c r="AK17" i="13"/>
  <c r="AB17" i="13"/>
  <c r="S17" i="13"/>
  <c r="G17" i="13"/>
  <c r="Z17" i="13"/>
  <c r="AR17" i="13"/>
  <c r="BK17" i="13"/>
  <c r="CD17" i="13"/>
  <c r="CW17" i="13"/>
  <c r="DH21" i="13"/>
  <c r="CY21" i="13"/>
  <c r="CQ21" i="13"/>
  <c r="CH21" i="13"/>
  <c r="BZ21" i="13"/>
  <c r="BQ21" i="13"/>
  <c r="BI21" i="13"/>
  <c r="BA21" i="13"/>
  <c r="DI21" i="13"/>
  <c r="CX21" i="13"/>
  <c r="CO21" i="13"/>
  <c r="CE21" i="13"/>
  <c r="BU21" i="13"/>
  <c r="BL21" i="13"/>
  <c r="BC21" i="13"/>
  <c r="AT21" i="13"/>
  <c r="AL21" i="13"/>
  <c r="AD21" i="13"/>
  <c r="V21" i="13"/>
  <c r="K21" i="13"/>
  <c r="DG21" i="13"/>
  <c r="CW21" i="13"/>
  <c r="CN21" i="13"/>
  <c r="CD21" i="13"/>
  <c r="BT21" i="13"/>
  <c r="BK21" i="13"/>
  <c r="BB21" i="13"/>
  <c r="AS21" i="13"/>
  <c r="AK21" i="13"/>
  <c r="AC21" i="13"/>
  <c r="U21" i="13"/>
  <c r="J21" i="13"/>
  <c r="DD21" i="13"/>
  <c r="CS21" i="13"/>
  <c r="CF21" i="13"/>
  <c r="BR21" i="13"/>
  <c r="BF21" i="13"/>
  <c r="AU21" i="13"/>
  <c r="AI21" i="13"/>
  <c r="Y21" i="13"/>
  <c r="L21" i="13"/>
  <c r="DC21" i="13"/>
  <c r="CR21" i="13"/>
  <c r="CC21" i="13"/>
  <c r="BP21" i="13"/>
  <c r="BE21" i="13"/>
  <c r="AR21" i="13"/>
  <c r="AH21" i="13"/>
  <c r="X21" i="13"/>
  <c r="I21" i="13"/>
  <c r="DS21" i="13"/>
  <c r="DB21" i="13"/>
  <c r="CP21" i="13"/>
  <c r="CB21" i="13"/>
  <c r="BO21" i="13"/>
  <c r="BD21" i="13"/>
  <c r="AQ21" i="13"/>
  <c r="AG21" i="13"/>
  <c r="W21" i="13"/>
  <c r="H21" i="13"/>
  <c r="DQ21" i="13"/>
  <c r="DA21" i="13"/>
  <c r="CM21" i="13"/>
  <c r="CA21" i="13"/>
  <c r="BN21" i="13"/>
  <c r="AZ21" i="13"/>
  <c r="AP21" i="13"/>
  <c r="AF21" i="13"/>
  <c r="T21" i="13"/>
  <c r="G21" i="13"/>
  <c r="AB21" i="13"/>
  <c r="AX21" i="13"/>
  <c r="BX21" i="13"/>
  <c r="CV21" i="13"/>
  <c r="AB22" i="13"/>
  <c r="BB22" i="13"/>
  <c r="BY22" i="13"/>
  <c r="CZ22" i="13"/>
  <c r="X31" i="13"/>
  <c r="BU31" i="13"/>
  <c r="AG32" i="13"/>
  <c r="DY5" i="13"/>
  <c r="DK5" i="13"/>
  <c r="DA5" i="13"/>
  <c r="CS5" i="13"/>
  <c r="CK5" i="13"/>
  <c r="CB5" i="13"/>
  <c r="BS5" i="13"/>
  <c r="BK5" i="13"/>
  <c r="BC5" i="13"/>
  <c r="AU5" i="13"/>
  <c r="AM5" i="13"/>
  <c r="AE5" i="13"/>
  <c r="W5" i="13"/>
  <c r="L5" i="13"/>
  <c r="BJ5" i="13"/>
  <c r="AL5" i="13"/>
  <c r="V5" i="13"/>
  <c r="DI5" i="13"/>
  <c r="CZ5" i="13"/>
  <c r="CR5" i="13"/>
  <c r="CI5" i="13"/>
  <c r="CA5" i="13"/>
  <c r="BR5" i="13"/>
  <c r="BB5" i="13"/>
  <c r="AT5" i="13"/>
  <c r="AD5" i="13"/>
  <c r="K5" i="13"/>
  <c r="BH5" i="13"/>
  <c r="DB5" i="13"/>
  <c r="DG32" i="13"/>
  <c r="CX32" i="13"/>
  <c r="CP32" i="13"/>
  <c r="CG32" i="13"/>
  <c r="BY32" i="13"/>
  <c r="BP32" i="13"/>
  <c r="BH32" i="13"/>
  <c r="AZ32" i="13"/>
  <c r="AR32" i="13"/>
  <c r="DI32" i="13"/>
  <c r="CY32" i="13"/>
  <c r="CO32" i="13"/>
  <c r="CE32" i="13"/>
  <c r="BU32" i="13"/>
  <c r="BL32" i="13"/>
  <c r="BC32" i="13"/>
  <c r="AT32" i="13"/>
  <c r="AK32" i="13"/>
  <c r="AC32" i="13"/>
  <c r="U32" i="13"/>
  <c r="J32" i="13"/>
  <c r="DE32" i="13"/>
  <c r="CV32" i="13"/>
  <c r="CM32" i="13"/>
  <c r="CC32" i="13"/>
  <c r="BS32" i="13"/>
  <c r="BJ32" i="13"/>
  <c r="BA32" i="13"/>
  <c r="AQ32" i="13"/>
  <c r="AI32" i="13"/>
  <c r="AA32" i="13"/>
  <c r="S32" i="13"/>
  <c r="H32" i="13"/>
  <c r="DC32" i="13"/>
  <c r="DQ32" i="13"/>
  <c r="DA32" i="13"/>
  <c r="CN32" i="13"/>
  <c r="CA32" i="13"/>
  <c r="BN32" i="13"/>
  <c r="BB32" i="13"/>
  <c r="AO32" i="13"/>
  <c r="AE32" i="13"/>
  <c r="T32" i="13"/>
  <c r="F32" i="13"/>
  <c r="DK32" i="13"/>
  <c r="CS32" i="13"/>
  <c r="CD32" i="13"/>
  <c r="BO32" i="13"/>
  <c r="AY32" i="13"/>
  <c r="AM32" i="13"/>
  <c r="Z32" i="13"/>
  <c r="L32" i="13"/>
  <c r="DY32" i="13"/>
  <c r="DH32" i="13"/>
  <c r="CR32" i="13"/>
  <c r="CB32" i="13"/>
  <c r="BM32" i="13"/>
  <c r="AX32" i="13"/>
  <c r="AL32" i="13"/>
  <c r="Y32" i="13"/>
  <c r="K32" i="13"/>
  <c r="DD32" i="13"/>
  <c r="CQ32" i="13"/>
  <c r="BZ32" i="13"/>
  <c r="BK32" i="13"/>
  <c r="AW32" i="13"/>
  <c r="AJ32" i="13"/>
  <c r="X32" i="13"/>
  <c r="I32" i="13"/>
  <c r="DB32" i="13"/>
  <c r="CL32" i="13"/>
  <c r="BX32" i="13"/>
  <c r="BI32" i="13"/>
  <c r="AV32" i="13"/>
  <c r="AH32" i="13"/>
  <c r="W32" i="13"/>
  <c r="G32" i="13"/>
  <c r="DO32" i="13"/>
  <c r="CH32" i="13"/>
  <c r="BE32" i="13"/>
  <c r="AD32" i="13"/>
  <c r="DM32" i="13"/>
  <c r="CF32" i="13"/>
  <c r="BD32" i="13"/>
  <c r="AB32" i="13"/>
  <c r="CZ32" i="13"/>
  <c r="BV32" i="13"/>
  <c r="AU32" i="13"/>
  <c r="V32" i="13"/>
  <c r="CW32" i="13"/>
  <c r="BT32" i="13"/>
  <c r="AS32" i="13"/>
  <c r="O32" i="13"/>
  <c r="S5" i="13"/>
  <c r="BU5" i="13"/>
  <c r="BD31" i="13"/>
  <c r="BQ32" i="13"/>
  <c r="BE31" i="13"/>
  <c r="N32" i="13"/>
  <c r="BR32" i="13"/>
  <c r="DY4" i="13"/>
  <c r="DK4" i="13"/>
  <c r="DA4" i="13"/>
  <c r="CS4" i="13"/>
  <c r="CK4" i="13"/>
  <c r="CB4" i="13"/>
  <c r="BS4" i="13"/>
  <c r="BK4" i="13"/>
  <c r="BC4" i="13"/>
  <c r="AU4" i="13"/>
  <c r="AM4" i="13"/>
  <c r="AE4" i="13"/>
  <c r="W4" i="13"/>
  <c r="L4" i="13"/>
  <c r="BB4" i="13"/>
  <c r="AD4" i="13"/>
  <c r="K4" i="13"/>
  <c r="DI4" i="13"/>
  <c r="CZ4" i="13"/>
  <c r="CR4" i="13"/>
  <c r="CI4" i="13"/>
  <c r="CA4" i="13"/>
  <c r="BR4" i="13"/>
  <c r="BJ4" i="13"/>
  <c r="AT4" i="13"/>
  <c r="AL4" i="13"/>
  <c r="V4" i="13"/>
  <c r="AX4" i="13"/>
  <c r="CP4" i="13"/>
  <c r="AQ5" i="13"/>
  <c r="CH5" i="13"/>
  <c r="G31" i="13"/>
  <c r="DG31" i="13"/>
  <c r="CI32" i="13"/>
  <c r="N3" i="13"/>
  <c r="AA3" i="13"/>
  <c r="AK3" i="13"/>
  <c r="AW3" i="13"/>
  <c r="BG3" i="13"/>
  <c r="BQ3" i="13"/>
  <c r="CD3" i="13"/>
  <c r="CO3" i="13"/>
  <c r="CY3" i="13"/>
  <c r="G4" i="13"/>
  <c r="T4" i="13"/>
  <c r="AF4" i="13"/>
  <c r="AP4" i="13"/>
  <c r="AZ4" i="13"/>
  <c r="BL4" i="13"/>
  <c r="BV4" i="13"/>
  <c r="CG4" i="13"/>
  <c r="CT4" i="13"/>
  <c r="DD4" i="13"/>
  <c r="J5" i="13"/>
  <c r="Y5" i="13"/>
  <c r="AI5" i="13"/>
  <c r="AS5" i="13"/>
  <c r="BE5" i="13"/>
  <c r="BO5" i="13"/>
  <c r="BZ5" i="13"/>
  <c r="CM5" i="13"/>
  <c r="CW5" i="13"/>
  <c r="DH5" i="13"/>
  <c r="DY6" i="13"/>
  <c r="DK6" i="13"/>
  <c r="DA6" i="13"/>
  <c r="CS6" i="13"/>
  <c r="CK6" i="13"/>
  <c r="CB6" i="13"/>
  <c r="BS6" i="13"/>
  <c r="BK6" i="13"/>
  <c r="BC6" i="13"/>
  <c r="AU6" i="13"/>
  <c r="AM6" i="13"/>
  <c r="AE6" i="13"/>
  <c r="W6" i="13"/>
  <c r="L6" i="13"/>
  <c r="DI6" i="13"/>
  <c r="CZ6" i="13"/>
  <c r="CR6" i="13"/>
  <c r="CI6" i="13"/>
  <c r="CA6" i="13"/>
  <c r="BR6" i="13"/>
  <c r="BJ6" i="13"/>
  <c r="BB6" i="13"/>
  <c r="AT6" i="13"/>
  <c r="AL6" i="13"/>
  <c r="AD6" i="13"/>
  <c r="K6" i="13"/>
  <c r="CY6" i="13"/>
  <c r="CQ6" i="13"/>
  <c r="BZ6" i="13"/>
  <c r="BI6" i="13"/>
  <c r="AS6" i="13"/>
  <c r="AC6" i="13"/>
  <c r="J6" i="13"/>
  <c r="V6" i="13"/>
  <c r="DH6" i="13"/>
  <c r="CH6" i="13"/>
  <c r="BQ6" i="13"/>
  <c r="BA6" i="13"/>
  <c r="AK6" i="13"/>
  <c r="U6" i="13"/>
  <c r="S6" i="13"/>
  <c r="AG6" i="13"/>
  <c r="AR6" i="13"/>
  <c r="BF6" i="13"/>
  <c r="BT6" i="13"/>
  <c r="CF6" i="13"/>
  <c r="CU6" i="13"/>
  <c r="DG6" i="13"/>
  <c r="DY7" i="13"/>
  <c r="DK7" i="13"/>
  <c r="DA7" i="13"/>
  <c r="CS7" i="13"/>
  <c r="CK7" i="13"/>
  <c r="CB7" i="13"/>
  <c r="BS7" i="13"/>
  <c r="BK7" i="13"/>
  <c r="BC7" i="13"/>
  <c r="AU7" i="13"/>
  <c r="AM7" i="13"/>
  <c r="AE7" i="13"/>
  <c r="W7" i="13"/>
  <c r="L7" i="13"/>
  <c r="AL7" i="13"/>
  <c r="K7" i="13"/>
  <c r="CY7" i="13"/>
  <c r="BQ7" i="13"/>
  <c r="BA7" i="13"/>
  <c r="AC7" i="13"/>
  <c r="J7" i="13"/>
  <c r="DI7" i="13"/>
  <c r="CZ7" i="13"/>
  <c r="CR7" i="13"/>
  <c r="CI7" i="13"/>
  <c r="CA7" i="13"/>
  <c r="BR7" i="13"/>
  <c r="BJ7" i="13"/>
  <c r="BB7" i="13"/>
  <c r="AT7" i="13"/>
  <c r="AD7" i="13"/>
  <c r="V7" i="13"/>
  <c r="DH7" i="13"/>
  <c r="CQ7" i="13"/>
  <c r="CH7" i="13"/>
  <c r="BZ7" i="13"/>
  <c r="BI7" i="13"/>
  <c r="AS7" i="13"/>
  <c r="AK7" i="13"/>
  <c r="U7" i="13"/>
  <c r="S7" i="13"/>
  <c r="AG7" i="13"/>
  <c r="AR7" i="13"/>
  <c r="BF7" i="13"/>
  <c r="BT7" i="13"/>
  <c r="CF7" i="13"/>
  <c r="CU7" i="13"/>
  <c r="DG7" i="13"/>
  <c r="DY8" i="13"/>
  <c r="DK8" i="13"/>
  <c r="DA8" i="13"/>
  <c r="CS8" i="13"/>
  <c r="CK8" i="13"/>
  <c r="CB8" i="13"/>
  <c r="BS8" i="13"/>
  <c r="BK8" i="13"/>
  <c r="BC8" i="13"/>
  <c r="AU8" i="13"/>
  <c r="AM8" i="13"/>
  <c r="AE8" i="13"/>
  <c r="W8" i="13"/>
  <c r="L8" i="13"/>
  <c r="AD8" i="13"/>
  <c r="DI8" i="13"/>
  <c r="CZ8" i="13"/>
  <c r="CR8" i="13"/>
  <c r="CI8" i="13"/>
  <c r="CA8" i="13"/>
  <c r="BR8" i="13"/>
  <c r="BJ8" i="13"/>
  <c r="BB8" i="13"/>
  <c r="AT8" i="13"/>
  <c r="AL8" i="13"/>
  <c r="V8" i="13"/>
  <c r="K8" i="13"/>
  <c r="DH8" i="13"/>
  <c r="CQ8" i="13"/>
  <c r="BZ8" i="13"/>
  <c r="BI8" i="13"/>
  <c r="AS8" i="13"/>
  <c r="AC8" i="13"/>
  <c r="U8" i="13"/>
  <c r="CY8" i="13"/>
  <c r="CH8" i="13"/>
  <c r="BQ8" i="13"/>
  <c r="BA8" i="13"/>
  <c r="AK8" i="13"/>
  <c r="J8" i="13"/>
  <c r="S8" i="13"/>
  <c r="AG8" i="13"/>
  <c r="AR8" i="13"/>
  <c r="BF8" i="13"/>
  <c r="BT8" i="13"/>
  <c r="CF8" i="13"/>
  <c r="CU8" i="13"/>
  <c r="DG8" i="13"/>
  <c r="DY9" i="13"/>
  <c r="DK9" i="13"/>
  <c r="DA9" i="13"/>
  <c r="CS9" i="13"/>
  <c r="CK9" i="13"/>
  <c r="CB9" i="13"/>
  <c r="BS9" i="13"/>
  <c r="BK9" i="13"/>
  <c r="BC9" i="13"/>
  <c r="AU9" i="13"/>
  <c r="AM9" i="13"/>
  <c r="AE9" i="13"/>
  <c r="W9" i="13"/>
  <c r="L9" i="13"/>
  <c r="DI9" i="13"/>
  <c r="BB9" i="13"/>
  <c r="AD9" i="13"/>
  <c r="K9" i="13"/>
  <c r="CZ9" i="13"/>
  <c r="CR9" i="13"/>
  <c r="CI9" i="13"/>
  <c r="CA9" i="13"/>
  <c r="BR9" i="13"/>
  <c r="BJ9" i="13"/>
  <c r="AT9" i="13"/>
  <c r="AL9" i="13"/>
  <c r="V9" i="13"/>
  <c r="DH9" i="13"/>
  <c r="CH9" i="13"/>
  <c r="BQ9" i="13"/>
  <c r="BA9" i="13"/>
  <c r="AK9" i="13"/>
  <c r="AC9" i="13"/>
  <c r="J9" i="13"/>
  <c r="CY9" i="13"/>
  <c r="CQ9" i="13"/>
  <c r="BZ9" i="13"/>
  <c r="BI9" i="13"/>
  <c r="AS9" i="13"/>
  <c r="U9" i="13"/>
  <c r="S9" i="13"/>
  <c r="AG9" i="13"/>
  <c r="AR9" i="13"/>
  <c r="BF9" i="13"/>
  <c r="BT9" i="13"/>
  <c r="CF9" i="13"/>
  <c r="CU9" i="13"/>
  <c r="DG9" i="13"/>
  <c r="DY10" i="13"/>
  <c r="DK10" i="13"/>
  <c r="DA10" i="13"/>
  <c r="CS10" i="13"/>
  <c r="CK10" i="13"/>
  <c r="CB10" i="13"/>
  <c r="BS10" i="13"/>
  <c r="BK10" i="13"/>
  <c r="BC10" i="13"/>
  <c r="AU10" i="13"/>
  <c r="AM10" i="13"/>
  <c r="AE10" i="13"/>
  <c r="W10" i="13"/>
  <c r="L10" i="13"/>
  <c r="DH10" i="13"/>
  <c r="CQ10" i="13"/>
  <c r="BZ10" i="13"/>
  <c r="BI10" i="13"/>
  <c r="BA10" i="13"/>
  <c r="AK10" i="13"/>
  <c r="U10" i="13"/>
  <c r="DI10" i="13"/>
  <c r="CZ10" i="13"/>
  <c r="CR10" i="13"/>
  <c r="CI10" i="13"/>
  <c r="CA10" i="13"/>
  <c r="BR10" i="13"/>
  <c r="BJ10" i="13"/>
  <c r="BB10" i="13"/>
  <c r="AT10" i="13"/>
  <c r="AL10" i="13"/>
  <c r="AD10" i="13"/>
  <c r="V10" i="13"/>
  <c r="K10" i="13"/>
  <c r="CY10" i="13"/>
  <c r="CH10" i="13"/>
  <c r="BQ10" i="13"/>
  <c r="AS10" i="13"/>
  <c r="AC10" i="13"/>
  <c r="J10" i="13"/>
  <c r="S10" i="13"/>
  <c r="AG10" i="13"/>
  <c r="AR10" i="13"/>
  <c r="BF10" i="13"/>
  <c r="BT10" i="13"/>
  <c r="CF10" i="13"/>
  <c r="CU10" i="13"/>
  <c r="DG10" i="13"/>
  <c r="DI11" i="13"/>
  <c r="CZ11" i="13"/>
  <c r="CR11" i="13"/>
  <c r="CI11" i="13"/>
  <c r="CA11" i="13"/>
  <c r="BR11" i="13"/>
  <c r="BJ11" i="13"/>
  <c r="BB11" i="13"/>
  <c r="AT11" i="13"/>
  <c r="AL11" i="13"/>
  <c r="AD11" i="13"/>
  <c r="V11" i="13"/>
  <c r="K11" i="13"/>
  <c r="DE11" i="13"/>
  <c r="CV11" i="13"/>
  <c r="CM11" i="13"/>
  <c r="CC11" i="13"/>
  <c r="BS11" i="13"/>
  <c r="BI11" i="13"/>
  <c r="AZ11" i="13"/>
  <c r="AQ11" i="13"/>
  <c r="AH11" i="13"/>
  <c r="Y11" i="13"/>
  <c r="M11" i="13"/>
  <c r="DQ11" i="13"/>
  <c r="CT11" i="13"/>
  <c r="BZ11" i="13"/>
  <c r="AX11" i="13"/>
  <c r="AF11" i="13"/>
  <c r="J11" i="13"/>
  <c r="DS11" i="13"/>
  <c r="DD11" i="13"/>
  <c r="CU11" i="13"/>
  <c r="CL11" i="13"/>
  <c r="CB11" i="13"/>
  <c r="BQ11" i="13"/>
  <c r="BH11" i="13"/>
  <c r="AY11" i="13"/>
  <c r="AP11" i="13"/>
  <c r="AG11" i="13"/>
  <c r="X11" i="13"/>
  <c r="L11" i="13"/>
  <c r="CK11" i="13"/>
  <c r="BP11" i="13"/>
  <c r="AO11" i="13"/>
  <c r="DC11" i="13"/>
  <c r="BG11" i="13"/>
  <c r="W11" i="13"/>
  <c r="T11" i="13"/>
  <c r="AJ11" i="13"/>
  <c r="AW11" i="13"/>
  <c r="BM11" i="13"/>
  <c r="CD11" i="13"/>
  <c r="CQ11" i="13"/>
  <c r="DH11" i="13"/>
  <c r="DI12" i="13"/>
  <c r="CZ12" i="13"/>
  <c r="CR12" i="13"/>
  <c r="CI12" i="13"/>
  <c r="CA12" i="13"/>
  <c r="BR12" i="13"/>
  <c r="BJ12" i="13"/>
  <c r="BB12" i="13"/>
  <c r="AT12" i="13"/>
  <c r="AL12" i="13"/>
  <c r="AD12" i="13"/>
  <c r="V12" i="13"/>
  <c r="K12" i="13"/>
  <c r="DO12" i="13"/>
  <c r="DB12" i="13"/>
  <c r="CS12" i="13"/>
  <c r="CH12" i="13"/>
  <c r="BY12" i="13"/>
  <c r="BO12" i="13"/>
  <c r="BF12" i="13"/>
  <c r="AW12" i="13"/>
  <c r="AN12" i="13"/>
  <c r="AE12" i="13"/>
  <c r="U12" i="13"/>
  <c r="I12" i="13"/>
  <c r="DY12" i="13"/>
  <c r="CY12" i="13"/>
  <c r="CF12" i="13"/>
  <c r="BM12" i="13"/>
  <c r="AK12" i="13"/>
  <c r="S12" i="13"/>
  <c r="DM12" i="13"/>
  <c r="DA12" i="13"/>
  <c r="CQ12" i="13"/>
  <c r="CG12" i="13"/>
  <c r="BX12" i="13"/>
  <c r="BN12" i="13"/>
  <c r="BE12" i="13"/>
  <c r="AV12" i="13"/>
  <c r="AM12" i="13"/>
  <c r="AC12" i="13"/>
  <c r="T12" i="13"/>
  <c r="H12" i="13"/>
  <c r="DK12" i="13"/>
  <c r="BV12" i="13"/>
  <c r="AU12" i="13"/>
  <c r="G12" i="13"/>
  <c r="CP12" i="13"/>
  <c r="BD12" i="13"/>
  <c r="AB12" i="13"/>
  <c r="X12" i="13"/>
  <c r="AJ12" i="13"/>
  <c r="AZ12" i="13"/>
  <c r="BP12" i="13"/>
  <c r="CD12" i="13"/>
  <c r="CU12" i="13"/>
  <c r="DH12" i="13"/>
  <c r="O14" i="13"/>
  <c r="AH14" i="13"/>
  <c r="AU14" i="13"/>
  <c r="BK14" i="13"/>
  <c r="BX14" i="13"/>
  <c r="CO14" i="13"/>
  <c r="DE14" i="13"/>
  <c r="DY14" i="13"/>
  <c r="W15" i="13"/>
  <c r="AI15" i="13"/>
  <c r="AY15" i="13"/>
  <c r="BO15" i="13"/>
  <c r="CC15" i="13"/>
  <c r="CT15" i="13"/>
  <c r="AD22" i="13"/>
  <c r="BC22" i="13"/>
  <c r="CC22" i="13"/>
  <c r="AF31" i="13"/>
  <c r="CD31" i="13"/>
  <c r="AN32" i="13"/>
  <c r="CT32" i="13"/>
  <c r="AB5" i="13"/>
  <c r="AX5" i="13"/>
  <c r="BT5" i="13"/>
  <c r="CP5" i="13"/>
  <c r="DQ5" i="13"/>
  <c r="F5" i="13"/>
  <c r="AO5" i="13"/>
  <c r="AY5" i="13"/>
  <c r="BI5" i="13"/>
  <c r="CQ5" i="13"/>
  <c r="DC5" i="13"/>
  <c r="DS5" i="13"/>
  <c r="M32" i="13"/>
  <c r="K119" i="14"/>
  <c r="E23" i="14"/>
  <c r="J119" i="14"/>
  <c r="D23" i="14"/>
  <c r="T5" i="13"/>
  <c r="AP5" i="13"/>
  <c r="BL5" i="13"/>
  <c r="CG5" i="13"/>
  <c r="DD5" i="13"/>
  <c r="AB4" i="13"/>
  <c r="BT4" i="13"/>
  <c r="DB4" i="13"/>
  <c r="U5" i="13"/>
  <c r="BM5" i="13"/>
  <c r="CU5" i="13"/>
  <c r="DY3" i="13"/>
  <c r="DK3" i="13"/>
  <c r="DA3" i="13"/>
  <c r="CS3" i="13"/>
  <c r="CK3" i="13"/>
  <c r="CB3" i="13"/>
  <c r="BS3" i="13"/>
  <c r="BK3" i="13"/>
  <c r="BC3" i="13"/>
  <c r="AU3" i="13"/>
  <c r="AM3" i="13"/>
  <c r="AE3" i="13"/>
  <c r="W3" i="13"/>
  <c r="L3" i="13"/>
  <c r="BJ3" i="13"/>
  <c r="AT3" i="13"/>
  <c r="AD3" i="13"/>
  <c r="K3" i="13"/>
  <c r="DI3" i="13"/>
  <c r="CZ3" i="13"/>
  <c r="CR3" i="13"/>
  <c r="CI3" i="13"/>
  <c r="CA3" i="13"/>
  <c r="BR3" i="13"/>
  <c r="BB3" i="13"/>
  <c r="AL3" i="13"/>
  <c r="V3" i="13"/>
  <c r="O3" i="13"/>
  <c r="AB3" i="13"/>
  <c r="AN3" i="13"/>
  <c r="AX3" i="13"/>
  <c r="BH3" i="13"/>
  <c r="BT3" i="13"/>
  <c r="CE3" i="13"/>
  <c r="CP3" i="13"/>
  <c r="DB3" i="13"/>
  <c r="DQ3" i="13"/>
  <c r="H4" i="13"/>
  <c r="U4" i="13"/>
  <c r="AG4" i="13"/>
  <c r="AQ4" i="13"/>
  <c r="BA4" i="13"/>
  <c r="BM4" i="13"/>
  <c r="BX4" i="13"/>
  <c r="CH4" i="13"/>
  <c r="CU4" i="13"/>
  <c r="DE4" i="13"/>
  <c r="M5" i="13"/>
  <c r="Z5" i="13"/>
  <c r="AJ5" i="13"/>
  <c r="AV5" i="13"/>
  <c r="BF5" i="13"/>
  <c r="BP5" i="13"/>
  <c r="CC5" i="13"/>
  <c r="CN5" i="13"/>
  <c r="CX5" i="13"/>
  <c r="DM5" i="13"/>
  <c r="S14" i="13"/>
  <c r="AI14" i="13"/>
  <c r="AV14" i="13"/>
  <c r="BL14" i="13"/>
  <c r="CC14" i="13"/>
  <c r="CP14" i="13"/>
  <c r="DI15" i="13"/>
  <c r="CZ15" i="13"/>
  <c r="CR15" i="13"/>
  <c r="CI15" i="13"/>
  <c r="CA15" i="13"/>
  <c r="BR15" i="13"/>
  <c r="BJ15" i="13"/>
  <c r="BB15" i="13"/>
  <c r="AT15" i="13"/>
  <c r="AL15" i="13"/>
  <c r="AD15" i="13"/>
  <c r="V15" i="13"/>
  <c r="K15" i="13"/>
  <c r="DM15" i="13"/>
  <c r="DA15" i="13"/>
  <c r="CQ15" i="13"/>
  <c r="CG15" i="13"/>
  <c r="BX15" i="13"/>
  <c r="BN15" i="13"/>
  <c r="BE15" i="13"/>
  <c r="AV15" i="13"/>
  <c r="AM15" i="13"/>
  <c r="AC15" i="13"/>
  <c r="T15" i="13"/>
  <c r="H15" i="13"/>
  <c r="DY15" i="13"/>
  <c r="DK15" i="13"/>
  <c r="CY15" i="13"/>
  <c r="CP15" i="13"/>
  <c r="CF15" i="13"/>
  <c r="BV15" i="13"/>
  <c r="BM15" i="13"/>
  <c r="BD15" i="13"/>
  <c r="AU15" i="13"/>
  <c r="AK15" i="13"/>
  <c r="AB15" i="13"/>
  <c r="S15" i="13"/>
  <c r="G15" i="13"/>
  <c r="DH15" i="13"/>
  <c r="CX15" i="13"/>
  <c r="CO15" i="13"/>
  <c r="CE15" i="13"/>
  <c r="BU15" i="13"/>
  <c r="BL15" i="13"/>
  <c r="BC15" i="13"/>
  <c r="AS15" i="13"/>
  <c r="AJ15" i="13"/>
  <c r="AA15" i="13"/>
  <c r="O15" i="13"/>
  <c r="F15" i="13"/>
  <c r="X15" i="13"/>
  <c r="AN15" i="13"/>
  <c r="AZ15" i="13"/>
  <c r="BP15" i="13"/>
  <c r="CD15" i="13"/>
  <c r="CU15" i="13"/>
  <c r="DO15" i="13"/>
  <c r="DH22" i="13"/>
  <c r="CY22" i="13"/>
  <c r="CQ22" i="13"/>
  <c r="CH22" i="13"/>
  <c r="BZ22" i="13"/>
  <c r="BQ22" i="13"/>
  <c r="BI22" i="13"/>
  <c r="BA22" i="13"/>
  <c r="AS22" i="13"/>
  <c r="AK22" i="13"/>
  <c r="AC22" i="13"/>
  <c r="U22" i="13"/>
  <c r="J22" i="13"/>
  <c r="DS22" i="13"/>
  <c r="DD22" i="13"/>
  <c r="CU22" i="13"/>
  <c r="CL22" i="13"/>
  <c r="CB22" i="13"/>
  <c r="BR22" i="13"/>
  <c r="BH22" i="13"/>
  <c r="AY22" i="13"/>
  <c r="AP22" i="13"/>
  <c r="AG22" i="13"/>
  <c r="X22" i="13"/>
  <c r="L22" i="13"/>
  <c r="DQ22" i="13"/>
  <c r="DC22" i="13"/>
  <c r="CT22" i="13"/>
  <c r="CK22" i="13"/>
  <c r="CA22" i="13"/>
  <c r="BP22" i="13"/>
  <c r="BG22" i="13"/>
  <c r="AX22" i="13"/>
  <c r="AO22" i="13"/>
  <c r="AF22" i="13"/>
  <c r="W22" i="13"/>
  <c r="K22" i="13"/>
  <c r="DM22" i="13"/>
  <c r="CX22" i="13"/>
  <c r="CM22" i="13"/>
  <c r="BX22" i="13"/>
  <c r="BL22" i="13"/>
  <c r="AZ22" i="13"/>
  <c r="AM22" i="13"/>
  <c r="AA22" i="13"/>
  <c r="M22" i="13"/>
  <c r="DK22" i="13"/>
  <c r="CW22" i="13"/>
  <c r="CI22" i="13"/>
  <c r="BV22" i="13"/>
  <c r="BK22" i="13"/>
  <c r="AW22" i="13"/>
  <c r="AL22" i="13"/>
  <c r="Z22" i="13"/>
  <c r="I22" i="13"/>
  <c r="DI22" i="13"/>
  <c r="CV22" i="13"/>
  <c r="CG22" i="13"/>
  <c r="BU22" i="13"/>
  <c r="BJ22" i="13"/>
  <c r="AV22" i="13"/>
  <c r="AJ22" i="13"/>
  <c r="Y22" i="13"/>
  <c r="H22" i="13"/>
  <c r="DY22" i="13"/>
  <c r="DG22" i="13"/>
  <c r="CS22" i="13"/>
  <c r="CF22" i="13"/>
  <c r="BT22" i="13"/>
  <c r="BF22" i="13"/>
  <c r="AU22" i="13"/>
  <c r="AI22" i="13"/>
  <c r="V22" i="13"/>
  <c r="G22" i="13"/>
  <c r="AE22" i="13"/>
  <c r="BD22" i="13"/>
  <c r="CD22" i="13"/>
  <c r="DB22" i="13"/>
  <c r="AG31" i="13"/>
  <c r="AP32" i="13"/>
  <c r="CU32" i="13"/>
  <c r="O5" i="13"/>
  <c r="CE5" i="13"/>
  <c r="DH31" i="13"/>
  <c r="CY31" i="13"/>
  <c r="CQ31" i="13"/>
  <c r="CH31" i="13"/>
  <c r="BZ31" i="13"/>
  <c r="BQ31" i="13"/>
  <c r="BI31" i="13"/>
  <c r="BA31" i="13"/>
  <c r="AS31" i="13"/>
  <c r="AK31" i="13"/>
  <c r="AC31" i="13"/>
  <c r="U31" i="13"/>
  <c r="J31" i="13"/>
  <c r="DS31" i="13"/>
  <c r="DE31" i="13"/>
  <c r="CW31" i="13"/>
  <c r="CO31" i="13"/>
  <c r="CF31" i="13"/>
  <c r="BX31" i="13"/>
  <c r="BO31" i="13"/>
  <c r="BG31" i="13"/>
  <c r="AY31" i="13"/>
  <c r="AQ31" i="13"/>
  <c r="AI31" i="13"/>
  <c r="AA31" i="13"/>
  <c r="S31" i="13"/>
  <c r="H31" i="13"/>
  <c r="DM31" i="13"/>
  <c r="CZ31" i="13"/>
  <c r="CN31" i="13"/>
  <c r="CC31" i="13"/>
  <c r="BR31" i="13"/>
  <c r="BF31" i="13"/>
  <c r="AV31" i="13"/>
  <c r="AL31" i="13"/>
  <c r="Z31" i="13"/>
  <c r="M31" i="13"/>
  <c r="DB31" i="13"/>
  <c r="CP31" i="13"/>
  <c r="CB31" i="13"/>
  <c r="BN31" i="13"/>
  <c r="BC31" i="13"/>
  <c r="AP31" i="13"/>
  <c r="AE31" i="13"/>
  <c r="O31" i="13"/>
  <c r="DQ31" i="13"/>
  <c r="DA31" i="13"/>
  <c r="CM31" i="13"/>
  <c r="CA31" i="13"/>
  <c r="BM31" i="13"/>
  <c r="BB31" i="13"/>
  <c r="AO31" i="13"/>
  <c r="AD31" i="13"/>
  <c r="N31" i="13"/>
  <c r="DO31" i="13"/>
  <c r="CX31" i="13"/>
  <c r="CL31" i="13"/>
  <c r="BY31" i="13"/>
  <c r="BL31" i="13"/>
  <c r="AZ31" i="13"/>
  <c r="AN31" i="13"/>
  <c r="AB31" i="13"/>
  <c r="L31" i="13"/>
  <c r="DK31" i="13"/>
  <c r="CV31" i="13"/>
  <c r="CK31" i="13"/>
  <c r="BV31" i="13"/>
  <c r="BK31" i="13"/>
  <c r="AX31" i="13"/>
  <c r="AM31" i="13"/>
  <c r="Y31" i="13"/>
  <c r="K31" i="13"/>
  <c r="CT31" i="13"/>
  <c r="BT31" i="13"/>
  <c r="AU31" i="13"/>
  <c r="W31" i="13"/>
  <c r="CS31" i="13"/>
  <c r="BS31" i="13"/>
  <c r="AT31" i="13"/>
  <c r="V31" i="13"/>
  <c r="CR31" i="13"/>
  <c r="BP31" i="13"/>
  <c r="AR31" i="13"/>
  <c r="T31" i="13"/>
  <c r="DI31" i="13"/>
  <c r="CI31" i="13"/>
  <c r="BJ31" i="13"/>
  <c r="AJ31" i="13"/>
  <c r="I31" i="13"/>
  <c r="F31" i="13"/>
  <c r="O4" i="13"/>
  <c r="BH4" i="13"/>
  <c r="H5" i="13"/>
  <c r="I4" i="13"/>
  <c r="X4" i="13"/>
  <c r="AH4" i="13"/>
  <c r="AR4" i="13"/>
  <c r="BD4" i="13"/>
  <c r="BN4" i="13"/>
  <c r="BY4" i="13"/>
  <c r="CL4" i="13"/>
  <c r="CV4" i="13"/>
  <c r="DG4" i="13"/>
  <c r="N5" i="13"/>
  <c r="AA5" i="13"/>
  <c r="AK5" i="13"/>
  <c r="AW5" i="13"/>
  <c r="BG5" i="13"/>
  <c r="BQ5" i="13"/>
  <c r="CD5" i="13"/>
  <c r="CO5" i="13"/>
  <c r="CY5" i="13"/>
  <c r="DO5" i="13"/>
  <c r="DI14" i="13"/>
  <c r="CZ14" i="13"/>
  <c r="CR14" i="13"/>
  <c r="CI14" i="13"/>
  <c r="CA14" i="13"/>
  <c r="BR14" i="13"/>
  <c r="BJ14" i="13"/>
  <c r="BB14" i="13"/>
  <c r="AT14" i="13"/>
  <c r="AL14" i="13"/>
  <c r="AD14" i="13"/>
  <c r="V14" i="13"/>
  <c r="K14" i="13"/>
  <c r="DS14" i="13"/>
  <c r="DD14" i="13"/>
  <c r="CU14" i="13"/>
  <c r="CL14" i="13"/>
  <c r="CB14" i="13"/>
  <c r="BQ14" i="13"/>
  <c r="BH14" i="13"/>
  <c r="AY14" i="13"/>
  <c r="AP14" i="13"/>
  <c r="AG14" i="13"/>
  <c r="X14" i="13"/>
  <c r="L14" i="13"/>
  <c r="DQ14" i="13"/>
  <c r="DC14" i="13"/>
  <c r="CT14" i="13"/>
  <c r="CK14" i="13"/>
  <c r="BZ14" i="13"/>
  <c r="BP14" i="13"/>
  <c r="BG14" i="13"/>
  <c r="AX14" i="13"/>
  <c r="AO14" i="13"/>
  <c r="AF14" i="13"/>
  <c r="W14" i="13"/>
  <c r="J14" i="13"/>
  <c r="DO14" i="13"/>
  <c r="DB14" i="13"/>
  <c r="CS14" i="13"/>
  <c r="CH14" i="13"/>
  <c r="BY14" i="13"/>
  <c r="BO14" i="13"/>
  <c r="BF14" i="13"/>
  <c r="AW14" i="13"/>
  <c r="AN14" i="13"/>
  <c r="AE14" i="13"/>
  <c r="U14" i="13"/>
  <c r="I14" i="13"/>
  <c r="T14" i="13"/>
  <c r="AJ14" i="13"/>
  <c r="AZ14" i="13"/>
  <c r="BM14" i="13"/>
  <c r="CD14" i="13"/>
  <c r="CQ14" i="13"/>
  <c r="DH14" i="13"/>
  <c r="AH31" i="13"/>
  <c r="CG31" i="13"/>
  <c r="DY31" i="13"/>
  <c r="BF32" i="13"/>
  <c r="DS32" i="13"/>
  <c r="DI20" i="13"/>
  <c r="CZ20" i="13"/>
  <c r="CR20" i="13"/>
  <c r="CI20" i="13"/>
  <c r="CA20" i="13"/>
  <c r="BR20" i="13"/>
  <c r="BJ20" i="13"/>
  <c r="BB20" i="13"/>
  <c r="AT20" i="13"/>
  <c r="AL20" i="13"/>
  <c r="AD20" i="13"/>
  <c r="V20" i="13"/>
  <c r="K20" i="13"/>
  <c r="DH20" i="13"/>
  <c r="CY20" i="13"/>
  <c r="CQ20" i="13"/>
  <c r="CH20" i="13"/>
  <c r="BZ20" i="13"/>
  <c r="BQ20" i="13"/>
  <c r="BI20" i="13"/>
  <c r="BA20" i="13"/>
  <c r="AS20" i="13"/>
  <c r="AK20" i="13"/>
  <c r="AC20" i="13"/>
  <c r="U20" i="13"/>
  <c r="J20" i="13"/>
  <c r="O20" i="13"/>
  <c r="AB20" i="13"/>
  <c r="AN20" i="13"/>
  <c r="AX20" i="13"/>
  <c r="BH20" i="13"/>
  <c r="BT20" i="13"/>
  <c r="CE20" i="13"/>
  <c r="CP20" i="13"/>
  <c r="DB20" i="13"/>
  <c r="DQ20" i="13"/>
  <c r="DG36" i="13"/>
  <c r="CX36" i="13"/>
  <c r="CP36" i="13"/>
  <c r="CG36" i="13"/>
  <c r="BY36" i="13"/>
  <c r="BP36" i="13"/>
  <c r="BH36" i="13"/>
  <c r="AZ36" i="13"/>
  <c r="AR36" i="13"/>
  <c r="AJ36" i="13"/>
  <c r="AB36" i="13"/>
  <c r="T36" i="13"/>
  <c r="I36" i="13"/>
  <c r="DS36" i="13"/>
  <c r="DE36" i="13"/>
  <c r="CW36" i="13"/>
  <c r="CO36" i="13"/>
  <c r="CF36" i="13"/>
  <c r="BX36" i="13"/>
  <c r="BO36" i="13"/>
  <c r="BG36" i="13"/>
  <c r="AY36" i="13"/>
  <c r="AQ36" i="13"/>
  <c r="AI36" i="13"/>
  <c r="AA36" i="13"/>
  <c r="S36" i="13"/>
  <c r="H36" i="13"/>
  <c r="DO36" i="13"/>
  <c r="DA36" i="13"/>
  <c r="CQ36" i="13"/>
  <c r="CD36" i="13"/>
  <c r="BS36" i="13"/>
  <c r="BI36" i="13"/>
  <c r="AW36" i="13"/>
  <c r="AM36" i="13"/>
  <c r="AC36" i="13"/>
  <c r="N36" i="13"/>
  <c r="DM36" i="13"/>
  <c r="CZ36" i="13"/>
  <c r="CN36" i="13"/>
  <c r="CC36" i="13"/>
  <c r="BR36" i="13"/>
  <c r="BF36" i="13"/>
  <c r="AV36" i="13"/>
  <c r="AL36" i="13"/>
  <c r="Z36" i="13"/>
  <c r="M36" i="13"/>
  <c r="DK36" i="13"/>
  <c r="CY36" i="13"/>
  <c r="CM36" i="13"/>
  <c r="CB36" i="13"/>
  <c r="BQ36" i="13"/>
  <c r="BE36" i="13"/>
  <c r="AU36" i="13"/>
  <c r="AK36" i="13"/>
  <c r="Y36" i="13"/>
  <c r="L36" i="13"/>
  <c r="DB36" i="13"/>
  <c r="CI36" i="13"/>
  <c r="BN36" i="13"/>
  <c r="BA36" i="13"/>
  <c r="AG36" i="13"/>
  <c r="O36" i="13"/>
  <c r="CV36" i="13"/>
  <c r="CH36" i="13"/>
  <c r="BM36" i="13"/>
  <c r="AX36" i="13"/>
  <c r="AF36" i="13"/>
  <c r="K36" i="13"/>
  <c r="CU36" i="13"/>
  <c r="CE36" i="13"/>
  <c r="BL36" i="13"/>
  <c r="AT36" i="13"/>
  <c r="AE36" i="13"/>
  <c r="J36" i="13"/>
  <c r="DQ36" i="13"/>
  <c r="CT36" i="13"/>
  <c r="CA36" i="13"/>
  <c r="BK36" i="13"/>
  <c r="AS36" i="13"/>
  <c r="AD36" i="13"/>
  <c r="G36" i="13"/>
  <c r="CR36" i="13"/>
  <c r="BD36" i="13"/>
  <c r="W36" i="13"/>
  <c r="CL36" i="13"/>
  <c r="BC36" i="13"/>
  <c r="V36" i="13"/>
  <c r="CK36" i="13"/>
  <c r="BB36" i="13"/>
  <c r="U36" i="13"/>
  <c r="DI36" i="13"/>
  <c r="BZ36" i="13"/>
  <c r="AP36" i="13"/>
  <c r="F36" i="13"/>
  <c r="BV36" i="13"/>
  <c r="DY36" i="13"/>
  <c r="DH38" i="13"/>
  <c r="CY38" i="13"/>
  <c r="CQ38" i="13"/>
  <c r="CH38" i="13"/>
  <c r="BZ38" i="13"/>
  <c r="BQ38" i="13"/>
  <c r="BI38" i="13"/>
  <c r="BA38" i="13"/>
  <c r="AS38" i="13"/>
  <c r="DG38" i="13"/>
  <c r="CX38" i="13"/>
  <c r="CP38" i="13"/>
  <c r="CG38" i="13"/>
  <c r="BY38" i="13"/>
  <c r="BP38" i="13"/>
  <c r="BH38" i="13"/>
  <c r="AZ38" i="13"/>
  <c r="AR38" i="13"/>
  <c r="AJ38" i="13"/>
  <c r="AB38" i="13"/>
  <c r="T38" i="13"/>
  <c r="I38" i="13"/>
  <c r="DS38" i="13"/>
  <c r="DE38" i="13"/>
  <c r="CW38" i="13"/>
  <c r="CO38" i="13"/>
  <c r="CF38" i="13"/>
  <c r="BX38" i="13"/>
  <c r="BO38" i="13"/>
  <c r="BG38" i="13"/>
  <c r="AY38" i="13"/>
  <c r="AQ38" i="13"/>
  <c r="AI38" i="13"/>
  <c r="AA38" i="13"/>
  <c r="S38" i="13"/>
  <c r="H38" i="13"/>
  <c r="DM38" i="13"/>
  <c r="CV38" i="13"/>
  <c r="CK38" i="13"/>
  <c r="BU38" i="13"/>
  <c r="BJ38" i="13"/>
  <c r="AV38" i="13"/>
  <c r="AK38" i="13"/>
  <c r="Y38" i="13"/>
  <c r="L38" i="13"/>
  <c r="DK38" i="13"/>
  <c r="CU38" i="13"/>
  <c r="CI38" i="13"/>
  <c r="BT38" i="13"/>
  <c r="BF38" i="13"/>
  <c r="AU38" i="13"/>
  <c r="AH38" i="13"/>
  <c r="X38" i="13"/>
  <c r="K38" i="13"/>
  <c r="DY38" i="13"/>
  <c r="DI38" i="13"/>
  <c r="CT38" i="13"/>
  <c r="CE38" i="13"/>
  <c r="BS38" i="13"/>
  <c r="BE38" i="13"/>
  <c r="AT38" i="13"/>
  <c r="AG38" i="13"/>
  <c r="W38" i="13"/>
  <c r="J38" i="13"/>
  <c r="DA38" i="13"/>
  <c r="CC38" i="13"/>
  <c r="BK38" i="13"/>
  <c r="AN38" i="13"/>
  <c r="V38" i="13"/>
  <c r="CZ38" i="13"/>
  <c r="CB38" i="13"/>
  <c r="BD38" i="13"/>
  <c r="AM38" i="13"/>
  <c r="U38" i="13"/>
  <c r="CS38" i="13"/>
  <c r="CA38" i="13"/>
  <c r="BC38" i="13"/>
  <c r="AL38" i="13"/>
  <c r="O38" i="13"/>
  <c r="DQ38" i="13"/>
  <c r="CR38" i="13"/>
  <c r="BV38" i="13"/>
  <c r="BB38" i="13"/>
  <c r="AF38" i="13"/>
  <c r="N38" i="13"/>
  <c r="DO38" i="13"/>
  <c r="BR38" i="13"/>
  <c r="AE38" i="13"/>
  <c r="DD38" i="13"/>
  <c r="BN38" i="13"/>
  <c r="AD38" i="13"/>
  <c r="DC38" i="13"/>
  <c r="BM38" i="13"/>
  <c r="AC38" i="13"/>
  <c r="DB38" i="13"/>
  <c r="BL38" i="13"/>
  <c r="Z38" i="13"/>
  <c r="CD38" i="13"/>
  <c r="DI18" i="13"/>
  <c r="CZ18" i="13"/>
  <c r="CR18" i="13"/>
  <c r="CI18" i="13"/>
  <c r="CA18" i="13"/>
  <c r="BR18" i="13"/>
  <c r="BJ18" i="13"/>
  <c r="BB18" i="13"/>
  <c r="AT18" i="13"/>
  <c r="AL18" i="13"/>
  <c r="AD18" i="13"/>
  <c r="V18" i="13"/>
  <c r="K18" i="13"/>
  <c r="DH18" i="13"/>
  <c r="CY18" i="13"/>
  <c r="CQ18" i="13"/>
  <c r="CH18" i="13"/>
  <c r="BZ18" i="13"/>
  <c r="BQ18" i="13"/>
  <c r="BI18" i="13"/>
  <c r="BA18" i="13"/>
  <c r="AS18" i="13"/>
  <c r="AK18" i="13"/>
  <c r="N18" i="13"/>
  <c r="Z18" i="13"/>
  <c r="AI18" i="13"/>
  <c r="AU18" i="13"/>
  <c r="BE18" i="13"/>
  <c r="BO18" i="13"/>
  <c r="CB18" i="13"/>
  <c r="CM18" i="13"/>
  <c r="CW18" i="13"/>
  <c r="DK18" i="13"/>
  <c r="DY18" i="13"/>
  <c r="F20" i="13"/>
  <c r="S20" i="13"/>
  <c r="AE20" i="13"/>
  <c r="AO20" i="13"/>
  <c r="AY20" i="13"/>
  <c r="BK20" i="13"/>
  <c r="BU20" i="13"/>
  <c r="CF20" i="13"/>
  <c r="CS20" i="13"/>
  <c r="DC20" i="13"/>
  <c r="DS20" i="13"/>
  <c r="DH23" i="13"/>
  <c r="CY23" i="13"/>
  <c r="CQ23" i="13"/>
  <c r="CH23" i="13"/>
  <c r="BZ23" i="13"/>
  <c r="BQ23" i="13"/>
  <c r="BI23" i="13"/>
  <c r="BA23" i="13"/>
  <c r="AS23" i="13"/>
  <c r="AK23" i="13"/>
  <c r="AC23" i="13"/>
  <c r="U23" i="13"/>
  <c r="J23" i="13"/>
  <c r="DM23" i="13"/>
  <c r="DA23" i="13"/>
  <c r="CR23" i="13"/>
  <c r="CG23" i="13"/>
  <c r="BX23" i="13"/>
  <c r="BN23" i="13"/>
  <c r="BE23" i="13"/>
  <c r="AV23" i="13"/>
  <c r="AM23" i="13"/>
  <c r="AD23" i="13"/>
  <c r="T23" i="13"/>
  <c r="H23" i="13"/>
  <c r="DY23" i="13"/>
  <c r="DK23" i="13"/>
  <c r="CZ23" i="13"/>
  <c r="CP23" i="13"/>
  <c r="CF23" i="13"/>
  <c r="BV23" i="13"/>
  <c r="BM23" i="13"/>
  <c r="BD23" i="13"/>
  <c r="AU23" i="13"/>
  <c r="AL23" i="13"/>
  <c r="AB23" i="13"/>
  <c r="S23" i="13"/>
  <c r="G23" i="13"/>
  <c r="V23" i="13"/>
  <c r="AG23" i="13"/>
  <c r="AR23" i="13"/>
  <c r="BF23" i="13"/>
  <c r="BR23" i="13"/>
  <c r="CD23" i="13"/>
  <c r="CS23" i="13"/>
  <c r="DD23" i="13"/>
  <c r="X36" i="13"/>
  <c r="CS36" i="13"/>
  <c r="F38" i="13"/>
  <c r="CL38" i="13"/>
  <c r="DI13" i="13"/>
  <c r="CZ13" i="13"/>
  <c r="CR13" i="13"/>
  <c r="CI13" i="13"/>
  <c r="CA13" i="13"/>
  <c r="BR13" i="13"/>
  <c r="BJ13" i="13"/>
  <c r="BB13" i="13"/>
  <c r="AT13" i="13"/>
  <c r="AL13" i="13"/>
  <c r="AD13" i="13"/>
  <c r="V13" i="13"/>
  <c r="K13" i="13"/>
  <c r="N13" i="13"/>
  <c r="Z13" i="13"/>
  <c r="AI13" i="13"/>
  <c r="AR13" i="13"/>
  <c r="BA13" i="13"/>
  <c r="BK13" i="13"/>
  <c r="BT13" i="13"/>
  <c r="CD13" i="13"/>
  <c r="CN13" i="13"/>
  <c r="CW13" i="13"/>
  <c r="DG13" i="13"/>
  <c r="F18" i="13"/>
  <c r="O18" i="13"/>
  <c r="AA18" i="13"/>
  <c r="AJ18" i="13"/>
  <c r="AV18" i="13"/>
  <c r="BF18" i="13"/>
  <c r="BP18" i="13"/>
  <c r="CC18" i="13"/>
  <c r="CN18" i="13"/>
  <c r="CX18" i="13"/>
  <c r="DM18" i="13"/>
  <c r="DI19" i="13"/>
  <c r="CZ19" i="13"/>
  <c r="CR19" i="13"/>
  <c r="CI19" i="13"/>
  <c r="CA19" i="13"/>
  <c r="BR19" i="13"/>
  <c r="BJ19" i="13"/>
  <c r="BB19" i="13"/>
  <c r="AT19" i="13"/>
  <c r="AL19" i="13"/>
  <c r="AD19" i="13"/>
  <c r="V19" i="13"/>
  <c r="K19" i="13"/>
  <c r="DH19" i="13"/>
  <c r="CY19" i="13"/>
  <c r="CQ19" i="13"/>
  <c r="CH19" i="13"/>
  <c r="BZ19" i="13"/>
  <c r="BQ19" i="13"/>
  <c r="BI19" i="13"/>
  <c r="BA19" i="13"/>
  <c r="AS19" i="13"/>
  <c r="AK19" i="13"/>
  <c r="AC19" i="13"/>
  <c r="U19" i="13"/>
  <c r="J19" i="13"/>
  <c r="O19" i="13"/>
  <c r="AB19" i="13"/>
  <c r="AN19" i="13"/>
  <c r="AX19" i="13"/>
  <c r="BH19" i="13"/>
  <c r="BT19" i="13"/>
  <c r="CE19" i="13"/>
  <c r="CP19" i="13"/>
  <c r="DB19" i="13"/>
  <c r="DQ19" i="13"/>
  <c r="G20" i="13"/>
  <c r="T20" i="13"/>
  <c r="AF20" i="13"/>
  <c r="AP20" i="13"/>
  <c r="AZ20" i="13"/>
  <c r="BL20" i="13"/>
  <c r="BV20" i="13"/>
  <c r="CG20" i="13"/>
  <c r="CT20" i="13"/>
  <c r="DD20" i="13"/>
  <c r="F23" i="13"/>
  <c r="W23" i="13"/>
  <c r="AH23" i="13"/>
  <c r="AT23" i="13"/>
  <c r="BG23" i="13"/>
  <c r="BS23" i="13"/>
  <c r="CE23" i="13"/>
  <c r="CT23" i="13"/>
  <c r="DE23" i="13"/>
  <c r="S25" i="13"/>
  <c r="AI25" i="13"/>
  <c r="AV25" i="13"/>
  <c r="BL25" i="13"/>
  <c r="CC25" i="13"/>
  <c r="CP25" i="13"/>
  <c r="DH26" i="13"/>
  <c r="CY26" i="13"/>
  <c r="CQ26" i="13"/>
  <c r="CH26" i="13"/>
  <c r="BZ26" i="13"/>
  <c r="BQ26" i="13"/>
  <c r="BI26" i="13"/>
  <c r="BA26" i="13"/>
  <c r="AS26" i="13"/>
  <c r="AK26" i="13"/>
  <c r="AC26" i="13"/>
  <c r="U26" i="13"/>
  <c r="J26" i="13"/>
  <c r="DM26" i="13"/>
  <c r="DA26" i="13"/>
  <c r="CR26" i="13"/>
  <c r="CG26" i="13"/>
  <c r="BX26" i="13"/>
  <c r="BN26" i="13"/>
  <c r="BE26" i="13"/>
  <c r="AV26" i="13"/>
  <c r="AM26" i="13"/>
  <c r="AD26" i="13"/>
  <c r="T26" i="13"/>
  <c r="H26" i="13"/>
  <c r="DY26" i="13"/>
  <c r="DK26" i="13"/>
  <c r="CZ26" i="13"/>
  <c r="CP26" i="13"/>
  <c r="CF26" i="13"/>
  <c r="BV26" i="13"/>
  <c r="BM26" i="13"/>
  <c r="BD26" i="13"/>
  <c r="AU26" i="13"/>
  <c r="AL26" i="13"/>
  <c r="AB26" i="13"/>
  <c r="S26" i="13"/>
  <c r="G26" i="13"/>
  <c r="DI26" i="13"/>
  <c r="CX26" i="13"/>
  <c r="CO26" i="13"/>
  <c r="CE26" i="13"/>
  <c r="BU26" i="13"/>
  <c r="BL26" i="13"/>
  <c r="BC26" i="13"/>
  <c r="AT26" i="13"/>
  <c r="AJ26" i="13"/>
  <c r="AA26" i="13"/>
  <c r="O26" i="13"/>
  <c r="F26" i="13"/>
  <c r="X26" i="13"/>
  <c r="AN26" i="13"/>
  <c r="AZ26" i="13"/>
  <c r="BP26" i="13"/>
  <c r="CD26" i="13"/>
  <c r="CU26" i="13"/>
  <c r="DO26" i="13"/>
  <c r="AH36" i="13"/>
  <c r="DC36" i="13"/>
  <c r="G38" i="13"/>
  <c r="CM38" i="13"/>
  <c r="F13" i="13"/>
  <c r="O13" i="13"/>
  <c r="AA13" i="13"/>
  <c r="AJ13" i="13"/>
  <c r="AS13" i="13"/>
  <c r="BC13" i="13"/>
  <c r="BL13" i="13"/>
  <c r="BU13" i="13"/>
  <c r="CE13" i="13"/>
  <c r="CO13" i="13"/>
  <c r="CX13" i="13"/>
  <c r="DH13" i="13"/>
  <c r="DI16" i="13"/>
  <c r="CZ16" i="13"/>
  <c r="CR16" i="13"/>
  <c r="CI16" i="13"/>
  <c r="CA16" i="13"/>
  <c r="BR16" i="13"/>
  <c r="BJ16" i="13"/>
  <c r="BB16" i="13"/>
  <c r="AT16" i="13"/>
  <c r="AL16" i="13"/>
  <c r="AD16" i="13"/>
  <c r="V16" i="13"/>
  <c r="K16" i="13"/>
  <c r="N16" i="13"/>
  <c r="Z16" i="13"/>
  <c r="AI16" i="13"/>
  <c r="AR16" i="13"/>
  <c r="BA16" i="13"/>
  <c r="BK16" i="13"/>
  <c r="BT16" i="13"/>
  <c r="CD16" i="13"/>
  <c r="CN16" i="13"/>
  <c r="CW16" i="13"/>
  <c r="DG16" i="13"/>
  <c r="G18" i="13"/>
  <c r="S18" i="13"/>
  <c r="AB18" i="13"/>
  <c r="AM18" i="13"/>
  <c r="AW18" i="13"/>
  <c r="BG18" i="13"/>
  <c r="BS18" i="13"/>
  <c r="CD18" i="13"/>
  <c r="CO18" i="13"/>
  <c r="DA18" i="13"/>
  <c r="DO18" i="13"/>
  <c r="F19" i="13"/>
  <c r="S19" i="13"/>
  <c r="AE19" i="13"/>
  <c r="AO19" i="13"/>
  <c r="AY19" i="13"/>
  <c r="BK19" i="13"/>
  <c r="BU19" i="13"/>
  <c r="CF19" i="13"/>
  <c r="CS19" i="13"/>
  <c r="DC19" i="13"/>
  <c r="DS19" i="13"/>
  <c r="H20" i="13"/>
  <c r="W20" i="13"/>
  <c r="AG20" i="13"/>
  <c r="AQ20" i="13"/>
  <c r="BC20" i="13"/>
  <c r="BM20" i="13"/>
  <c r="BX20" i="13"/>
  <c r="CK20" i="13"/>
  <c r="CU20" i="13"/>
  <c r="DE20" i="13"/>
  <c r="I23" i="13"/>
  <c r="X23" i="13"/>
  <c r="AI23" i="13"/>
  <c r="AW23" i="13"/>
  <c r="BH23" i="13"/>
  <c r="BT23" i="13"/>
  <c r="CI23" i="13"/>
  <c r="CU23" i="13"/>
  <c r="DG23" i="13"/>
  <c r="DH25" i="13"/>
  <c r="CY25" i="13"/>
  <c r="CQ25" i="13"/>
  <c r="CH25" i="13"/>
  <c r="BZ25" i="13"/>
  <c r="BQ25" i="13"/>
  <c r="BI25" i="13"/>
  <c r="BA25" i="13"/>
  <c r="AS25" i="13"/>
  <c r="AK25" i="13"/>
  <c r="AC25" i="13"/>
  <c r="U25" i="13"/>
  <c r="J25" i="13"/>
  <c r="DS25" i="13"/>
  <c r="DD25" i="13"/>
  <c r="CU25" i="13"/>
  <c r="CL25" i="13"/>
  <c r="CB25" i="13"/>
  <c r="BR25" i="13"/>
  <c r="BH25" i="13"/>
  <c r="AY25" i="13"/>
  <c r="AP25" i="13"/>
  <c r="AG25" i="13"/>
  <c r="X25" i="13"/>
  <c r="L25" i="13"/>
  <c r="DQ25" i="13"/>
  <c r="DC25" i="13"/>
  <c r="CT25" i="13"/>
  <c r="CK25" i="13"/>
  <c r="CA25" i="13"/>
  <c r="BP25" i="13"/>
  <c r="BG25" i="13"/>
  <c r="AX25" i="13"/>
  <c r="AO25" i="13"/>
  <c r="AF25" i="13"/>
  <c r="W25" i="13"/>
  <c r="K25" i="13"/>
  <c r="DO25" i="13"/>
  <c r="DB25" i="13"/>
  <c r="CS25" i="13"/>
  <c r="CI25" i="13"/>
  <c r="BY25" i="13"/>
  <c r="BO25" i="13"/>
  <c r="BF25" i="13"/>
  <c r="AW25" i="13"/>
  <c r="AN25" i="13"/>
  <c r="AE25" i="13"/>
  <c r="V25" i="13"/>
  <c r="I25" i="13"/>
  <c r="T25" i="13"/>
  <c r="AJ25" i="13"/>
  <c r="AZ25" i="13"/>
  <c r="BM25" i="13"/>
  <c r="CD25" i="13"/>
  <c r="CR25" i="13"/>
  <c r="DI25" i="13"/>
  <c r="I26" i="13"/>
  <c r="Y26" i="13"/>
  <c r="AO26" i="13"/>
  <c r="BB26" i="13"/>
  <c r="BR26" i="13"/>
  <c r="CI26" i="13"/>
  <c r="CV26" i="13"/>
  <c r="DQ26" i="13"/>
  <c r="AN36" i="13"/>
  <c r="DD36" i="13"/>
  <c r="M38" i="13"/>
  <c r="CN38" i="13"/>
  <c r="L27" i="13"/>
  <c r="X27" i="13"/>
  <c r="AG27" i="13"/>
  <c r="AP27" i="13"/>
  <c r="AY27" i="13"/>
  <c r="BH27" i="13"/>
  <c r="BR27" i="13"/>
  <c r="CB27" i="13"/>
  <c r="CL27" i="13"/>
  <c r="CU27" i="13"/>
  <c r="DE27" i="13"/>
  <c r="L28" i="13"/>
  <c r="Z28" i="13"/>
  <c r="AJ28" i="13"/>
  <c r="AU28" i="13"/>
  <c r="BE28" i="13"/>
  <c r="BO28" i="13"/>
  <c r="CA28" i="13"/>
  <c r="CL28" i="13"/>
  <c r="CW28" i="13"/>
  <c r="DI28" i="13"/>
  <c r="M29" i="13"/>
  <c r="Z29" i="13"/>
  <c r="AJ29" i="13"/>
  <c r="AV29" i="13"/>
  <c r="BH29" i="13"/>
  <c r="BU29" i="13"/>
  <c r="CI29" i="13"/>
  <c r="CU29" i="13"/>
  <c r="DI29" i="13"/>
  <c r="DH30" i="13"/>
  <c r="CY30" i="13"/>
  <c r="CQ30" i="13"/>
  <c r="CH30" i="13"/>
  <c r="BZ30" i="13"/>
  <c r="BQ30" i="13"/>
  <c r="BI30" i="13"/>
  <c r="BA30" i="13"/>
  <c r="AS30" i="13"/>
  <c r="AK30" i="13"/>
  <c r="AC30" i="13"/>
  <c r="U30" i="13"/>
  <c r="J30" i="13"/>
  <c r="DS30" i="13"/>
  <c r="DE30" i="13"/>
  <c r="CW30" i="13"/>
  <c r="CO30" i="13"/>
  <c r="CF30" i="13"/>
  <c r="BX30" i="13"/>
  <c r="BO30" i="13"/>
  <c r="BG30" i="13"/>
  <c r="AY30" i="13"/>
  <c r="AQ30" i="13"/>
  <c r="AI30" i="13"/>
  <c r="AA30" i="13"/>
  <c r="S30" i="13"/>
  <c r="H30" i="13"/>
  <c r="DG30" i="13"/>
  <c r="CU30" i="13"/>
  <c r="CK30" i="13"/>
  <c r="BY30" i="13"/>
  <c r="BM30" i="13"/>
  <c r="BC30" i="13"/>
  <c r="AR30" i="13"/>
  <c r="AG30" i="13"/>
  <c r="W30" i="13"/>
  <c r="I30" i="13"/>
  <c r="T30" i="13"/>
  <c r="AF30" i="13"/>
  <c r="AT30" i="13"/>
  <c r="BE30" i="13"/>
  <c r="BR30" i="13"/>
  <c r="CD30" i="13"/>
  <c r="CR30" i="13"/>
  <c r="DC30" i="13"/>
  <c r="S33" i="13"/>
  <c r="AK33" i="13"/>
  <c r="BB33" i="13"/>
  <c r="BQ33" i="13"/>
  <c r="CH33" i="13"/>
  <c r="CZ33" i="13"/>
  <c r="V34" i="13"/>
  <c r="AL34" i="13"/>
  <c r="BA34" i="13"/>
  <c r="BR34" i="13"/>
  <c r="CK34" i="13"/>
  <c r="CZ34" i="13"/>
  <c r="DH24" i="13"/>
  <c r="CY24" i="13"/>
  <c r="CQ24" i="13"/>
  <c r="CH24" i="13"/>
  <c r="BZ24" i="13"/>
  <c r="BQ24" i="13"/>
  <c r="BI24" i="13"/>
  <c r="BA24" i="13"/>
  <c r="AS24" i="13"/>
  <c r="AK24" i="13"/>
  <c r="AC24" i="13"/>
  <c r="U24" i="13"/>
  <c r="J24" i="13"/>
  <c r="N24" i="13"/>
  <c r="Z24" i="13"/>
  <c r="AI24" i="13"/>
  <c r="AR24" i="13"/>
  <c r="BB24" i="13"/>
  <c r="BK24" i="13"/>
  <c r="BT24" i="13"/>
  <c r="CD24" i="13"/>
  <c r="CN24" i="13"/>
  <c r="CW24" i="13"/>
  <c r="DG24" i="13"/>
  <c r="M27" i="13"/>
  <c r="Y27" i="13"/>
  <c r="AH27" i="13"/>
  <c r="AQ27" i="13"/>
  <c r="AZ27" i="13"/>
  <c r="BJ27" i="13"/>
  <c r="BS27" i="13"/>
  <c r="CC27" i="13"/>
  <c r="CM27" i="13"/>
  <c r="CV27" i="13"/>
  <c r="N28" i="13"/>
  <c r="AA28" i="13"/>
  <c r="AL28" i="13"/>
  <c r="AV28" i="13"/>
  <c r="BF28" i="13"/>
  <c r="BP28" i="13"/>
  <c r="CB28" i="13"/>
  <c r="CN28" i="13"/>
  <c r="CX28" i="13"/>
  <c r="DK28" i="13"/>
  <c r="N29" i="13"/>
  <c r="AA29" i="13"/>
  <c r="AL29" i="13"/>
  <c r="AW29" i="13"/>
  <c r="BK29" i="13"/>
  <c r="BV29" i="13"/>
  <c r="CK29" i="13"/>
  <c r="CV29" i="13"/>
  <c r="F30" i="13"/>
  <c r="V30" i="13"/>
  <c r="AH30" i="13"/>
  <c r="AU30" i="13"/>
  <c r="BF30" i="13"/>
  <c r="BS30" i="13"/>
  <c r="CE30" i="13"/>
  <c r="CS30" i="13"/>
  <c r="DD30" i="13"/>
  <c r="U33" i="13"/>
  <c r="AM33" i="13"/>
  <c r="BC33" i="13"/>
  <c r="BS33" i="13"/>
  <c r="CM33" i="13"/>
  <c r="X34" i="13"/>
  <c r="AN34" i="13"/>
  <c r="BB34" i="13"/>
  <c r="BT34" i="13"/>
  <c r="CL34" i="13"/>
  <c r="DH27" i="13"/>
  <c r="CY27" i="13"/>
  <c r="DY27" i="13"/>
  <c r="DK27" i="13"/>
  <c r="CZ27" i="13"/>
  <c r="CQ27" i="13"/>
  <c r="CH27" i="13"/>
  <c r="BZ27" i="13"/>
  <c r="BQ27" i="13"/>
  <c r="BI27" i="13"/>
  <c r="BA27" i="13"/>
  <c r="AS27" i="13"/>
  <c r="AK27" i="13"/>
  <c r="AC27" i="13"/>
  <c r="U27" i="13"/>
  <c r="J27" i="13"/>
  <c r="N27" i="13"/>
  <c r="Z27" i="13"/>
  <c r="AI27" i="13"/>
  <c r="AR27" i="13"/>
  <c r="BB27" i="13"/>
  <c r="BK27" i="13"/>
  <c r="BT27" i="13"/>
  <c r="CD27" i="13"/>
  <c r="CN27" i="13"/>
  <c r="CW27" i="13"/>
  <c r="DI27" i="13"/>
  <c r="DH28" i="13"/>
  <c r="CY28" i="13"/>
  <c r="CQ28" i="13"/>
  <c r="CH28" i="13"/>
  <c r="BZ28" i="13"/>
  <c r="BQ28" i="13"/>
  <c r="BI28" i="13"/>
  <c r="BA28" i="13"/>
  <c r="AS28" i="13"/>
  <c r="AK28" i="13"/>
  <c r="AC28" i="13"/>
  <c r="U28" i="13"/>
  <c r="J28" i="13"/>
  <c r="DE28" i="13"/>
  <c r="CV28" i="13"/>
  <c r="CM28" i="13"/>
  <c r="CC28" i="13"/>
  <c r="BS28" i="13"/>
  <c r="BJ28" i="13"/>
  <c r="AZ28" i="13"/>
  <c r="AQ28" i="13"/>
  <c r="AH28" i="13"/>
  <c r="Y28" i="13"/>
  <c r="M28" i="13"/>
  <c r="O28" i="13"/>
  <c r="AB28" i="13"/>
  <c r="AM28" i="13"/>
  <c r="AW28" i="13"/>
  <c r="BG28" i="13"/>
  <c r="BR28" i="13"/>
  <c r="CD28" i="13"/>
  <c r="CO28" i="13"/>
  <c r="CZ28" i="13"/>
  <c r="DM28" i="13"/>
  <c r="DH29" i="13"/>
  <c r="CY29" i="13"/>
  <c r="CQ29" i="13"/>
  <c r="CH29" i="13"/>
  <c r="BZ29" i="13"/>
  <c r="BQ29" i="13"/>
  <c r="BI29" i="13"/>
  <c r="BA29" i="13"/>
  <c r="AS29" i="13"/>
  <c r="AK29" i="13"/>
  <c r="AC29" i="13"/>
  <c r="U29" i="13"/>
  <c r="J29" i="13"/>
  <c r="DS29" i="13"/>
  <c r="DE29" i="13"/>
  <c r="CW29" i="13"/>
  <c r="CO29" i="13"/>
  <c r="CF29" i="13"/>
  <c r="BX29" i="13"/>
  <c r="BO29" i="13"/>
  <c r="BG29" i="13"/>
  <c r="AY29" i="13"/>
  <c r="AQ29" i="13"/>
  <c r="DQ29" i="13"/>
  <c r="DB29" i="13"/>
  <c r="CR29" i="13"/>
  <c r="CE29" i="13"/>
  <c r="BT29" i="13"/>
  <c r="BJ29" i="13"/>
  <c r="AX29" i="13"/>
  <c r="AN29" i="13"/>
  <c r="AE29" i="13"/>
  <c r="V29" i="13"/>
  <c r="I29" i="13"/>
  <c r="O29" i="13"/>
  <c r="AB29" i="13"/>
  <c r="AM29" i="13"/>
  <c r="AZ29" i="13"/>
  <c r="BL29" i="13"/>
  <c r="BY29" i="13"/>
  <c r="CL29" i="13"/>
  <c r="CX29" i="13"/>
  <c r="DM29" i="13"/>
  <c r="DG33" i="13"/>
  <c r="CX33" i="13"/>
  <c r="CP33" i="13"/>
  <c r="CG33" i="13"/>
  <c r="BY33" i="13"/>
  <c r="BP33" i="13"/>
  <c r="BH33" i="13"/>
  <c r="AZ33" i="13"/>
  <c r="AR33" i="13"/>
  <c r="AJ33" i="13"/>
  <c r="AB33" i="13"/>
  <c r="T33" i="13"/>
  <c r="I33" i="13"/>
  <c r="DS33" i="13"/>
  <c r="DD33" i="13"/>
  <c r="CU33" i="13"/>
  <c r="CL33" i="13"/>
  <c r="CB33" i="13"/>
  <c r="BR33" i="13"/>
  <c r="BI33" i="13"/>
  <c r="AY33" i="13"/>
  <c r="AP33" i="13"/>
  <c r="AG33" i="13"/>
  <c r="X33" i="13"/>
  <c r="L33" i="13"/>
  <c r="DO33" i="13"/>
  <c r="DB33" i="13"/>
  <c r="CS33" i="13"/>
  <c r="CI33" i="13"/>
  <c r="BZ33" i="13"/>
  <c r="BO33" i="13"/>
  <c r="BF33" i="13"/>
  <c r="AW33" i="13"/>
  <c r="AN33" i="13"/>
  <c r="AE33" i="13"/>
  <c r="V33" i="13"/>
  <c r="J33" i="13"/>
  <c r="DK33" i="13"/>
  <c r="CW33" i="13"/>
  <c r="CK33" i="13"/>
  <c r="BV33" i="13"/>
  <c r="BK33" i="13"/>
  <c r="AX33" i="13"/>
  <c r="AL33" i="13"/>
  <c r="Z33" i="13"/>
  <c r="K33" i="13"/>
  <c r="DY33" i="13"/>
  <c r="DH33" i="13"/>
  <c r="CT33" i="13"/>
  <c r="CF33" i="13"/>
  <c r="BT33" i="13"/>
  <c r="BG33" i="13"/>
  <c r="AU33" i="13"/>
  <c r="AI33" i="13"/>
  <c r="W33" i="13"/>
  <c r="G33" i="13"/>
  <c r="Y33" i="13"/>
  <c r="AO33" i="13"/>
  <c r="BD33" i="13"/>
  <c r="BU33" i="13"/>
  <c r="CN33" i="13"/>
  <c r="DC33" i="13"/>
  <c r="DG34" i="13"/>
  <c r="CX34" i="13"/>
  <c r="CP34" i="13"/>
  <c r="CG34" i="13"/>
  <c r="BY34" i="13"/>
  <c r="BP34" i="13"/>
  <c r="BH34" i="13"/>
  <c r="AZ34" i="13"/>
  <c r="AR34" i="13"/>
  <c r="AJ34" i="13"/>
  <c r="AB34" i="13"/>
  <c r="T34" i="13"/>
  <c r="I34" i="13"/>
  <c r="DM34" i="13"/>
  <c r="DA34" i="13"/>
  <c r="CR34" i="13"/>
  <c r="CH34" i="13"/>
  <c r="BX34" i="13"/>
  <c r="BN34" i="13"/>
  <c r="BE34" i="13"/>
  <c r="AV34" i="13"/>
  <c r="AM34" i="13"/>
  <c r="AD34" i="13"/>
  <c r="U34" i="13"/>
  <c r="H34" i="13"/>
  <c r="DI34" i="13"/>
  <c r="CY34" i="13"/>
  <c r="CO34" i="13"/>
  <c r="CE34" i="13"/>
  <c r="BU34" i="13"/>
  <c r="BL34" i="13"/>
  <c r="BC34" i="13"/>
  <c r="AT34" i="13"/>
  <c r="AK34" i="13"/>
  <c r="AA34" i="13"/>
  <c r="O34" i="13"/>
  <c r="F34" i="13"/>
  <c r="DE34" i="13"/>
  <c r="CT34" i="13"/>
  <c r="CF34" i="13"/>
  <c r="BS34" i="13"/>
  <c r="BG34" i="13"/>
  <c r="AU34" i="13"/>
  <c r="AH34" i="13"/>
  <c r="W34" i="13"/>
  <c r="G34" i="13"/>
  <c r="DC34" i="13"/>
  <c r="CQ34" i="13"/>
  <c r="CC34" i="13"/>
  <c r="BQ34" i="13"/>
  <c r="BD34" i="13"/>
  <c r="AQ34" i="13"/>
  <c r="AF34" i="13"/>
  <c r="S34" i="13"/>
  <c r="Y34" i="13"/>
  <c r="AO34" i="13"/>
  <c r="BF34" i="13"/>
  <c r="BV34" i="13"/>
  <c r="CM34" i="13"/>
  <c r="DD34" i="13"/>
  <c r="DS51" i="13"/>
  <c r="DE51" i="13"/>
  <c r="CW51" i="13"/>
  <c r="CO51" i="13"/>
  <c r="CF51" i="13"/>
  <c r="BX51" i="13"/>
  <c r="BO51" i="13"/>
  <c r="DQ51" i="13"/>
  <c r="DD51" i="13"/>
  <c r="CV51" i="13"/>
  <c r="CN51" i="13"/>
  <c r="CE51" i="13"/>
  <c r="BV51" i="13"/>
  <c r="BN51" i="13"/>
  <c r="BF51" i="13"/>
  <c r="AX51" i="13"/>
  <c r="DO51" i="13"/>
  <c r="DC51" i="13"/>
  <c r="CU51" i="13"/>
  <c r="CM51" i="13"/>
  <c r="CD51" i="13"/>
  <c r="BU51" i="13"/>
  <c r="BM51" i="13"/>
  <c r="BE51" i="13"/>
  <c r="AW51" i="13"/>
  <c r="AO51" i="13"/>
  <c r="AG51" i="13"/>
  <c r="Y51" i="13"/>
  <c r="N51" i="13"/>
  <c r="F51" i="13"/>
  <c r="DH51" i="13"/>
  <c r="CS51" i="13"/>
  <c r="CG51" i="13"/>
  <c r="BR51" i="13"/>
  <c r="BG51" i="13"/>
  <c r="AU51" i="13"/>
  <c r="AL51" i="13"/>
  <c r="AC51" i="13"/>
  <c r="T51" i="13"/>
  <c r="H51" i="13"/>
  <c r="DY51" i="13"/>
  <c r="DB51" i="13"/>
  <c r="CP51" i="13"/>
  <c r="BZ51" i="13"/>
  <c r="BJ51" i="13"/>
  <c r="AY51" i="13"/>
  <c r="AM51" i="13"/>
  <c r="AB51" i="13"/>
  <c r="O51" i="13"/>
  <c r="DA51" i="13"/>
  <c r="CL51" i="13"/>
  <c r="BY51" i="13"/>
  <c r="BI51" i="13"/>
  <c r="AV51" i="13"/>
  <c r="AK51" i="13"/>
  <c r="AA51" i="13"/>
  <c r="M51" i="13"/>
  <c r="CZ51" i="13"/>
  <c r="CK51" i="13"/>
  <c r="BT51" i="13"/>
  <c r="BH51" i="13"/>
  <c r="AT51" i="13"/>
  <c r="AJ51" i="13"/>
  <c r="Z51" i="13"/>
  <c r="L51" i="13"/>
  <c r="CY51" i="13"/>
  <c r="CI51" i="13"/>
  <c r="BS51" i="13"/>
  <c r="BD51" i="13"/>
  <c r="AS51" i="13"/>
  <c r="AI51" i="13"/>
  <c r="X51" i="13"/>
  <c r="K51" i="13"/>
  <c r="CR51" i="13"/>
  <c r="BL51" i="13"/>
  <c r="AP51" i="13"/>
  <c r="U51" i="13"/>
  <c r="CQ51" i="13"/>
  <c r="BK51" i="13"/>
  <c r="AN51" i="13"/>
  <c r="S51" i="13"/>
  <c r="DM51" i="13"/>
  <c r="CH51" i="13"/>
  <c r="BC51" i="13"/>
  <c r="AH51" i="13"/>
  <c r="J51" i="13"/>
  <c r="DK51" i="13"/>
  <c r="CC51" i="13"/>
  <c r="BB51" i="13"/>
  <c r="AF51" i="13"/>
  <c r="I51" i="13"/>
  <c r="CX51" i="13"/>
  <c r="AR51" i="13"/>
  <c r="CT51" i="13"/>
  <c r="AQ51" i="13"/>
  <c r="CB51" i="13"/>
  <c r="AE51" i="13"/>
  <c r="CA51" i="13"/>
  <c r="AD51" i="13"/>
  <c r="BQ51" i="13"/>
  <c r="BP51" i="13"/>
  <c r="BA51" i="13"/>
  <c r="AZ51" i="13"/>
  <c r="G51" i="13"/>
  <c r="V51" i="13"/>
  <c r="W51" i="13"/>
  <c r="DS42" i="13"/>
  <c r="DE42" i="13"/>
  <c r="CW42" i="13"/>
  <c r="CO42" i="13"/>
  <c r="CF42" i="13"/>
  <c r="BX42" i="13"/>
  <c r="BO42" i="13"/>
  <c r="BG42" i="13"/>
  <c r="AY42" i="13"/>
  <c r="AQ42" i="13"/>
  <c r="AI42" i="13"/>
  <c r="AA42" i="13"/>
  <c r="S42" i="13"/>
  <c r="H42" i="13"/>
  <c r="DO42" i="13"/>
  <c r="DC42" i="13"/>
  <c r="CU42" i="13"/>
  <c r="CM42" i="13"/>
  <c r="CD42" i="13"/>
  <c r="BU42" i="13"/>
  <c r="BM42" i="13"/>
  <c r="BE42" i="13"/>
  <c r="AW42" i="13"/>
  <c r="AO42" i="13"/>
  <c r="AG42" i="13"/>
  <c r="Y42" i="13"/>
  <c r="N42" i="13"/>
  <c r="F42" i="13"/>
  <c r="DK42" i="13"/>
  <c r="CY42" i="13"/>
  <c r="CN42" i="13"/>
  <c r="CB42" i="13"/>
  <c r="BQ42" i="13"/>
  <c r="BF42" i="13"/>
  <c r="AU42" i="13"/>
  <c r="AK42" i="13"/>
  <c r="Z42" i="13"/>
  <c r="L42" i="13"/>
  <c r="DI42" i="13"/>
  <c r="CX42" i="13"/>
  <c r="CL42" i="13"/>
  <c r="CA42" i="13"/>
  <c r="BP42" i="13"/>
  <c r="BD42" i="13"/>
  <c r="AT42" i="13"/>
  <c r="AJ42" i="13"/>
  <c r="X42" i="13"/>
  <c r="K42" i="13"/>
  <c r="DY42" i="13"/>
  <c r="DH42" i="13"/>
  <c r="CV42" i="13"/>
  <c r="CK42" i="13"/>
  <c r="BZ42" i="13"/>
  <c r="BN42" i="13"/>
  <c r="BC42" i="13"/>
  <c r="AS42" i="13"/>
  <c r="AH42" i="13"/>
  <c r="W42" i="13"/>
  <c r="J42" i="13"/>
  <c r="AB42" i="13"/>
  <c r="AP42" i="13"/>
  <c r="BI42" i="13"/>
  <c r="BY42" i="13"/>
  <c r="CR42" i="13"/>
  <c r="DM42" i="13"/>
  <c r="DS44" i="13"/>
  <c r="DE44" i="13"/>
  <c r="CW44" i="13"/>
  <c r="CO44" i="13"/>
  <c r="CF44" i="13"/>
  <c r="BX44" i="13"/>
  <c r="BO44" i="13"/>
  <c r="BG44" i="13"/>
  <c r="AY44" i="13"/>
  <c r="AQ44" i="13"/>
  <c r="AI44" i="13"/>
  <c r="AA44" i="13"/>
  <c r="S44" i="13"/>
  <c r="H44" i="13"/>
  <c r="DO44" i="13"/>
  <c r="DC44" i="13"/>
  <c r="CU44" i="13"/>
  <c r="CM44" i="13"/>
  <c r="CD44" i="13"/>
  <c r="BU44" i="13"/>
  <c r="BM44" i="13"/>
  <c r="BE44" i="13"/>
  <c r="AW44" i="13"/>
  <c r="AO44" i="13"/>
  <c r="AG44" i="13"/>
  <c r="Y44" i="13"/>
  <c r="N44" i="13"/>
  <c r="F44" i="13"/>
  <c r="DK44" i="13"/>
  <c r="CY44" i="13"/>
  <c r="CN44" i="13"/>
  <c r="CB44" i="13"/>
  <c r="BQ44" i="13"/>
  <c r="BF44" i="13"/>
  <c r="AU44" i="13"/>
  <c r="AK44" i="13"/>
  <c r="Z44" i="13"/>
  <c r="L44" i="13"/>
  <c r="DI44" i="13"/>
  <c r="CX44" i="13"/>
  <c r="CL44" i="13"/>
  <c r="CA44" i="13"/>
  <c r="BP44" i="13"/>
  <c r="BD44" i="13"/>
  <c r="AT44" i="13"/>
  <c r="AJ44" i="13"/>
  <c r="X44" i="13"/>
  <c r="K44" i="13"/>
  <c r="DY44" i="13"/>
  <c r="DH44" i="13"/>
  <c r="CV44" i="13"/>
  <c r="CK44" i="13"/>
  <c r="BZ44" i="13"/>
  <c r="BN44" i="13"/>
  <c r="BC44" i="13"/>
  <c r="AS44" i="13"/>
  <c r="AH44" i="13"/>
  <c r="W44" i="13"/>
  <c r="J44" i="13"/>
  <c r="DG44" i="13"/>
  <c r="CT44" i="13"/>
  <c r="CI44" i="13"/>
  <c r="BY44" i="13"/>
  <c r="BL44" i="13"/>
  <c r="BB44" i="13"/>
  <c r="AR44" i="13"/>
  <c r="AF44" i="13"/>
  <c r="V44" i="13"/>
  <c r="I44" i="13"/>
  <c r="AD44" i="13"/>
  <c r="AZ44" i="13"/>
  <c r="BT44" i="13"/>
  <c r="CR44" i="13"/>
  <c r="CL35" i="13"/>
  <c r="CU35" i="13"/>
  <c r="DG37" i="13"/>
  <c r="CX37" i="13"/>
  <c r="CP37" i="13"/>
  <c r="CG37" i="13"/>
  <c r="BY37" i="13"/>
  <c r="BP37" i="13"/>
  <c r="BH37" i="13"/>
  <c r="AZ37" i="13"/>
  <c r="AR37" i="13"/>
  <c r="AJ37" i="13"/>
  <c r="AB37" i="13"/>
  <c r="T37" i="13"/>
  <c r="I37" i="13"/>
  <c r="DS37" i="13"/>
  <c r="DE37" i="13"/>
  <c r="CW37" i="13"/>
  <c r="CO37" i="13"/>
  <c r="CF37" i="13"/>
  <c r="BX37" i="13"/>
  <c r="BO37" i="13"/>
  <c r="BG37" i="13"/>
  <c r="AY37" i="13"/>
  <c r="AQ37" i="13"/>
  <c r="AI37" i="13"/>
  <c r="AA37" i="13"/>
  <c r="S37" i="13"/>
  <c r="H37" i="13"/>
  <c r="O37" i="13"/>
  <c r="AD37" i="13"/>
  <c r="AN37" i="13"/>
  <c r="AX37" i="13"/>
  <c r="BJ37" i="13"/>
  <c r="BT37" i="13"/>
  <c r="CE37" i="13"/>
  <c r="CR37" i="13"/>
  <c r="DB37" i="13"/>
  <c r="DQ37" i="13"/>
  <c r="O39" i="13"/>
  <c r="AF39" i="13"/>
  <c r="AT39" i="13"/>
  <c r="BE39" i="13"/>
  <c r="BS39" i="13"/>
  <c r="CE39" i="13"/>
  <c r="CT39" i="13"/>
  <c r="DI39" i="13"/>
  <c r="O40" i="13"/>
  <c r="AF40" i="13"/>
  <c r="AT40" i="13"/>
  <c r="BE40" i="13"/>
  <c r="BS40" i="13"/>
  <c r="CE40" i="13"/>
  <c r="CT40" i="13"/>
  <c r="DI40" i="13"/>
  <c r="O41" i="13"/>
  <c r="AF41" i="13"/>
  <c r="AV41" i="13"/>
  <c r="BI41" i="13"/>
  <c r="BZ41" i="13"/>
  <c r="CP41" i="13"/>
  <c r="G42" i="13"/>
  <c r="AC42" i="13"/>
  <c r="AR42" i="13"/>
  <c r="BJ42" i="13"/>
  <c r="CC42" i="13"/>
  <c r="CS42" i="13"/>
  <c r="DQ42" i="13"/>
  <c r="G44" i="13"/>
  <c r="AE44" i="13"/>
  <c r="BA44" i="13"/>
  <c r="BV44" i="13"/>
  <c r="CS44" i="13"/>
  <c r="CS37" i="13"/>
  <c r="DC37" i="13"/>
  <c r="DH39" i="13"/>
  <c r="CY39" i="13"/>
  <c r="CQ39" i="13"/>
  <c r="CH39" i="13"/>
  <c r="BZ39" i="13"/>
  <c r="BQ39" i="13"/>
  <c r="BI39" i="13"/>
  <c r="BA39" i="13"/>
  <c r="AS39" i="13"/>
  <c r="AK39" i="13"/>
  <c r="AC39" i="13"/>
  <c r="U39" i="13"/>
  <c r="J39" i="13"/>
  <c r="DG39" i="13"/>
  <c r="CX39" i="13"/>
  <c r="CP39" i="13"/>
  <c r="CG39" i="13"/>
  <c r="BY39" i="13"/>
  <c r="BP39" i="13"/>
  <c r="BH39" i="13"/>
  <c r="AZ39" i="13"/>
  <c r="AR39" i="13"/>
  <c r="AJ39" i="13"/>
  <c r="AB39" i="13"/>
  <c r="T39" i="13"/>
  <c r="I39" i="13"/>
  <c r="DS39" i="13"/>
  <c r="DE39" i="13"/>
  <c r="CW39" i="13"/>
  <c r="CO39" i="13"/>
  <c r="CF39" i="13"/>
  <c r="BX39" i="13"/>
  <c r="BO39" i="13"/>
  <c r="BG39" i="13"/>
  <c r="AY39" i="13"/>
  <c r="AQ39" i="13"/>
  <c r="AI39" i="13"/>
  <c r="AA39" i="13"/>
  <c r="S39" i="13"/>
  <c r="H39" i="13"/>
  <c r="V39" i="13"/>
  <c r="AG39" i="13"/>
  <c r="AU39" i="13"/>
  <c r="BF39" i="13"/>
  <c r="BT39" i="13"/>
  <c r="CI39" i="13"/>
  <c r="CU39" i="13"/>
  <c r="DK39" i="13"/>
  <c r="DH40" i="13"/>
  <c r="CY40" i="13"/>
  <c r="CQ40" i="13"/>
  <c r="CH40" i="13"/>
  <c r="BZ40" i="13"/>
  <c r="BQ40" i="13"/>
  <c r="BI40" i="13"/>
  <c r="BA40" i="13"/>
  <c r="AS40" i="13"/>
  <c r="AK40" i="13"/>
  <c r="AC40" i="13"/>
  <c r="U40" i="13"/>
  <c r="J40" i="13"/>
  <c r="DG40" i="13"/>
  <c r="CX40" i="13"/>
  <c r="CP40" i="13"/>
  <c r="CG40" i="13"/>
  <c r="BY40" i="13"/>
  <c r="BP40" i="13"/>
  <c r="BH40" i="13"/>
  <c r="AZ40" i="13"/>
  <c r="AR40" i="13"/>
  <c r="AJ40" i="13"/>
  <c r="AB40" i="13"/>
  <c r="T40" i="13"/>
  <c r="I40" i="13"/>
  <c r="DS40" i="13"/>
  <c r="DE40" i="13"/>
  <c r="CW40" i="13"/>
  <c r="CO40" i="13"/>
  <c r="CF40" i="13"/>
  <c r="BX40" i="13"/>
  <c r="BO40" i="13"/>
  <c r="BG40" i="13"/>
  <c r="AY40" i="13"/>
  <c r="AQ40" i="13"/>
  <c r="AI40" i="13"/>
  <c r="AA40" i="13"/>
  <c r="S40" i="13"/>
  <c r="H40" i="13"/>
  <c r="V40" i="13"/>
  <c r="AG40" i="13"/>
  <c r="AU40" i="13"/>
  <c r="BF40" i="13"/>
  <c r="BT40" i="13"/>
  <c r="CI40" i="13"/>
  <c r="CU40" i="13"/>
  <c r="DK40" i="13"/>
  <c r="DS41" i="13"/>
  <c r="DE41" i="13"/>
  <c r="CW41" i="13"/>
  <c r="CO41" i="13"/>
  <c r="CF41" i="13"/>
  <c r="DO41" i="13"/>
  <c r="DC41" i="13"/>
  <c r="CU41" i="13"/>
  <c r="CM41" i="13"/>
  <c r="CD41" i="13"/>
  <c r="BU41" i="13"/>
  <c r="BM41" i="13"/>
  <c r="BE41" i="13"/>
  <c r="AW41" i="13"/>
  <c r="AO41" i="13"/>
  <c r="AG41" i="13"/>
  <c r="DD41" i="13"/>
  <c r="CS41" i="13"/>
  <c r="CH41" i="13"/>
  <c r="BX41" i="13"/>
  <c r="BN41" i="13"/>
  <c r="BD41" i="13"/>
  <c r="AU41" i="13"/>
  <c r="AL41" i="13"/>
  <c r="AC41" i="13"/>
  <c r="U41" i="13"/>
  <c r="J41" i="13"/>
  <c r="DB41" i="13"/>
  <c r="CR41" i="13"/>
  <c r="CG41" i="13"/>
  <c r="BV41" i="13"/>
  <c r="BL41" i="13"/>
  <c r="BC41" i="13"/>
  <c r="AT41" i="13"/>
  <c r="AK41" i="13"/>
  <c r="AB41" i="13"/>
  <c r="T41" i="13"/>
  <c r="I41" i="13"/>
  <c r="DQ41" i="13"/>
  <c r="DA41" i="13"/>
  <c r="CQ41" i="13"/>
  <c r="CE41" i="13"/>
  <c r="BT41" i="13"/>
  <c r="BK41" i="13"/>
  <c r="BB41" i="13"/>
  <c r="AS41" i="13"/>
  <c r="AJ41" i="13"/>
  <c r="AA41" i="13"/>
  <c r="S41" i="13"/>
  <c r="H41" i="13"/>
  <c r="V41" i="13"/>
  <c r="AH41" i="13"/>
  <c r="AX41" i="13"/>
  <c r="BJ41" i="13"/>
  <c r="CA41" i="13"/>
  <c r="CT41" i="13"/>
  <c r="DK41" i="13"/>
  <c r="I42" i="13"/>
  <c r="AD42" i="13"/>
  <c r="AV42" i="13"/>
  <c r="BK42" i="13"/>
  <c r="CE42" i="13"/>
  <c r="CT42" i="13"/>
  <c r="M44" i="13"/>
  <c r="AL44" i="13"/>
  <c r="BH44" i="13"/>
  <c r="CC44" i="13"/>
  <c r="CZ44" i="13"/>
  <c r="DG35" i="13"/>
  <c r="CX35" i="13"/>
  <c r="CP35" i="13"/>
  <c r="CG35" i="13"/>
  <c r="BY35" i="13"/>
  <c r="BP35" i="13"/>
  <c r="BH35" i="13"/>
  <c r="AZ35" i="13"/>
  <c r="AR35" i="13"/>
  <c r="AJ35" i="13"/>
  <c r="AB35" i="13"/>
  <c r="T35" i="13"/>
  <c r="I35" i="13"/>
  <c r="DS35" i="13"/>
  <c r="DE35" i="13"/>
  <c r="N35" i="13"/>
  <c r="Z35" i="13"/>
  <c r="AI35" i="13"/>
  <c r="AS35" i="13"/>
  <c r="BB35" i="13"/>
  <c r="BK35" i="13"/>
  <c r="BT35" i="13"/>
  <c r="CD35" i="13"/>
  <c r="CN35" i="13"/>
  <c r="CW35" i="13"/>
  <c r="DI35" i="13"/>
  <c r="DY35" i="13"/>
  <c r="G37" i="13"/>
  <c r="V37" i="13"/>
  <c r="AF37" i="13"/>
  <c r="AP37" i="13"/>
  <c r="BB37" i="13"/>
  <c r="BL37" i="13"/>
  <c r="BV37" i="13"/>
  <c r="CI37" i="13"/>
  <c r="CT37" i="13"/>
  <c r="DD37" i="13"/>
  <c r="F39" i="13"/>
  <c r="W39" i="13"/>
  <c r="AH39" i="13"/>
  <c r="AV39" i="13"/>
  <c r="BJ39" i="13"/>
  <c r="BU39" i="13"/>
  <c r="CK39" i="13"/>
  <c r="CV39" i="13"/>
  <c r="DM39" i="13"/>
  <c r="F40" i="13"/>
  <c r="W40" i="13"/>
  <c r="AH40" i="13"/>
  <c r="AV40" i="13"/>
  <c r="BJ40" i="13"/>
  <c r="BU40" i="13"/>
  <c r="CK40" i="13"/>
  <c r="CV40" i="13"/>
  <c r="DM40" i="13"/>
  <c r="F41" i="13"/>
  <c r="W41" i="13"/>
  <c r="AI41" i="13"/>
  <c r="AY41" i="13"/>
  <c r="BO41" i="13"/>
  <c r="CB41" i="13"/>
  <c r="CV41" i="13"/>
  <c r="DM41" i="13"/>
  <c r="M42" i="13"/>
  <c r="AE42" i="13"/>
  <c r="AX42" i="13"/>
  <c r="BL42" i="13"/>
  <c r="CG42" i="13"/>
  <c r="CZ42" i="13"/>
  <c r="O44" i="13"/>
  <c r="AM44" i="13"/>
  <c r="BI44" i="13"/>
  <c r="CE44" i="13"/>
  <c r="DA44" i="13"/>
  <c r="K54" i="14"/>
  <c r="J54" i="14"/>
  <c r="K99" i="14"/>
  <c r="J99" i="14"/>
  <c r="J29" i="14"/>
  <c r="K33" i="14"/>
  <c r="J33" i="14"/>
  <c r="B26" i="14"/>
  <c r="C8" i="46"/>
  <c r="DS43" i="13"/>
  <c r="DE43" i="13"/>
  <c r="CW43" i="13"/>
  <c r="CO43" i="13"/>
  <c r="CF43" i="13"/>
  <c r="BX43" i="13"/>
  <c r="BO43" i="13"/>
  <c r="BG43" i="13"/>
  <c r="AY43" i="13"/>
  <c r="AQ43" i="13"/>
  <c r="AI43" i="13"/>
  <c r="AA43" i="13"/>
  <c r="S43" i="13"/>
  <c r="H43" i="13"/>
  <c r="DO43" i="13"/>
  <c r="DC43" i="13"/>
  <c r="CU43" i="13"/>
  <c r="CM43" i="13"/>
  <c r="CD43" i="13"/>
  <c r="BU43" i="13"/>
  <c r="BM43" i="13"/>
  <c r="BE43" i="13"/>
  <c r="AW43" i="13"/>
  <c r="AO43" i="13"/>
  <c r="AG43" i="13"/>
  <c r="Y43" i="13"/>
  <c r="N43" i="13"/>
  <c r="F43" i="13"/>
  <c r="T43" i="13"/>
  <c r="AD43" i="13"/>
  <c r="AN43" i="13"/>
  <c r="AZ43" i="13"/>
  <c r="BJ43" i="13"/>
  <c r="BT43" i="13"/>
  <c r="CG43" i="13"/>
  <c r="CR43" i="13"/>
  <c r="DB43" i="13"/>
  <c r="DM45" i="13"/>
  <c r="DB45" i="13"/>
  <c r="CT45" i="13"/>
  <c r="CL45" i="13"/>
  <c r="CC45" i="13"/>
  <c r="BT45" i="13"/>
  <c r="BL45" i="13"/>
  <c r="BD45" i="13"/>
  <c r="AV45" i="13"/>
  <c r="AN45" i="13"/>
  <c r="DG45" i="13"/>
  <c r="CW45" i="13"/>
  <c r="CN45" i="13"/>
  <c r="CD45" i="13"/>
  <c r="BS45" i="13"/>
  <c r="BJ45" i="13"/>
  <c r="BA45" i="13"/>
  <c r="AR45" i="13"/>
  <c r="AI45" i="13"/>
  <c r="AA45" i="13"/>
  <c r="S45" i="13"/>
  <c r="H45" i="13"/>
  <c r="DS45" i="13"/>
  <c r="DD45" i="13"/>
  <c r="CU45" i="13"/>
  <c r="CK45" i="13"/>
  <c r="CA45" i="13"/>
  <c r="BQ45" i="13"/>
  <c r="BH45" i="13"/>
  <c r="AY45" i="13"/>
  <c r="AP45" i="13"/>
  <c r="AG45" i="13"/>
  <c r="Y45" i="13"/>
  <c r="N45" i="13"/>
  <c r="F45" i="13"/>
  <c r="T45" i="13"/>
  <c r="AD45" i="13"/>
  <c r="AO45" i="13"/>
  <c r="BB45" i="13"/>
  <c r="BN45" i="13"/>
  <c r="BZ45" i="13"/>
  <c r="CO45" i="13"/>
  <c r="CZ45" i="13"/>
  <c r="DQ45" i="13"/>
  <c r="K29" i="14"/>
  <c r="K40" i="14"/>
  <c r="J40" i="14"/>
  <c r="K48" i="14"/>
  <c r="J48" i="14"/>
  <c r="K121" i="14"/>
  <c r="E24" i="14"/>
  <c r="J121" i="14"/>
  <c r="D24" i="14"/>
  <c r="DO50" i="13"/>
  <c r="DC50" i="13"/>
  <c r="CU50" i="13"/>
  <c r="CM50" i="13"/>
  <c r="CD50" i="13"/>
  <c r="BU50" i="13"/>
  <c r="BM50" i="13"/>
  <c r="BE50" i="13"/>
  <c r="AW50" i="13"/>
  <c r="AO50" i="13"/>
  <c r="AG50" i="13"/>
  <c r="Y50" i="13"/>
  <c r="N50" i="13"/>
  <c r="DQ50" i="13"/>
  <c r="DB50" i="13"/>
  <c r="CS50" i="13"/>
  <c r="CI50" i="13"/>
  <c r="BZ50" i="13"/>
  <c r="BP50" i="13"/>
  <c r="BG50" i="13"/>
  <c r="AX50" i="13"/>
  <c r="AN50" i="13"/>
  <c r="AE50" i="13"/>
  <c r="V50" i="13"/>
  <c r="J50" i="13"/>
  <c r="DY50" i="13"/>
  <c r="DH50" i="13"/>
  <c r="CW50" i="13"/>
  <c r="CL50" i="13"/>
  <c r="CA50" i="13"/>
  <c r="BO50" i="13"/>
  <c r="BD50" i="13"/>
  <c r="AT50" i="13"/>
  <c r="AJ50" i="13"/>
  <c r="Z50" i="13"/>
  <c r="L50" i="13"/>
  <c r="DG50" i="13"/>
  <c r="CV50" i="13"/>
  <c r="CK50" i="13"/>
  <c r="BY50" i="13"/>
  <c r="BN50" i="13"/>
  <c r="BC50" i="13"/>
  <c r="AS50" i="13"/>
  <c r="AI50" i="13"/>
  <c r="X50" i="13"/>
  <c r="K50" i="13"/>
  <c r="DE50" i="13"/>
  <c r="CT50" i="13"/>
  <c r="CH50" i="13"/>
  <c r="BX50" i="13"/>
  <c r="BL50" i="13"/>
  <c r="BB50" i="13"/>
  <c r="AR50" i="13"/>
  <c r="AH50" i="13"/>
  <c r="W50" i="13"/>
  <c r="I50" i="13"/>
  <c r="DD50" i="13"/>
  <c r="CR50" i="13"/>
  <c r="CG50" i="13"/>
  <c r="BV50" i="13"/>
  <c r="BK50" i="13"/>
  <c r="BA50" i="13"/>
  <c r="AQ50" i="13"/>
  <c r="AF50" i="13"/>
  <c r="U50" i="13"/>
  <c r="H50" i="13"/>
  <c r="AB50" i="13"/>
  <c r="AV50" i="13"/>
  <c r="BR50" i="13"/>
  <c r="CO50" i="13"/>
  <c r="DK50" i="13"/>
  <c r="K22" i="14"/>
  <c r="J22" i="14"/>
  <c r="K76" i="14"/>
  <c r="J76" i="14"/>
  <c r="DH48" i="13"/>
  <c r="CY48" i="13"/>
  <c r="CQ48" i="13"/>
  <c r="CH48" i="13"/>
  <c r="BZ48" i="13"/>
  <c r="BQ48" i="13"/>
  <c r="BI48" i="13"/>
  <c r="BA48" i="13"/>
  <c r="AS48" i="13"/>
  <c r="AK48" i="13"/>
  <c r="AC48" i="13"/>
  <c r="U48" i="13"/>
  <c r="J48" i="13"/>
  <c r="DM48" i="13"/>
  <c r="DA48" i="13"/>
  <c r="CR48" i="13"/>
  <c r="CG48" i="13"/>
  <c r="BX48" i="13"/>
  <c r="BN48" i="13"/>
  <c r="BE48" i="13"/>
  <c r="AV48" i="13"/>
  <c r="AM48" i="13"/>
  <c r="AD48" i="13"/>
  <c r="T48" i="13"/>
  <c r="H48" i="13"/>
  <c r="O48" i="13"/>
  <c r="AB48" i="13"/>
  <c r="AN48" i="13"/>
  <c r="AX48" i="13"/>
  <c r="BH48" i="13"/>
  <c r="BS48" i="13"/>
  <c r="CD48" i="13"/>
  <c r="CO48" i="13"/>
  <c r="CZ48" i="13"/>
  <c r="DO48" i="13"/>
  <c r="F50" i="13"/>
  <c r="AC50" i="13"/>
  <c r="AY50" i="13"/>
  <c r="BS50" i="13"/>
  <c r="CP50" i="13"/>
  <c r="DM50" i="13"/>
  <c r="G50" i="13"/>
  <c r="AD50" i="13"/>
  <c r="AZ50" i="13"/>
  <c r="BT50" i="13"/>
  <c r="CQ50" i="13"/>
  <c r="DS50" i="13"/>
  <c r="K65" i="14"/>
  <c r="J65" i="14"/>
  <c r="K81" i="14"/>
  <c r="K93" i="14"/>
  <c r="J93" i="14"/>
  <c r="G48" i="13"/>
  <c r="V48" i="13"/>
  <c r="AF48" i="13"/>
  <c r="AP48" i="13"/>
  <c r="AZ48" i="13"/>
  <c r="BK48" i="13"/>
  <c r="BU48" i="13"/>
  <c r="CF48" i="13"/>
  <c r="CS48" i="13"/>
  <c r="DC48" i="13"/>
  <c r="DS48" i="13"/>
  <c r="M50" i="13"/>
  <c r="AK50" i="13"/>
  <c r="BF50" i="13"/>
  <c r="CB50" i="13"/>
  <c r="CX50" i="13"/>
  <c r="K43" i="14"/>
  <c r="K46" i="14"/>
  <c r="J46" i="14"/>
  <c r="J81" i="14"/>
  <c r="K27" i="14"/>
  <c r="K30" i="14"/>
  <c r="J30" i="14"/>
  <c r="K59" i="14"/>
  <c r="K62" i="14"/>
  <c r="J62" i="14"/>
  <c r="J27" i="14"/>
  <c r="K82" i="14"/>
  <c r="J82" i="14"/>
  <c r="M46" i="13"/>
  <c r="X46" i="13"/>
  <c r="AF46" i="13"/>
  <c r="AN46" i="13"/>
  <c r="AV46" i="13"/>
  <c r="BD46" i="13"/>
  <c r="BL46" i="13"/>
  <c r="BT46" i="13"/>
  <c r="CC46" i="13"/>
  <c r="CL46" i="13"/>
  <c r="CT46" i="13"/>
  <c r="DB46" i="13"/>
  <c r="DH47" i="13"/>
  <c r="CY47" i="13"/>
  <c r="CQ47" i="13"/>
  <c r="M47" i="13"/>
  <c r="X47" i="13"/>
  <c r="AF47" i="13"/>
  <c r="AN47" i="13"/>
  <c r="AV47" i="13"/>
  <c r="BD47" i="13"/>
  <c r="BL47" i="13"/>
  <c r="BT47" i="13"/>
  <c r="CC47" i="13"/>
  <c r="CL47" i="13"/>
  <c r="CU47" i="13"/>
  <c r="DD47" i="13"/>
  <c r="DS47" i="13"/>
  <c r="DH49" i="13"/>
  <c r="CY49" i="13"/>
  <c r="CQ49" i="13"/>
  <c r="CH49" i="13"/>
  <c r="BZ49" i="13"/>
  <c r="BQ49" i="13"/>
  <c r="BI49" i="13"/>
  <c r="BA49" i="13"/>
  <c r="AS49" i="13"/>
  <c r="AK49" i="13"/>
  <c r="AC49" i="13"/>
  <c r="U49" i="13"/>
  <c r="J49" i="13"/>
  <c r="N49" i="13"/>
  <c r="Z49" i="13"/>
  <c r="AI49" i="13"/>
  <c r="AR49" i="13"/>
  <c r="BB49" i="13"/>
  <c r="BK49" i="13"/>
  <c r="BT49" i="13"/>
  <c r="CD49" i="13"/>
  <c r="CN49" i="13"/>
  <c r="CW49" i="13"/>
  <c r="DG49" i="13"/>
  <c r="K17" i="14"/>
  <c r="C282" i="46"/>
  <c r="J17" i="14"/>
  <c r="K49" i="14"/>
  <c r="J49" i="14"/>
  <c r="J98" i="14"/>
  <c r="J104" i="14"/>
  <c r="K110" i="14"/>
  <c r="J110" i="14"/>
  <c r="K24" i="14"/>
  <c r="J24" i="14"/>
  <c r="K56" i="14"/>
  <c r="J56" i="14"/>
  <c r="K98" i="14"/>
  <c r="I125" i="14"/>
  <c r="C133" i="46"/>
  <c r="I123" i="14"/>
  <c r="C131" i="46"/>
  <c r="DS52" i="13"/>
  <c r="DE52" i="13"/>
  <c r="CW52" i="13"/>
  <c r="CO52" i="13"/>
  <c r="CF52" i="13"/>
  <c r="BX52" i="13"/>
  <c r="BO52" i="13"/>
  <c r="BG52" i="13"/>
  <c r="AY52" i="13"/>
  <c r="AQ52" i="13"/>
  <c r="AI52" i="13"/>
  <c r="AA52" i="13"/>
  <c r="S52" i="13"/>
  <c r="H52" i="13"/>
  <c r="DQ52" i="13"/>
  <c r="DD52" i="13"/>
  <c r="CV52" i="13"/>
  <c r="CN52" i="13"/>
  <c r="CE52" i="13"/>
  <c r="BV52" i="13"/>
  <c r="BN52" i="13"/>
  <c r="BF52" i="13"/>
  <c r="AX52" i="13"/>
  <c r="AP52" i="13"/>
  <c r="AH52" i="13"/>
  <c r="Z52" i="13"/>
  <c r="O52" i="13"/>
  <c r="G52" i="13"/>
  <c r="DO52" i="13"/>
  <c r="DC52" i="13"/>
  <c r="CU52" i="13"/>
  <c r="CM52" i="13"/>
  <c r="CD52" i="13"/>
  <c r="BU52" i="13"/>
  <c r="BM52" i="13"/>
  <c r="BE52" i="13"/>
  <c r="AW52" i="13"/>
  <c r="AO52" i="13"/>
  <c r="AG52" i="13"/>
  <c r="Y52" i="13"/>
  <c r="N52" i="13"/>
  <c r="F52" i="13"/>
  <c r="V52" i="13"/>
  <c r="AJ52" i="13"/>
  <c r="AU52" i="13"/>
  <c r="BI52" i="13"/>
  <c r="BT52" i="13"/>
  <c r="CI52" i="13"/>
  <c r="CX52" i="13"/>
  <c r="DK52" i="13"/>
  <c r="J72" i="14"/>
  <c r="J79" i="14"/>
  <c r="J90" i="14"/>
  <c r="J96" i="14"/>
  <c r="J106" i="14"/>
  <c r="J115" i="14"/>
  <c r="D21" i="14"/>
  <c r="I124" i="14"/>
  <c r="C132" i="46"/>
  <c r="K25" i="14"/>
  <c r="J25" i="14"/>
  <c r="K41" i="14"/>
  <c r="J41" i="14"/>
  <c r="K57" i="14"/>
  <c r="J57" i="14"/>
  <c r="K74" i="14"/>
  <c r="J74" i="14"/>
  <c r="K91" i="14"/>
  <c r="J91" i="14"/>
  <c r="K107" i="14"/>
  <c r="J107" i="14"/>
  <c r="K124" i="14"/>
  <c r="DW51" i="7"/>
  <c r="DV51" i="7"/>
  <c r="DU51" i="7"/>
  <c r="P51" i="7"/>
  <c r="DO51" i="7"/>
  <c r="AY51" i="7"/>
  <c r="AW51" i="7"/>
  <c r="DA51" i="7"/>
  <c r="DW50" i="7"/>
  <c r="DV50" i="7"/>
  <c r="DU50" i="7"/>
  <c r="P50" i="7"/>
  <c r="CX50" i="7"/>
  <c r="AA50" i="7"/>
  <c r="CL50" i="7"/>
  <c r="DW49" i="7"/>
  <c r="DV49" i="7"/>
  <c r="DU49" i="7"/>
  <c r="P49" i="7"/>
  <c r="DO49" i="7"/>
  <c r="CW49" i="7"/>
  <c r="BC49" i="7"/>
  <c r="AG49" i="7"/>
  <c r="T49" i="7"/>
  <c r="CQ49" i="7"/>
  <c r="DW48" i="7"/>
  <c r="DV48" i="7"/>
  <c r="DU48" i="7"/>
  <c r="P48" i="7"/>
  <c r="CS48" i="7"/>
  <c r="DW47" i="7"/>
  <c r="DV47" i="7"/>
  <c r="DU47" i="7"/>
  <c r="P47" i="7"/>
  <c r="CK47" i="7"/>
  <c r="BU47" i="7"/>
  <c r="BI47" i="7"/>
  <c r="Z47" i="7"/>
  <c r="Y47" i="7"/>
  <c r="DQ47" i="7"/>
  <c r="P46" i="7"/>
  <c r="DY46" i="7"/>
  <c r="DW46" i="7"/>
  <c r="DV46" i="7"/>
  <c r="DU46" i="7"/>
  <c r="CV46" i="7"/>
  <c r="CA46" i="7"/>
  <c r="AL46" i="7"/>
  <c r="AI46" i="7"/>
  <c r="N46" i="7"/>
  <c r="M46" i="7"/>
  <c r="CY46" i="7"/>
  <c r="DW45" i="7"/>
  <c r="DV45" i="7"/>
  <c r="DU45" i="7"/>
  <c r="P45" i="7"/>
  <c r="CF45" i="7"/>
  <c r="BO45" i="7"/>
  <c r="BL45" i="7"/>
  <c r="U45" i="7"/>
  <c r="G45" i="7"/>
  <c r="CX45" i="7"/>
  <c r="DW44" i="7"/>
  <c r="DV44" i="7"/>
  <c r="DU44" i="7"/>
  <c r="P44" i="7"/>
  <c r="I44" i="7"/>
  <c r="DW43" i="7"/>
  <c r="DV43" i="7"/>
  <c r="DU43" i="7"/>
  <c r="P43" i="7"/>
  <c r="CB43" i="7"/>
  <c r="DW42" i="7"/>
  <c r="DV42" i="7"/>
  <c r="DU42" i="7"/>
  <c r="P42" i="7"/>
  <c r="DE42" i="7"/>
  <c r="DM42" i="7"/>
  <c r="DW41" i="7"/>
  <c r="DV41" i="7"/>
  <c r="DU41" i="7"/>
  <c r="P41" i="7"/>
  <c r="DA41" i="7"/>
  <c r="CW41" i="7"/>
  <c r="BZ41" i="7"/>
  <c r="BX41" i="7"/>
  <c r="AP41" i="7"/>
  <c r="AJ41" i="7"/>
  <c r="U41" i="7"/>
  <c r="K41" i="7"/>
  <c r="F41" i="7"/>
  <c r="DQ41" i="7"/>
  <c r="DW40" i="7"/>
  <c r="DV40" i="7"/>
  <c r="DU40" i="7"/>
  <c r="P40" i="7"/>
  <c r="DC40" i="7"/>
  <c r="CB40" i="7"/>
  <c r="CA40" i="7"/>
  <c r="AQ40" i="7"/>
  <c r="AP40" i="7"/>
  <c r="AA40" i="7"/>
  <c r="H40" i="7"/>
  <c r="G40" i="7"/>
  <c r="CR40" i="7"/>
  <c r="DW39" i="7"/>
  <c r="DV39" i="7"/>
  <c r="DU39" i="7"/>
  <c r="P39" i="7"/>
  <c r="CM39" i="7"/>
  <c r="DW38" i="7"/>
  <c r="DV38" i="7"/>
  <c r="DU38" i="7"/>
  <c r="P38" i="7"/>
  <c r="BA38" i="7"/>
  <c r="DW37" i="7"/>
  <c r="DV37" i="7"/>
  <c r="DU37" i="7"/>
  <c r="P37" i="7"/>
  <c r="BF37" i="7"/>
  <c r="BV37" i="7"/>
  <c r="DW36" i="7"/>
  <c r="DV36" i="7"/>
  <c r="DU36" i="7"/>
  <c r="P36" i="7"/>
  <c r="CK36" i="7"/>
  <c r="DY36" i="7"/>
  <c r="DW35" i="7"/>
  <c r="DV35" i="7"/>
  <c r="DU35" i="7"/>
  <c r="P35" i="7"/>
  <c r="BX35" i="7"/>
  <c r="DW34" i="7"/>
  <c r="DV34" i="7"/>
  <c r="DU34" i="7"/>
  <c r="P34" i="7"/>
  <c r="DW33" i="7"/>
  <c r="DV33" i="7"/>
  <c r="DU33" i="7"/>
  <c r="P33" i="7"/>
  <c r="CM33" i="7"/>
  <c r="DW32" i="7"/>
  <c r="DV32" i="7"/>
  <c r="DU32" i="7"/>
  <c r="P32" i="7"/>
  <c r="CI32" i="7"/>
  <c r="DW31" i="7"/>
  <c r="DV31" i="7"/>
  <c r="DU31" i="7"/>
  <c r="P31" i="7"/>
  <c r="CO31" i="7"/>
  <c r="BU31" i="7"/>
  <c r="AG31" i="7"/>
  <c r="W31" i="7"/>
  <c r="BE31" i="7"/>
  <c r="DW30" i="7"/>
  <c r="DV30" i="7"/>
  <c r="DU30" i="7"/>
  <c r="P30" i="7"/>
  <c r="BF30" i="7"/>
  <c r="DW29" i="7"/>
  <c r="DV29" i="7"/>
  <c r="DU29" i="7"/>
  <c r="P29" i="7"/>
  <c r="CZ29" i="7"/>
  <c r="DW28" i="7"/>
  <c r="DV28" i="7"/>
  <c r="DU28" i="7"/>
  <c r="P28" i="7"/>
  <c r="DQ28" i="7"/>
  <c r="BI28" i="7"/>
  <c r="AL28" i="7"/>
  <c r="L28" i="7"/>
  <c r="K28" i="7"/>
  <c r="DY28" i="7"/>
  <c r="DW27" i="7"/>
  <c r="DV27" i="7"/>
  <c r="DU27" i="7"/>
  <c r="P27" i="7"/>
  <c r="M27" i="7"/>
  <c r="DW26" i="7"/>
  <c r="DV26" i="7"/>
  <c r="DU26" i="7"/>
  <c r="P26" i="7"/>
  <c r="CN26" i="7"/>
  <c r="BU26" i="7"/>
  <c r="CG26" i="7"/>
  <c r="DW25" i="7"/>
  <c r="DV25" i="7"/>
  <c r="DU25" i="7"/>
  <c r="P25" i="7"/>
  <c r="DQ25" i="7"/>
  <c r="DW24" i="7"/>
  <c r="DV24" i="7"/>
  <c r="DU24" i="7"/>
  <c r="P24" i="7"/>
  <c r="DH24" i="7"/>
  <c r="DW23" i="7"/>
  <c r="DV23" i="7"/>
  <c r="DU23" i="7"/>
  <c r="P23" i="7"/>
  <c r="CH23" i="7"/>
  <c r="DW22" i="7"/>
  <c r="DV22" i="7"/>
  <c r="DU22" i="7"/>
  <c r="P22" i="7"/>
  <c r="CB22" i="7"/>
  <c r="DW21" i="7"/>
  <c r="DV21" i="7"/>
  <c r="DU21" i="7"/>
  <c r="P21" i="7"/>
  <c r="CG21" i="7"/>
  <c r="BQ21" i="7"/>
  <c r="AR21" i="7"/>
  <c r="CL21" i="7"/>
  <c r="DW20" i="7"/>
  <c r="DV20" i="7"/>
  <c r="DU20" i="7"/>
  <c r="P20" i="7"/>
  <c r="CN20" i="7"/>
  <c r="DW19" i="7"/>
  <c r="DV19" i="7"/>
  <c r="DU19" i="7"/>
  <c r="P19" i="7"/>
  <c r="V19" i="7"/>
  <c r="DW18" i="7"/>
  <c r="DV18" i="7"/>
  <c r="DU18" i="7"/>
  <c r="P18" i="7"/>
  <c r="DI18" i="7"/>
  <c r="CU18" i="7"/>
  <c r="DW17" i="7"/>
  <c r="DV17" i="7"/>
  <c r="DU17" i="7"/>
  <c r="P17" i="7"/>
  <c r="DW16" i="7"/>
  <c r="DV16" i="7"/>
  <c r="DU16" i="7"/>
  <c r="P16" i="7"/>
  <c r="CP16" i="7"/>
  <c r="DW15" i="7"/>
  <c r="DV15" i="7"/>
  <c r="DU15" i="7"/>
  <c r="P15" i="7"/>
  <c r="BY15" i="7"/>
  <c r="DW14" i="7"/>
  <c r="DV14" i="7"/>
  <c r="DU14" i="7"/>
  <c r="P14" i="7"/>
  <c r="DI14" i="7"/>
  <c r="DW13" i="7"/>
  <c r="DV13" i="7"/>
  <c r="DU13" i="7"/>
  <c r="P13" i="7"/>
  <c r="BY13" i="7"/>
  <c r="DW12" i="7"/>
  <c r="DV12" i="7"/>
  <c r="DU12" i="7"/>
  <c r="P12" i="7"/>
  <c r="DS12" i="7"/>
  <c r="DW11" i="7"/>
  <c r="DV11" i="7"/>
  <c r="DU11" i="7"/>
  <c r="P11" i="7"/>
  <c r="BT11" i="7"/>
  <c r="BD11" i="7"/>
  <c r="AN11" i="7"/>
  <c r="Y11" i="7"/>
  <c r="CM11" i="7"/>
  <c r="DW10" i="7"/>
  <c r="DV10" i="7"/>
  <c r="DU10" i="7"/>
  <c r="P10" i="7"/>
  <c r="BD10" i="7"/>
  <c r="AJ10" i="7"/>
  <c r="DK10" i="7"/>
  <c r="DW9" i="7"/>
  <c r="DV9" i="7"/>
  <c r="DU9" i="7"/>
  <c r="P9" i="7"/>
  <c r="CW9" i="7"/>
  <c r="DW8" i="7"/>
  <c r="DV8" i="7"/>
  <c r="DU8" i="7"/>
  <c r="P8" i="7"/>
  <c r="CI8" i="7"/>
  <c r="DW7" i="7"/>
  <c r="DV7" i="7"/>
  <c r="DU7" i="7"/>
  <c r="P7" i="7"/>
  <c r="AV7" i="7"/>
  <c r="AJ7" i="7"/>
  <c r="DW6" i="7"/>
  <c r="DV6" i="7"/>
  <c r="DU6" i="7"/>
  <c r="P6" i="7"/>
  <c r="DI6" i="7"/>
  <c r="DW5" i="7"/>
  <c r="DV5" i="7"/>
  <c r="DU5" i="7"/>
  <c r="P5" i="7"/>
  <c r="BT5" i="7"/>
  <c r="DW4" i="7"/>
  <c r="DV4" i="7"/>
  <c r="DU4" i="7"/>
  <c r="P4" i="7"/>
  <c r="CN4" i="7"/>
  <c r="BC4" i="7"/>
  <c r="AN4" i="7"/>
  <c r="BS4" i="7"/>
  <c r="DW3" i="7"/>
  <c r="DV3" i="7"/>
  <c r="DU3" i="7"/>
  <c r="P3" i="7"/>
  <c r="CU3" i="7"/>
  <c r="C285" i="46"/>
  <c r="C274" i="46"/>
  <c r="D270" i="46"/>
  <c r="K241" i="46"/>
  <c r="L241" i="46"/>
  <c r="L222" i="46"/>
  <c r="K222" i="46"/>
  <c r="L158" i="46"/>
  <c r="K158" i="46"/>
  <c r="L239" i="46"/>
  <c r="K239" i="46"/>
  <c r="L201" i="46"/>
  <c r="K201" i="46"/>
  <c r="L171" i="46"/>
  <c r="K171" i="46"/>
  <c r="L194" i="46"/>
  <c r="K194" i="46"/>
  <c r="L208" i="46"/>
  <c r="K208" i="46"/>
  <c r="K218" i="46"/>
  <c r="L218" i="46"/>
  <c r="K192" i="46"/>
  <c r="L192" i="46"/>
  <c r="L223" i="46"/>
  <c r="K223" i="46"/>
  <c r="L213" i="46"/>
  <c r="K213" i="46"/>
  <c r="L188" i="46"/>
  <c r="K188" i="46"/>
  <c r="L169" i="46"/>
  <c r="K169" i="46"/>
  <c r="K236" i="46"/>
  <c r="L236" i="46"/>
  <c r="K237" i="46"/>
  <c r="L237" i="46"/>
  <c r="C279" i="46"/>
  <c r="C277" i="46"/>
  <c r="L240" i="46"/>
  <c r="K240" i="46"/>
  <c r="K215" i="46"/>
  <c r="L215" i="46"/>
  <c r="K181" i="46"/>
  <c r="L181" i="46"/>
  <c r="L200" i="46"/>
  <c r="K200" i="46"/>
  <c r="K170" i="46"/>
  <c r="L170" i="46"/>
  <c r="L259" i="46"/>
  <c r="L258" i="46"/>
  <c r="L149" i="46"/>
  <c r="K259" i="46"/>
  <c r="K258" i="46"/>
  <c r="K149" i="46"/>
  <c r="K212" i="46"/>
  <c r="L212" i="46"/>
  <c r="K163" i="46"/>
  <c r="L163" i="46"/>
  <c r="L162" i="46"/>
  <c r="K162" i="46"/>
  <c r="I132" i="46"/>
  <c r="J132" i="46"/>
  <c r="H132" i="46"/>
  <c r="H138" i="46"/>
  <c r="I138" i="46"/>
  <c r="J138" i="46"/>
  <c r="K207" i="46"/>
  <c r="L207" i="46"/>
  <c r="K175" i="46"/>
  <c r="L175" i="46"/>
  <c r="K157" i="46"/>
  <c r="L157" i="46"/>
  <c r="L186" i="46"/>
  <c r="K186" i="46"/>
  <c r="C290" i="46"/>
  <c r="C288" i="46"/>
  <c r="C281" i="46"/>
  <c r="L166" i="46"/>
  <c r="K166" i="46"/>
  <c r="L231" i="46"/>
  <c r="K231" i="46"/>
  <c r="L230" i="46"/>
  <c r="K230" i="46"/>
  <c r="K204" i="46"/>
  <c r="L204" i="46"/>
  <c r="L180" i="46"/>
  <c r="K180" i="46"/>
  <c r="L242" i="46"/>
  <c r="K242" i="46"/>
  <c r="L168" i="46"/>
  <c r="K168" i="46"/>
  <c r="K229" i="46"/>
  <c r="L229" i="46"/>
  <c r="K187" i="46"/>
  <c r="L187" i="46"/>
  <c r="L257" i="46"/>
  <c r="L256" i="46"/>
  <c r="L148" i="46"/>
  <c r="K257" i="46"/>
  <c r="K256" i="46"/>
  <c r="K148" i="46"/>
  <c r="L228" i="46"/>
  <c r="K228" i="46"/>
  <c r="L209" i="46"/>
  <c r="K209" i="46"/>
  <c r="G151" i="46"/>
  <c r="L176" i="46"/>
  <c r="K176" i="46"/>
  <c r="L196" i="46"/>
  <c r="K196" i="46"/>
  <c r="L195" i="46"/>
  <c r="K195" i="46"/>
  <c r="L249" i="46"/>
  <c r="K249" i="46"/>
  <c r="K174" i="46"/>
  <c r="L174" i="46"/>
  <c r="L197" i="46"/>
  <c r="K197" i="46"/>
  <c r="K184" i="46"/>
  <c r="L184" i="46"/>
  <c r="L210" i="46"/>
  <c r="K210" i="46"/>
  <c r="L161" i="46"/>
  <c r="K161" i="46"/>
  <c r="K227" i="46"/>
  <c r="L227" i="46"/>
  <c r="I131" i="46"/>
  <c r="J131" i="46"/>
  <c r="H131" i="46"/>
  <c r="D21" i="46"/>
  <c r="L251" i="46"/>
  <c r="L250" i="46"/>
  <c r="L145" i="46"/>
  <c r="K251" i="46"/>
  <c r="K250" i="46"/>
  <c r="K145" i="46"/>
  <c r="K205" i="46"/>
  <c r="L205" i="46"/>
  <c r="L185" i="46"/>
  <c r="K185" i="46"/>
  <c r="K232" i="46"/>
  <c r="L232" i="46"/>
  <c r="L247" i="46"/>
  <c r="K247" i="46"/>
  <c r="K244" i="46"/>
  <c r="L244" i="46"/>
  <c r="H133" i="46"/>
  <c r="I133" i="46"/>
  <c r="J133" i="46"/>
  <c r="K225" i="46"/>
  <c r="L225" i="46"/>
  <c r="K234" i="46"/>
  <c r="L234" i="46"/>
  <c r="L182" i="46"/>
  <c r="K182" i="46"/>
  <c r="L165" i="46"/>
  <c r="K165" i="46"/>
  <c r="L160" i="46"/>
  <c r="K160" i="46"/>
  <c r="K156" i="46"/>
  <c r="L156" i="46"/>
  <c r="L217" i="46"/>
  <c r="K217" i="46"/>
  <c r="K248" i="46"/>
  <c r="K220" i="46"/>
  <c r="L220" i="46"/>
  <c r="L203" i="46"/>
  <c r="K203" i="46"/>
  <c r="L179" i="46"/>
  <c r="K179" i="46"/>
  <c r="K155" i="46"/>
  <c r="L155" i="46"/>
  <c r="K219" i="46"/>
  <c r="L219" i="46"/>
  <c r="L202" i="46"/>
  <c r="K202" i="46"/>
  <c r="C271" i="46"/>
  <c r="C270" i="46"/>
  <c r="L183" i="46"/>
  <c r="K191" i="46"/>
  <c r="L191" i="46"/>
  <c r="K167" i="46"/>
  <c r="L167" i="46"/>
  <c r="L173" i="46"/>
  <c r="K173" i="46"/>
  <c r="K172" i="46"/>
  <c r="L172" i="46"/>
  <c r="K198" i="46"/>
  <c r="L198" i="46"/>
  <c r="L226" i="46"/>
  <c r="K226" i="46"/>
  <c r="K238" i="46"/>
  <c r="L238" i="46"/>
  <c r="L206" i="46"/>
  <c r="K206" i="46"/>
  <c r="K178" i="46"/>
  <c r="L178" i="46"/>
  <c r="L235" i="46"/>
  <c r="K235" i="46"/>
  <c r="L245" i="46"/>
  <c r="K245" i="46"/>
  <c r="K189" i="46"/>
  <c r="L189" i="46"/>
  <c r="K164" i="46"/>
  <c r="L164" i="46"/>
  <c r="K243" i="46"/>
  <c r="L243" i="46"/>
  <c r="L214" i="46"/>
  <c r="K214" i="46"/>
  <c r="K253" i="46"/>
  <c r="K252" i="46"/>
  <c r="K146" i="46"/>
  <c r="L253" i="46"/>
  <c r="L252" i="46"/>
  <c r="L146" i="46"/>
  <c r="L221" i="46"/>
  <c r="K221" i="46"/>
  <c r="L193" i="46"/>
  <c r="K193" i="46"/>
  <c r="L255" i="46"/>
  <c r="L254" i="46"/>
  <c r="L147" i="46"/>
  <c r="K255" i="46"/>
  <c r="K254" i="46"/>
  <c r="K147" i="46"/>
  <c r="L177" i="46"/>
  <c r="K177" i="46"/>
  <c r="K183" i="46"/>
  <c r="AB42" i="7"/>
  <c r="BE42" i="7"/>
  <c r="CE42" i="7"/>
  <c r="AM27" i="7"/>
  <c r="AD30" i="7"/>
  <c r="AB39" i="7"/>
  <c r="F42" i="7"/>
  <c r="AG42" i="7"/>
  <c r="BG42" i="7"/>
  <c r="CI42" i="7"/>
  <c r="DI42" i="7"/>
  <c r="DS50" i="7"/>
  <c r="CC4" i="7"/>
  <c r="BQ10" i="7"/>
  <c r="AT11" i="7"/>
  <c r="BS21" i="7"/>
  <c r="BA27" i="7"/>
  <c r="Y28" i="7"/>
  <c r="DS30" i="7"/>
  <c r="AR31" i="7"/>
  <c r="AB36" i="7"/>
  <c r="BC39" i="7"/>
  <c r="O40" i="7"/>
  <c r="CO40" i="7"/>
  <c r="T41" i="7"/>
  <c r="CP41" i="7"/>
  <c r="G42" i="7"/>
  <c r="AK42" i="7"/>
  <c r="BI42" i="7"/>
  <c r="CM42" i="7"/>
  <c r="DQ42" i="7"/>
  <c r="AJ45" i="7"/>
  <c r="AO47" i="7"/>
  <c r="BB49" i="7"/>
  <c r="L50" i="7"/>
  <c r="CD51" i="7"/>
  <c r="DK39" i="7"/>
  <c r="AO42" i="7"/>
  <c r="CR4" i="7"/>
  <c r="CV21" i="7"/>
  <c r="BQ42" i="7"/>
  <c r="G4" i="7"/>
  <c r="DO4" i="7"/>
  <c r="CL11" i="7"/>
  <c r="AT18" i="7"/>
  <c r="K21" i="7"/>
  <c r="AV25" i="7"/>
  <c r="BP28" i="7"/>
  <c r="AQ35" i="7"/>
  <c r="T42" i="7"/>
  <c r="AS42" i="7"/>
  <c r="BV42" i="7"/>
  <c r="CV42" i="7"/>
  <c r="AZ50" i="7"/>
  <c r="BK27" i="7"/>
  <c r="BM42" i="7"/>
  <c r="CO42" i="7"/>
  <c r="AP42" i="7"/>
  <c r="CQ42" i="7"/>
  <c r="AC50" i="7"/>
  <c r="N4" i="7"/>
  <c r="DA11" i="7"/>
  <c r="BM18" i="7"/>
  <c r="L21" i="7"/>
  <c r="CZ25" i="7"/>
  <c r="BT28" i="7"/>
  <c r="AW40" i="7"/>
  <c r="AU41" i="7"/>
  <c r="Y42" i="7"/>
  <c r="AX42" i="7"/>
  <c r="BX42" i="7"/>
  <c r="CY42" i="7"/>
  <c r="CR45" i="7"/>
  <c r="CV47" i="7"/>
  <c r="BM50" i="7"/>
  <c r="N51" i="7"/>
  <c r="J42" i="7"/>
  <c r="U18" i="7"/>
  <c r="L42" i="7"/>
  <c r="AD4" i="7"/>
  <c r="F11" i="7"/>
  <c r="DI11" i="7"/>
  <c r="CI18" i="7"/>
  <c r="AB21" i="7"/>
  <c r="DK28" i="7"/>
  <c r="T31" i="7"/>
  <c r="BH40" i="7"/>
  <c r="BK41" i="7"/>
  <c r="AA42" i="7"/>
  <c r="AZ42" i="7"/>
  <c r="BZ42" i="7"/>
  <c r="DD42" i="7"/>
  <c r="F45" i="7"/>
  <c r="BX46" i="7"/>
  <c r="L47" i="7"/>
  <c r="DH47" i="7"/>
  <c r="CK50" i="7"/>
  <c r="AJ51" i="7"/>
  <c r="AO20" i="7"/>
  <c r="DY24" i="7"/>
  <c r="I14" i="7"/>
  <c r="AV18" i="7"/>
  <c r="DK18" i="7"/>
  <c r="AC19" i="7"/>
  <c r="I20" i="7"/>
  <c r="AP20" i="7"/>
  <c r="BT20" i="7"/>
  <c r="DA20" i="7"/>
  <c r="G24" i="7"/>
  <c r="BA24" i="7"/>
  <c r="CU24" i="7"/>
  <c r="BB25" i="7"/>
  <c r="DH25" i="7"/>
  <c r="N29" i="7"/>
  <c r="CC29" i="7"/>
  <c r="AQ32" i="7"/>
  <c r="AC33" i="7"/>
  <c r="BH35" i="7"/>
  <c r="CN36" i="7"/>
  <c r="AQ43" i="7"/>
  <c r="AH44" i="7"/>
  <c r="AI4" i="7"/>
  <c r="DG4" i="7"/>
  <c r="BE10" i="7"/>
  <c r="BE11" i="7"/>
  <c r="BJ13" i="7"/>
  <c r="J14" i="7"/>
  <c r="BB14" i="7"/>
  <c r="CO14" i="7"/>
  <c r="AI15" i="7"/>
  <c r="M16" i="7"/>
  <c r="F18" i="7"/>
  <c r="AC18" i="7"/>
  <c r="AW18" i="7"/>
  <c r="BQ18" i="7"/>
  <c r="CQ18" i="7"/>
  <c r="DM18" i="7"/>
  <c r="AU19" i="7"/>
  <c r="M20" i="7"/>
  <c r="AT20" i="7"/>
  <c r="CA20" i="7"/>
  <c r="DM20" i="7"/>
  <c r="U21" i="7"/>
  <c r="BZ21" i="7"/>
  <c r="M23" i="7"/>
  <c r="L24" i="7"/>
  <c r="BD24" i="7"/>
  <c r="CV24" i="7"/>
  <c r="K25" i="7"/>
  <c r="BQ25" i="7"/>
  <c r="BI27" i="7"/>
  <c r="CK28" i="7"/>
  <c r="U29" i="7"/>
  <c r="CH29" i="7"/>
  <c r="W30" i="7"/>
  <c r="BX31" i="7"/>
  <c r="AR32" i="7"/>
  <c r="BT33" i="7"/>
  <c r="BI35" i="7"/>
  <c r="Y36" i="7"/>
  <c r="CY36" i="7"/>
  <c r="CG39" i="7"/>
  <c r="K40" i="7"/>
  <c r="AU40" i="7"/>
  <c r="CG40" i="7"/>
  <c r="AX41" i="7"/>
  <c r="DC41" i="7"/>
  <c r="K42" i="7"/>
  <c r="AC42" i="7"/>
  <c r="AT42" i="7"/>
  <c r="BK42" i="7"/>
  <c r="CA42" i="7"/>
  <c r="CS42" i="7"/>
  <c r="DK42" i="7"/>
  <c r="AU43" i="7"/>
  <c r="BL44" i="7"/>
  <c r="S45" i="7"/>
  <c r="BU45" i="7"/>
  <c r="AM47" i="7"/>
  <c r="BA50" i="7"/>
  <c r="CX51" i="7"/>
  <c r="AM14" i="7"/>
  <c r="CY20" i="7"/>
  <c r="CG24" i="7"/>
  <c r="AV14" i="7"/>
  <c r="H16" i="7"/>
  <c r="CL18" i="7"/>
  <c r="S14" i="7"/>
  <c r="I18" i="7"/>
  <c r="BY19" i="7"/>
  <c r="BJ24" i="7"/>
  <c r="AE29" i="7"/>
  <c r="BJ32" i="7"/>
  <c r="DO33" i="7"/>
  <c r="CR35" i="7"/>
  <c r="BN43" i="7"/>
  <c r="CX44" i="7"/>
  <c r="AU4" i="7"/>
  <c r="CK10" i="7"/>
  <c r="L11" i="7"/>
  <c r="CC11" i="7"/>
  <c r="DB13" i="7"/>
  <c r="V14" i="7"/>
  <c r="BH14" i="7"/>
  <c r="DC14" i="7"/>
  <c r="CY15" i="7"/>
  <c r="AB16" i="7"/>
  <c r="J18" i="7"/>
  <c r="AF18" i="7"/>
  <c r="AZ18" i="7"/>
  <c r="BY18" i="7"/>
  <c r="CT18" i="7"/>
  <c r="CF19" i="7"/>
  <c r="U20" i="7"/>
  <c r="BA20" i="7"/>
  <c r="CH20" i="7"/>
  <c r="AO21" i="7"/>
  <c r="CU21" i="7"/>
  <c r="AH22" i="7"/>
  <c r="BS23" i="7"/>
  <c r="T24" i="7"/>
  <c r="BM24" i="7"/>
  <c r="DG24" i="7"/>
  <c r="V25" i="7"/>
  <c r="BY25" i="7"/>
  <c r="CL27" i="7"/>
  <c r="AG29" i="7"/>
  <c r="CU29" i="7"/>
  <c r="AV30" i="7"/>
  <c r="CZ31" i="7"/>
  <c r="BU32" i="7"/>
  <c r="F35" i="7"/>
  <c r="DH35" i="7"/>
  <c r="AL36" i="7"/>
  <c r="Y40" i="7"/>
  <c r="BF40" i="7"/>
  <c r="DA40" i="7"/>
  <c r="BS41" i="7"/>
  <c r="O42" i="7"/>
  <c r="AH42" i="7"/>
  <c r="AY42" i="7"/>
  <c r="BN42" i="7"/>
  <c r="CF42" i="7"/>
  <c r="CX42" i="7"/>
  <c r="DS42" i="7"/>
  <c r="AD45" i="7"/>
  <c r="CP45" i="7"/>
  <c r="BQ50" i="7"/>
  <c r="CD14" i="7"/>
  <c r="BX16" i="7"/>
  <c r="BS20" i="7"/>
  <c r="AP24" i="7"/>
  <c r="BN29" i="7"/>
  <c r="AG13" i="7"/>
  <c r="CL14" i="7"/>
  <c r="CX16" i="7"/>
  <c r="BP18" i="7"/>
  <c r="BC14" i="7"/>
  <c r="BI15" i="7"/>
  <c r="AA16" i="7"/>
  <c r="AE18" i="7"/>
  <c r="BX18" i="7"/>
  <c r="DO18" i="7"/>
  <c r="AV20" i="7"/>
  <c r="BR25" i="7"/>
  <c r="X14" i="7"/>
  <c r="DH14" i="7"/>
  <c r="AK18" i="7"/>
  <c r="BZ18" i="7"/>
  <c r="Z20" i="7"/>
  <c r="CM20" i="7"/>
  <c r="CN22" i="7"/>
  <c r="AF24" i="7"/>
  <c r="BU24" i="7"/>
  <c r="Z25" i="7"/>
  <c r="CG25" i="7"/>
  <c r="DQ29" i="7"/>
  <c r="DK35" i="7"/>
  <c r="BT4" i="7"/>
  <c r="S10" i="7"/>
  <c r="CZ10" i="7"/>
  <c r="AA11" i="7"/>
  <c r="AA14" i="7"/>
  <c r="BP14" i="7"/>
  <c r="BH16" i="7"/>
  <c r="L18" i="7"/>
  <c r="AL18" i="7"/>
  <c r="BH18" i="7"/>
  <c r="CF18" i="7"/>
  <c r="CZ18" i="7"/>
  <c r="AB20" i="7"/>
  <c r="BI20" i="7"/>
  <c r="CV20" i="7"/>
  <c r="AV21" i="7"/>
  <c r="DB21" i="7"/>
  <c r="AH24" i="7"/>
  <c r="CC24" i="7"/>
  <c r="AO25" i="7"/>
  <c r="CT25" i="7"/>
  <c r="N26" i="7"/>
  <c r="L27" i="7"/>
  <c r="DK27" i="7"/>
  <c r="BA29" i="7"/>
  <c r="CH30" i="7"/>
  <c r="AC35" i="7"/>
  <c r="BH36" i="7"/>
  <c r="AD40" i="7"/>
  <c r="BN40" i="7"/>
  <c r="DK40" i="7"/>
  <c r="V42" i="7"/>
  <c r="AL42" i="7"/>
  <c r="BB42" i="7"/>
  <c r="BR42" i="7"/>
  <c r="CK42" i="7"/>
  <c r="CZ42" i="7"/>
  <c r="AS45" i="7"/>
  <c r="DI45" i="7"/>
  <c r="BV47" i="7"/>
  <c r="AS48" i="7"/>
  <c r="T50" i="7"/>
  <c r="CS50" i="7"/>
  <c r="AB18" i="7"/>
  <c r="CS14" i="7"/>
  <c r="AY18" i="7"/>
  <c r="CR18" i="7"/>
  <c r="N20" i="7"/>
  <c r="CD20" i="7"/>
  <c r="DQ20" i="7"/>
  <c r="BE23" i="7"/>
  <c r="O24" i="7"/>
  <c r="DB24" i="7"/>
  <c r="L25" i="7"/>
  <c r="CR29" i="7"/>
  <c r="CT10" i="7"/>
  <c r="BL14" i="7"/>
  <c r="AS16" i="7"/>
  <c r="K18" i="7"/>
  <c r="BE18" i="7"/>
  <c r="CY18" i="7"/>
  <c r="BE20" i="7"/>
  <c r="CZ27" i="7"/>
  <c r="AW29" i="7"/>
  <c r="BC30" i="7"/>
  <c r="J35" i="7"/>
  <c r="BC36" i="7"/>
  <c r="AA10" i="7"/>
  <c r="AG14" i="7"/>
  <c r="CB14" i="7"/>
  <c r="BQ16" i="7"/>
  <c r="T18" i="7"/>
  <c r="AN18" i="7"/>
  <c r="BL18" i="7"/>
  <c r="CH18" i="7"/>
  <c r="DC18" i="7"/>
  <c r="DY18" i="7"/>
  <c r="AD20" i="7"/>
  <c r="BQ20" i="7"/>
  <c r="CX20" i="7"/>
  <c r="BD21" i="7"/>
  <c r="DK21" i="7"/>
  <c r="AO24" i="7"/>
  <c r="CE24" i="7"/>
  <c r="AP25" i="7"/>
  <c r="CU25" i="7"/>
  <c r="AJ26" i="7"/>
  <c r="BJ29" i="7"/>
  <c r="CP30" i="7"/>
  <c r="AL35" i="7"/>
  <c r="BR36" i="7"/>
  <c r="AH40" i="7"/>
  <c r="BO40" i="7"/>
  <c r="AT45" i="7"/>
  <c r="AO3" i="7"/>
  <c r="DK3" i="7"/>
  <c r="CQ5" i="7"/>
  <c r="CR34" i="7"/>
  <c r="BE34" i="7"/>
  <c r="V34" i="7"/>
  <c r="DM34" i="7"/>
  <c r="BT34" i="7"/>
  <c r="AD34" i="7"/>
  <c r="DG34" i="7"/>
  <c r="BQ34" i="7"/>
  <c r="X34" i="7"/>
  <c r="DE34" i="7"/>
  <c r="BL34" i="7"/>
  <c r="K34" i="7"/>
  <c r="CH34" i="7"/>
  <c r="AR34" i="7"/>
  <c r="F34" i="7"/>
  <c r="F3" i="7"/>
  <c r="AA3" i="7"/>
  <c r="AT3" i="7"/>
  <c r="BM3" i="7"/>
  <c r="CL3" i="7"/>
  <c r="DM3" i="7"/>
  <c r="N5" i="7"/>
  <c r="DC5" i="7"/>
  <c r="S8" i="7"/>
  <c r="AD9" i="7"/>
  <c r="H34" i="7"/>
  <c r="CQ34" i="7"/>
  <c r="BJ37" i="7"/>
  <c r="AD39" i="7"/>
  <c r="BF39" i="7"/>
  <c r="CH39" i="7"/>
  <c r="DQ39" i="7"/>
  <c r="BE48" i="7"/>
  <c r="G3" i="7"/>
  <c r="AB3" i="7"/>
  <c r="AU3" i="7"/>
  <c r="BP3" i="7"/>
  <c r="CM3" i="7"/>
  <c r="DO3" i="7"/>
  <c r="O5" i="7"/>
  <c r="DG5" i="7"/>
  <c r="AE8" i="7"/>
  <c r="AE9" i="7"/>
  <c r="AC10" i="7"/>
  <c r="BP10" i="7"/>
  <c r="CX10" i="7"/>
  <c r="CU11" i="7"/>
  <c r="BZ11" i="7"/>
  <c r="AC11" i="7"/>
  <c r="AU11" i="7"/>
  <c r="CQ11" i="7"/>
  <c r="CM15" i="7"/>
  <c r="N16" i="7"/>
  <c r="BK16" i="7"/>
  <c r="T21" i="7"/>
  <c r="AU21" i="7"/>
  <c r="BY21" i="7"/>
  <c r="DA21" i="7"/>
  <c r="N25" i="7"/>
  <c r="AU25" i="7"/>
  <c r="BV25" i="7"/>
  <c r="CX25" i="7"/>
  <c r="CV27" i="7"/>
  <c r="BU27" i="7"/>
  <c r="AU27" i="7"/>
  <c r="Y27" i="7"/>
  <c r="CS27" i="7"/>
  <c r="BP27" i="7"/>
  <c r="AT27" i="7"/>
  <c r="O27" i="7"/>
  <c r="CM27" i="7"/>
  <c r="BN27" i="7"/>
  <c r="AP27" i="7"/>
  <c r="N27" i="7"/>
  <c r="DI27" i="7"/>
  <c r="CD27" i="7"/>
  <c r="BE27" i="7"/>
  <c r="AG27" i="7"/>
  <c r="G27" i="7"/>
  <c r="BD27" i="7"/>
  <c r="DB27" i="7"/>
  <c r="AJ30" i="7"/>
  <c r="CS30" i="7"/>
  <c r="AC31" i="7"/>
  <c r="CH31" i="7"/>
  <c r="J34" i="7"/>
  <c r="CW34" i="7"/>
  <c r="AC36" i="7"/>
  <c r="BI36" i="7"/>
  <c r="CS36" i="7"/>
  <c r="AG39" i="7"/>
  <c r="BI39" i="7"/>
  <c r="BK48" i="7"/>
  <c r="CI3" i="7"/>
  <c r="CC34" i="7"/>
  <c r="H3" i="7"/>
  <c r="BR3" i="7"/>
  <c r="BI8" i="7"/>
  <c r="CR37" i="7"/>
  <c r="CQ37" i="7"/>
  <c r="BI37" i="7"/>
  <c r="Z37" i="7"/>
  <c r="CI37" i="7"/>
  <c r="AX37" i="7"/>
  <c r="J37" i="7"/>
  <c r="CH37" i="7"/>
  <c r="AW37" i="7"/>
  <c r="I37" i="7"/>
  <c r="CF37" i="7"/>
  <c r="AR37" i="7"/>
  <c r="G37" i="7"/>
  <c r="DE37" i="7"/>
  <c r="BP37" i="7"/>
  <c r="AH37" i="7"/>
  <c r="DM39" i="7"/>
  <c r="DH39" i="7"/>
  <c r="CV39" i="7"/>
  <c r="CK39" i="7"/>
  <c r="BZ39" i="7"/>
  <c r="BO39" i="7"/>
  <c r="BE39" i="7"/>
  <c r="AT39" i="7"/>
  <c r="AJ39" i="7"/>
  <c r="Y39" i="7"/>
  <c r="K39" i="7"/>
  <c r="DO39" i="7"/>
  <c r="CZ39" i="7"/>
  <c r="CP39" i="7"/>
  <c r="CE39" i="7"/>
  <c r="BR39" i="7"/>
  <c r="BH39" i="7"/>
  <c r="AX39" i="7"/>
  <c r="AM39" i="7"/>
  <c r="AC39" i="7"/>
  <c r="S39" i="7"/>
  <c r="F39" i="7"/>
  <c r="DI39" i="7"/>
  <c r="CS39" i="7"/>
  <c r="CF39" i="7"/>
  <c r="BP39" i="7"/>
  <c r="BB39" i="7"/>
  <c r="AO39" i="7"/>
  <c r="AA39" i="7"/>
  <c r="I39" i="7"/>
  <c r="DY39" i="7"/>
  <c r="DE39" i="7"/>
  <c r="CR39" i="7"/>
  <c r="CB39" i="7"/>
  <c r="BN39" i="7"/>
  <c r="AZ39" i="7"/>
  <c r="AL39" i="7"/>
  <c r="W39" i="7"/>
  <c r="H39" i="7"/>
  <c r="DD39" i="7"/>
  <c r="CQ39" i="7"/>
  <c r="CA39" i="7"/>
  <c r="BM39" i="7"/>
  <c r="AY39" i="7"/>
  <c r="AK39" i="7"/>
  <c r="V39" i="7"/>
  <c r="G39" i="7"/>
  <c r="DS39" i="7"/>
  <c r="CY39" i="7"/>
  <c r="CI39" i="7"/>
  <c r="BV39" i="7"/>
  <c r="BG39" i="7"/>
  <c r="AS39" i="7"/>
  <c r="AE39" i="7"/>
  <c r="O39" i="7"/>
  <c r="BK39" i="7"/>
  <c r="CC48" i="7"/>
  <c r="BC3" i="7"/>
  <c r="CT3" i="7"/>
  <c r="BJ9" i="7"/>
  <c r="BX10" i="7"/>
  <c r="CM17" i="7"/>
  <c r="DA17" i="7"/>
  <c r="BO17" i="7"/>
  <c r="AQ34" i="7"/>
  <c r="DE36" i="7"/>
  <c r="CP36" i="7"/>
  <c r="CA36" i="7"/>
  <c r="BM36" i="7"/>
  <c r="AY36" i="7"/>
  <c r="AK36" i="7"/>
  <c r="W36" i="7"/>
  <c r="G36" i="7"/>
  <c r="DS36" i="7"/>
  <c r="CW36" i="7"/>
  <c r="CG36" i="7"/>
  <c r="BP36" i="7"/>
  <c r="AZ36" i="7"/>
  <c r="AI36" i="7"/>
  <c r="S36" i="7"/>
  <c r="DQ36" i="7"/>
  <c r="CV36" i="7"/>
  <c r="CF36" i="7"/>
  <c r="BN36" i="7"/>
  <c r="AX36" i="7"/>
  <c r="AH36" i="7"/>
  <c r="N36" i="7"/>
  <c r="DK36" i="7"/>
  <c r="CU36" i="7"/>
  <c r="CB36" i="7"/>
  <c r="BJ36" i="7"/>
  <c r="AU36" i="7"/>
  <c r="AE36" i="7"/>
  <c r="L36" i="7"/>
  <c r="DC36" i="7"/>
  <c r="CM36" i="7"/>
  <c r="BV36" i="7"/>
  <c r="BG36" i="7"/>
  <c r="AP36" i="7"/>
  <c r="Z36" i="7"/>
  <c r="H36" i="7"/>
  <c r="AO36" i="7"/>
  <c r="BS36" i="7"/>
  <c r="CZ36" i="7"/>
  <c r="T37" i="7"/>
  <c r="CV37" i="7"/>
  <c r="S38" i="7"/>
  <c r="J39" i="7"/>
  <c r="AP39" i="7"/>
  <c r="BQ39" i="7"/>
  <c r="CU39" i="7"/>
  <c r="F48" i="7"/>
  <c r="CD48" i="7"/>
  <c r="O3" i="7"/>
  <c r="AL3" i="7"/>
  <c r="BD3" i="7"/>
  <c r="BY3" i="7"/>
  <c r="AY5" i="7"/>
  <c r="BS9" i="7"/>
  <c r="J10" i="7"/>
  <c r="AS10" i="7"/>
  <c r="BY10" i="7"/>
  <c r="M11" i="7"/>
  <c r="BI11" i="7"/>
  <c r="DK11" i="7"/>
  <c r="DS13" i="7"/>
  <c r="U13" i="7"/>
  <c r="AF16" i="7"/>
  <c r="CO16" i="7"/>
  <c r="AA17" i="7"/>
  <c r="AD21" i="7"/>
  <c r="BE21" i="7"/>
  <c r="CI21" i="7"/>
  <c r="DO21" i="7"/>
  <c r="AC25" i="7"/>
  <c r="BE25" i="7"/>
  <c r="CH25" i="7"/>
  <c r="DK25" i="7"/>
  <c r="Z27" i="7"/>
  <c r="BZ27" i="7"/>
  <c r="AU31" i="7"/>
  <c r="DE31" i="7"/>
  <c r="AY34" i="7"/>
  <c r="J36" i="7"/>
  <c r="AQ36" i="7"/>
  <c r="BX36" i="7"/>
  <c r="DG36" i="7"/>
  <c r="Y37" i="7"/>
  <c r="CW37" i="7"/>
  <c r="AB38" i="7"/>
  <c r="L39" i="7"/>
  <c r="AQ39" i="7"/>
  <c r="BU39" i="7"/>
  <c r="CX39" i="7"/>
  <c r="S48" i="7"/>
  <c r="DC3" i="7"/>
  <c r="DE3" i="7"/>
  <c r="CK3" i="7"/>
  <c r="BO3" i="7"/>
  <c r="AV3" i="7"/>
  <c r="AE3" i="7"/>
  <c r="K3" i="7"/>
  <c r="BG3" i="7"/>
  <c r="DS9" i="7"/>
  <c r="AD3" i="7"/>
  <c r="DQ3" i="7"/>
  <c r="AE5" i="7"/>
  <c r="AQ9" i="7"/>
  <c r="AK34" i="7"/>
  <c r="BX37" i="7"/>
  <c r="AH39" i="7"/>
  <c r="DE48" i="7"/>
  <c r="CM48" i="7"/>
  <c r="BQ48" i="7"/>
  <c r="AY48" i="7"/>
  <c r="AG48" i="7"/>
  <c r="L48" i="7"/>
  <c r="DD48" i="7"/>
  <c r="CK48" i="7"/>
  <c r="BO48" i="7"/>
  <c r="AW48" i="7"/>
  <c r="AF48" i="7"/>
  <c r="J48" i="7"/>
  <c r="CY48" i="7"/>
  <c r="CF48" i="7"/>
  <c r="BM48" i="7"/>
  <c r="AU48" i="7"/>
  <c r="AA48" i="7"/>
  <c r="G48" i="7"/>
  <c r="DO48" i="7"/>
  <c r="CT48" i="7"/>
  <c r="BZ48" i="7"/>
  <c r="BF48" i="7"/>
  <c r="AO48" i="7"/>
  <c r="U48" i="7"/>
  <c r="DM48" i="7"/>
  <c r="BX48" i="7"/>
  <c r="AK48" i="7"/>
  <c r="DK48" i="7"/>
  <c r="BV48" i="7"/>
  <c r="AH48" i="7"/>
  <c r="CW48" i="7"/>
  <c r="BL48" i="7"/>
  <c r="Z48" i="7"/>
  <c r="CO48" i="7"/>
  <c r="BA48" i="7"/>
  <c r="M48" i="7"/>
  <c r="I3" i="7"/>
  <c r="CY10" i="7"/>
  <c r="CO10" i="7"/>
  <c r="BH10" i="7"/>
  <c r="AF10" i="7"/>
  <c r="DC10" i="7"/>
  <c r="AM3" i="7"/>
  <c r="BE3" i="7"/>
  <c r="CA3" i="7"/>
  <c r="CZ3" i="7"/>
  <c r="K10" i="7"/>
  <c r="AU10" i="7"/>
  <c r="CD10" i="7"/>
  <c r="DM10" i="7"/>
  <c r="AG16" i="7"/>
  <c r="AG21" i="7"/>
  <c r="BI21" i="7"/>
  <c r="AG25" i="7"/>
  <c r="BH25" i="7"/>
  <c r="CK25" i="7"/>
  <c r="AE27" i="7"/>
  <c r="CC27" i="7"/>
  <c r="CW30" i="7"/>
  <c r="DG30" i="7"/>
  <c r="BU30" i="7"/>
  <c r="AT30" i="7"/>
  <c r="L30" i="7"/>
  <c r="DB30" i="7"/>
  <c r="BT30" i="7"/>
  <c r="AO30" i="7"/>
  <c r="J30" i="7"/>
  <c r="CX30" i="7"/>
  <c r="BP30" i="7"/>
  <c r="AK30" i="7"/>
  <c r="F30" i="7"/>
  <c r="CK30" i="7"/>
  <c r="BD30" i="7"/>
  <c r="AB30" i="7"/>
  <c r="BM30" i="7"/>
  <c r="AZ34" i="7"/>
  <c r="K36" i="7"/>
  <c r="AT36" i="7"/>
  <c r="BZ36" i="7"/>
  <c r="DI36" i="7"/>
  <c r="AK37" i="7"/>
  <c r="DI37" i="7"/>
  <c r="T39" i="7"/>
  <c r="AU39" i="7"/>
  <c r="BX39" i="7"/>
  <c r="DA39" i="7"/>
  <c r="CU43" i="7"/>
  <c r="BH43" i="7"/>
  <c r="Y43" i="7"/>
  <c r="CP43" i="7"/>
  <c r="BE43" i="7"/>
  <c r="N43" i="7"/>
  <c r="CN43" i="7"/>
  <c r="AW43" i="7"/>
  <c r="L43" i="7"/>
  <c r="DS43" i="7"/>
  <c r="BY43" i="7"/>
  <c r="AG43" i="7"/>
  <c r="DG43" i="7"/>
  <c r="AD43" i="7"/>
  <c r="CV43" i="7"/>
  <c r="AB43" i="7"/>
  <c r="CD43" i="7"/>
  <c r="H43" i="7"/>
  <c r="BM43" i="7"/>
  <c r="Y48" i="7"/>
  <c r="CV48" i="7"/>
  <c r="W3" i="7"/>
  <c r="CT5" i="7"/>
  <c r="BE5" i="7"/>
  <c r="BY9" i="7"/>
  <c r="AR9" i="7"/>
  <c r="AX3" i="7"/>
  <c r="CO3" i="7"/>
  <c r="AS38" i="7"/>
  <c r="BR38" i="7"/>
  <c r="CR38" i="7"/>
  <c r="BZ38" i="7"/>
  <c r="BP38" i="7"/>
  <c r="U38" i="7"/>
  <c r="CO39" i="7"/>
  <c r="AF3" i="7"/>
  <c r="BX3" i="7"/>
  <c r="AR5" i="7"/>
  <c r="BU8" i="7"/>
  <c r="AM10" i="7"/>
  <c r="S3" i="7"/>
  <c r="V3" i="7"/>
  <c r="AN3" i="7"/>
  <c r="BF3" i="7"/>
  <c r="CB3" i="7"/>
  <c r="DA3" i="7"/>
  <c r="CA5" i="7"/>
  <c r="DB9" i="7"/>
  <c r="N10" i="7"/>
  <c r="AV10" i="7"/>
  <c r="CI10" i="7"/>
  <c r="AD15" i="7"/>
  <c r="DS16" i="7"/>
  <c r="CD16" i="7"/>
  <c r="BD16" i="7"/>
  <c r="DK16" i="7"/>
  <c r="CC16" i="7"/>
  <c r="AZ16" i="7"/>
  <c r="DE16" i="7"/>
  <c r="CA16" i="7"/>
  <c r="AT16" i="7"/>
  <c r="S16" i="7"/>
  <c r="CQ16" i="7"/>
  <c r="BM16" i="7"/>
  <c r="AI16" i="7"/>
  <c r="J16" i="7"/>
  <c r="AQ16" i="7"/>
  <c r="CT16" i="7"/>
  <c r="DC21" i="7"/>
  <c r="DI21" i="7"/>
  <c r="CT21" i="7"/>
  <c r="CE21" i="7"/>
  <c r="BP21" i="7"/>
  <c r="BC21" i="7"/>
  <c r="AN21" i="7"/>
  <c r="Y21" i="7"/>
  <c r="J21" i="7"/>
  <c r="DY21" i="7"/>
  <c r="DG21" i="7"/>
  <c r="CR21" i="7"/>
  <c r="CB21" i="7"/>
  <c r="BN21" i="7"/>
  <c r="AZ21" i="7"/>
  <c r="AL21" i="7"/>
  <c r="X21" i="7"/>
  <c r="G21" i="7"/>
  <c r="DD21" i="7"/>
  <c r="CQ21" i="7"/>
  <c r="CA21" i="7"/>
  <c r="BM21" i="7"/>
  <c r="AX21" i="7"/>
  <c r="AK21" i="7"/>
  <c r="W21" i="7"/>
  <c r="F21" i="7"/>
  <c r="DQ21" i="7"/>
  <c r="CY21" i="7"/>
  <c r="CK21" i="7"/>
  <c r="BU21" i="7"/>
  <c r="BF21" i="7"/>
  <c r="AT21" i="7"/>
  <c r="AE21" i="7"/>
  <c r="M21" i="7"/>
  <c r="AH21" i="7"/>
  <c r="BJ21" i="7"/>
  <c r="CM21" i="7"/>
  <c r="DB25" i="7"/>
  <c r="DG25" i="7"/>
  <c r="CS25" i="7"/>
  <c r="CC25" i="7"/>
  <c r="BN25" i="7"/>
  <c r="BA25" i="7"/>
  <c r="AM25" i="7"/>
  <c r="Y25" i="7"/>
  <c r="J25" i="7"/>
  <c r="DD25" i="7"/>
  <c r="CR25" i="7"/>
  <c r="CA25" i="7"/>
  <c r="BM25" i="7"/>
  <c r="AZ25" i="7"/>
  <c r="AL25" i="7"/>
  <c r="X25" i="7"/>
  <c r="I25" i="7"/>
  <c r="DC25" i="7"/>
  <c r="CM25" i="7"/>
  <c r="BZ25" i="7"/>
  <c r="BK25" i="7"/>
  <c r="AW25" i="7"/>
  <c r="AJ25" i="7"/>
  <c r="W25" i="7"/>
  <c r="G25" i="7"/>
  <c r="DM25" i="7"/>
  <c r="CV25" i="7"/>
  <c r="CI25" i="7"/>
  <c r="BT25" i="7"/>
  <c r="BF25" i="7"/>
  <c r="AS25" i="7"/>
  <c r="AE25" i="7"/>
  <c r="M25" i="7"/>
  <c r="AH25" i="7"/>
  <c r="BJ25" i="7"/>
  <c r="CL25" i="7"/>
  <c r="AJ27" i="7"/>
  <c r="CG27" i="7"/>
  <c r="N30" i="7"/>
  <c r="CA30" i="7"/>
  <c r="DI31" i="7"/>
  <c r="DC31" i="7"/>
  <c r="CC31" i="7"/>
  <c r="BA31" i="7"/>
  <c r="AD31" i="7"/>
  <c r="F31" i="7"/>
  <c r="CX31" i="7"/>
  <c r="BQ31" i="7"/>
  <c r="AQ31" i="7"/>
  <c r="L31" i="7"/>
  <c r="CR31" i="7"/>
  <c r="BP31" i="7"/>
  <c r="AM31" i="7"/>
  <c r="K31" i="7"/>
  <c r="CP31" i="7"/>
  <c r="BJ31" i="7"/>
  <c r="AK31" i="7"/>
  <c r="I31" i="7"/>
  <c r="DM31" i="7"/>
  <c r="CF31" i="7"/>
  <c r="AY31" i="7"/>
  <c r="X31" i="7"/>
  <c r="BG31" i="7"/>
  <c r="CA34" i="7"/>
  <c r="V36" i="7"/>
  <c r="BA36" i="7"/>
  <c r="CI36" i="7"/>
  <c r="AL37" i="7"/>
  <c r="DK37" i="7"/>
  <c r="CY38" i="7"/>
  <c r="U39" i="7"/>
  <c r="AW39" i="7"/>
  <c r="BY39" i="7"/>
  <c r="DC39" i="7"/>
  <c r="AQ48" i="7"/>
  <c r="AL14" i="7"/>
  <c r="BZ14" i="7"/>
  <c r="X18" i="7"/>
  <c r="AQ18" i="7"/>
  <c r="BI18" i="7"/>
  <c r="CB18" i="7"/>
  <c r="BC19" i="7"/>
  <c r="AJ20" i="7"/>
  <c r="BJ20" i="7"/>
  <c r="N24" i="7"/>
  <c r="AL24" i="7"/>
  <c r="BH24" i="7"/>
  <c r="CD24" i="7"/>
  <c r="CY24" i="7"/>
  <c r="BC26" i="7"/>
  <c r="X28" i="7"/>
  <c r="BS28" i="7"/>
  <c r="AC29" i="7"/>
  <c r="BH29" i="7"/>
  <c r="CN29" i="7"/>
  <c r="BE32" i="7"/>
  <c r="I40" i="7"/>
  <c r="AC40" i="7"/>
  <c r="AT40" i="7"/>
  <c r="BK40" i="7"/>
  <c r="CF40" i="7"/>
  <c r="DG40" i="7"/>
  <c r="N41" i="7"/>
  <c r="AR41" i="7"/>
  <c r="BU41" i="7"/>
  <c r="CX41" i="7"/>
  <c r="AM51" i="7"/>
  <c r="CZ19" i="7"/>
  <c r="DY23" i="7"/>
  <c r="Y24" i="7"/>
  <c r="AT24" i="7"/>
  <c r="BP24" i="7"/>
  <c r="CL24" i="7"/>
  <c r="DK24" i="7"/>
  <c r="DI26" i="7"/>
  <c r="AO28" i="7"/>
  <c r="CL28" i="7"/>
  <c r="AJ29" i="7"/>
  <c r="BP29" i="7"/>
  <c r="CX29" i="7"/>
  <c r="S40" i="7"/>
  <c r="AJ40" i="7"/>
  <c r="AY40" i="7"/>
  <c r="BR40" i="7"/>
  <c r="CP40" i="7"/>
  <c r="AC41" i="7"/>
  <c r="BE41" i="7"/>
  <c r="CG41" i="7"/>
  <c r="DO41" i="7"/>
  <c r="DY51" i="7"/>
  <c r="CW51" i="7"/>
  <c r="BK51" i="7"/>
  <c r="AE51" i="7"/>
  <c r="CO51" i="7"/>
  <c r="BH51" i="7"/>
  <c r="AA51" i="7"/>
  <c r="CM51" i="7"/>
  <c r="BD51" i="7"/>
  <c r="W51" i="7"/>
  <c r="DM51" i="7"/>
  <c r="BY51" i="7"/>
  <c r="AN51" i="7"/>
  <c r="H51" i="7"/>
  <c r="BP51" i="7"/>
  <c r="DG19" i="7"/>
  <c r="AB24" i="7"/>
  <c r="AW24" i="7"/>
  <c r="BR24" i="7"/>
  <c r="CN24" i="7"/>
  <c r="DO24" i="7"/>
  <c r="AT28" i="7"/>
  <c r="CU28" i="7"/>
  <c r="J29" i="7"/>
  <c r="AR29" i="7"/>
  <c r="BZ29" i="7"/>
  <c r="DG29" i="7"/>
  <c r="DS32" i="7"/>
  <c r="M32" i="7"/>
  <c r="CX32" i="7"/>
  <c r="U40" i="7"/>
  <c r="AK40" i="7"/>
  <c r="BB40" i="7"/>
  <c r="BU40" i="7"/>
  <c r="AD41" i="7"/>
  <c r="BF41" i="7"/>
  <c r="CH41" i="7"/>
  <c r="F51" i="7"/>
  <c r="BU51" i="7"/>
  <c r="AC23" i="7"/>
  <c r="F24" i="7"/>
  <c r="AE24" i="7"/>
  <c r="AZ24" i="7"/>
  <c r="BT24" i="7"/>
  <c r="CS24" i="7"/>
  <c r="DQ24" i="7"/>
  <c r="AZ28" i="7"/>
  <c r="CV28" i="7"/>
  <c r="K29" i="7"/>
  <c r="AS29" i="7"/>
  <c r="CA29" i="7"/>
  <c r="DH29" i="7"/>
  <c r="K32" i="7"/>
  <c r="DD40" i="7"/>
  <c r="DS40" i="7"/>
  <c r="CZ40" i="7"/>
  <c r="CM40" i="7"/>
  <c r="BY40" i="7"/>
  <c r="BM40" i="7"/>
  <c r="AZ40" i="7"/>
  <c r="AM40" i="7"/>
  <c r="AB40" i="7"/>
  <c r="L40" i="7"/>
  <c r="DQ40" i="7"/>
  <c r="CX40" i="7"/>
  <c r="CK40" i="7"/>
  <c r="DO40" i="7"/>
  <c r="CV40" i="7"/>
  <c r="CH40" i="7"/>
  <c r="BV40" i="7"/>
  <c r="BI40" i="7"/>
  <c r="DE40" i="7"/>
  <c r="CQ40" i="7"/>
  <c r="CE40" i="7"/>
  <c r="BQ40" i="7"/>
  <c r="BE40" i="7"/>
  <c r="AS40" i="7"/>
  <c r="AG40" i="7"/>
  <c r="T40" i="7"/>
  <c r="F40" i="7"/>
  <c r="W40" i="7"/>
  <c r="AL40" i="7"/>
  <c r="BC40" i="7"/>
  <c r="BX40" i="7"/>
  <c r="CU40" i="7"/>
  <c r="DG41" i="7"/>
  <c r="DI41" i="7"/>
  <c r="CS41" i="7"/>
  <c r="CF41" i="7"/>
  <c r="BP41" i="7"/>
  <c r="BB41" i="7"/>
  <c r="AO41" i="7"/>
  <c r="AA41" i="7"/>
  <c r="I41" i="7"/>
  <c r="DY41" i="7"/>
  <c r="DH41" i="7"/>
  <c r="CR41" i="7"/>
  <c r="CE41" i="7"/>
  <c r="BO41" i="7"/>
  <c r="BA41" i="7"/>
  <c r="AM41" i="7"/>
  <c r="Z41" i="7"/>
  <c r="H41" i="7"/>
  <c r="DD41" i="7"/>
  <c r="CQ41" i="7"/>
  <c r="CA41" i="7"/>
  <c r="BM41" i="7"/>
  <c r="AY41" i="7"/>
  <c r="AK41" i="7"/>
  <c r="V41" i="7"/>
  <c r="G41" i="7"/>
  <c r="DS41" i="7"/>
  <c r="CZ41" i="7"/>
  <c r="CK41" i="7"/>
  <c r="BV41" i="7"/>
  <c r="BH41" i="7"/>
  <c r="AT41" i="7"/>
  <c r="AE41" i="7"/>
  <c r="S41" i="7"/>
  <c r="AG41" i="7"/>
  <c r="BJ41" i="7"/>
  <c r="CN41" i="7"/>
  <c r="L51" i="7"/>
  <c r="CB51" i="7"/>
  <c r="H42" i="7"/>
  <c r="W42" i="7"/>
  <c r="AJ42" i="7"/>
  <c r="AU42" i="7"/>
  <c r="BH42" i="7"/>
  <c r="BU42" i="7"/>
  <c r="CG42" i="7"/>
  <c r="CU42" i="7"/>
  <c r="DH42" i="7"/>
  <c r="DY42" i="7"/>
  <c r="CO44" i="7"/>
  <c r="I45" i="7"/>
  <c r="BF45" i="7"/>
  <c r="DH45" i="7"/>
  <c r="S46" i="7"/>
  <c r="AI47" i="7"/>
  <c r="CH47" i="7"/>
  <c r="AK49" i="7"/>
  <c r="X50" i="7"/>
  <c r="BH50" i="7"/>
  <c r="CW50" i="7"/>
  <c r="AY47" i="7"/>
  <c r="CW47" i="7"/>
  <c r="BP49" i="7"/>
  <c r="DY49" i="7"/>
  <c r="AL50" i="7"/>
  <c r="BS50" i="7"/>
  <c r="CD49" i="7"/>
  <c r="AQ50" i="7"/>
  <c r="CB50" i="7"/>
  <c r="S42" i="7"/>
  <c r="AE42" i="7"/>
  <c r="AQ42" i="7"/>
  <c r="BC42" i="7"/>
  <c r="BP42" i="7"/>
  <c r="CB42" i="7"/>
  <c r="CP42" i="7"/>
  <c r="DC42" i="7"/>
  <c r="AK45" i="7"/>
  <c r="CH45" i="7"/>
  <c r="CU46" i="7"/>
  <c r="S47" i="7"/>
  <c r="BM47" i="7"/>
  <c r="F49" i="7"/>
  <c r="K50" i="7"/>
  <c r="AR50" i="7"/>
  <c r="CD50" i="7"/>
  <c r="BQ17" i="7"/>
  <c r="AK22" i="7"/>
  <c r="AT26" i="7"/>
  <c r="AI33" i="7"/>
  <c r="AJ17" i="7"/>
  <c r="BT17" i="7"/>
  <c r="DH17" i="7"/>
  <c r="CY19" i="7"/>
  <c r="CC19" i="7"/>
  <c r="BG19" i="7"/>
  <c r="AN19" i="7"/>
  <c r="U19" i="7"/>
  <c r="DM19" i="7"/>
  <c r="CP19" i="7"/>
  <c r="BT19" i="7"/>
  <c r="BB19" i="7"/>
  <c r="AI19" i="7"/>
  <c r="M19" i="7"/>
  <c r="CR19" i="7"/>
  <c r="BO19" i="7"/>
  <c r="AR19" i="7"/>
  <c r="N19" i="7"/>
  <c r="CO19" i="7"/>
  <c r="BM19" i="7"/>
  <c r="AM19" i="7"/>
  <c r="H19" i="7"/>
  <c r="DO19" i="7"/>
  <c r="CM19" i="7"/>
  <c r="BL19" i="7"/>
  <c r="AJ19" i="7"/>
  <c r="F19" i="7"/>
  <c r="DA19" i="7"/>
  <c r="BZ19" i="7"/>
  <c r="BA19" i="7"/>
  <c r="AB19" i="7"/>
  <c r="BE19" i="7"/>
  <c r="DH19" i="7"/>
  <c r="AX22" i="7"/>
  <c r="DH22" i="7"/>
  <c r="F26" i="7"/>
  <c r="AU26" i="7"/>
  <c r="AJ33" i="7"/>
  <c r="CC33" i="7"/>
  <c r="DM38" i="7"/>
  <c r="DS38" i="7"/>
  <c r="DD38" i="7"/>
  <c r="CU38" i="7"/>
  <c r="CK38" i="7"/>
  <c r="CA38" i="7"/>
  <c r="BQ38" i="7"/>
  <c r="BH38" i="7"/>
  <c r="AY38" i="7"/>
  <c r="AP38" i="7"/>
  <c r="AG38" i="7"/>
  <c r="W38" i="7"/>
  <c r="K38" i="7"/>
  <c r="DK38" i="7"/>
  <c r="CZ38" i="7"/>
  <c r="CQ38" i="7"/>
  <c r="CG38" i="7"/>
  <c r="BX38" i="7"/>
  <c r="BN38" i="7"/>
  <c r="BE38" i="7"/>
  <c r="AU38" i="7"/>
  <c r="AL38" i="7"/>
  <c r="AC38" i="7"/>
  <c r="T38" i="7"/>
  <c r="H38" i="7"/>
  <c r="DI38" i="7"/>
  <c r="CW38" i="7"/>
  <c r="CI38" i="7"/>
  <c r="BV38" i="7"/>
  <c r="BJ38" i="7"/>
  <c r="AX38" i="7"/>
  <c r="AK38" i="7"/>
  <c r="Z38" i="7"/>
  <c r="J38" i="7"/>
  <c r="DH38" i="7"/>
  <c r="CV38" i="7"/>
  <c r="CH38" i="7"/>
  <c r="BU38" i="7"/>
  <c r="BI38" i="7"/>
  <c r="AW38" i="7"/>
  <c r="AJ38" i="7"/>
  <c r="Y38" i="7"/>
  <c r="I38" i="7"/>
  <c r="DY38" i="7"/>
  <c r="DG38" i="7"/>
  <c r="CS38" i="7"/>
  <c r="CF38" i="7"/>
  <c r="BS38" i="7"/>
  <c r="BG38" i="7"/>
  <c r="AT38" i="7"/>
  <c r="AI38" i="7"/>
  <c r="V38" i="7"/>
  <c r="G38" i="7"/>
  <c r="DA38" i="7"/>
  <c r="CO38" i="7"/>
  <c r="CB38" i="7"/>
  <c r="BO38" i="7"/>
  <c r="BB38" i="7"/>
  <c r="AQ38" i="7"/>
  <c r="AD38" i="7"/>
  <c r="O38" i="7"/>
  <c r="DQ38" i="7"/>
  <c r="CN38" i="7"/>
  <c r="BM38" i="7"/>
  <c r="AO38" i="7"/>
  <c r="N38" i="7"/>
  <c r="DO38" i="7"/>
  <c r="CM38" i="7"/>
  <c r="BK38" i="7"/>
  <c r="AM38" i="7"/>
  <c r="L38" i="7"/>
  <c r="DE38" i="7"/>
  <c r="CE38" i="7"/>
  <c r="BF38" i="7"/>
  <c r="AH38" i="7"/>
  <c r="F38" i="7"/>
  <c r="CX38" i="7"/>
  <c r="BY38" i="7"/>
  <c r="AZ38" i="7"/>
  <c r="AA38" i="7"/>
  <c r="BC38" i="7"/>
  <c r="DC38" i="7"/>
  <c r="AF17" i="7"/>
  <c r="DC17" i="7"/>
  <c r="CR22" i="7"/>
  <c r="DO26" i="7"/>
  <c r="CX26" i="7"/>
  <c r="CI26" i="7"/>
  <c r="BT26" i="7"/>
  <c r="BE26" i="7"/>
  <c r="AS26" i="7"/>
  <c r="AD26" i="7"/>
  <c r="L26" i="7"/>
  <c r="DY26" i="7"/>
  <c r="DH26" i="7"/>
  <c r="CR26" i="7"/>
  <c r="CB26" i="7"/>
  <c r="BN26" i="7"/>
  <c r="AZ26" i="7"/>
  <c r="AL26" i="7"/>
  <c r="X26" i="7"/>
  <c r="G26" i="7"/>
  <c r="CU26" i="7"/>
  <c r="CA26" i="7"/>
  <c r="BI26" i="7"/>
  <c r="AO26" i="7"/>
  <c r="W26" i="7"/>
  <c r="DQ26" i="7"/>
  <c r="CT26" i="7"/>
  <c r="BZ26" i="7"/>
  <c r="BF26" i="7"/>
  <c r="AN26" i="7"/>
  <c r="U26" i="7"/>
  <c r="DK26" i="7"/>
  <c r="CQ26" i="7"/>
  <c r="BY26" i="7"/>
  <c r="BD26" i="7"/>
  <c r="AK26" i="7"/>
  <c r="T26" i="7"/>
  <c r="DB26" i="7"/>
  <c r="CK26" i="7"/>
  <c r="BP26" i="7"/>
  <c r="AV26" i="7"/>
  <c r="AE26" i="7"/>
  <c r="J26" i="7"/>
  <c r="CE26" i="7"/>
  <c r="BZ33" i="7"/>
  <c r="Y5" i="7"/>
  <c r="BA5" i="7"/>
  <c r="CG5" i="7"/>
  <c r="DH5" i="7"/>
  <c r="DE4" i="7"/>
  <c r="CE4" i="7"/>
  <c r="BE4" i="7"/>
  <c r="AH4" i="7"/>
  <c r="F4" i="7"/>
  <c r="DY4" i="7"/>
  <c r="CZ4" i="7"/>
  <c r="BY4" i="7"/>
  <c r="BB4" i="7"/>
  <c r="AB4" i="7"/>
  <c r="CO4" i="7"/>
  <c r="BN4" i="7"/>
  <c r="AQ4" i="7"/>
  <c r="O4" i="7"/>
  <c r="AT4" i="7"/>
  <c r="CF4" i="7"/>
  <c r="AA5" i="7"/>
  <c r="BB5" i="7"/>
  <c r="CH5" i="7"/>
  <c r="DS5" i="7"/>
  <c r="T7" i="7"/>
  <c r="DA7" i="7"/>
  <c r="BJ7" i="7"/>
  <c r="DB8" i="7"/>
  <c r="CZ8" i="7"/>
  <c r="AU8" i="7"/>
  <c r="CY8" i="7"/>
  <c r="CM8" i="7"/>
  <c r="AF8" i="7"/>
  <c r="BT8" i="7"/>
  <c r="N8" i="7"/>
  <c r="DS8" i="7"/>
  <c r="AQ17" i="7"/>
  <c r="CC17" i="7"/>
  <c r="S19" i="7"/>
  <c r="BS19" i="7"/>
  <c r="AZ22" i="7"/>
  <c r="DI22" i="7"/>
  <c r="K26" i="7"/>
  <c r="AX26" i="7"/>
  <c r="CL26" i="7"/>
  <c r="AV33" i="7"/>
  <c r="DQ44" i="7"/>
  <c r="DB44" i="7"/>
  <c r="CQ44" i="7"/>
  <c r="CF44" i="7"/>
  <c r="BU44" i="7"/>
  <c r="BI44" i="7"/>
  <c r="AY44" i="7"/>
  <c r="AO44" i="7"/>
  <c r="AD44" i="7"/>
  <c r="T44" i="7"/>
  <c r="G44" i="7"/>
  <c r="DH44" i="7"/>
  <c r="CV44" i="7"/>
  <c r="CL44" i="7"/>
  <c r="BZ44" i="7"/>
  <c r="BO44" i="7"/>
  <c r="BE44" i="7"/>
  <c r="AT44" i="7"/>
  <c r="AJ44" i="7"/>
  <c r="Y44" i="7"/>
  <c r="K44" i="7"/>
  <c r="DI44" i="7"/>
  <c r="CT44" i="7"/>
  <c r="CE44" i="7"/>
  <c r="BP44" i="7"/>
  <c r="BB44" i="7"/>
  <c r="AN44" i="7"/>
  <c r="AA44" i="7"/>
  <c r="DE44" i="7"/>
  <c r="CR44" i="7"/>
  <c r="CC44" i="7"/>
  <c r="BN44" i="7"/>
  <c r="AZ44" i="7"/>
  <c r="AL44" i="7"/>
  <c r="X44" i="7"/>
  <c r="H44" i="7"/>
  <c r="DD44" i="7"/>
  <c r="CP44" i="7"/>
  <c r="CA44" i="7"/>
  <c r="BM44" i="7"/>
  <c r="AX44" i="7"/>
  <c r="AK44" i="7"/>
  <c r="V44" i="7"/>
  <c r="F44" i="7"/>
  <c r="DS44" i="7"/>
  <c r="CY44" i="7"/>
  <c r="CI44" i="7"/>
  <c r="BV44" i="7"/>
  <c r="BG44" i="7"/>
  <c r="AS44" i="7"/>
  <c r="AF44" i="7"/>
  <c r="O44" i="7"/>
  <c r="DO44" i="7"/>
  <c r="CH44" i="7"/>
  <c r="BF44" i="7"/>
  <c r="AC44" i="7"/>
  <c r="DM44" i="7"/>
  <c r="CG44" i="7"/>
  <c r="BD44" i="7"/>
  <c r="AB44" i="7"/>
  <c r="DC44" i="7"/>
  <c r="BY44" i="7"/>
  <c r="AW44" i="7"/>
  <c r="U44" i="7"/>
  <c r="CU44" i="7"/>
  <c r="BQ44" i="7"/>
  <c r="AP44" i="7"/>
  <c r="J44" i="7"/>
  <c r="CM44" i="7"/>
  <c r="AG44" i="7"/>
  <c r="BX44" i="7"/>
  <c r="S44" i="7"/>
  <c r="BR44" i="7"/>
  <c r="M44" i="7"/>
  <c r="CZ44" i="7"/>
  <c r="AV44" i="7"/>
  <c r="AW17" i="7"/>
  <c r="CI17" i="7"/>
  <c r="DE33" i="7"/>
  <c r="CP33" i="7"/>
  <c r="CA33" i="7"/>
  <c r="BL33" i="7"/>
  <c r="AY33" i="7"/>
  <c r="AK33" i="7"/>
  <c r="X33" i="7"/>
  <c r="F33" i="7"/>
  <c r="DH33" i="7"/>
  <c r="CO33" i="7"/>
  <c r="BX33" i="7"/>
  <c r="BH33" i="7"/>
  <c r="AQ33" i="7"/>
  <c r="AB33" i="7"/>
  <c r="J33" i="7"/>
  <c r="CY33" i="7"/>
  <c r="CH33" i="7"/>
  <c r="BR33" i="7"/>
  <c r="BA33" i="7"/>
  <c r="AL33" i="7"/>
  <c r="U33" i="7"/>
  <c r="DI33" i="7"/>
  <c r="CL33" i="7"/>
  <c r="BO33" i="7"/>
  <c r="AT33" i="7"/>
  <c r="Y33" i="7"/>
  <c r="DB33" i="7"/>
  <c r="CG33" i="7"/>
  <c r="BJ33" i="7"/>
  <c r="AO33" i="7"/>
  <c r="S33" i="7"/>
  <c r="CZ33" i="7"/>
  <c r="CF33" i="7"/>
  <c r="BI33" i="7"/>
  <c r="AN33" i="7"/>
  <c r="N33" i="7"/>
  <c r="DS33" i="7"/>
  <c r="CT33" i="7"/>
  <c r="BU33" i="7"/>
  <c r="AZ33" i="7"/>
  <c r="AD33" i="7"/>
  <c r="H33" i="7"/>
  <c r="AW33" i="7"/>
  <c r="AI5" i="7"/>
  <c r="L17" i="7"/>
  <c r="CL17" i="7"/>
  <c r="G22" i="7"/>
  <c r="BM22" i="7"/>
  <c r="Z26" i="7"/>
  <c r="BK26" i="7"/>
  <c r="K33" i="7"/>
  <c r="BD33" i="7"/>
  <c r="CW33" i="7"/>
  <c r="T4" i="7"/>
  <c r="BF4" i="7"/>
  <c r="CS4" i="7"/>
  <c r="K5" i="7"/>
  <c r="AJ5" i="7"/>
  <c r="BO5" i="7"/>
  <c r="BZ7" i="7"/>
  <c r="AR8" i="7"/>
  <c r="AD11" i="7"/>
  <c r="BJ11" i="7"/>
  <c r="M17" i="7"/>
  <c r="BA17" i="7"/>
  <c r="AD19" i="7"/>
  <c r="CG19" i="7"/>
  <c r="DY19" i="7"/>
  <c r="W22" i="7"/>
  <c r="AB26" i="7"/>
  <c r="BM26" i="7"/>
  <c r="DA26" i="7"/>
  <c r="M33" i="7"/>
  <c r="BG33" i="7"/>
  <c r="CX33" i="7"/>
  <c r="AE38" i="7"/>
  <c r="CD38" i="7"/>
  <c r="AQ44" i="7"/>
  <c r="DM17" i="7"/>
  <c r="CR17" i="7"/>
  <c r="CA17" i="7"/>
  <c r="BJ17" i="7"/>
  <c r="AR17" i="7"/>
  <c r="AD17" i="7"/>
  <c r="K17" i="7"/>
  <c r="CW17" i="7"/>
  <c r="CB17" i="7"/>
  <c r="BI17" i="7"/>
  <c r="AO17" i="7"/>
  <c r="X17" i="7"/>
  <c r="DS17" i="7"/>
  <c r="CU17" i="7"/>
  <c r="BZ17" i="7"/>
  <c r="BE17" i="7"/>
  <c r="AN17" i="7"/>
  <c r="U17" i="7"/>
  <c r="DO17" i="7"/>
  <c r="CO17" i="7"/>
  <c r="BY17" i="7"/>
  <c r="BB17" i="7"/>
  <c r="AM17" i="7"/>
  <c r="N17" i="7"/>
  <c r="DB17" i="7"/>
  <c r="CK17" i="7"/>
  <c r="BP17" i="7"/>
  <c r="AY17" i="7"/>
  <c r="AE17" i="7"/>
  <c r="J17" i="7"/>
  <c r="DO22" i="7"/>
  <c r="DY22" i="7"/>
  <c r="DA22" i="7"/>
  <c r="CA22" i="7"/>
  <c r="BC22" i="7"/>
  <c r="AJ22" i="7"/>
  <c r="K22" i="7"/>
  <c r="CQ22" i="7"/>
  <c r="BP22" i="7"/>
  <c r="AV22" i="7"/>
  <c r="Z22" i="7"/>
  <c r="F22" i="7"/>
  <c r="DD22" i="7"/>
  <c r="BZ22" i="7"/>
  <c r="AU22" i="7"/>
  <c r="V22" i="7"/>
  <c r="DB22" i="7"/>
  <c r="BY22" i="7"/>
  <c r="AN22" i="7"/>
  <c r="M22" i="7"/>
  <c r="CT22" i="7"/>
  <c r="BN22" i="7"/>
  <c r="AL22" i="7"/>
  <c r="J22" i="7"/>
  <c r="CL22" i="7"/>
  <c r="BI22" i="7"/>
  <c r="AB22" i="7"/>
  <c r="BK22" i="7"/>
  <c r="CR33" i="7"/>
  <c r="CU5" i="7"/>
  <c r="CD5" i="7"/>
  <c r="BK5" i="7"/>
  <c r="AQ5" i="7"/>
  <c r="Z5" i="7"/>
  <c r="I5" i="7"/>
  <c r="DO5" i="7"/>
  <c r="CS5" i="7"/>
  <c r="BZ5" i="7"/>
  <c r="BD5" i="7"/>
  <c r="AN5" i="7"/>
  <c r="X5" i="7"/>
  <c r="DE5" i="7"/>
  <c r="CI5" i="7"/>
  <c r="BP5" i="7"/>
  <c r="AZ5" i="7"/>
  <c r="AF5" i="7"/>
  <c r="M5" i="7"/>
  <c r="BM5" i="7"/>
  <c r="CR5" i="7"/>
  <c r="AZ17" i="7"/>
  <c r="CY26" i="7"/>
  <c r="V4" i="7"/>
  <c r="BM4" i="7"/>
  <c r="DA4" i="7"/>
  <c r="L5" i="7"/>
  <c r="AO5" i="7"/>
  <c r="BS5" i="7"/>
  <c r="CW5" i="7"/>
  <c r="CO7" i="7"/>
  <c r="BH8" i="7"/>
  <c r="DA9" i="7"/>
  <c r="CU9" i="7"/>
  <c r="BE9" i="7"/>
  <c r="U9" i="7"/>
  <c r="L9" i="7"/>
  <c r="CL9" i="7"/>
  <c r="BD9" i="7"/>
  <c r="CI9" i="7"/>
  <c r="AU9" i="7"/>
  <c r="K9" i="7"/>
  <c r="DO9" i="7"/>
  <c r="BT9" i="7"/>
  <c r="AG9" i="7"/>
  <c r="CH9" i="7"/>
  <c r="CY11" i="7"/>
  <c r="CI11" i="7"/>
  <c r="BR11" i="7"/>
  <c r="BC11" i="7"/>
  <c r="AL11" i="7"/>
  <c r="T11" i="7"/>
  <c r="DO11" i="7"/>
  <c r="CX11" i="7"/>
  <c r="CF11" i="7"/>
  <c r="BP11" i="7"/>
  <c r="AZ11" i="7"/>
  <c r="AJ11" i="7"/>
  <c r="S11" i="7"/>
  <c r="DM11" i="7"/>
  <c r="CW11" i="7"/>
  <c r="CD11" i="7"/>
  <c r="BO11" i="7"/>
  <c r="AV11" i="7"/>
  <c r="AI11" i="7"/>
  <c r="N11" i="7"/>
  <c r="DY11" i="7"/>
  <c r="DH11" i="7"/>
  <c r="CO11" i="7"/>
  <c r="BY11" i="7"/>
  <c r="BG11" i="7"/>
  <c r="AS11" i="7"/>
  <c r="AB11" i="7"/>
  <c r="J11" i="7"/>
  <c r="AM11" i="7"/>
  <c r="BS11" i="7"/>
  <c r="CZ11" i="7"/>
  <c r="DI15" i="7"/>
  <c r="BT15" i="7"/>
  <c r="N15" i="7"/>
  <c r="BG15" i="7"/>
  <c r="DO15" i="7"/>
  <c r="AU15" i="7"/>
  <c r="CZ15" i="7"/>
  <c r="AT15" i="7"/>
  <c r="CL15" i="7"/>
  <c r="S15" i="7"/>
  <c r="Y17" i="7"/>
  <c r="BK17" i="7"/>
  <c r="CX17" i="7"/>
  <c r="AT19" i="7"/>
  <c r="CS19" i="7"/>
  <c r="Y22" i="7"/>
  <c r="CE22" i="7"/>
  <c r="AG26" i="7"/>
  <c r="BQ26" i="7"/>
  <c r="DD26" i="7"/>
  <c r="AA33" i="7"/>
  <c r="BP33" i="7"/>
  <c r="DM33" i="7"/>
  <c r="AR38" i="7"/>
  <c r="CP38" i="7"/>
  <c r="BH44" i="7"/>
  <c r="T3" i="7"/>
  <c r="AJ3" i="7"/>
  <c r="AW3" i="7"/>
  <c r="BN3" i="7"/>
  <c r="CC3" i="7"/>
  <c r="CV3" i="7"/>
  <c r="L10" i="7"/>
  <c r="AG10" i="7"/>
  <c r="BC10" i="7"/>
  <c r="BR10" i="7"/>
  <c r="CL10" i="7"/>
  <c r="DI10" i="7"/>
  <c r="AU13" i="7"/>
  <c r="CZ14" i="7"/>
  <c r="BY14" i="7"/>
  <c r="AU14" i="7"/>
  <c r="AJ14" i="7"/>
  <c r="BO14" i="7"/>
  <c r="CT14" i="7"/>
  <c r="DG16" i="7"/>
  <c r="CF16" i="7"/>
  <c r="BL16" i="7"/>
  <c r="AR16" i="7"/>
  <c r="T16" i="7"/>
  <c r="AC16" i="7"/>
  <c r="BA16" i="7"/>
  <c r="CB16" i="7"/>
  <c r="CY16" i="7"/>
  <c r="DG18" i="7"/>
  <c r="DE18" i="7"/>
  <c r="CS18" i="7"/>
  <c r="CG18" i="7"/>
  <c r="BR18" i="7"/>
  <c r="BG18" i="7"/>
  <c r="AU18" i="7"/>
  <c r="AG18" i="7"/>
  <c r="V18" i="7"/>
  <c r="H18" i="7"/>
  <c r="DS18" i="7"/>
  <c r="DA18" i="7"/>
  <c r="CP18" i="7"/>
  <c r="CA18" i="7"/>
  <c r="BO18" i="7"/>
  <c r="BC18" i="7"/>
  <c r="AO18" i="7"/>
  <c r="AD18" i="7"/>
  <c r="S18" i="7"/>
  <c r="W18" i="7"/>
  <c r="AM18" i="7"/>
  <c r="BD18" i="7"/>
  <c r="BU18" i="7"/>
  <c r="CK18" i="7"/>
  <c r="DB18" i="7"/>
  <c r="DO20" i="7"/>
  <c r="CS20" i="7"/>
  <c r="BU20" i="7"/>
  <c r="BF20" i="7"/>
  <c r="AN20" i="7"/>
  <c r="O20" i="7"/>
  <c r="DB20" i="7"/>
  <c r="CL20" i="7"/>
  <c r="BR20" i="7"/>
  <c r="AW20" i="7"/>
  <c r="AE20" i="7"/>
  <c r="L20" i="7"/>
  <c r="AF20" i="7"/>
  <c r="BH20" i="7"/>
  <c r="CE20" i="7"/>
  <c r="DI20" i="7"/>
  <c r="DH27" i="7"/>
  <c r="CN27" i="7"/>
  <c r="BV27" i="7"/>
  <c r="BF27" i="7"/>
  <c r="AR27" i="7"/>
  <c r="AB27" i="7"/>
  <c r="I27" i="7"/>
  <c r="CY27" i="7"/>
  <c r="CH27" i="7"/>
  <c r="BR27" i="7"/>
  <c r="BB27" i="7"/>
  <c r="AL27" i="7"/>
  <c r="U27" i="7"/>
  <c r="AC27" i="7"/>
  <c r="AV27" i="7"/>
  <c r="BS27" i="7"/>
  <c r="CR27" i="7"/>
  <c r="DM27" i="7"/>
  <c r="N28" i="7"/>
  <c r="AP28" i="7"/>
  <c r="BR28" i="7"/>
  <c r="CQ28" i="7"/>
  <c r="M29" i="7"/>
  <c r="AF29" i="7"/>
  <c r="AV29" i="7"/>
  <c r="BM29" i="7"/>
  <c r="CB29" i="7"/>
  <c r="CT29" i="7"/>
  <c r="DM29" i="7"/>
  <c r="K30" i="7"/>
  <c r="AE30" i="7"/>
  <c r="AX30" i="7"/>
  <c r="BQ30" i="7"/>
  <c r="CL30" i="7"/>
  <c r="DI30" i="7"/>
  <c r="J31" i="7"/>
  <c r="Y31" i="7"/>
  <c r="AN31" i="7"/>
  <c r="BD31" i="7"/>
  <c r="BR31" i="7"/>
  <c r="CL31" i="7"/>
  <c r="DB31" i="7"/>
  <c r="U37" i="7"/>
  <c r="AT37" i="7"/>
  <c r="BR37" i="7"/>
  <c r="DY3" i="7"/>
  <c r="V10" i="7"/>
  <c r="AQ10" i="7"/>
  <c r="BG10" i="7"/>
  <c r="BZ10" i="7"/>
  <c r="CU10" i="7"/>
  <c r="CL13" i="7"/>
  <c r="DM23" i="7"/>
  <c r="BF23" i="7"/>
  <c r="CX27" i="7"/>
  <c r="AC28" i="7"/>
  <c r="BA28" i="7"/>
  <c r="CC28" i="7"/>
  <c r="CZ28" i="7"/>
  <c r="V29" i="7"/>
  <c r="AL29" i="7"/>
  <c r="BB29" i="7"/>
  <c r="BQ29" i="7"/>
  <c r="CI29" i="7"/>
  <c r="U30" i="7"/>
  <c r="AN30" i="7"/>
  <c r="BE30" i="7"/>
  <c r="BZ30" i="7"/>
  <c r="S31" i="7"/>
  <c r="AF31" i="7"/>
  <c r="AT31" i="7"/>
  <c r="BI31" i="7"/>
  <c r="CA31" i="7"/>
  <c r="CQ31" i="7"/>
  <c r="DM37" i="7"/>
  <c r="DH37" i="7"/>
  <c r="CX37" i="7"/>
  <c r="CO37" i="7"/>
  <c r="CE37" i="7"/>
  <c r="BU37" i="7"/>
  <c r="BK37" i="7"/>
  <c r="BB37" i="7"/>
  <c r="AS37" i="7"/>
  <c r="AJ37" i="7"/>
  <c r="AA37" i="7"/>
  <c r="O37" i="7"/>
  <c r="F37" i="7"/>
  <c r="DS37" i="7"/>
  <c r="DD37" i="7"/>
  <c r="CU37" i="7"/>
  <c r="CK37" i="7"/>
  <c r="CA37" i="7"/>
  <c r="BQ37" i="7"/>
  <c r="BH37" i="7"/>
  <c r="AY37" i="7"/>
  <c r="AP37" i="7"/>
  <c r="AG37" i="7"/>
  <c r="W37" i="7"/>
  <c r="K37" i="7"/>
  <c r="DA37" i="7"/>
  <c r="CP37" i="7"/>
  <c r="CB37" i="7"/>
  <c r="BO37" i="7"/>
  <c r="BC37" i="7"/>
  <c r="AQ37" i="7"/>
  <c r="AD37" i="7"/>
  <c r="S37" i="7"/>
  <c r="DQ37" i="7"/>
  <c r="CZ37" i="7"/>
  <c r="CN37" i="7"/>
  <c r="BZ37" i="7"/>
  <c r="BN37" i="7"/>
  <c r="BA37" i="7"/>
  <c r="AO37" i="7"/>
  <c r="AC37" i="7"/>
  <c r="N37" i="7"/>
  <c r="DO37" i="7"/>
  <c r="CY37" i="7"/>
  <c r="CM37" i="7"/>
  <c r="BY37" i="7"/>
  <c r="BM37" i="7"/>
  <c r="AZ37" i="7"/>
  <c r="AM37" i="7"/>
  <c r="AB37" i="7"/>
  <c r="L37" i="7"/>
  <c r="DY37" i="7"/>
  <c r="DG37" i="7"/>
  <c r="CS37" i="7"/>
  <c r="CG37" i="7"/>
  <c r="BS37" i="7"/>
  <c r="BG37" i="7"/>
  <c r="AU37" i="7"/>
  <c r="AI37" i="7"/>
  <c r="V37" i="7"/>
  <c r="H37" i="7"/>
  <c r="AE37" i="7"/>
  <c r="BE37" i="7"/>
  <c r="CD37" i="7"/>
  <c r="DC37" i="7"/>
  <c r="DM43" i="7"/>
  <c r="DQ43" i="7"/>
  <c r="DC43" i="7"/>
  <c r="CS43" i="7"/>
  <c r="CI43" i="7"/>
  <c r="BZ43" i="7"/>
  <c r="BP43" i="7"/>
  <c r="BG43" i="7"/>
  <c r="AX43" i="7"/>
  <c r="AO43" i="7"/>
  <c r="AE43" i="7"/>
  <c r="V43" i="7"/>
  <c r="J43" i="7"/>
  <c r="DH43" i="7"/>
  <c r="CX43" i="7"/>
  <c r="CO43" i="7"/>
  <c r="CE43" i="7"/>
  <c r="BU43" i="7"/>
  <c r="BK43" i="7"/>
  <c r="BB43" i="7"/>
  <c r="AS43" i="7"/>
  <c r="AJ43" i="7"/>
  <c r="AA43" i="7"/>
  <c r="O43" i="7"/>
  <c r="F43" i="7"/>
  <c r="DO43" i="7"/>
  <c r="DK43" i="7"/>
  <c r="CW43" i="7"/>
  <c r="CK43" i="7"/>
  <c r="BX43" i="7"/>
  <c r="BJ43" i="7"/>
  <c r="AY43" i="7"/>
  <c r="AL43" i="7"/>
  <c r="Z43" i="7"/>
  <c r="K43" i="7"/>
  <c r="DE43" i="7"/>
  <c r="CR43" i="7"/>
  <c r="CF43" i="7"/>
  <c r="BR43" i="7"/>
  <c r="BF43" i="7"/>
  <c r="AT43" i="7"/>
  <c r="AH43" i="7"/>
  <c r="U43" i="7"/>
  <c r="G43" i="7"/>
  <c r="DY43" i="7"/>
  <c r="DA43" i="7"/>
  <c r="CM43" i="7"/>
  <c r="BS43" i="7"/>
  <c r="BC43" i="7"/>
  <c r="AM43" i="7"/>
  <c r="W43" i="7"/>
  <c r="CZ43" i="7"/>
  <c r="CH43" i="7"/>
  <c r="BQ43" i="7"/>
  <c r="BA43" i="7"/>
  <c r="AK43" i="7"/>
  <c r="T43" i="7"/>
  <c r="CY43" i="7"/>
  <c r="CG43" i="7"/>
  <c r="BO43" i="7"/>
  <c r="AZ43" i="7"/>
  <c r="AI43" i="7"/>
  <c r="S43" i="7"/>
  <c r="DI43" i="7"/>
  <c r="CQ43" i="7"/>
  <c r="CA43" i="7"/>
  <c r="BI43" i="7"/>
  <c r="AR43" i="7"/>
  <c r="AC43" i="7"/>
  <c r="I43" i="7"/>
  <c r="AP43" i="7"/>
  <c r="BV43" i="7"/>
  <c r="DD43" i="7"/>
  <c r="DB28" i="7"/>
  <c r="CY28" i="7"/>
  <c r="CE28" i="7"/>
  <c r="BM28" i="7"/>
  <c r="AS28" i="7"/>
  <c r="AB28" i="7"/>
  <c r="F28" i="7"/>
  <c r="DO28" i="7"/>
  <c r="CS28" i="7"/>
  <c r="BU28" i="7"/>
  <c r="BD28" i="7"/>
  <c r="AN28" i="7"/>
  <c r="O28" i="7"/>
  <c r="AE28" i="7"/>
  <c r="BC28" i="7"/>
  <c r="CD28" i="7"/>
  <c r="DG28" i="7"/>
  <c r="DK29" i="7"/>
  <c r="CV29" i="7"/>
  <c r="CK29" i="7"/>
  <c r="BY29" i="7"/>
  <c r="BK29" i="7"/>
  <c r="AZ29" i="7"/>
  <c r="AM29" i="7"/>
  <c r="Z29" i="7"/>
  <c r="L29" i="7"/>
  <c r="DD29" i="7"/>
  <c r="CS29" i="7"/>
  <c r="CG29" i="7"/>
  <c r="BR29" i="7"/>
  <c r="BF29" i="7"/>
  <c r="AU29" i="7"/>
  <c r="AH29" i="7"/>
  <c r="W29" i="7"/>
  <c r="I29" i="7"/>
  <c r="X29" i="7"/>
  <c r="AO29" i="7"/>
  <c r="BD29" i="7"/>
  <c r="BT29" i="7"/>
  <c r="CL29" i="7"/>
  <c r="DB29" i="7"/>
  <c r="AB10" i="7"/>
  <c r="AT10" i="7"/>
  <c r="BL10" i="7"/>
  <c r="CH10" i="7"/>
  <c r="G28" i="7"/>
  <c r="AF28" i="7"/>
  <c r="BH28" i="7"/>
  <c r="CG28" i="7"/>
  <c r="DH28" i="7"/>
  <c r="G29" i="7"/>
  <c r="Y29" i="7"/>
  <c r="AP29" i="7"/>
  <c r="BE29" i="7"/>
  <c r="BV29" i="7"/>
  <c r="CM29" i="7"/>
  <c r="DC29" i="7"/>
  <c r="DO30" i="7"/>
  <c r="CT30" i="7"/>
  <c r="CB30" i="7"/>
  <c r="BN30" i="7"/>
  <c r="AZ30" i="7"/>
  <c r="AL30" i="7"/>
  <c r="X30" i="7"/>
  <c r="G30" i="7"/>
  <c r="DY30" i="7"/>
  <c r="DE30" i="7"/>
  <c r="CM30" i="7"/>
  <c r="BY30" i="7"/>
  <c r="BI30" i="7"/>
  <c r="AU30" i="7"/>
  <c r="AG30" i="7"/>
  <c r="T30" i="7"/>
  <c r="Z30" i="7"/>
  <c r="AS30" i="7"/>
  <c r="BK30" i="7"/>
  <c r="CF30" i="7"/>
  <c r="DA30" i="7"/>
  <c r="DO31" i="7"/>
  <c r="CY31" i="7"/>
  <c r="CM31" i="7"/>
  <c r="BZ31" i="7"/>
  <c r="BL31" i="7"/>
  <c r="AZ31" i="7"/>
  <c r="AO31" i="7"/>
  <c r="AE31" i="7"/>
  <c r="U31" i="7"/>
  <c r="H31" i="7"/>
  <c r="DH31" i="7"/>
  <c r="CT31" i="7"/>
  <c r="CG31" i="7"/>
  <c r="BT31" i="7"/>
  <c r="BH31" i="7"/>
  <c r="AV31" i="7"/>
  <c r="AL31" i="7"/>
  <c r="AB31" i="7"/>
  <c r="M31" i="7"/>
  <c r="V31" i="7"/>
  <c r="AI31" i="7"/>
  <c r="AW31" i="7"/>
  <c r="BO31" i="7"/>
  <c r="CD31" i="7"/>
  <c r="CW31" i="7"/>
  <c r="DS31" i="7"/>
  <c r="O21" i="7"/>
  <c r="AC21" i="7"/>
  <c r="AM21" i="7"/>
  <c r="AW21" i="7"/>
  <c r="BH21" i="7"/>
  <c r="BR21" i="7"/>
  <c r="CC21" i="7"/>
  <c r="CP21" i="7"/>
  <c r="CZ21" i="7"/>
  <c r="DM21" i="7"/>
  <c r="X24" i="7"/>
  <c r="AN24" i="7"/>
  <c r="BC24" i="7"/>
  <c r="BS24" i="7"/>
  <c r="CK24" i="7"/>
  <c r="CZ24" i="7"/>
  <c r="CM32" i="7"/>
  <c r="AG32" i="7"/>
  <c r="BQ32" i="7"/>
  <c r="DB49" i="7"/>
  <c r="CC49" i="7"/>
  <c r="BD49" i="7"/>
  <c r="AJ49" i="7"/>
  <c r="J49" i="7"/>
  <c r="CP49" i="7"/>
  <c r="BR49" i="7"/>
  <c r="AU49" i="7"/>
  <c r="X49" i="7"/>
  <c r="DK49" i="7"/>
  <c r="CB49" i="7"/>
  <c r="AW49" i="7"/>
  <c r="S49" i="7"/>
  <c r="DH49" i="7"/>
  <c r="BU49" i="7"/>
  <c r="AR49" i="7"/>
  <c r="N49" i="7"/>
  <c r="CX49" i="7"/>
  <c r="BT49" i="7"/>
  <c r="AQ49" i="7"/>
  <c r="H49" i="7"/>
  <c r="CO49" i="7"/>
  <c r="BI49" i="7"/>
  <c r="AE49" i="7"/>
  <c r="BJ49" i="7"/>
  <c r="I21" i="7"/>
  <c r="V21" i="7"/>
  <c r="AF21" i="7"/>
  <c r="AP21" i="7"/>
  <c r="BA21" i="7"/>
  <c r="BL21" i="7"/>
  <c r="BV21" i="7"/>
  <c r="CH21" i="7"/>
  <c r="CS21" i="7"/>
  <c r="K24" i="7"/>
  <c r="AC24" i="7"/>
  <c r="AS24" i="7"/>
  <c r="BI24" i="7"/>
  <c r="BZ24" i="7"/>
  <c r="CQ24" i="7"/>
  <c r="U25" i="7"/>
  <c r="AF25" i="7"/>
  <c r="AR25" i="7"/>
  <c r="BD25" i="7"/>
  <c r="BP25" i="7"/>
  <c r="CB25" i="7"/>
  <c r="CN25" i="7"/>
  <c r="AD32" i="7"/>
  <c r="CW32" i="7"/>
  <c r="DB34" i="7"/>
  <c r="DI34" i="7"/>
  <c r="CG34" i="7"/>
  <c r="BD34" i="7"/>
  <c r="AA34" i="7"/>
  <c r="AJ34" i="7"/>
  <c r="BO34" i="7"/>
  <c r="CU34" i="7"/>
  <c r="CQ35" i="7"/>
  <c r="AB35" i="7"/>
  <c r="BU35" i="7"/>
  <c r="DM36" i="7"/>
  <c r="DO36" i="7"/>
  <c r="DA36" i="7"/>
  <c r="CR36" i="7"/>
  <c r="CH36" i="7"/>
  <c r="BY36" i="7"/>
  <c r="BO36" i="7"/>
  <c r="BF36" i="7"/>
  <c r="AW36" i="7"/>
  <c r="AM36" i="7"/>
  <c r="AD36" i="7"/>
  <c r="U36" i="7"/>
  <c r="I36" i="7"/>
  <c r="DH36" i="7"/>
  <c r="CX36" i="7"/>
  <c r="CO36" i="7"/>
  <c r="CE36" i="7"/>
  <c r="BU36" i="7"/>
  <c r="BK36" i="7"/>
  <c r="BB36" i="7"/>
  <c r="AS36" i="7"/>
  <c r="AJ36" i="7"/>
  <c r="AA36" i="7"/>
  <c r="O36" i="7"/>
  <c r="F36" i="7"/>
  <c r="T36" i="7"/>
  <c r="AG36" i="7"/>
  <c r="AR36" i="7"/>
  <c r="BE36" i="7"/>
  <c r="BQ36" i="7"/>
  <c r="CD36" i="7"/>
  <c r="CQ36" i="7"/>
  <c r="DD36" i="7"/>
  <c r="AC49" i="7"/>
  <c r="CI49" i="7"/>
  <c r="N39" i="7"/>
  <c r="Z39" i="7"/>
  <c r="AI39" i="7"/>
  <c r="AR39" i="7"/>
  <c r="BA39" i="7"/>
  <c r="BJ39" i="7"/>
  <c r="BS39" i="7"/>
  <c r="CD39" i="7"/>
  <c r="CN39" i="7"/>
  <c r="CW39" i="7"/>
  <c r="DG39" i="7"/>
  <c r="J40" i="7"/>
  <c r="V40" i="7"/>
  <c r="AE40" i="7"/>
  <c r="AO40" i="7"/>
  <c r="AX40" i="7"/>
  <c r="BG40" i="7"/>
  <c r="BP40" i="7"/>
  <c r="BZ40" i="7"/>
  <c r="CI40" i="7"/>
  <c r="CS40" i="7"/>
  <c r="J41" i="7"/>
  <c r="W41" i="7"/>
  <c r="AI41" i="7"/>
  <c r="AS41" i="7"/>
  <c r="BC41" i="7"/>
  <c r="BN41" i="7"/>
  <c r="BY41" i="7"/>
  <c r="CI41" i="7"/>
  <c r="CU41" i="7"/>
  <c r="O45" i="7"/>
  <c r="AN45" i="7"/>
  <c r="BM45" i="7"/>
  <c r="CO45" i="7"/>
  <c r="DO45" i="7"/>
  <c r="AH46" i="7"/>
  <c r="CC46" i="7"/>
  <c r="CU47" i="7"/>
  <c r="BK47" i="7"/>
  <c r="AC47" i="7"/>
  <c r="DK47" i="7"/>
  <c r="BX47" i="7"/>
  <c r="AW47" i="7"/>
  <c r="M47" i="7"/>
  <c r="AX47" i="7"/>
  <c r="CM47" i="7"/>
  <c r="DS48" i="7"/>
  <c r="DA48" i="7"/>
  <c r="CN48" i="7"/>
  <c r="CB48" i="7"/>
  <c r="BN48" i="7"/>
  <c r="BC48" i="7"/>
  <c r="AP48" i="7"/>
  <c r="AE48" i="7"/>
  <c r="N48" i="7"/>
  <c r="DY48" i="7"/>
  <c r="DH48" i="7"/>
  <c r="CU48" i="7"/>
  <c r="CH48" i="7"/>
  <c r="BU48" i="7"/>
  <c r="BG48" i="7"/>
  <c r="AV48" i="7"/>
  <c r="AI48" i="7"/>
  <c r="X48" i="7"/>
  <c r="H48" i="7"/>
  <c r="W48" i="7"/>
  <c r="AM48" i="7"/>
  <c r="BD48" i="7"/>
  <c r="BS48" i="7"/>
  <c r="CL48" i="7"/>
  <c r="DC48" i="7"/>
  <c r="DM40" i="7"/>
  <c r="DY40" i="7"/>
  <c r="DI40" i="7"/>
  <c r="CY40" i="7"/>
  <c r="N40" i="7"/>
  <c r="Z40" i="7"/>
  <c r="AI40" i="7"/>
  <c r="AR40" i="7"/>
  <c r="BA40" i="7"/>
  <c r="BJ40" i="7"/>
  <c r="BS40" i="7"/>
  <c r="CD40" i="7"/>
  <c r="CN40" i="7"/>
  <c r="CW40" i="7"/>
  <c r="DH40" i="7"/>
  <c r="DM41" i="7"/>
  <c r="DE41" i="7"/>
  <c r="CV41" i="7"/>
  <c r="CM41" i="7"/>
  <c r="CB41" i="7"/>
  <c r="BR41" i="7"/>
  <c r="BI41" i="7"/>
  <c r="AZ41" i="7"/>
  <c r="AQ41" i="7"/>
  <c r="AH41" i="7"/>
  <c r="Y41" i="7"/>
  <c r="L41" i="7"/>
  <c r="O41" i="7"/>
  <c r="AB41" i="7"/>
  <c r="AL41" i="7"/>
  <c r="AW41" i="7"/>
  <c r="BG41" i="7"/>
  <c r="BQ41" i="7"/>
  <c r="CD41" i="7"/>
  <c r="CO41" i="7"/>
  <c r="CY41" i="7"/>
  <c r="DK41" i="7"/>
  <c r="AA45" i="7"/>
  <c r="AW45" i="7"/>
  <c r="BV45" i="7"/>
  <c r="BC46" i="7"/>
  <c r="DE45" i="7"/>
  <c r="CZ45" i="7"/>
  <c r="CG45" i="7"/>
  <c r="BN45" i="7"/>
  <c r="AV45" i="7"/>
  <c r="AC45" i="7"/>
  <c r="H45" i="7"/>
  <c r="DM45" i="7"/>
  <c r="CQ45" i="7"/>
  <c r="BX45" i="7"/>
  <c r="BE45" i="7"/>
  <c r="AL45" i="7"/>
  <c r="T45" i="7"/>
  <c r="AB45" i="7"/>
  <c r="BB45" i="7"/>
  <c r="BY45" i="7"/>
  <c r="CY45" i="7"/>
  <c r="DE46" i="7"/>
  <c r="CB46" i="7"/>
  <c r="AK46" i="7"/>
  <c r="CW46" i="7"/>
  <c r="BE46" i="7"/>
  <c r="O46" i="7"/>
  <c r="BD46" i="7"/>
  <c r="BD45" i="7"/>
  <c r="CE45" i="7"/>
  <c r="DB45" i="7"/>
  <c r="BG46" i="7"/>
  <c r="I42" i="7"/>
  <c r="U42" i="7"/>
  <c r="AD42" i="7"/>
  <c r="AM42" i="7"/>
  <c r="AW42" i="7"/>
  <c r="BF42" i="7"/>
  <c r="BO42" i="7"/>
  <c r="BY42" i="7"/>
  <c r="CH42" i="7"/>
  <c r="CR42" i="7"/>
  <c r="DA42" i="7"/>
  <c r="DO42" i="7"/>
  <c r="W50" i="7"/>
  <c r="AY50" i="7"/>
  <c r="BT50" i="7"/>
  <c r="DB50" i="7"/>
  <c r="I51" i="7"/>
  <c r="AI51" i="7"/>
  <c r="AZ51" i="7"/>
  <c r="BX51" i="7"/>
  <c r="CS51" i="7"/>
  <c r="DS51" i="7"/>
  <c r="N42" i="7"/>
  <c r="Z42" i="7"/>
  <c r="AI42" i="7"/>
  <c r="AR42" i="7"/>
  <c r="BA42" i="7"/>
  <c r="BJ42" i="7"/>
  <c r="BS42" i="7"/>
  <c r="CD42" i="7"/>
  <c r="CN42" i="7"/>
  <c r="CW42" i="7"/>
  <c r="DG42" i="7"/>
  <c r="AJ50" i="7"/>
  <c r="BK50" i="7"/>
  <c r="X51" i="7"/>
  <c r="AQ51" i="7"/>
  <c r="BL51" i="7"/>
  <c r="CK51" i="7"/>
  <c r="DB51" i="7"/>
  <c r="Y51" i="7"/>
  <c r="AV51" i="7"/>
  <c r="BM51" i="7"/>
  <c r="CL51" i="7"/>
  <c r="DE51" i="7"/>
  <c r="E19" i="14"/>
  <c r="C26" i="20"/>
  <c r="I126" i="20"/>
  <c r="I40" i="14"/>
  <c r="C48" i="46"/>
  <c r="C25" i="14"/>
  <c r="C20" i="46"/>
  <c r="I111" i="14"/>
  <c r="C119" i="46"/>
  <c r="I94" i="14"/>
  <c r="C102" i="46"/>
  <c r="I51" i="14"/>
  <c r="C59" i="46"/>
  <c r="D19" i="14"/>
  <c r="I84" i="14"/>
  <c r="C92" i="46"/>
  <c r="I64" i="14"/>
  <c r="C72" i="46"/>
  <c r="I107" i="14"/>
  <c r="C115" i="46"/>
  <c r="I41" i="14"/>
  <c r="C49" i="46"/>
  <c r="I115" i="14"/>
  <c r="C123" i="46"/>
  <c r="I81" i="14"/>
  <c r="C89" i="46"/>
  <c r="I109" i="14"/>
  <c r="C117" i="46"/>
  <c r="I102" i="14"/>
  <c r="C110" i="46"/>
  <c r="C23" i="14"/>
  <c r="C18" i="46"/>
  <c r="I85" i="14"/>
  <c r="C93" i="46"/>
  <c r="I30" i="14"/>
  <c r="C38" i="46"/>
  <c r="I96" i="14"/>
  <c r="C104" i="46"/>
  <c r="I49" i="14"/>
  <c r="C57" i="46"/>
  <c r="I26" i="14"/>
  <c r="C34" i="46"/>
  <c r="I74" i="14"/>
  <c r="C82" i="46"/>
  <c r="I79" i="14"/>
  <c r="C87" i="46"/>
  <c r="I34" i="14"/>
  <c r="C42" i="46"/>
  <c r="I92" i="14"/>
  <c r="C100" i="46"/>
  <c r="I104" i="14"/>
  <c r="C112" i="46"/>
  <c r="I36" i="14"/>
  <c r="C44" i="46"/>
  <c r="D18" i="14"/>
  <c r="I18" i="14"/>
  <c r="C26" i="46"/>
  <c r="I46" i="14"/>
  <c r="C54" i="46"/>
  <c r="I29" i="14"/>
  <c r="C37" i="46"/>
  <c r="E18" i="14"/>
  <c r="I82" i="14"/>
  <c r="C90" i="46"/>
  <c r="C21" i="14"/>
  <c r="C16" i="46"/>
  <c r="I16" i="46"/>
  <c r="J16" i="46"/>
  <c r="I119" i="14"/>
  <c r="C127" i="46"/>
  <c r="D17" i="14"/>
  <c r="C19" i="14"/>
  <c r="C14" i="46"/>
  <c r="I70" i="14"/>
  <c r="C78" i="46"/>
  <c r="I75" i="14"/>
  <c r="C83" i="46"/>
  <c r="I43" i="14"/>
  <c r="C51" i="46"/>
  <c r="I65" i="14"/>
  <c r="C73" i="46"/>
  <c r="I76" i="14"/>
  <c r="C84" i="46"/>
  <c r="I101" i="14"/>
  <c r="C109" i="46"/>
  <c r="I67" i="14"/>
  <c r="C75" i="46"/>
  <c r="I35" i="14"/>
  <c r="C43" i="46"/>
  <c r="I77" i="14"/>
  <c r="C85" i="46"/>
  <c r="I110" i="14"/>
  <c r="C118" i="46"/>
  <c r="I17" i="14"/>
  <c r="C25" i="46"/>
  <c r="I38" i="14"/>
  <c r="C46" i="46"/>
  <c r="I52" i="14"/>
  <c r="C60" i="46"/>
  <c r="I62" i="14"/>
  <c r="C70" i="46"/>
  <c r="I27" i="14"/>
  <c r="C35" i="46"/>
  <c r="I22" i="14"/>
  <c r="C30" i="46"/>
  <c r="I54" i="14"/>
  <c r="C62" i="46"/>
  <c r="I99" i="14"/>
  <c r="C107" i="46"/>
  <c r="I60" i="14"/>
  <c r="C68" i="46"/>
  <c r="I100" i="14"/>
  <c r="C108" i="46"/>
  <c r="I50" i="14"/>
  <c r="C58" i="46"/>
  <c r="E16" i="14"/>
  <c r="C29" i="14"/>
  <c r="C136" i="46"/>
  <c r="I42" i="14"/>
  <c r="C50" i="46"/>
  <c r="I19" i="14"/>
  <c r="C27" i="46"/>
  <c r="I48" i="14"/>
  <c r="C56" i="46"/>
  <c r="D16" i="14"/>
  <c r="E17" i="14"/>
  <c r="I88" i="14"/>
  <c r="C96" i="46"/>
  <c r="I91" i="14"/>
  <c r="C99" i="46"/>
  <c r="I57" i="14"/>
  <c r="C65" i="46"/>
  <c r="I25" i="14"/>
  <c r="C33" i="46"/>
  <c r="I44" i="14"/>
  <c r="C52" i="46"/>
  <c r="I83" i="14"/>
  <c r="C91" i="46"/>
  <c r="I32" i="14"/>
  <c r="C40" i="46"/>
  <c r="I66" i="14"/>
  <c r="C74" i="46"/>
  <c r="I93" i="14"/>
  <c r="C101" i="46"/>
  <c r="I68" i="14"/>
  <c r="C76" i="46"/>
  <c r="I117" i="14"/>
  <c r="C125" i="46"/>
  <c r="I97" i="14"/>
  <c r="C105" i="46"/>
  <c r="I80" i="14"/>
  <c r="C88" i="46"/>
  <c r="I63" i="14"/>
  <c r="C71" i="46"/>
  <c r="I47" i="14"/>
  <c r="C55" i="46"/>
  <c r="I31" i="14"/>
  <c r="C39" i="46"/>
  <c r="C20" i="14"/>
  <c r="C15" i="46"/>
  <c r="I113" i="14"/>
  <c r="C121" i="46"/>
  <c r="I95" i="14"/>
  <c r="C103" i="46"/>
  <c r="I78" i="14"/>
  <c r="C86" i="46"/>
  <c r="I61" i="14"/>
  <c r="C69" i="46"/>
  <c r="I45" i="14"/>
  <c r="C53" i="46"/>
  <c r="C16" i="14"/>
  <c r="C11" i="46"/>
  <c r="I106" i="14"/>
  <c r="C114" i="46"/>
  <c r="I72" i="14"/>
  <c r="C80" i="46"/>
  <c r="I105" i="14"/>
  <c r="C113" i="46"/>
  <c r="I71" i="14"/>
  <c r="C79" i="46"/>
  <c r="I39" i="14"/>
  <c r="C47" i="46"/>
  <c r="C22" i="14"/>
  <c r="C17" i="46"/>
  <c r="C18" i="14"/>
  <c r="C13" i="46"/>
  <c r="I103" i="14"/>
  <c r="C111" i="46"/>
  <c r="I69" i="14"/>
  <c r="C77" i="46"/>
  <c r="I37" i="14"/>
  <c r="C45" i="46"/>
  <c r="I90" i="14"/>
  <c r="C98" i="46"/>
  <c r="I24" i="14"/>
  <c r="C32" i="46"/>
  <c r="I89" i="14"/>
  <c r="C97" i="46"/>
  <c r="I23" i="14"/>
  <c r="C31" i="46"/>
  <c r="C24" i="14"/>
  <c r="C19" i="46"/>
  <c r="I87" i="14"/>
  <c r="C95" i="46"/>
  <c r="I21" i="14"/>
  <c r="C29" i="46"/>
  <c r="I56" i="14"/>
  <c r="C64" i="46"/>
  <c r="I55" i="14"/>
  <c r="C63" i="46"/>
  <c r="I53" i="14"/>
  <c r="C61" i="46"/>
  <c r="C17" i="14"/>
  <c r="C12" i="46"/>
  <c r="I28" i="14"/>
  <c r="C36" i="46"/>
  <c r="I98" i="14"/>
  <c r="C106" i="46"/>
  <c r="I20" i="14"/>
  <c r="C28" i="46"/>
  <c r="I59" i="14"/>
  <c r="C67" i="46"/>
  <c r="I58" i="14"/>
  <c r="C66" i="46"/>
  <c r="I121" i="14"/>
  <c r="C129" i="46"/>
  <c r="I33" i="14"/>
  <c r="C41" i="46"/>
  <c r="BM6" i="7"/>
  <c r="AY12" i="7"/>
  <c r="DQ7" i="7"/>
  <c r="DD7" i="7"/>
  <c r="CV7" i="7"/>
  <c r="CN7" i="7"/>
  <c r="CE7" i="7"/>
  <c r="BV7" i="7"/>
  <c r="BN7" i="7"/>
  <c r="BF7" i="7"/>
  <c r="AX7" i="7"/>
  <c r="AP7" i="7"/>
  <c r="AH7" i="7"/>
  <c r="Z7" i="7"/>
  <c r="O7" i="7"/>
  <c r="G7" i="7"/>
  <c r="DS7" i="7"/>
  <c r="DC7" i="7"/>
  <c r="CT7" i="7"/>
  <c r="CK7" i="7"/>
  <c r="CA7" i="7"/>
  <c r="BQ7" i="7"/>
  <c r="BH7" i="7"/>
  <c r="AY7" i="7"/>
  <c r="AO7" i="7"/>
  <c r="AF7" i="7"/>
  <c r="W7" i="7"/>
  <c r="K7" i="7"/>
  <c r="DE7" i="7"/>
  <c r="CS7" i="7"/>
  <c r="CH7" i="7"/>
  <c r="BX7" i="7"/>
  <c r="BL7" i="7"/>
  <c r="BB7" i="7"/>
  <c r="AR7" i="7"/>
  <c r="AG7" i="7"/>
  <c r="V7" i="7"/>
  <c r="I7" i="7"/>
  <c r="DB7" i="7"/>
  <c r="CR7" i="7"/>
  <c r="CG7" i="7"/>
  <c r="BU7" i="7"/>
  <c r="BK7" i="7"/>
  <c r="BA7" i="7"/>
  <c r="AQ7" i="7"/>
  <c r="AE7" i="7"/>
  <c r="U7" i="7"/>
  <c r="H7" i="7"/>
  <c r="AW7" i="7"/>
  <c r="BM7" i="7"/>
  <c r="CP7" i="7"/>
  <c r="DG7" i="7"/>
  <c r="F12" i="7"/>
  <c r="AZ12" i="7"/>
  <c r="BL12" i="7"/>
  <c r="CQ12" i="7"/>
  <c r="BK13" i="7"/>
  <c r="DH4" i="7"/>
  <c r="CY4" i="7"/>
  <c r="CQ4" i="7"/>
  <c r="CH4" i="7"/>
  <c r="BZ4" i="7"/>
  <c r="BQ4" i="7"/>
  <c r="BI4" i="7"/>
  <c r="BA4" i="7"/>
  <c r="AS4" i="7"/>
  <c r="AK4" i="7"/>
  <c r="AC4" i="7"/>
  <c r="U4" i="7"/>
  <c r="J4" i="7"/>
  <c r="DS4" i="7"/>
  <c r="DD4" i="7"/>
  <c r="CU4" i="7"/>
  <c r="CL4" i="7"/>
  <c r="CB4" i="7"/>
  <c r="BR4" i="7"/>
  <c r="BH4" i="7"/>
  <c r="AY4" i="7"/>
  <c r="AP4" i="7"/>
  <c r="AG4" i="7"/>
  <c r="X4" i="7"/>
  <c r="L4" i="7"/>
  <c r="DQ4" i="7"/>
  <c r="DC4" i="7"/>
  <c r="CT4" i="7"/>
  <c r="CK4" i="7"/>
  <c r="CA4" i="7"/>
  <c r="BP4" i="7"/>
  <c r="BG4" i="7"/>
  <c r="AX4" i="7"/>
  <c r="AO4" i="7"/>
  <c r="AF4" i="7"/>
  <c r="W4" i="7"/>
  <c r="K4" i="7"/>
  <c r="S4" i="7"/>
  <c r="AE4" i="7"/>
  <c r="AR4" i="7"/>
  <c r="BD4" i="7"/>
  <c r="BO4" i="7"/>
  <c r="CD4" i="7"/>
  <c r="CP4" i="7"/>
  <c r="DB4" i="7"/>
  <c r="J6" i="7"/>
  <c r="AA6" i="7"/>
  <c r="AM6" i="7"/>
  <c r="BC6" i="7"/>
  <c r="BP6" i="7"/>
  <c r="CD6" i="7"/>
  <c r="CT6" i="7"/>
  <c r="F7" i="7"/>
  <c r="Y7" i="7"/>
  <c r="AL7" i="7"/>
  <c r="AZ7" i="7"/>
  <c r="BO7" i="7"/>
  <c r="CC7" i="7"/>
  <c r="CQ7" i="7"/>
  <c r="DH7" i="7"/>
  <c r="DY7" i="7"/>
  <c r="T8" i="7"/>
  <c r="AG8" i="7"/>
  <c r="AW8" i="7"/>
  <c r="BJ8" i="7"/>
  <c r="BX8" i="7"/>
  <c r="CO8" i="7"/>
  <c r="T9" i="7"/>
  <c r="AF9" i="7"/>
  <c r="AS9" i="7"/>
  <c r="BI9" i="7"/>
  <c r="BX9" i="7"/>
  <c r="CK9" i="7"/>
  <c r="H12" i="7"/>
  <c r="AA12" i="7"/>
  <c r="AN12" i="7"/>
  <c r="BA12" i="7"/>
  <c r="BQ12" i="7"/>
  <c r="CD12" i="7"/>
  <c r="CS12" i="7"/>
  <c r="DI12" i="7"/>
  <c r="H13" i="7"/>
  <c r="W13" i="7"/>
  <c r="AJ13" i="7"/>
  <c r="AZ13" i="7"/>
  <c r="BM13" i="7"/>
  <c r="CA13" i="7"/>
  <c r="CR13" i="7"/>
  <c r="DE13" i="7"/>
  <c r="DQ14" i="7"/>
  <c r="DD14" i="7"/>
  <c r="CV14" i="7"/>
  <c r="CN14" i="7"/>
  <c r="CE14" i="7"/>
  <c r="BV14" i="7"/>
  <c r="BN14" i="7"/>
  <c r="BF14" i="7"/>
  <c r="AX14" i="7"/>
  <c r="AP14" i="7"/>
  <c r="AH14" i="7"/>
  <c r="Z14" i="7"/>
  <c r="O14" i="7"/>
  <c r="G14" i="7"/>
  <c r="DG14" i="7"/>
  <c r="CW14" i="7"/>
  <c r="CM14" i="7"/>
  <c r="CC14" i="7"/>
  <c r="BS14" i="7"/>
  <c r="BJ14" i="7"/>
  <c r="BA14" i="7"/>
  <c r="AR14" i="7"/>
  <c r="AI14" i="7"/>
  <c r="Y14" i="7"/>
  <c r="M14" i="7"/>
  <c r="DS14" i="7"/>
  <c r="DB14" i="7"/>
  <c r="CR14" i="7"/>
  <c r="CG14" i="7"/>
  <c r="BU14" i="7"/>
  <c r="BK14" i="7"/>
  <c r="AZ14" i="7"/>
  <c r="AO14" i="7"/>
  <c r="AE14" i="7"/>
  <c r="U14" i="7"/>
  <c r="H14" i="7"/>
  <c r="DO14" i="7"/>
  <c r="DA14" i="7"/>
  <c r="CQ14" i="7"/>
  <c r="CF14" i="7"/>
  <c r="BT14" i="7"/>
  <c r="BI14" i="7"/>
  <c r="AY14" i="7"/>
  <c r="AN14" i="7"/>
  <c r="AD14" i="7"/>
  <c r="T14" i="7"/>
  <c r="F14" i="7"/>
  <c r="W14" i="7"/>
  <c r="AK14" i="7"/>
  <c r="AW14" i="7"/>
  <c r="BM14" i="7"/>
  <c r="CA14" i="7"/>
  <c r="CP14" i="7"/>
  <c r="DE14" i="7"/>
  <c r="DY14" i="7"/>
  <c r="T15" i="7"/>
  <c r="AJ15" i="7"/>
  <c r="AV15" i="7"/>
  <c r="BJ15" i="7"/>
  <c r="BZ15" i="7"/>
  <c r="CO15" i="7"/>
  <c r="DA15" i="7"/>
  <c r="DS23" i="7"/>
  <c r="DE23" i="7"/>
  <c r="CW23" i="7"/>
  <c r="CO23" i="7"/>
  <c r="CF23" i="7"/>
  <c r="BX23" i="7"/>
  <c r="BO23" i="7"/>
  <c r="BG23" i="7"/>
  <c r="AY23" i="7"/>
  <c r="AQ23" i="7"/>
  <c r="AI23" i="7"/>
  <c r="AA23" i="7"/>
  <c r="S23" i="7"/>
  <c r="H23" i="7"/>
  <c r="DQ23" i="7"/>
  <c r="DC23" i="7"/>
  <c r="CT23" i="7"/>
  <c r="CK23" i="7"/>
  <c r="CA23" i="7"/>
  <c r="BQ23" i="7"/>
  <c r="BH23" i="7"/>
  <c r="AX23" i="7"/>
  <c r="AO23" i="7"/>
  <c r="AF23" i="7"/>
  <c r="W23" i="7"/>
  <c r="K23" i="7"/>
  <c r="DG23" i="7"/>
  <c r="CU23" i="7"/>
  <c r="CI23" i="7"/>
  <c r="BY23" i="7"/>
  <c r="BM23" i="7"/>
  <c r="BC23" i="7"/>
  <c r="AS23" i="7"/>
  <c r="AH23" i="7"/>
  <c r="X23" i="7"/>
  <c r="J23" i="7"/>
  <c r="DO23" i="7"/>
  <c r="DA23" i="7"/>
  <c r="CQ23" i="7"/>
  <c r="CE23" i="7"/>
  <c r="BT23" i="7"/>
  <c r="BJ23" i="7"/>
  <c r="AZ23" i="7"/>
  <c r="AN23" i="7"/>
  <c r="AD23" i="7"/>
  <c r="T23" i="7"/>
  <c r="F23" i="7"/>
  <c r="DK23" i="7"/>
  <c r="CV23" i="7"/>
  <c r="CG23" i="7"/>
  <c r="BR23" i="7"/>
  <c r="BD23" i="7"/>
  <c r="AP23" i="7"/>
  <c r="AB23" i="7"/>
  <c r="L23" i="7"/>
  <c r="DI23" i="7"/>
  <c r="CS23" i="7"/>
  <c r="CD23" i="7"/>
  <c r="BP23" i="7"/>
  <c r="BB23" i="7"/>
  <c r="AM23" i="7"/>
  <c r="Z23" i="7"/>
  <c r="I23" i="7"/>
  <c r="DH23" i="7"/>
  <c r="CR23" i="7"/>
  <c r="CC23" i="7"/>
  <c r="BN23" i="7"/>
  <c r="BA23" i="7"/>
  <c r="AL23" i="7"/>
  <c r="Y23" i="7"/>
  <c r="G23" i="7"/>
  <c r="CZ23" i="7"/>
  <c r="CM23" i="7"/>
  <c r="BV23" i="7"/>
  <c r="BI23" i="7"/>
  <c r="AU23" i="7"/>
  <c r="AG23" i="7"/>
  <c r="O23" i="7"/>
  <c r="DD23" i="7"/>
  <c r="CB23" i="7"/>
  <c r="AW23" i="7"/>
  <c r="V23" i="7"/>
  <c r="DB23" i="7"/>
  <c r="BZ23" i="7"/>
  <c r="AV23" i="7"/>
  <c r="U23" i="7"/>
  <c r="CY23" i="7"/>
  <c r="BU23" i="7"/>
  <c r="AT23" i="7"/>
  <c r="N23" i="7"/>
  <c r="CN23" i="7"/>
  <c r="BK23" i="7"/>
  <c r="AJ23" i="7"/>
  <c r="BL23" i="7"/>
  <c r="DQ6" i="7"/>
  <c r="DD6" i="7"/>
  <c r="CV6" i="7"/>
  <c r="CN6" i="7"/>
  <c r="CE6" i="7"/>
  <c r="BV6" i="7"/>
  <c r="BN6" i="7"/>
  <c r="BF6" i="7"/>
  <c r="AX6" i="7"/>
  <c r="AP6" i="7"/>
  <c r="AH6" i="7"/>
  <c r="Z6" i="7"/>
  <c r="O6" i="7"/>
  <c r="G6" i="7"/>
  <c r="DG6" i="7"/>
  <c r="CW6" i="7"/>
  <c r="CM6" i="7"/>
  <c r="CC6" i="7"/>
  <c r="BS6" i="7"/>
  <c r="BJ6" i="7"/>
  <c r="BA6" i="7"/>
  <c r="AR6" i="7"/>
  <c r="AI6" i="7"/>
  <c r="Y6" i="7"/>
  <c r="M6" i="7"/>
  <c r="DS6" i="7"/>
  <c r="DB6" i="7"/>
  <c r="CR6" i="7"/>
  <c r="CG6" i="7"/>
  <c r="BU6" i="7"/>
  <c r="BK6" i="7"/>
  <c r="AZ6" i="7"/>
  <c r="AO6" i="7"/>
  <c r="AE6" i="7"/>
  <c r="U6" i="7"/>
  <c r="H6" i="7"/>
  <c r="DO6" i="7"/>
  <c r="DA6" i="7"/>
  <c r="CQ6" i="7"/>
  <c r="CF6" i="7"/>
  <c r="BT6" i="7"/>
  <c r="BI6" i="7"/>
  <c r="AY6" i="7"/>
  <c r="AN6" i="7"/>
  <c r="AD6" i="7"/>
  <c r="T6" i="7"/>
  <c r="F6" i="7"/>
  <c r="V12" i="7"/>
  <c r="BK12" i="7"/>
  <c r="CP12" i="7"/>
  <c r="I6" i="7"/>
  <c r="CS6" i="7"/>
  <c r="AL12" i="7"/>
  <c r="DE12" i="7"/>
  <c r="CU6" i="7"/>
  <c r="DQ8" i="7"/>
  <c r="DD8" i="7"/>
  <c r="CV8" i="7"/>
  <c r="CN8" i="7"/>
  <c r="CE8" i="7"/>
  <c r="BV8" i="7"/>
  <c r="BN8" i="7"/>
  <c r="BF8" i="7"/>
  <c r="AX8" i="7"/>
  <c r="AP8" i="7"/>
  <c r="AH8" i="7"/>
  <c r="Z8" i="7"/>
  <c r="O8" i="7"/>
  <c r="G8" i="7"/>
  <c r="DM8" i="7"/>
  <c r="DA8" i="7"/>
  <c r="CR8" i="7"/>
  <c r="CH8" i="7"/>
  <c r="BY8" i="7"/>
  <c r="BO8" i="7"/>
  <c r="BE8" i="7"/>
  <c r="AV8" i="7"/>
  <c r="AM8" i="7"/>
  <c r="AD8" i="7"/>
  <c r="U8" i="7"/>
  <c r="I8" i="7"/>
  <c r="DY8" i="7"/>
  <c r="DH8" i="7"/>
  <c r="CW8" i="7"/>
  <c r="CL8" i="7"/>
  <c r="CA8" i="7"/>
  <c r="BP8" i="7"/>
  <c r="BD8" i="7"/>
  <c r="AT8" i="7"/>
  <c r="AJ8" i="7"/>
  <c r="Y8" i="7"/>
  <c r="L8" i="7"/>
  <c r="DG8" i="7"/>
  <c r="CU8" i="7"/>
  <c r="CK8" i="7"/>
  <c r="BZ8" i="7"/>
  <c r="BM8" i="7"/>
  <c r="BC8" i="7"/>
  <c r="AS8" i="7"/>
  <c r="AI8" i="7"/>
  <c r="X8" i="7"/>
  <c r="K8" i="7"/>
  <c r="AK8" i="7"/>
  <c r="AY8" i="7"/>
  <c r="CB8" i="7"/>
  <c r="CP8" i="7"/>
  <c r="DC8" i="7"/>
  <c r="J12" i="7"/>
  <c r="AO12" i="7"/>
  <c r="BR12" i="7"/>
  <c r="CT12" i="7"/>
  <c r="I13" i="7"/>
  <c r="AN13" i="7"/>
  <c r="BO13" i="7"/>
  <c r="CS13" i="7"/>
  <c r="AK15" i="7"/>
  <c r="AW15" i="7"/>
  <c r="BM15" i="7"/>
  <c r="CB15" i="7"/>
  <c r="CP15" i="7"/>
  <c r="DG15" i="7"/>
  <c r="AS6" i="7"/>
  <c r="DM6" i="7"/>
  <c r="CW7" i="7"/>
  <c r="DQ9" i="7"/>
  <c r="DD9" i="7"/>
  <c r="CV9" i="7"/>
  <c r="CN9" i="7"/>
  <c r="CE9" i="7"/>
  <c r="BV9" i="7"/>
  <c r="BN9" i="7"/>
  <c r="BF9" i="7"/>
  <c r="AX9" i="7"/>
  <c r="AP9" i="7"/>
  <c r="AH9" i="7"/>
  <c r="Z9" i="7"/>
  <c r="O9" i="7"/>
  <c r="G9" i="7"/>
  <c r="DY9" i="7"/>
  <c r="DI9" i="7"/>
  <c r="CY9" i="7"/>
  <c r="CP9" i="7"/>
  <c r="CF9" i="7"/>
  <c r="BU9" i="7"/>
  <c r="BL9" i="7"/>
  <c r="BC9" i="7"/>
  <c r="AT9" i="7"/>
  <c r="AK9" i="7"/>
  <c r="AB9" i="7"/>
  <c r="S9" i="7"/>
  <c r="F9" i="7"/>
  <c r="DM9" i="7"/>
  <c r="CZ9" i="7"/>
  <c r="CO9" i="7"/>
  <c r="CC9" i="7"/>
  <c r="BR9" i="7"/>
  <c r="BH9" i="7"/>
  <c r="AW9" i="7"/>
  <c r="AM9" i="7"/>
  <c r="AC9" i="7"/>
  <c r="N9" i="7"/>
  <c r="DK9" i="7"/>
  <c r="CX9" i="7"/>
  <c r="CM9" i="7"/>
  <c r="CB9" i="7"/>
  <c r="BQ9" i="7"/>
  <c r="BG9" i="7"/>
  <c r="AV9" i="7"/>
  <c r="AL9" i="7"/>
  <c r="AA9" i="7"/>
  <c r="M9" i="7"/>
  <c r="AI9" i="7"/>
  <c r="BK9" i="7"/>
  <c r="BZ9" i="7"/>
  <c r="DC9" i="7"/>
  <c r="M12" i="7"/>
  <c r="BS12" i="7"/>
  <c r="AO13" i="7"/>
  <c r="F15" i="7"/>
  <c r="Y15" i="7"/>
  <c r="AZ15" i="7"/>
  <c r="CC15" i="7"/>
  <c r="CQ15" i="7"/>
  <c r="DH15" i="7"/>
  <c r="DY15" i="7"/>
  <c r="L3" i="7"/>
  <c r="AG3" i="7"/>
  <c r="AY3" i="7"/>
  <c r="BS3" i="7"/>
  <c r="DB3" i="7"/>
  <c r="Y4" i="7"/>
  <c r="BJ4" i="7"/>
  <c r="DQ5" i="7"/>
  <c r="DD5" i="7"/>
  <c r="CV5" i="7"/>
  <c r="CN5" i="7"/>
  <c r="CE5" i="7"/>
  <c r="BV5" i="7"/>
  <c r="BN5" i="7"/>
  <c r="BF5" i="7"/>
  <c r="AX5" i="7"/>
  <c r="AP5" i="7"/>
  <c r="DY5" i="7"/>
  <c r="DI5" i="7"/>
  <c r="CY5" i="7"/>
  <c r="CP5" i="7"/>
  <c r="CF5" i="7"/>
  <c r="BU5" i="7"/>
  <c r="BL5" i="7"/>
  <c r="BC5" i="7"/>
  <c r="AT5" i="7"/>
  <c r="AK5" i="7"/>
  <c r="AC5" i="7"/>
  <c r="U5" i="7"/>
  <c r="J5" i="7"/>
  <c r="DM5" i="7"/>
  <c r="CZ5" i="7"/>
  <c r="CO5" i="7"/>
  <c r="CC5" i="7"/>
  <c r="BR5" i="7"/>
  <c r="BH5" i="7"/>
  <c r="AW5" i="7"/>
  <c r="AM5" i="7"/>
  <c r="AD5" i="7"/>
  <c r="T5" i="7"/>
  <c r="H5" i="7"/>
  <c r="DK5" i="7"/>
  <c r="CX5" i="7"/>
  <c r="CM5" i="7"/>
  <c r="CB5" i="7"/>
  <c r="BQ5" i="7"/>
  <c r="BG5" i="7"/>
  <c r="AV5" i="7"/>
  <c r="AL5" i="7"/>
  <c r="AB5" i="7"/>
  <c r="S5" i="7"/>
  <c r="G5" i="7"/>
  <c r="V5" i="7"/>
  <c r="AG5" i="7"/>
  <c r="AS5" i="7"/>
  <c r="BI5" i="7"/>
  <c r="BX5" i="7"/>
  <c r="CK5" i="7"/>
  <c r="DA5" i="7"/>
  <c r="N6" i="7"/>
  <c r="AF6" i="7"/>
  <c r="AT6" i="7"/>
  <c r="BG6" i="7"/>
  <c r="BX6" i="7"/>
  <c r="CK6" i="7"/>
  <c r="CY6" i="7"/>
  <c r="M7" i="7"/>
  <c r="BS7" i="7"/>
  <c r="H8" i="7"/>
  <c r="CD8" i="7"/>
  <c r="AJ9" i="7"/>
  <c r="DQ10" i="7"/>
  <c r="DD10" i="7"/>
  <c r="CV10" i="7"/>
  <c r="CN10" i="7"/>
  <c r="CE10" i="7"/>
  <c r="BV10" i="7"/>
  <c r="BN10" i="7"/>
  <c r="BF10" i="7"/>
  <c r="AX10" i="7"/>
  <c r="AP10" i="7"/>
  <c r="AH10" i="7"/>
  <c r="Z10" i="7"/>
  <c r="O10" i="7"/>
  <c r="G10" i="7"/>
  <c r="DG10" i="7"/>
  <c r="CW10" i="7"/>
  <c r="CM10" i="7"/>
  <c r="CC10" i="7"/>
  <c r="BS10" i="7"/>
  <c r="BJ10" i="7"/>
  <c r="BA10" i="7"/>
  <c r="AR10" i="7"/>
  <c r="AI10" i="7"/>
  <c r="Y10" i="7"/>
  <c r="M10" i="7"/>
  <c r="DS10" i="7"/>
  <c r="DB10" i="7"/>
  <c r="CR10" i="7"/>
  <c r="CG10" i="7"/>
  <c r="BU10" i="7"/>
  <c r="BK10" i="7"/>
  <c r="AZ10" i="7"/>
  <c r="AO10" i="7"/>
  <c r="AE10" i="7"/>
  <c r="U10" i="7"/>
  <c r="H10" i="7"/>
  <c r="DO10" i="7"/>
  <c r="DA10" i="7"/>
  <c r="CQ10" i="7"/>
  <c r="CF10" i="7"/>
  <c r="BT10" i="7"/>
  <c r="BI10" i="7"/>
  <c r="AY10" i="7"/>
  <c r="AN10" i="7"/>
  <c r="AD10" i="7"/>
  <c r="T10" i="7"/>
  <c r="F10" i="7"/>
  <c r="W10" i="7"/>
  <c r="AK10" i="7"/>
  <c r="AW10" i="7"/>
  <c r="BM10" i="7"/>
  <c r="CA10" i="7"/>
  <c r="CP10" i="7"/>
  <c r="DE10" i="7"/>
  <c r="DY10" i="7"/>
  <c r="N12" i="7"/>
  <c r="AE12" i="7"/>
  <c r="AR12" i="7"/>
  <c r="BH12" i="7"/>
  <c r="BT12" i="7"/>
  <c r="CI12" i="7"/>
  <c r="CY12" i="7"/>
  <c r="K13" i="7"/>
  <c r="AD13" i="7"/>
  <c r="AQ13" i="7"/>
  <c r="BD13" i="7"/>
  <c r="BS13" i="7"/>
  <c r="CH13" i="7"/>
  <c r="CU13" i="7"/>
  <c r="DO13" i="7"/>
  <c r="K14" i="7"/>
  <c r="AB14" i="7"/>
  <c r="AQ14" i="7"/>
  <c r="BD14" i="7"/>
  <c r="BQ14" i="7"/>
  <c r="CH14" i="7"/>
  <c r="CU14" i="7"/>
  <c r="DK14" i="7"/>
  <c r="J15" i="7"/>
  <c r="AA15" i="7"/>
  <c r="AM15" i="7"/>
  <c r="BC15" i="7"/>
  <c r="BP15" i="7"/>
  <c r="CD15" i="7"/>
  <c r="CU15" i="7"/>
  <c r="DQ16" i="7"/>
  <c r="DD16" i="7"/>
  <c r="CV16" i="7"/>
  <c r="CN16" i="7"/>
  <c r="CE16" i="7"/>
  <c r="BV16" i="7"/>
  <c r="BN16" i="7"/>
  <c r="BF16" i="7"/>
  <c r="AX16" i="7"/>
  <c r="AP16" i="7"/>
  <c r="AH16" i="7"/>
  <c r="Z16" i="7"/>
  <c r="O16" i="7"/>
  <c r="G16" i="7"/>
  <c r="DO16" i="7"/>
  <c r="DB16" i="7"/>
  <c r="CS16" i="7"/>
  <c r="CI16" i="7"/>
  <c r="BZ16" i="7"/>
  <c r="BP16" i="7"/>
  <c r="BG16" i="7"/>
  <c r="AW16" i="7"/>
  <c r="AN16" i="7"/>
  <c r="AE16" i="7"/>
  <c r="DM16" i="7"/>
  <c r="DA16" i="7"/>
  <c r="CR16" i="7"/>
  <c r="CH16" i="7"/>
  <c r="BY16" i="7"/>
  <c r="BO16" i="7"/>
  <c r="BE16" i="7"/>
  <c r="AV16" i="7"/>
  <c r="AM16" i="7"/>
  <c r="AD16" i="7"/>
  <c r="U16" i="7"/>
  <c r="I16" i="7"/>
  <c r="DI16" i="7"/>
  <c r="CW16" i="7"/>
  <c r="CK16" i="7"/>
  <c r="BU16" i="7"/>
  <c r="BJ16" i="7"/>
  <c r="AY16" i="7"/>
  <c r="AK16" i="7"/>
  <c r="Y16" i="7"/>
  <c r="L16" i="7"/>
  <c r="DH16" i="7"/>
  <c r="CU16" i="7"/>
  <c r="CG16" i="7"/>
  <c r="BT16" i="7"/>
  <c r="BI16" i="7"/>
  <c r="AU16" i="7"/>
  <c r="AJ16" i="7"/>
  <c r="X16" i="7"/>
  <c r="K16" i="7"/>
  <c r="V16" i="7"/>
  <c r="AL16" i="7"/>
  <c r="BB16" i="7"/>
  <c r="BR16" i="7"/>
  <c r="CL16" i="7"/>
  <c r="CZ16" i="7"/>
  <c r="AE23" i="7"/>
  <c r="CL23" i="7"/>
  <c r="AK6" i="7"/>
  <c r="AW6" i="7"/>
  <c r="CA6" i="7"/>
  <c r="CP6" i="7"/>
  <c r="DE6" i="7"/>
  <c r="DY6" i="7"/>
  <c r="DQ12" i="7"/>
  <c r="DD12" i="7"/>
  <c r="CV12" i="7"/>
  <c r="CN12" i="7"/>
  <c r="CE12" i="7"/>
  <c r="BV12" i="7"/>
  <c r="BN12" i="7"/>
  <c r="BF12" i="7"/>
  <c r="AX12" i="7"/>
  <c r="AP12" i="7"/>
  <c r="AH12" i="7"/>
  <c r="Z12" i="7"/>
  <c r="O12" i="7"/>
  <c r="G12" i="7"/>
  <c r="DM12" i="7"/>
  <c r="DA12" i="7"/>
  <c r="CR12" i="7"/>
  <c r="CH12" i="7"/>
  <c r="BY12" i="7"/>
  <c r="BO12" i="7"/>
  <c r="BE12" i="7"/>
  <c r="AV12" i="7"/>
  <c r="AM12" i="7"/>
  <c r="AD12" i="7"/>
  <c r="U12" i="7"/>
  <c r="I12" i="7"/>
  <c r="DY12" i="7"/>
  <c r="DH12" i="7"/>
  <c r="CW12" i="7"/>
  <c r="CL12" i="7"/>
  <c r="CA12" i="7"/>
  <c r="BP12" i="7"/>
  <c r="BD12" i="7"/>
  <c r="AT12" i="7"/>
  <c r="AJ12" i="7"/>
  <c r="Y12" i="7"/>
  <c r="L12" i="7"/>
  <c r="DG12" i="7"/>
  <c r="CU12" i="7"/>
  <c r="CK12" i="7"/>
  <c r="BZ12" i="7"/>
  <c r="BM12" i="7"/>
  <c r="BC12" i="7"/>
  <c r="AS12" i="7"/>
  <c r="AI12" i="7"/>
  <c r="X12" i="7"/>
  <c r="K12" i="7"/>
  <c r="AK12" i="7"/>
  <c r="CB12" i="7"/>
  <c r="DC12" i="7"/>
  <c r="AL6" i="7"/>
  <c r="BO6" i="7"/>
  <c r="X7" i="7"/>
  <c r="W12" i="7"/>
  <c r="CC12" i="7"/>
  <c r="V13" i="7"/>
  <c r="K6" i="7"/>
  <c r="AQ6" i="7"/>
  <c r="CH6" i="7"/>
  <c r="AA7" i="7"/>
  <c r="DI7" i="7"/>
  <c r="DQ15" i="7"/>
  <c r="DD15" i="7"/>
  <c r="CV15" i="7"/>
  <c r="CN15" i="7"/>
  <c r="CE15" i="7"/>
  <c r="BV15" i="7"/>
  <c r="BN15" i="7"/>
  <c r="BF15" i="7"/>
  <c r="AX15" i="7"/>
  <c r="AP15" i="7"/>
  <c r="AH15" i="7"/>
  <c r="Z15" i="7"/>
  <c r="O15" i="7"/>
  <c r="G15" i="7"/>
  <c r="DS15" i="7"/>
  <c r="DC15" i="7"/>
  <c r="CT15" i="7"/>
  <c r="CK15" i="7"/>
  <c r="CA15" i="7"/>
  <c r="BQ15" i="7"/>
  <c r="BH15" i="7"/>
  <c r="AY15" i="7"/>
  <c r="AO15" i="7"/>
  <c r="AF15" i="7"/>
  <c r="W15" i="7"/>
  <c r="K15" i="7"/>
  <c r="DE15" i="7"/>
  <c r="CS15" i="7"/>
  <c r="CH15" i="7"/>
  <c r="BX15" i="7"/>
  <c r="BL15" i="7"/>
  <c r="BB15" i="7"/>
  <c r="AR15" i="7"/>
  <c r="AG15" i="7"/>
  <c r="V15" i="7"/>
  <c r="I15" i="7"/>
  <c r="DB15" i="7"/>
  <c r="CR15" i="7"/>
  <c r="CG15" i="7"/>
  <c r="BU15" i="7"/>
  <c r="BK15" i="7"/>
  <c r="BA15" i="7"/>
  <c r="AQ15" i="7"/>
  <c r="AE15" i="7"/>
  <c r="U15" i="7"/>
  <c r="H15" i="7"/>
  <c r="AC6" i="7"/>
  <c r="BE6" i="7"/>
  <c r="CI6" i="7"/>
  <c r="L7" i="7"/>
  <c r="AN7" i="7"/>
  <c r="BD7" i="7"/>
  <c r="CF7" i="7"/>
  <c r="DK7" i="7"/>
  <c r="W8" i="7"/>
  <c r="AL8" i="7"/>
  <c r="AZ8" i="7"/>
  <c r="BL8" i="7"/>
  <c r="CQ8" i="7"/>
  <c r="DE8" i="7"/>
  <c r="V9" i="7"/>
  <c r="AY9" i="7"/>
  <c r="CQ9" i="7"/>
  <c r="AC12" i="7"/>
  <c r="BG12" i="7"/>
  <c r="CX12" i="7"/>
  <c r="DO12" i="7"/>
  <c r="Y13" i="7"/>
  <c r="BB13" i="7"/>
  <c r="BP13" i="7"/>
  <c r="CG13" i="7"/>
  <c r="CT13" i="7"/>
  <c r="DH13" i="7"/>
  <c r="BO15" i="7"/>
  <c r="X3" i="7"/>
  <c r="AP3" i="7"/>
  <c r="BH3" i="7"/>
  <c r="CE3" i="7"/>
  <c r="CP3" i="7"/>
  <c r="DS3" i="7"/>
  <c r="H4" i="7"/>
  <c r="AJ4" i="7"/>
  <c r="AV4" i="7"/>
  <c r="BU4" i="7"/>
  <c r="CG4" i="7"/>
  <c r="CV4" i="7"/>
  <c r="DI4" i="7"/>
  <c r="AC7" i="7"/>
  <c r="AS7" i="7"/>
  <c r="BE7" i="7"/>
  <c r="CI7" i="7"/>
  <c r="CX7" i="7"/>
  <c r="DM7" i="7"/>
  <c r="AA8" i="7"/>
  <c r="AN8" i="7"/>
  <c r="BA8" i="7"/>
  <c r="BQ8" i="7"/>
  <c r="CS8" i="7"/>
  <c r="DI8" i="7"/>
  <c r="H9" i="7"/>
  <c r="W9" i="7"/>
  <c r="AZ9" i="7"/>
  <c r="BM9" i="7"/>
  <c r="CA9" i="7"/>
  <c r="CR9" i="7"/>
  <c r="DE9" i="7"/>
  <c r="M3" i="7"/>
  <c r="Y3" i="7"/>
  <c r="AH3" i="7"/>
  <c r="AQ3" i="7"/>
  <c r="AZ3" i="7"/>
  <c r="BJ3" i="7"/>
  <c r="BU3" i="7"/>
  <c r="CF3" i="7"/>
  <c r="CR3" i="7"/>
  <c r="I4" i="7"/>
  <c r="Z4" i="7"/>
  <c r="AL4" i="7"/>
  <c r="AW4" i="7"/>
  <c r="BK4" i="7"/>
  <c r="BV4" i="7"/>
  <c r="CI4" i="7"/>
  <c r="CW4" i="7"/>
  <c r="DK4" i="7"/>
  <c r="F5" i="7"/>
  <c r="W5" i="7"/>
  <c r="AH5" i="7"/>
  <c r="AU5" i="7"/>
  <c r="BJ5" i="7"/>
  <c r="BY5" i="7"/>
  <c r="CL5" i="7"/>
  <c r="DB5" i="7"/>
  <c r="S6" i="7"/>
  <c r="AG6" i="7"/>
  <c r="AU6" i="7"/>
  <c r="BH6" i="7"/>
  <c r="BY6" i="7"/>
  <c r="CL6" i="7"/>
  <c r="CZ6" i="7"/>
  <c r="N7" i="7"/>
  <c r="AD7" i="7"/>
  <c r="AT7" i="7"/>
  <c r="BG7" i="7"/>
  <c r="BT7" i="7"/>
  <c r="CL7" i="7"/>
  <c r="CY7" i="7"/>
  <c r="DO7" i="7"/>
  <c r="J8" i="7"/>
  <c r="AB8" i="7"/>
  <c r="AO8" i="7"/>
  <c r="BB8" i="7"/>
  <c r="BR8" i="7"/>
  <c r="CF8" i="7"/>
  <c r="CT8" i="7"/>
  <c r="DK8" i="7"/>
  <c r="I9" i="7"/>
  <c r="X9" i="7"/>
  <c r="AN9" i="7"/>
  <c r="BA9" i="7"/>
  <c r="BO9" i="7"/>
  <c r="CD9" i="7"/>
  <c r="CS9" i="7"/>
  <c r="DG9" i="7"/>
  <c r="I10" i="7"/>
  <c r="X10" i="7"/>
  <c r="AL10" i="7"/>
  <c r="BB10" i="7"/>
  <c r="BO10" i="7"/>
  <c r="CB10" i="7"/>
  <c r="CS10" i="7"/>
  <c r="DH10" i="7"/>
  <c r="DQ11" i="7"/>
  <c r="DD11" i="7"/>
  <c r="CV11" i="7"/>
  <c r="CN11" i="7"/>
  <c r="CE11" i="7"/>
  <c r="BV11" i="7"/>
  <c r="BN11" i="7"/>
  <c r="BF11" i="7"/>
  <c r="AX11" i="7"/>
  <c r="AP11" i="7"/>
  <c r="AH11" i="7"/>
  <c r="Z11" i="7"/>
  <c r="O11" i="7"/>
  <c r="G11" i="7"/>
  <c r="DS11" i="7"/>
  <c r="DC11" i="7"/>
  <c r="CT11" i="7"/>
  <c r="CK11" i="7"/>
  <c r="CA11" i="7"/>
  <c r="BQ11" i="7"/>
  <c r="BH11" i="7"/>
  <c r="AY11" i="7"/>
  <c r="AO11" i="7"/>
  <c r="AF11" i="7"/>
  <c r="W11" i="7"/>
  <c r="K11" i="7"/>
  <c r="DE11" i="7"/>
  <c r="CS11" i="7"/>
  <c r="CH11" i="7"/>
  <c r="BX11" i="7"/>
  <c r="BL11" i="7"/>
  <c r="BB11" i="7"/>
  <c r="AR11" i="7"/>
  <c r="AG11" i="7"/>
  <c r="V11" i="7"/>
  <c r="I11" i="7"/>
  <c r="DB11" i="7"/>
  <c r="CR11" i="7"/>
  <c r="CG11" i="7"/>
  <c r="BU11" i="7"/>
  <c r="BK11" i="7"/>
  <c r="BA11" i="7"/>
  <c r="AQ11" i="7"/>
  <c r="AE11" i="7"/>
  <c r="U11" i="7"/>
  <c r="H11" i="7"/>
  <c r="X11" i="7"/>
  <c r="AK11" i="7"/>
  <c r="AW11" i="7"/>
  <c r="BM11" i="7"/>
  <c r="CB11" i="7"/>
  <c r="CP11" i="7"/>
  <c r="DG11" i="7"/>
  <c r="S12" i="7"/>
  <c r="AF12" i="7"/>
  <c r="AU12" i="7"/>
  <c r="BI12" i="7"/>
  <c r="BU12" i="7"/>
  <c r="CM12" i="7"/>
  <c r="CZ12" i="7"/>
  <c r="L13" i="7"/>
  <c r="AE13" i="7"/>
  <c r="AR13" i="7"/>
  <c r="BE13" i="7"/>
  <c r="BT13" i="7"/>
  <c r="CI13" i="7"/>
  <c r="CW13" i="7"/>
  <c r="L14" i="7"/>
  <c r="AC14" i="7"/>
  <c r="AS14" i="7"/>
  <c r="BE14" i="7"/>
  <c r="BR14" i="7"/>
  <c r="CI14" i="7"/>
  <c r="CX14" i="7"/>
  <c r="DM14" i="7"/>
  <c r="L15" i="7"/>
  <c r="AB15" i="7"/>
  <c r="AN15" i="7"/>
  <c r="BD15" i="7"/>
  <c r="BR15" i="7"/>
  <c r="CF15" i="7"/>
  <c r="CW15" i="7"/>
  <c r="DK15" i="7"/>
  <c r="F16" i="7"/>
  <c r="W16" i="7"/>
  <c r="AO16" i="7"/>
  <c r="BC16" i="7"/>
  <c r="BS16" i="7"/>
  <c r="CM16" i="7"/>
  <c r="DC16" i="7"/>
  <c r="DY16" i="7"/>
  <c r="AK23" i="7"/>
  <c r="CP23" i="7"/>
  <c r="W6" i="7"/>
  <c r="X6" i="7"/>
  <c r="BB6" i="7"/>
  <c r="CB6" i="7"/>
  <c r="DH6" i="7"/>
  <c r="AK7" i="7"/>
  <c r="CB7" i="7"/>
  <c r="DQ13" i="7"/>
  <c r="DD13" i="7"/>
  <c r="CV13" i="7"/>
  <c r="CN13" i="7"/>
  <c r="CE13" i="7"/>
  <c r="BV13" i="7"/>
  <c r="BN13" i="7"/>
  <c r="BF13" i="7"/>
  <c r="AX13" i="7"/>
  <c r="AP13" i="7"/>
  <c r="AH13" i="7"/>
  <c r="Z13" i="7"/>
  <c r="O13" i="7"/>
  <c r="G13" i="7"/>
  <c r="DY13" i="7"/>
  <c r="DI13" i="7"/>
  <c r="CY13" i="7"/>
  <c r="CP13" i="7"/>
  <c r="CF13" i="7"/>
  <c r="BU13" i="7"/>
  <c r="BL13" i="7"/>
  <c r="BC13" i="7"/>
  <c r="AT13" i="7"/>
  <c r="AK13" i="7"/>
  <c r="AB13" i="7"/>
  <c r="S13" i="7"/>
  <c r="F13" i="7"/>
  <c r="DM13" i="7"/>
  <c r="CZ13" i="7"/>
  <c r="CO13" i="7"/>
  <c r="CC13" i="7"/>
  <c r="BR13" i="7"/>
  <c r="BH13" i="7"/>
  <c r="AW13" i="7"/>
  <c r="AM13" i="7"/>
  <c r="AC13" i="7"/>
  <c r="N13" i="7"/>
  <c r="DK13" i="7"/>
  <c r="CX13" i="7"/>
  <c r="CM13" i="7"/>
  <c r="CB13" i="7"/>
  <c r="BQ13" i="7"/>
  <c r="BG13" i="7"/>
  <c r="AV13" i="7"/>
  <c r="AL13" i="7"/>
  <c r="AA13" i="7"/>
  <c r="M13" i="7"/>
  <c r="AI13" i="7"/>
  <c r="AY13" i="7"/>
  <c r="BZ13" i="7"/>
  <c r="CQ13" i="7"/>
  <c r="DC13" i="7"/>
  <c r="AB6" i="7"/>
  <c r="BD6" i="7"/>
  <c r="BQ6" i="7"/>
  <c r="DK6" i="7"/>
  <c r="J7" i="7"/>
  <c r="AM7" i="7"/>
  <c r="BC7" i="7"/>
  <c r="BP7" i="7"/>
  <c r="CD7" i="7"/>
  <c r="CU7" i="7"/>
  <c r="V8" i="7"/>
  <c r="BK8" i="7"/>
  <c r="AB12" i="7"/>
  <c r="BB12" i="7"/>
  <c r="CF12" i="7"/>
  <c r="DK12" i="7"/>
  <c r="X13" i="7"/>
  <c r="BA13" i="7"/>
  <c r="CD13" i="7"/>
  <c r="DG13" i="7"/>
  <c r="X15" i="7"/>
  <c r="L6" i="7"/>
  <c r="BR6" i="7"/>
  <c r="CX6" i="7"/>
  <c r="AB7" i="7"/>
  <c r="BR7" i="7"/>
  <c r="F8" i="7"/>
  <c r="CC8" i="7"/>
  <c r="AQ12" i="7"/>
  <c r="CG12" i="7"/>
  <c r="J13" i="7"/>
  <c r="AL15" i="7"/>
  <c r="DH3" i="7"/>
  <c r="CY3" i="7"/>
  <c r="CQ3" i="7"/>
  <c r="CH3" i="7"/>
  <c r="BZ3" i="7"/>
  <c r="BQ3" i="7"/>
  <c r="BI3" i="7"/>
  <c r="BA3" i="7"/>
  <c r="AS3" i="7"/>
  <c r="AK3" i="7"/>
  <c r="AC3" i="7"/>
  <c r="U3" i="7"/>
  <c r="J3" i="7"/>
  <c r="DI3" i="7"/>
  <c r="CX3" i="7"/>
  <c r="DG3" i="7"/>
  <c r="CW3" i="7"/>
  <c r="CN3" i="7"/>
  <c r="CD3" i="7"/>
  <c r="BT3" i="7"/>
  <c r="BK3" i="7"/>
  <c r="N3" i="7"/>
  <c r="Z3" i="7"/>
  <c r="AI3" i="7"/>
  <c r="AR3" i="7"/>
  <c r="BB3" i="7"/>
  <c r="BL3" i="7"/>
  <c r="BV3" i="7"/>
  <c r="CG3" i="7"/>
  <c r="CS3" i="7"/>
  <c r="DD3" i="7"/>
  <c r="M4" i="7"/>
  <c r="AA4" i="7"/>
  <c r="AM4" i="7"/>
  <c r="AZ4" i="7"/>
  <c r="BL4" i="7"/>
  <c r="BX4" i="7"/>
  <c r="CM4" i="7"/>
  <c r="CX4" i="7"/>
  <c r="DM4" i="7"/>
  <c r="V6" i="7"/>
  <c r="AJ6" i="7"/>
  <c r="AV6" i="7"/>
  <c r="BL6" i="7"/>
  <c r="BZ6" i="7"/>
  <c r="CO6" i="7"/>
  <c r="DC6" i="7"/>
  <c r="S7" i="7"/>
  <c r="AI7" i="7"/>
  <c r="AU7" i="7"/>
  <c r="BI7" i="7"/>
  <c r="BY7" i="7"/>
  <c r="CM7" i="7"/>
  <c r="CZ7" i="7"/>
  <c r="M8" i="7"/>
  <c r="AC8" i="7"/>
  <c r="AQ8" i="7"/>
  <c r="BG8" i="7"/>
  <c r="BS8" i="7"/>
  <c r="CG8" i="7"/>
  <c r="CX8" i="7"/>
  <c r="DO8" i="7"/>
  <c r="J9" i="7"/>
  <c r="Y9" i="7"/>
  <c r="AO9" i="7"/>
  <c r="BB9" i="7"/>
  <c r="BP9" i="7"/>
  <c r="CG9" i="7"/>
  <c r="CT9" i="7"/>
  <c r="DH9" i="7"/>
  <c r="T12" i="7"/>
  <c r="AG12" i="7"/>
  <c r="AW12" i="7"/>
  <c r="BJ12" i="7"/>
  <c r="BX12" i="7"/>
  <c r="CO12" i="7"/>
  <c r="DB12" i="7"/>
  <c r="T13" i="7"/>
  <c r="AF13" i="7"/>
  <c r="AS13" i="7"/>
  <c r="BI13" i="7"/>
  <c r="BX13" i="7"/>
  <c r="CK13" i="7"/>
  <c r="DA13" i="7"/>
  <c r="N14" i="7"/>
  <c r="AF14" i="7"/>
  <c r="AT14" i="7"/>
  <c r="BG14" i="7"/>
  <c r="BX14" i="7"/>
  <c r="CK14" i="7"/>
  <c r="CY14" i="7"/>
  <c r="M15" i="7"/>
  <c r="AC15" i="7"/>
  <c r="AS15" i="7"/>
  <c r="BE15" i="7"/>
  <c r="BS15" i="7"/>
  <c r="CI15" i="7"/>
  <c r="CX15" i="7"/>
  <c r="DM15" i="7"/>
  <c r="AR23" i="7"/>
  <c r="CX23" i="7"/>
  <c r="DQ19" i="7"/>
  <c r="DD19" i="7"/>
  <c r="CV19" i="7"/>
  <c r="CN19" i="7"/>
  <c r="CE19" i="7"/>
  <c r="BV19" i="7"/>
  <c r="BN19" i="7"/>
  <c r="BF19" i="7"/>
  <c r="AX19" i="7"/>
  <c r="AP19" i="7"/>
  <c r="AH19" i="7"/>
  <c r="Z19" i="7"/>
  <c r="O19" i="7"/>
  <c r="G19" i="7"/>
  <c r="DE19" i="7"/>
  <c r="CU19" i="7"/>
  <c r="CL19" i="7"/>
  <c r="CB19" i="7"/>
  <c r="BR19" i="7"/>
  <c r="BI19" i="7"/>
  <c r="AZ19" i="7"/>
  <c r="AQ19" i="7"/>
  <c r="AG19" i="7"/>
  <c r="X19" i="7"/>
  <c r="L19" i="7"/>
  <c r="DS19" i="7"/>
  <c r="DC19" i="7"/>
  <c r="CT19" i="7"/>
  <c r="CK19" i="7"/>
  <c r="CA19" i="7"/>
  <c r="BQ19" i="7"/>
  <c r="BH19" i="7"/>
  <c r="AY19" i="7"/>
  <c r="AO19" i="7"/>
  <c r="AF19" i="7"/>
  <c r="W19" i="7"/>
  <c r="K19" i="7"/>
  <c r="T19" i="7"/>
  <c r="AE19" i="7"/>
  <c r="AS19" i="7"/>
  <c r="BD19" i="7"/>
  <c r="BP19" i="7"/>
  <c r="CD19" i="7"/>
  <c r="CQ19" i="7"/>
  <c r="DB19" i="7"/>
  <c r="DQ17" i="7"/>
  <c r="DD17" i="7"/>
  <c r="CV17" i="7"/>
  <c r="CN17" i="7"/>
  <c r="CE17" i="7"/>
  <c r="BV17" i="7"/>
  <c r="BN17" i="7"/>
  <c r="BF17" i="7"/>
  <c r="AX17" i="7"/>
  <c r="AP17" i="7"/>
  <c r="AH17" i="7"/>
  <c r="Z17" i="7"/>
  <c r="O17" i="7"/>
  <c r="G17" i="7"/>
  <c r="DK17" i="7"/>
  <c r="CZ17" i="7"/>
  <c r="CQ17" i="7"/>
  <c r="CG17" i="7"/>
  <c r="BX17" i="7"/>
  <c r="BM17" i="7"/>
  <c r="BD17" i="7"/>
  <c r="AU17" i="7"/>
  <c r="AL17" i="7"/>
  <c r="AC17" i="7"/>
  <c r="T17" i="7"/>
  <c r="H17" i="7"/>
  <c r="DY17" i="7"/>
  <c r="DI17" i="7"/>
  <c r="CY17" i="7"/>
  <c r="CP17" i="7"/>
  <c r="CF17" i="7"/>
  <c r="BU17" i="7"/>
  <c r="BL17" i="7"/>
  <c r="BC17" i="7"/>
  <c r="AT17" i="7"/>
  <c r="AK17" i="7"/>
  <c r="AB17" i="7"/>
  <c r="S17" i="7"/>
  <c r="F17" i="7"/>
  <c r="V17" i="7"/>
  <c r="AG17" i="7"/>
  <c r="AS17" i="7"/>
  <c r="BG17" i="7"/>
  <c r="BR17" i="7"/>
  <c r="CD17" i="7"/>
  <c r="CS17" i="7"/>
  <c r="DE17" i="7"/>
  <c r="I19" i="7"/>
  <c r="Y19" i="7"/>
  <c r="AK19" i="7"/>
  <c r="AV19" i="7"/>
  <c r="BJ19" i="7"/>
  <c r="BU19" i="7"/>
  <c r="CH19" i="7"/>
  <c r="CW19" i="7"/>
  <c r="DI19" i="7"/>
  <c r="DS20" i="7"/>
  <c r="DE20" i="7"/>
  <c r="CW20" i="7"/>
  <c r="CO20" i="7"/>
  <c r="CF20" i="7"/>
  <c r="BX20" i="7"/>
  <c r="BO20" i="7"/>
  <c r="BG20" i="7"/>
  <c r="AY20" i="7"/>
  <c r="AQ20" i="7"/>
  <c r="AI20" i="7"/>
  <c r="AA20" i="7"/>
  <c r="S20" i="7"/>
  <c r="H20" i="7"/>
  <c r="DK20" i="7"/>
  <c r="CZ20" i="7"/>
  <c r="CQ20" i="7"/>
  <c r="CG20" i="7"/>
  <c r="BV20" i="7"/>
  <c r="BM20" i="7"/>
  <c r="BD20" i="7"/>
  <c r="AU20" i="7"/>
  <c r="AL20" i="7"/>
  <c r="AC20" i="7"/>
  <c r="T20" i="7"/>
  <c r="G20" i="7"/>
  <c r="DG20" i="7"/>
  <c r="CU20" i="7"/>
  <c r="CK20" i="7"/>
  <c r="BZ20" i="7"/>
  <c r="BN20" i="7"/>
  <c r="BC20" i="7"/>
  <c r="AS20" i="7"/>
  <c r="AH20" i="7"/>
  <c r="X20" i="7"/>
  <c r="K20" i="7"/>
  <c r="DD20" i="7"/>
  <c r="CT20" i="7"/>
  <c r="CI20" i="7"/>
  <c r="BY20" i="7"/>
  <c r="BL20" i="7"/>
  <c r="BB20" i="7"/>
  <c r="AR20" i="7"/>
  <c r="AG20" i="7"/>
  <c r="W20" i="7"/>
  <c r="J20" i="7"/>
  <c r="V20" i="7"/>
  <c r="AK20" i="7"/>
  <c r="AX20" i="7"/>
  <c r="BK20" i="7"/>
  <c r="CB20" i="7"/>
  <c r="CP20" i="7"/>
  <c r="DC20" i="7"/>
  <c r="I17" i="7"/>
  <c r="W17" i="7"/>
  <c r="AI17" i="7"/>
  <c r="AV17" i="7"/>
  <c r="BH17" i="7"/>
  <c r="BS17" i="7"/>
  <c r="CH17" i="7"/>
  <c r="CT17" i="7"/>
  <c r="DG17" i="7"/>
  <c r="J19" i="7"/>
  <c r="AA19" i="7"/>
  <c r="AL19" i="7"/>
  <c r="AW19" i="7"/>
  <c r="BK19" i="7"/>
  <c r="BX19" i="7"/>
  <c r="CI19" i="7"/>
  <c r="CX19" i="7"/>
  <c r="DK19" i="7"/>
  <c r="F20" i="7"/>
  <c r="Y20" i="7"/>
  <c r="AM20" i="7"/>
  <c r="AZ20" i="7"/>
  <c r="BP20" i="7"/>
  <c r="CC20" i="7"/>
  <c r="CR20" i="7"/>
  <c r="DH20" i="7"/>
  <c r="DY20" i="7"/>
  <c r="DQ32" i="7"/>
  <c r="DD32" i="7"/>
  <c r="CV32" i="7"/>
  <c r="CN32" i="7"/>
  <c r="CE32" i="7"/>
  <c r="BV32" i="7"/>
  <c r="BN32" i="7"/>
  <c r="BF32" i="7"/>
  <c r="AX32" i="7"/>
  <c r="AP32" i="7"/>
  <c r="AH32" i="7"/>
  <c r="Z32" i="7"/>
  <c r="O32" i="7"/>
  <c r="G32" i="7"/>
  <c r="DY32" i="7"/>
  <c r="DK32" i="7"/>
  <c r="DA32" i="7"/>
  <c r="CS32" i="7"/>
  <c r="CK32" i="7"/>
  <c r="CB32" i="7"/>
  <c r="BS32" i="7"/>
  <c r="BK32" i="7"/>
  <c r="BC32" i="7"/>
  <c r="AU32" i="7"/>
  <c r="AM32" i="7"/>
  <c r="AE32" i="7"/>
  <c r="W32" i="7"/>
  <c r="L32" i="7"/>
  <c r="DO32" i="7"/>
  <c r="CZ32" i="7"/>
  <c r="CP32" i="7"/>
  <c r="CD32" i="7"/>
  <c r="BR32" i="7"/>
  <c r="BH32" i="7"/>
  <c r="AW32" i="7"/>
  <c r="AL32" i="7"/>
  <c r="AB32" i="7"/>
  <c r="N32" i="7"/>
  <c r="DG32" i="7"/>
  <c r="CT32" i="7"/>
  <c r="CG32" i="7"/>
  <c r="BT32" i="7"/>
  <c r="BG32" i="7"/>
  <c r="AT32" i="7"/>
  <c r="AI32" i="7"/>
  <c r="V32" i="7"/>
  <c r="H32" i="7"/>
  <c r="DI32" i="7"/>
  <c r="CU32" i="7"/>
  <c r="CF32" i="7"/>
  <c r="BP32" i="7"/>
  <c r="BB32" i="7"/>
  <c r="AO32" i="7"/>
  <c r="AA32" i="7"/>
  <c r="J32" i="7"/>
  <c r="DH32" i="7"/>
  <c r="CR32" i="7"/>
  <c r="CC32" i="7"/>
  <c r="BO32" i="7"/>
  <c r="BA32" i="7"/>
  <c r="AN32" i="7"/>
  <c r="Y32" i="7"/>
  <c r="I32" i="7"/>
  <c r="DE32" i="7"/>
  <c r="CQ32" i="7"/>
  <c r="CA32" i="7"/>
  <c r="BM32" i="7"/>
  <c r="AZ32" i="7"/>
  <c r="AK32" i="7"/>
  <c r="X32" i="7"/>
  <c r="F32" i="7"/>
  <c r="CY32" i="7"/>
  <c r="CL32" i="7"/>
  <c r="BX32" i="7"/>
  <c r="BI32" i="7"/>
  <c r="AS32" i="7"/>
  <c r="AF32" i="7"/>
  <c r="S32" i="7"/>
  <c r="AJ32" i="7"/>
  <c r="BL32" i="7"/>
  <c r="CO32" i="7"/>
  <c r="DM35" i="7"/>
  <c r="DB35" i="7"/>
  <c r="CT35" i="7"/>
  <c r="CL35" i="7"/>
  <c r="CC35" i="7"/>
  <c r="BT35" i="7"/>
  <c r="BL35" i="7"/>
  <c r="BD35" i="7"/>
  <c r="AV35" i="7"/>
  <c r="AN35" i="7"/>
  <c r="AF35" i="7"/>
  <c r="DG35" i="7"/>
  <c r="CW35" i="7"/>
  <c r="CN35" i="7"/>
  <c r="CD35" i="7"/>
  <c r="BS35" i="7"/>
  <c r="BJ35" i="7"/>
  <c r="BA35" i="7"/>
  <c r="AR35" i="7"/>
  <c r="AI35" i="7"/>
  <c r="Z35" i="7"/>
  <c r="O35" i="7"/>
  <c r="G35" i="7"/>
  <c r="DS35" i="7"/>
  <c r="DD35" i="7"/>
  <c r="CU35" i="7"/>
  <c r="CK35" i="7"/>
  <c r="CA35" i="7"/>
  <c r="DQ35" i="7"/>
  <c r="DC35" i="7"/>
  <c r="CS35" i="7"/>
  <c r="CI35" i="7"/>
  <c r="BZ35" i="7"/>
  <c r="BP35" i="7"/>
  <c r="BG35" i="7"/>
  <c r="AX35" i="7"/>
  <c r="AO35" i="7"/>
  <c r="AE35" i="7"/>
  <c r="W35" i="7"/>
  <c r="L35" i="7"/>
  <c r="DO35" i="7"/>
  <c r="CX35" i="7"/>
  <c r="CG35" i="7"/>
  <c r="BR35" i="7"/>
  <c r="BF35" i="7"/>
  <c r="AT35" i="7"/>
  <c r="AH35" i="7"/>
  <c r="V35" i="7"/>
  <c r="I35" i="7"/>
  <c r="CY35" i="7"/>
  <c r="CF35" i="7"/>
  <c r="BO35" i="7"/>
  <c r="BB35" i="7"/>
  <c r="AM35" i="7"/>
  <c r="AA35" i="7"/>
  <c r="K35" i="7"/>
  <c r="DY35" i="7"/>
  <c r="DA35" i="7"/>
  <c r="CH35" i="7"/>
  <c r="BN35" i="7"/>
  <c r="AY35" i="7"/>
  <c r="AJ35" i="7"/>
  <c r="T35" i="7"/>
  <c r="CZ35" i="7"/>
  <c r="CE35" i="7"/>
  <c r="BM35" i="7"/>
  <c r="AW35" i="7"/>
  <c r="AG35" i="7"/>
  <c r="S35" i="7"/>
  <c r="CV35" i="7"/>
  <c r="CB35" i="7"/>
  <c r="BK35" i="7"/>
  <c r="AU35" i="7"/>
  <c r="AD35" i="7"/>
  <c r="N35" i="7"/>
  <c r="DI35" i="7"/>
  <c r="CP35" i="7"/>
  <c r="BV35" i="7"/>
  <c r="BE35" i="7"/>
  <c r="AP35" i="7"/>
  <c r="Y35" i="7"/>
  <c r="H35" i="7"/>
  <c r="AK35" i="7"/>
  <c r="BQ35" i="7"/>
  <c r="DE35" i="7"/>
  <c r="M18" i="7"/>
  <c r="Y18" i="7"/>
  <c r="AI18" i="7"/>
  <c r="AR18" i="7"/>
  <c r="BA18" i="7"/>
  <c r="BJ18" i="7"/>
  <c r="BS18" i="7"/>
  <c r="CC18" i="7"/>
  <c r="CM18" i="7"/>
  <c r="CW18" i="7"/>
  <c r="N22" i="7"/>
  <c r="AC22" i="7"/>
  <c r="AO22" i="7"/>
  <c r="BD22" i="7"/>
  <c r="BQ22" i="7"/>
  <c r="CG22" i="7"/>
  <c r="CU22" i="7"/>
  <c r="DK22" i="7"/>
  <c r="DS24" i="7"/>
  <c r="DE24" i="7"/>
  <c r="CW24" i="7"/>
  <c r="CO24" i="7"/>
  <c r="CF24" i="7"/>
  <c r="BX24" i="7"/>
  <c r="BO24" i="7"/>
  <c r="BG24" i="7"/>
  <c r="AY24" i="7"/>
  <c r="AQ24" i="7"/>
  <c r="AI24" i="7"/>
  <c r="AA24" i="7"/>
  <c r="S24" i="7"/>
  <c r="H24" i="7"/>
  <c r="DM24" i="7"/>
  <c r="DA24" i="7"/>
  <c r="CR24" i="7"/>
  <c r="CH24" i="7"/>
  <c r="BY24" i="7"/>
  <c r="BN24" i="7"/>
  <c r="BE24" i="7"/>
  <c r="AV24" i="7"/>
  <c r="AM24" i="7"/>
  <c r="AD24" i="7"/>
  <c r="U24" i="7"/>
  <c r="I24" i="7"/>
  <c r="DI24" i="7"/>
  <c r="CX24" i="7"/>
  <c r="CM24" i="7"/>
  <c r="CB24" i="7"/>
  <c r="BQ24" i="7"/>
  <c r="BF24" i="7"/>
  <c r="AU24" i="7"/>
  <c r="AK24" i="7"/>
  <c r="Z24" i="7"/>
  <c r="M24" i="7"/>
  <c r="DD24" i="7"/>
  <c r="CT24" i="7"/>
  <c r="CI24" i="7"/>
  <c r="BV24" i="7"/>
  <c r="BL24" i="7"/>
  <c r="BB24" i="7"/>
  <c r="AR24" i="7"/>
  <c r="AG24" i="7"/>
  <c r="W24" i="7"/>
  <c r="J24" i="7"/>
  <c r="V24" i="7"/>
  <c r="AJ24" i="7"/>
  <c r="AX24" i="7"/>
  <c r="BK24" i="7"/>
  <c r="CA24" i="7"/>
  <c r="CP24" i="7"/>
  <c r="DC24" i="7"/>
  <c r="DS27" i="7"/>
  <c r="DE27" i="7"/>
  <c r="CW27" i="7"/>
  <c r="CO27" i="7"/>
  <c r="CF27" i="7"/>
  <c r="BX27" i="7"/>
  <c r="BO27" i="7"/>
  <c r="BG27" i="7"/>
  <c r="AY27" i="7"/>
  <c r="AQ27" i="7"/>
  <c r="AI27" i="7"/>
  <c r="AA27" i="7"/>
  <c r="S27" i="7"/>
  <c r="H27" i="7"/>
  <c r="DQ27" i="7"/>
  <c r="DC27" i="7"/>
  <c r="CT27" i="7"/>
  <c r="CK27" i="7"/>
  <c r="CA27" i="7"/>
  <c r="BQ27" i="7"/>
  <c r="BH27" i="7"/>
  <c r="AX27" i="7"/>
  <c r="AO27" i="7"/>
  <c r="AF27" i="7"/>
  <c r="W27" i="7"/>
  <c r="K27" i="7"/>
  <c r="DG27" i="7"/>
  <c r="CU27" i="7"/>
  <c r="CI27" i="7"/>
  <c r="BY27" i="7"/>
  <c r="BM27" i="7"/>
  <c r="BC27" i="7"/>
  <c r="AS27" i="7"/>
  <c r="AH27" i="7"/>
  <c r="X27" i="7"/>
  <c r="J27" i="7"/>
  <c r="DO27" i="7"/>
  <c r="DA27" i="7"/>
  <c r="CQ27" i="7"/>
  <c r="CE27" i="7"/>
  <c r="BT27" i="7"/>
  <c r="BJ27" i="7"/>
  <c r="AZ27" i="7"/>
  <c r="AN27" i="7"/>
  <c r="AD27" i="7"/>
  <c r="T27" i="7"/>
  <c r="F27" i="7"/>
  <c r="V27" i="7"/>
  <c r="AK27" i="7"/>
  <c r="AW27" i="7"/>
  <c r="BL27" i="7"/>
  <c r="CB27" i="7"/>
  <c r="CP27" i="7"/>
  <c r="DD27" i="7"/>
  <c r="DY27" i="7"/>
  <c r="T28" i="7"/>
  <c r="AH28" i="7"/>
  <c r="AW28" i="7"/>
  <c r="BJ28" i="7"/>
  <c r="BZ28" i="7"/>
  <c r="CN28" i="7"/>
  <c r="T32" i="7"/>
  <c r="AV32" i="7"/>
  <c r="BY32" i="7"/>
  <c r="DB32" i="7"/>
  <c r="M35" i="7"/>
  <c r="AS35" i="7"/>
  <c r="BY35" i="7"/>
  <c r="DQ18" i="7"/>
  <c r="DD18" i="7"/>
  <c r="CV18" i="7"/>
  <c r="CN18" i="7"/>
  <c r="CE18" i="7"/>
  <c r="BV18" i="7"/>
  <c r="BN18" i="7"/>
  <c r="BF18" i="7"/>
  <c r="AX18" i="7"/>
  <c r="AP18" i="7"/>
  <c r="AH18" i="7"/>
  <c r="Z18" i="7"/>
  <c r="O18" i="7"/>
  <c r="G18" i="7"/>
  <c r="N18" i="7"/>
  <c r="AA18" i="7"/>
  <c r="AJ18" i="7"/>
  <c r="AS18" i="7"/>
  <c r="BB18" i="7"/>
  <c r="BK18" i="7"/>
  <c r="BT18" i="7"/>
  <c r="CD18" i="7"/>
  <c r="CO18" i="7"/>
  <c r="CX18" i="7"/>
  <c r="DH18" i="7"/>
  <c r="O22" i="7"/>
  <c r="AE22" i="7"/>
  <c r="AS22" i="7"/>
  <c r="BE22" i="7"/>
  <c r="BT22" i="7"/>
  <c r="CI22" i="7"/>
  <c r="CX22" i="7"/>
  <c r="DS28" i="7"/>
  <c r="DE28" i="7"/>
  <c r="CW28" i="7"/>
  <c r="CO28" i="7"/>
  <c r="CF28" i="7"/>
  <c r="BX28" i="7"/>
  <c r="BO28" i="7"/>
  <c r="BG28" i="7"/>
  <c r="AY28" i="7"/>
  <c r="AQ28" i="7"/>
  <c r="AI28" i="7"/>
  <c r="AA28" i="7"/>
  <c r="S28" i="7"/>
  <c r="H28" i="7"/>
  <c r="DM28" i="7"/>
  <c r="DA28" i="7"/>
  <c r="CR28" i="7"/>
  <c r="CH28" i="7"/>
  <c r="BY28" i="7"/>
  <c r="BN28" i="7"/>
  <c r="BE28" i="7"/>
  <c r="AV28" i="7"/>
  <c r="AM28" i="7"/>
  <c r="AD28" i="7"/>
  <c r="U28" i="7"/>
  <c r="I28" i="7"/>
  <c r="DI28" i="7"/>
  <c r="CX28" i="7"/>
  <c r="CM28" i="7"/>
  <c r="CB28" i="7"/>
  <c r="BQ28" i="7"/>
  <c r="BF28" i="7"/>
  <c r="AU28" i="7"/>
  <c r="AK28" i="7"/>
  <c r="Z28" i="7"/>
  <c r="M28" i="7"/>
  <c r="DD28" i="7"/>
  <c r="CT28" i="7"/>
  <c r="CI28" i="7"/>
  <c r="BV28" i="7"/>
  <c r="BL28" i="7"/>
  <c r="BB28" i="7"/>
  <c r="AR28" i="7"/>
  <c r="AG28" i="7"/>
  <c r="W28" i="7"/>
  <c r="J28" i="7"/>
  <c r="V28" i="7"/>
  <c r="AJ28" i="7"/>
  <c r="AX28" i="7"/>
  <c r="BK28" i="7"/>
  <c r="CA28" i="7"/>
  <c r="CP28" i="7"/>
  <c r="DC28" i="7"/>
  <c r="U32" i="7"/>
  <c r="AY32" i="7"/>
  <c r="BZ32" i="7"/>
  <c r="DC32" i="7"/>
  <c r="U35" i="7"/>
  <c r="AZ35" i="7"/>
  <c r="CM35" i="7"/>
  <c r="DS22" i="7"/>
  <c r="DE22" i="7"/>
  <c r="CW22" i="7"/>
  <c r="CO22" i="7"/>
  <c r="CF22" i="7"/>
  <c r="BX22" i="7"/>
  <c r="BO22" i="7"/>
  <c r="BG22" i="7"/>
  <c r="AY22" i="7"/>
  <c r="AQ22" i="7"/>
  <c r="DG22" i="7"/>
  <c r="CV22" i="7"/>
  <c r="CM22" i="7"/>
  <c r="CC22" i="7"/>
  <c r="BS22" i="7"/>
  <c r="BJ22" i="7"/>
  <c r="BA22" i="7"/>
  <c r="AR22" i="7"/>
  <c r="AI22" i="7"/>
  <c r="AA22" i="7"/>
  <c r="S22" i="7"/>
  <c r="H22" i="7"/>
  <c r="DC22" i="7"/>
  <c r="CS22" i="7"/>
  <c r="CH22" i="7"/>
  <c r="BV22" i="7"/>
  <c r="BL22" i="7"/>
  <c r="BB22" i="7"/>
  <c r="AP22" i="7"/>
  <c r="AG22" i="7"/>
  <c r="X22" i="7"/>
  <c r="L22" i="7"/>
  <c r="DM22" i="7"/>
  <c r="CZ22" i="7"/>
  <c r="CP22" i="7"/>
  <c r="CD22" i="7"/>
  <c r="BR22" i="7"/>
  <c r="BH22" i="7"/>
  <c r="AW22" i="7"/>
  <c r="AM22" i="7"/>
  <c r="AD22" i="7"/>
  <c r="U22" i="7"/>
  <c r="I22" i="7"/>
  <c r="T22" i="7"/>
  <c r="AF22" i="7"/>
  <c r="AT22" i="7"/>
  <c r="BF22" i="7"/>
  <c r="BU22" i="7"/>
  <c r="CK22" i="7"/>
  <c r="CY22" i="7"/>
  <c r="DQ22" i="7"/>
  <c r="AC32" i="7"/>
  <c r="BD32" i="7"/>
  <c r="CH32" i="7"/>
  <c r="DM32" i="7"/>
  <c r="X35" i="7"/>
  <c r="BC35" i="7"/>
  <c r="CO35" i="7"/>
  <c r="DS26" i="7"/>
  <c r="DE26" i="7"/>
  <c r="CW26" i="7"/>
  <c r="CO26" i="7"/>
  <c r="CF26" i="7"/>
  <c r="BX26" i="7"/>
  <c r="BO26" i="7"/>
  <c r="BG26" i="7"/>
  <c r="AY26" i="7"/>
  <c r="AQ26" i="7"/>
  <c r="AI26" i="7"/>
  <c r="AA26" i="7"/>
  <c r="S26" i="7"/>
  <c r="H26" i="7"/>
  <c r="DG26" i="7"/>
  <c r="CV26" i="7"/>
  <c r="CM26" i="7"/>
  <c r="CC26" i="7"/>
  <c r="BS26" i="7"/>
  <c r="BJ26" i="7"/>
  <c r="BA26" i="7"/>
  <c r="AR26" i="7"/>
  <c r="AH26" i="7"/>
  <c r="Y26" i="7"/>
  <c r="M26" i="7"/>
  <c r="O26" i="7"/>
  <c r="AC26" i="7"/>
  <c r="AM26" i="7"/>
  <c r="AW26" i="7"/>
  <c r="BH26" i="7"/>
  <c r="BR26" i="7"/>
  <c r="CD26" i="7"/>
  <c r="CP26" i="7"/>
  <c r="CZ26" i="7"/>
  <c r="DM26" i="7"/>
  <c r="DQ30" i="7"/>
  <c r="DD30" i="7"/>
  <c r="CV30" i="7"/>
  <c r="CN30" i="7"/>
  <c r="CE30" i="7"/>
  <c r="DK30" i="7"/>
  <c r="CZ30" i="7"/>
  <c r="CQ30" i="7"/>
  <c r="CG30" i="7"/>
  <c r="BX30" i="7"/>
  <c r="BO30" i="7"/>
  <c r="BG30" i="7"/>
  <c r="AY30" i="7"/>
  <c r="AQ30" i="7"/>
  <c r="AI30" i="7"/>
  <c r="AA30" i="7"/>
  <c r="S30" i="7"/>
  <c r="H30" i="7"/>
  <c r="DM30" i="7"/>
  <c r="CY30" i="7"/>
  <c r="CO30" i="7"/>
  <c r="CC30" i="7"/>
  <c r="BS30" i="7"/>
  <c r="BJ30" i="7"/>
  <c r="BA30" i="7"/>
  <c r="AR30" i="7"/>
  <c r="AH30" i="7"/>
  <c r="Y30" i="7"/>
  <c r="M30" i="7"/>
  <c r="O30" i="7"/>
  <c r="AC30" i="7"/>
  <c r="AM30" i="7"/>
  <c r="AW30" i="7"/>
  <c r="BH30" i="7"/>
  <c r="BR30" i="7"/>
  <c r="CD30" i="7"/>
  <c r="CR30" i="7"/>
  <c r="DC30" i="7"/>
  <c r="I34" i="7"/>
  <c r="Y34" i="7"/>
  <c r="AN34" i="7"/>
  <c r="BB34" i="7"/>
  <c r="BP34" i="7"/>
  <c r="CF34" i="7"/>
  <c r="CT34" i="7"/>
  <c r="DH34" i="7"/>
  <c r="DS21" i="7"/>
  <c r="DE21" i="7"/>
  <c r="CW21" i="7"/>
  <c r="CO21" i="7"/>
  <c r="CF21" i="7"/>
  <c r="BX21" i="7"/>
  <c r="BO21" i="7"/>
  <c r="BG21" i="7"/>
  <c r="AY21" i="7"/>
  <c r="AQ21" i="7"/>
  <c r="AI21" i="7"/>
  <c r="AA21" i="7"/>
  <c r="S21" i="7"/>
  <c r="H21" i="7"/>
  <c r="N21" i="7"/>
  <c r="Z21" i="7"/>
  <c r="AJ21" i="7"/>
  <c r="AS21" i="7"/>
  <c r="BB21" i="7"/>
  <c r="BK21" i="7"/>
  <c r="BT21" i="7"/>
  <c r="CD21" i="7"/>
  <c r="CN21" i="7"/>
  <c r="CX21" i="7"/>
  <c r="DH21" i="7"/>
  <c r="DS25" i="7"/>
  <c r="DE25" i="7"/>
  <c r="CW25" i="7"/>
  <c r="CO25" i="7"/>
  <c r="CF25" i="7"/>
  <c r="BX25" i="7"/>
  <c r="BO25" i="7"/>
  <c r="BG25" i="7"/>
  <c r="AY25" i="7"/>
  <c r="AQ25" i="7"/>
  <c r="AI25" i="7"/>
  <c r="AA25" i="7"/>
  <c r="S25" i="7"/>
  <c r="H25" i="7"/>
  <c r="DY25" i="7"/>
  <c r="DI25" i="7"/>
  <c r="CY25" i="7"/>
  <c r="CP25" i="7"/>
  <c r="CE25" i="7"/>
  <c r="BU25" i="7"/>
  <c r="BL25" i="7"/>
  <c r="BC25" i="7"/>
  <c r="AT25" i="7"/>
  <c r="AK25" i="7"/>
  <c r="AB25" i="7"/>
  <c r="O25" i="7"/>
  <c r="F25" i="7"/>
  <c r="T25" i="7"/>
  <c r="AD25" i="7"/>
  <c r="AN25" i="7"/>
  <c r="AX25" i="7"/>
  <c r="BI25" i="7"/>
  <c r="BS25" i="7"/>
  <c r="CD25" i="7"/>
  <c r="CQ25" i="7"/>
  <c r="DA25" i="7"/>
  <c r="DO25" i="7"/>
  <c r="I26" i="7"/>
  <c r="V26" i="7"/>
  <c r="AF26" i="7"/>
  <c r="AP26" i="7"/>
  <c r="BB26" i="7"/>
  <c r="BL26" i="7"/>
  <c r="BV26" i="7"/>
  <c r="CH26" i="7"/>
  <c r="CS26" i="7"/>
  <c r="DC26" i="7"/>
  <c r="DS29" i="7"/>
  <c r="DE29" i="7"/>
  <c r="CW29" i="7"/>
  <c r="CO29" i="7"/>
  <c r="CF29" i="7"/>
  <c r="BX29" i="7"/>
  <c r="BO29" i="7"/>
  <c r="BG29" i="7"/>
  <c r="AY29" i="7"/>
  <c r="AQ29" i="7"/>
  <c r="AI29" i="7"/>
  <c r="AA29" i="7"/>
  <c r="S29" i="7"/>
  <c r="H29" i="7"/>
  <c r="DY29" i="7"/>
  <c r="DI29" i="7"/>
  <c r="CY29" i="7"/>
  <c r="CP29" i="7"/>
  <c r="CE29" i="7"/>
  <c r="BU29" i="7"/>
  <c r="BL29" i="7"/>
  <c r="BC29" i="7"/>
  <c r="AT29" i="7"/>
  <c r="AK29" i="7"/>
  <c r="AB29" i="7"/>
  <c r="O29" i="7"/>
  <c r="F29" i="7"/>
  <c r="T29" i="7"/>
  <c r="AD29" i="7"/>
  <c r="AN29" i="7"/>
  <c r="AX29" i="7"/>
  <c r="BI29" i="7"/>
  <c r="BS29" i="7"/>
  <c r="CD29" i="7"/>
  <c r="CQ29" i="7"/>
  <c r="DA29" i="7"/>
  <c r="DO29" i="7"/>
  <c r="I30" i="7"/>
  <c r="V30" i="7"/>
  <c r="AF30" i="7"/>
  <c r="AP30" i="7"/>
  <c r="BB30" i="7"/>
  <c r="BL30" i="7"/>
  <c r="BV30" i="7"/>
  <c r="CI30" i="7"/>
  <c r="CU30" i="7"/>
  <c r="DH30" i="7"/>
  <c r="S34" i="7"/>
  <c r="AF34" i="7"/>
  <c r="AS34" i="7"/>
  <c r="BG34" i="7"/>
  <c r="BU34" i="7"/>
  <c r="CI34" i="7"/>
  <c r="CX34" i="7"/>
  <c r="T34" i="7"/>
  <c r="AG34" i="7"/>
  <c r="AT34" i="7"/>
  <c r="BI34" i="7"/>
  <c r="BX34" i="7"/>
  <c r="CL34" i="7"/>
  <c r="DQ34" i="7"/>
  <c r="DD34" i="7"/>
  <c r="CV34" i="7"/>
  <c r="CN34" i="7"/>
  <c r="CE34" i="7"/>
  <c r="BV34" i="7"/>
  <c r="BN34" i="7"/>
  <c r="BF34" i="7"/>
  <c r="AX34" i="7"/>
  <c r="AP34" i="7"/>
  <c r="AH34" i="7"/>
  <c r="Z34" i="7"/>
  <c r="O34" i="7"/>
  <c r="G34" i="7"/>
  <c r="DY34" i="7"/>
  <c r="DK34" i="7"/>
  <c r="DA34" i="7"/>
  <c r="CS34" i="7"/>
  <c r="CK34" i="7"/>
  <c r="CB34" i="7"/>
  <c r="BS34" i="7"/>
  <c r="BK34" i="7"/>
  <c r="BC34" i="7"/>
  <c r="AU34" i="7"/>
  <c r="AM34" i="7"/>
  <c r="AE34" i="7"/>
  <c r="W34" i="7"/>
  <c r="L34" i="7"/>
  <c r="DO34" i="7"/>
  <c r="CZ34" i="7"/>
  <c r="CP34" i="7"/>
  <c r="CD34" i="7"/>
  <c r="BR34" i="7"/>
  <c r="BH34" i="7"/>
  <c r="AW34" i="7"/>
  <c r="AL34" i="7"/>
  <c r="AB34" i="7"/>
  <c r="N34" i="7"/>
  <c r="DS34" i="7"/>
  <c r="CY34" i="7"/>
  <c r="CM34" i="7"/>
  <c r="BZ34" i="7"/>
  <c r="BM34" i="7"/>
  <c r="BA34" i="7"/>
  <c r="AO34" i="7"/>
  <c r="AC34" i="7"/>
  <c r="M34" i="7"/>
  <c r="U34" i="7"/>
  <c r="AI34" i="7"/>
  <c r="AV34" i="7"/>
  <c r="BJ34" i="7"/>
  <c r="BY34" i="7"/>
  <c r="CO34" i="7"/>
  <c r="DC34" i="7"/>
  <c r="DQ33" i="7"/>
  <c r="DD33" i="7"/>
  <c r="CV33" i="7"/>
  <c r="CN33" i="7"/>
  <c r="CE33" i="7"/>
  <c r="BV33" i="7"/>
  <c r="BN33" i="7"/>
  <c r="BF33" i="7"/>
  <c r="AX33" i="7"/>
  <c r="AP33" i="7"/>
  <c r="AH33" i="7"/>
  <c r="Z33" i="7"/>
  <c r="O33" i="7"/>
  <c r="G33" i="7"/>
  <c r="DY33" i="7"/>
  <c r="DK33" i="7"/>
  <c r="DA33" i="7"/>
  <c r="CS33" i="7"/>
  <c r="CK33" i="7"/>
  <c r="CB33" i="7"/>
  <c r="BS33" i="7"/>
  <c r="BK33" i="7"/>
  <c r="BC33" i="7"/>
  <c r="AU33" i="7"/>
  <c r="AM33" i="7"/>
  <c r="AE33" i="7"/>
  <c r="W33" i="7"/>
  <c r="L33" i="7"/>
  <c r="DG33" i="7"/>
  <c r="CU33" i="7"/>
  <c r="CI33" i="7"/>
  <c r="BY33" i="7"/>
  <c r="BM33" i="7"/>
  <c r="BB33" i="7"/>
  <c r="AR33" i="7"/>
  <c r="AG33" i="7"/>
  <c r="V33" i="7"/>
  <c r="I33" i="7"/>
  <c r="T33" i="7"/>
  <c r="AF33" i="7"/>
  <c r="AS33" i="7"/>
  <c r="BE33" i="7"/>
  <c r="BQ33" i="7"/>
  <c r="CD33" i="7"/>
  <c r="CQ33" i="7"/>
  <c r="DC33" i="7"/>
  <c r="DQ31" i="7"/>
  <c r="DD31" i="7"/>
  <c r="CV31" i="7"/>
  <c r="CN31" i="7"/>
  <c r="CE31" i="7"/>
  <c r="BV31" i="7"/>
  <c r="BN31" i="7"/>
  <c r="BF31" i="7"/>
  <c r="AX31" i="7"/>
  <c r="AP31" i="7"/>
  <c r="AH31" i="7"/>
  <c r="Z31" i="7"/>
  <c r="O31" i="7"/>
  <c r="G31" i="7"/>
  <c r="DY31" i="7"/>
  <c r="DK31" i="7"/>
  <c r="DA31" i="7"/>
  <c r="CS31" i="7"/>
  <c r="CK31" i="7"/>
  <c r="CB31" i="7"/>
  <c r="BS31" i="7"/>
  <c r="BK31" i="7"/>
  <c r="BC31" i="7"/>
  <c r="N31" i="7"/>
  <c r="AA31" i="7"/>
  <c r="AJ31" i="7"/>
  <c r="AS31" i="7"/>
  <c r="BB31" i="7"/>
  <c r="BM31" i="7"/>
  <c r="BY31" i="7"/>
  <c r="CI31" i="7"/>
  <c r="CU31" i="7"/>
  <c r="DG31" i="7"/>
  <c r="Y46" i="7"/>
  <c r="AS46" i="7"/>
  <c r="BM46" i="7"/>
  <c r="CK46" i="7"/>
  <c r="DI47" i="7"/>
  <c r="CZ47" i="7"/>
  <c r="CR47" i="7"/>
  <c r="CI47" i="7"/>
  <c r="CA47" i="7"/>
  <c r="BR47" i="7"/>
  <c r="BJ47" i="7"/>
  <c r="BB47" i="7"/>
  <c r="AT47" i="7"/>
  <c r="AL47" i="7"/>
  <c r="DG47" i="7"/>
  <c r="CX47" i="7"/>
  <c r="CP47" i="7"/>
  <c r="CG47" i="7"/>
  <c r="BY47" i="7"/>
  <c r="BP47" i="7"/>
  <c r="BH47" i="7"/>
  <c r="AZ47" i="7"/>
  <c r="AR47" i="7"/>
  <c r="AJ47" i="7"/>
  <c r="AB47" i="7"/>
  <c r="T47" i="7"/>
  <c r="I47" i="7"/>
  <c r="DM47" i="7"/>
  <c r="CY47" i="7"/>
  <c r="CN47" i="7"/>
  <c r="CC47" i="7"/>
  <c r="BQ47" i="7"/>
  <c r="BF47" i="7"/>
  <c r="AV47" i="7"/>
  <c r="AK47" i="7"/>
  <c r="AA47" i="7"/>
  <c r="O47" i="7"/>
  <c r="F47" i="7"/>
  <c r="DE47" i="7"/>
  <c r="CT47" i="7"/>
  <c r="CF47" i="7"/>
  <c r="BT47" i="7"/>
  <c r="BG47" i="7"/>
  <c r="AU47" i="7"/>
  <c r="AH47" i="7"/>
  <c r="X47" i="7"/>
  <c r="K47" i="7"/>
  <c r="DD47" i="7"/>
  <c r="CS47" i="7"/>
  <c r="CE47" i="7"/>
  <c r="BS47" i="7"/>
  <c r="BE47" i="7"/>
  <c r="AS47" i="7"/>
  <c r="AG47" i="7"/>
  <c r="W47" i="7"/>
  <c r="J47" i="7"/>
  <c r="DC47" i="7"/>
  <c r="CQ47" i="7"/>
  <c r="CD47" i="7"/>
  <c r="BO47" i="7"/>
  <c r="BD47" i="7"/>
  <c r="AQ47" i="7"/>
  <c r="AF47" i="7"/>
  <c r="V47" i="7"/>
  <c r="H47" i="7"/>
  <c r="DS47" i="7"/>
  <c r="DB47" i="7"/>
  <c r="CO47" i="7"/>
  <c r="CB47" i="7"/>
  <c r="BN47" i="7"/>
  <c r="BC47" i="7"/>
  <c r="AP47" i="7"/>
  <c r="AE47" i="7"/>
  <c r="U47" i="7"/>
  <c r="G47" i="7"/>
  <c r="AD47" i="7"/>
  <c r="BA47" i="7"/>
  <c r="BZ47" i="7"/>
  <c r="DA47" i="7"/>
  <c r="DY47" i="7"/>
  <c r="DG46" i="7"/>
  <c r="CX46" i="7"/>
  <c r="CP46" i="7"/>
  <c r="CG46" i="7"/>
  <c r="BY46" i="7"/>
  <c r="BP46" i="7"/>
  <c r="BH46" i="7"/>
  <c r="AZ46" i="7"/>
  <c r="AR46" i="7"/>
  <c r="AJ46" i="7"/>
  <c r="DO46" i="7"/>
  <c r="DB46" i="7"/>
  <c r="CS46" i="7"/>
  <c r="CI46" i="7"/>
  <c r="BZ46" i="7"/>
  <c r="BO46" i="7"/>
  <c r="BF46" i="7"/>
  <c r="AW46" i="7"/>
  <c r="AN46" i="7"/>
  <c r="AE46" i="7"/>
  <c r="W46" i="7"/>
  <c r="L46" i="7"/>
  <c r="DD46" i="7"/>
  <c r="CT46" i="7"/>
  <c r="CH46" i="7"/>
  <c r="BV46" i="7"/>
  <c r="BL46" i="7"/>
  <c r="BB46" i="7"/>
  <c r="AQ46" i="7"/>
  <c r="AG46" i="7"/>
  <c r="X46" i="7"/>
  <c r="K46" i="7"/>
  <c r="DS46" i="7"/>
  <c r="DC46" i="7"/>
  <c r="CR46" i="7"/>
  <c r="CF46" i="7"/>
  <c r="BU46" i="7"/>
  <c r="BK46" i="7"/>
  <c r="BA46" i="7"/>
  <c r="AP46" i="7"/>
  <c r="AF46" i="7"/>
  <c r="V46" i="7"/>
  <c r="J46" i="7"/>
  <c r="DQ46" i="7"/>
  <c r="DA46" i="7"/>
  <c r="CQ46" i="7"/>
  <c r="CE46" i="7"/>
  <c r="BT46" i="7"/>
  <c r="BJ46" i="7"/>
  <c r="AY46" i="7"/>
  <c r="AO46" i="7"/>
  <c r="AD46" i="7"/>
  <c r="U46" i="7"/>
  <c r="I46" i="7"/>
  <c r="DM46" i="7"/>
  <c r="CZ46" i="7"/>
  <c r="CO46" i="7"/>
  <c r="CD46" i="7"/>
  <c r="BS46" i="7"/>
  <c r="BI46" i="7"/>
  <c r="AX46" i="7"/>
  <c r="AM46" i="7"/>
  <c r="AC46" i="7"/>
  <c r="T46" i="7"/>
  <c r="H46" i="7"/>
  <c r="Z46" i="7"/>
  <c r="AT46" i="7"/>
  <c r="BN46" i="7"/>
  <c r="CL46" i="7"/>
  <c r="DH46" i="7"/>
  <c r="F46" i="7"/>
  <c r="AA46" i="7"/>
  <c r="AU46" i="7"/>
  <c r="BQ46" i="7"/>
  <c r="CM46" i="7"/>
  <c r="DI46" i="7"/>
  <c r="G46" i="7"/>
  <c r="AB46" i="7"/>
  <c r="AV46" i="7"/>
  <c r="BR46" i="7"/>
  <c r="CN46" i="7"/>
  <c r="DK46" i="7"/>
  <c r="N47" i="7"/>
  <c r="AN47" i="7"/>
  <c r="BL47" i="7"/>
  <c r="CL47" i="7"/>
  <c r="DO47" i="7"/>
  <c r="J45" i="7"/>
  <c r="V45" i="7"/>
  <c r="AF45" i="7"/>
  <c r="AO45" i="7"/>
  <c r="AX45" i="7"/>
  <c r="BG45" i="7"/>
  <c r="BP45" i="7"/>
  <c r="BZ45" i="7"/>
  <c r="CI45" i="7"/>
  <c r="CT45" i="7"/>
  <c r="DC45" i="7"/>
  <c r="DQ45" i="7"/>
  <c r="M36" i="7"/>
  <c r="X36" i="7"/>
  <c r="AF36" i="7"/>
  <c r="AN36" i="7"/>
  <c r="AV36" i="7"/>
  <c r="BD36" i="7"/>
  <c r="BL36" i="7"/>
  <c r="BT36" i="7"/>
  <c r="CC36" i="7"/>
  <c r="CL36" i="7"/>
  <c r="CT36" i="7"/>
  <c r="DB36" i="7"/>
  <c r="M37" i="7"/>
  <c r="X37" i="7"/>
  <c r="AF37" i="7"/>
  <c r="AN37" i="7"/>
  <c r="AV37" i="7"/>
  <c r="BD37" i="7"/>
  <c r="BL37" i="7"/>
  <c r="BT37" i="7"/>
  <c r="CC37" i="7"/>
  <c r="CL37" i="7"/>
  <c r="CT37" i="7"/>
  <c r="DB37" i="7"/>
  <c r="M38" i="7"/>
  <c r="X38" i="7"/>
  <c r="AF38" i="7"/>
  <c r="AN38" i="7"/>
  <c r="AV38" i="7"/>
  <c r="BD38" i="7"/>
  <c r="BL38" i="7"/>
  <c r="BT38" i="7"/>
  <c r="CC38" i="7"/>
  <c r="CL38" i="7"/>
  <c r="CT38" i="7"/>
  <c r="DB38" i="7"/>
  <c r="M39" i="7"/>
  <c r="X39" i="7"/>
  <c r="AF39" i="7"/>
  <c r="AN39" i="7"/>
  <c r="AV39" i="7"/>
  <c r="BD39" i="7"/>
  <c r="BL39" i="7"/>
  <c r="BT39" i="7"/>
  <c r="CC39" i="7"/>
  <c r="CL39" i="7"/>
  <c r="CT39" i="7"/>
  <c r="DB39" i="7"/>
  <c r="M40" i="7"/>
  <c r="X40" i="7"/>
  <c r="AF40" i="7"/>
  <c r="AN40" i="7"/>
  <c r="AV40" i="7"/>
  <c r="BD40" i="7"/>
  <c r="BL40" i="7"/>
  <c r="BT40" i="7"/>
  <c r="CC40" i="7"/>
  <c r="CL40" i="7"/>
  <c r="CT40" i="7"/>
  <c r="DB40" i="7"/>
  <c r="M41" i="7"/>
  <c r="X41" i="7"/>
  <c r="AF41" i="7"/>
  <c r="AN41" i="7"/>
  <c r="AV41" i="7"/>
  <c r="BD41" i="7"/>
  <c r="BL41" i="7"/>
  <c r="BT41" i="7"/>
  <c r="CC41" i="7"/>
  <c r="CL41" i="7"/>
  <c r="CT41" i="7"/>
  <c r="DB41" i="7"/>
  <c r="M42" i="7"/>
  <c r="X42" i="7"/>
  <c r="AF42" i="7"/>
  <c r="AN42" i="7"/>
  <c r="AV42" i="7"/>
  <c r="BD42" i="7"/>
  <c r="BL42" i="7"/>
  <c r="BT42" i="7"/>
  <c r="CC42" i="7"/>
  <c r="CL42" i="7"/>
  <c r="CT42" i="7"/>
  <c r="DB42" i="7"/>
  <c r="M43" i="7"/>
  <c r="X43" i="7"/>
  <c r="AF43" i="7"/>
  <c r="AN43" i="7"/>
  <c r="AV43" i="7"/>
  <c r="BD43" i="7"/>
  <c r="BL43" i="7"/>
  <c r="BT43" i="7"/>
  <c r="CC43" i="7"/>
  <c r="CL43" i="7"/>
  <c r="CT43" i="7"/>
  <c r="DB43" i="7"/>
  <c r="DY44" i="7"/>
  <c r="DK44" i="7"/>
  <c r="DA44" i="7"/>
  <c r="CS44" i="7"/>
  <c r="CK44" i="7"/>
  <c r="CB44" i="7"/>
  <c r="BS44" i="7"/>
  <c r="BK44" i="7"/>
  <c r="BC44" i="7"/>
  <c r="AU44" i="7"/>
  <c r="AM44" i="7"/>
  <c r="AE44" i="7"/>
  <c r="W44" i="7"/>
  <c r="L44" i="7"/>
  <c r="N44" i="7"/>
  <c r="Z44" i="7"/>
  <c r="AI44" i="7"/>
  <c r="AR44" i="7"/>
  <c r="BA44" i="7"/>
  <c r="BJ44" i="7"/>
  <c r="BT44" i="7"/>
  <c r="CD44" i="7"/>
  <c r="CN44" i="7"/>
  <c r="CW44" i="7"/>
  <c r="DG44" i="7"/>
  <c r="K45" i="7"/>
  <c r="X45" i="7"/>
  <c r="AG45" i="7"/>
  <c r="AP45" i="7"/>
  <c r="AY45" i="7"/>
  <c r="BH45" i="7"/>
  <c r="BQ45" i="7"/>
  <c r="CA45" i="7"/>
  <c r="CL45" i="7"/>
  <c r="CU45" i="7"/>
  <c r="DD45" i="7"/>
  <c r="DS45" i="7"/>
  <c r="DQ49" i="7"/>
  <c r="DD49" i="7"/>
  <c r="CV49" i="7"/>
  <c r="CN49" i="7"/>
  <c r="CE49" i="7"/>
  <c r="BV49" i="7"/>
  <c r="BN49" i="7"/>
  <c r="BF49" i="7"/>
  <c r="AX49" i="7"/>
  <c r="AP49" i="7"/>
  <c r="AH49" i="7"/>
  <c r="Z49" i="7"/>
  <c r="O49" i="7"/>
  <c r="DE49" i="7"/>
  <c r="CU49" i="7"/>
  <c r="DS49" i="7"/>
  <c r="DC49" i="7"/>
  <c r="CT49" i="7"/>
  <c r="CK49" i="7"/>
  <c r="CA49" i="7"/>
  <c r="BQ49" i="7"/>
  <c r="BH49" i="7"/>
  <c r="AY49" i="7"/>
  <c r="AO49" i="7"/>
  <c r="AF49" i="7"/>
  <c r="W49" i="7"/>
  <c r="K49" i="7"/>
  <c r="DM49" i="7"/>
  <c r="DA49" i="7"/>
  <c r="CR49" i="7"/>
  <c r="CH49" i="7"/>
  <c r="BY49" i="7"/>
  <c r="BO49" i="7"/>
  <c r="BE49" i="7"/>
  <c r="AV49" i="7"/>
  <c r="AM49" i="7"/>
  <c r="AD49" i="7"/>
  <c r="U49" i="7"/>
  <c r="I49" i="7"/>
  <c r="CZ49" i="7"/>
  <c r="CM49" i="7"/>
  <c r="BZ49" i="7"/>
  <c r="BL49" i="7"/>
  <c r="BA49" i="7"/>
  <c r="AN49" i="7"/>
  <c r="AB49" i="7"/>
  <c r="M49" i="7"/>
  <c r="CY49" i="7"/>
  <c r="CL49" i="7"/>
  <c r="BX49" i="7"/>
  <c r="BK49" i="7"/>
  <c r="AZ49" i="7"/>
  <c r="AL49" i="7"/>
  <c r="AA49" i="7"/>
  <c r="L49" i="7"/>
  <c r="DI49" i="7"/>
  <c r="CS49" i="7"/>
  <c r="CF49" i="7"/>
  <c r="BS49" i="7"/>
  <c r="BG49" i="7"/>
  <c r="AT49" i="7"/>
  <c r="AI49" i="7"/>
  <c r="V49" i="7"/>
  <c r="G49" i="7"/>
  <c r="Y49" i="7"/>
  <c r="AS49" i="7"/>
  <c r="BM49" i="7"/>
  <c r="CG49" i="7"/>
  <c r="DG49" i="7"/>
  <c r="DQ50" i="7"/>
  <c r="DD50" i="7"/>
  <c r="CV50" i="7"/>
  <c r="CN50" i="7"/>
  <c r="CE50" i="7"/>
  <c r="BV50" i="7"/>
  <c r="BN50" i="7"/>
  <c r="BF50" i="7"/>
  <c r="AX50" i="7"/>
  <c r="AP50" i="7"/>
  <c r="AH50" i="7"/>
  <c r="Z50" i="7"/>
  <c r="O50" i="7"/>
  <c r="G50" i="7"/>
  <c r="DI50" i="7"/>
  <c r="CZ50" i="7"/>
  <c r="CR50" i="7"/>
  <c r="DH50" i="7"/>
  <c r="CY50" i="7"/>
  <c r="CQ50" i="7"/>
  <c r="DK50" i="7"/>
  <c r="CU50" i="7"/>
  <c r="CI50" i="7"/>
  <c r="BZ50" i="7"/>
  <c r="BP50" i="7"/>
  <c r="BG50" i="7"/>
  <c r="AW50" i="7"/>
  <c r="AN50" i="7"/>
  <c r="AE50" i="7"/>
  <c r="V50" i="7"/>
  <c r="J50" i="7"/>
  <c r="DY50" i="7"/>
  <c r="DG50" i="7"/>
  <c r="CT50" i="7"/>
  <c r="CH50" i="7"/>
  <c r="BY50" i="7"/>
  <c r="BO50" i="7"/>
  <c r="BE50" i="7"/>
  <c r="AV50" i="7"/>
  <c r="AM50" i="7"/>
  <c r="AD50" i="7"/>
  <c r="U50" i="7"/>
  <c r="I50" i="7"/>
  <c r="DC50" i="7"/>
  <c r="CP50" i="7"/>
  <c r="CF50" i="7"/>
  <c r="BU50" i="7"/>
  <c r="BL50" i="7"/>
  <c r="BC50" i="7"/>
  <c r="AT50" i="7"/>
  <c r="AK50" i="7"/>
  <c r="AB50" i="7"/>
  <c r="S50" i="7"/>
  <c r="F50" i="7"/>
  <c r="DO50" i="7"/>
  <c r="CO50" i="7"/>
  <c r="CA50" i="7"/>
  <c r="BJ50" i="7"/>
  <c r="AU50" i="7"/>
  <c r="AG50" i="7"/>
  <c r="N50" i="7"/>
  <c r="DM50" i="7"/>
  <c r="CM50" i="7"/>
  <c r="BX50" i="7"/>
  <c r="BI50" i="7"/>
  <c r="AS50" i="7"/>
  <c r="AF50" i="7"/>
  <c r="M50" i="7"/>
  <c r="DA50" i="7"/>
  <c r="CG50" i="7"/>
  <c r="BR50" i="7"/>
  <c r="BB50" i="7"/>
  <c r="AO50" i="7"/>
  <c r="Y50" i="7"/>
  <c r="H50" i="7"/>
  <c r="AI50" i="7"/>
  <c r="BD50" i="7"/>
  <c r="CC50" i="7"/>
  <c r="DE50" i="7"/>
  <c r="M45" i="7"/>
  <c r="Y45" i="7"/>
  <c r="AH45" i="7"/>
  <c r="AQ45" i="7"/>
  <c r="AZ45" i="7"/>
  <c r="BI45" i="7"/>
  <c r="BR45" i="7"/>
  <c r="CC45" i="7"/>
  <c r="CM45" i="7"/>
  <c r="CV45" i="7"/>
  <c r="DY45" i="7"/>
  <c r="DK45" i="7"/>
  <c r="DA45" i="7"/>
  <c r="CS45" i="7"/>
  <c r="CK45" i="7"/>
  <c r="CB45" i="7"/>
  <c r="BS45" i="7"/>
  <c r="BK45" i="7"/>
  <c r="BC45" i="7"/>
  <c r="AU45" i="7"/>
  <c r="AM45" i="7"/>
  <c r="AE45" i="7"/>
  <c r="W45" i="7"/>
  <c r="L45" i="7"/>
  <c r="N45" i="7"/>
  <c r="Z45" i="7"/>
  <c r="AI45" i="7"/>
  <c r="AR45" i="7"/>
  <c r="BA45" i="7"/>
  <c r="BJ45" i="7"/>
  <c r="BT45" i="7"/>
  <c r="CD45" i="7"/>
  <c r="CN45" i="7"/>
  <c r="CW45" i="7"/>
  <c r="DG45" i="7"/>
  <c r="DI48" i="7"/>
  <c r="CZ48" i="7"/>
  <c r="CR48" i="7"/>
  <c r="CI48" i="7"/>
  <c r="CA48" i="7"/>
  <c r="BR48" i="7"/>
  <c r="BJ48" i="7"/>
  <c r="BB48" i="7"/>
  <c r="AT48" i="7"/>
  <c r="AL48" i="7"/>
  <c r="AD48" i="7"/>
  <c r="V48" i="7"/>
  <c r="K48" i="7"/>
  <c r="DG48" i="7"/>
  <c r="CX48" i="7"/>
  <c r="CP48" i="7"/>
  <c r="CG48" i="7"/>
  <c r="BY48" i="7"/>
  <c r="BP48" i="7"/>
  <c r="BH48" i="7"/>
  <c r="AZ48" i="7"/>
  <c r="AR48" i="7"/>
  <c r="AJ48" i="7"/>
  <c r="AB48" i="7"/>
  <c r="T48" i="7"/>
  <c r="I48" i="7"/>
  <c r="O48" i="7"/>
  <c r="AC48" i="7"/>
  <c r="AN48" i="7"/>
  <c r="AX48" i="7"/>
  <c r="BI48" i="7"/>
  <c r="BT48" i="7"/>
  <c r="CE48" i="7"/>
  <c r="CQ48" i="7"/>
  <c r="DB48" i="7"/>
  <c r="DQ48" i="7"/>
  <c r="M51" i="7"/>
  <c r="AB51" i="7"/>
  <c r="AO51" i="7"/>
  <c r="BC51" i="7"/>
  <c r="BO51" i="7"/>
  <c r="CC51" i="7"/>
  <c r="CP51" i="7"/>
  <c r="DC51" i="7"/>
  <c r="S51" i="7"/>
  <c r="AF51" i="7"/>
  <c r="AR51" i="7"/>
  <c r="BE51" i="7"/>
  <c r="BS51" i="7"/>
  <c r="CF51" i="7"/>
  <c r="CT51" i="7"/>
  <c r="DG51" i="7"/>
  <c r="DQ51" i="7"/>
  <c r="DD51" i="7"/>
  <c r="CV51" i="7"/>
  <c r="CN51" i="7"/>
  <c r="CE51" i="7"/>
  <c r="BV51" i="7"/>
  <c r="BN51" i="7"/>
  <c r="BF51" i="7"/>
  <c r="AX51" i="7"/>
  <c r="AP51" i="7"/>
  <c r="AH51" i="7"/>
  <c r="Z51" i="7"/>
  <c r="O51" i="7"/>
  <c r="G51" i="7"/>
  <c r="DI51" i="7"/>
  <c r="CZ51" i="7"/>
  <c r="CR51" i="7"/>
  <c r="CI51" i="7"/>
  <c r="CA51" i="7"/>
  <c r="BR51" i="7"/>
  <c r="BJ51" i="7"/>
  <c r="BB51" i="7"/>
  <c r="AT51" i="7"/>
  <c r="AL51" i="7"/>
  <c r="AD51" i="7"/>
  <c r="V51" i="7"/>
  <c r="K51" i="7"/>
  <c r="DH51" i="7"/>
  <c r="CY51" i="7"/>
  <c r="CQ51" i="7"/>
  <c r="CH51" i="7"/>
  <c r="BZ51" i="7"/>
  <c r="BQ51" i="7"/>
  <c r="BI51" i="7"/>
  <c r="BA51" i="7"/>
  <c r="AS51" i="7"/>
  <c r="AK51" i="7"/>
  <c r="AC51" i="7"/>
  <c r="U51" i="7"/>
  <c r="J51" i="7"/>
  <c r="T51" i="7"/>
  <c r="AG51" i="7"/>
  <c r="AU51" i="7"/>
  <c r="BG51" i="7"/>
  <c r="BT51" i="7"/>
  <c r="CG51" i="7"/>
  <c r="CU51" i="7"/>
  <c r="DK51" i="7"/>
  <c r="K246" i="46"/>
  <c r="K144" i="46"/>
  <c r="H31" i="46"/>
  <c r="I31" i="46"/>
  <c r="J31" i="46"/>
  <c r="I69" i="46"/>
  <c r="J69" i="46"/>
  <c r="H69" i="46"/>
  <c r="H27" i="46"/>
  <c r="I27" i="46"/>
  <c r="J27" i="46"/>
  <c r="I85" i="46"/>
  <c r="J85" i="46"/>
  <c r="H85" i="46"/>
  <c r="H82" i="46"/>
  <c r="I82" i="46"/>
  <c r="J82" i="46"/>
  <c r="K211" i="46"/>
  <c r="K142" i="46"/>
  <c r="H12" i="46"/>
  <c r="I12" i="46"/>
  <c r="J12" i="46"/>
  <c r="H97" i="46"/>
  <c r="I97" i="46"/>
  <c r="J97" i="46"/>
  <c r="I47" i="46"/>
  <c r="J47" i="46"/>
  <c r="H47" i="46"/>
  <c r="I86" i="46"/>
  <c r="J86" i="46"/>
  <c r="H86" i="46"/>
  <c r="H105" i="46"/>
  <c r="I105" i="46"/>
  <c r="J105" i="46"/>
  <c r="H33" i="46"/>
  <c r="I33" i="46"/>
  <c r="J33" i="46"/>
  <c r="H50" i="46"/>
  <c r="I50" i="46"/>
  <c r="J50" i="46"/>
  <c r="H30" i="46"/>
  <c r="I30" i="46"/>
  <c r="J30" i="46"/>
  <c r="I43" i="46"/>
  <c r="J43" i="46"/>
  <c r="H43" i="46"/>
  <c r="I14" i="46"/>
  <c r="J14" i="46"/>
  <c r="H14" i="46"/>
  <c r="H26" i="46"/>
  <c r="I26" i="46"/>
  <c r="J26" i="46"/>
  <c r="H34" i="46"/>
  <c r="I34" i="46"/>
  <c r="J34" i="46"/>
  <c r="H89" i="46"/>
  <c r="I89" i="46"/>
  <c r="J89" i="46"/>
  <c r="I102" i="46"/>
  <c r="J102" i="46"/>
  <c r="H102" i="46"/>
  <c r="H41" i="46"/>
  <c r="I41" i="46"/>
  <c r="J41" i="46"/>
  <c r="I61" i="46"/>
  <c r="J61" i="46"/>
  <c r="H61" i="46"/>
  <c r="H32" i="46"/>
  <c r="I32" i="46"/>
  <c r="J32" i="46"/>
  <c r="H79" i="46"/>
  <c r="I79" i="46"/>
  <c r="J79" i="46"/>
  <c r="I103" i="46"/>
  <c r="J103" i="46"/>
  <c r="H103" i="46"/>
  <c r="H125" i="46"/>
  <c r="I125" i="46"/>
  <c r="J125" i="46"/>
  <c r="H65" i="46"/>
  <c r="I65" i="46"/>
  <c r="J65" i="46"/>
  <c r="H136" i="46"/>
  <c r="I136" i="46"/>
  <c r="J136" i="46"/>
  <c r="H35" i="46"/>
  <c r="I35" i="46"/>
  <c r="J35" i="46"/>
  <c r="H75" i="46"/>
  <c r="I75" i="46"/>
  <c r="J75" i="46"/>
  <c r="H57" i="46"/>
  <c r="I57" i="46"/>
  <c r="J57" i="46"/>
  <c r="H123" i="46"/>
  <c r="I123" i="46"/>
  <c r="J123" i="46"/>
  <c r="H119" i="46"/>
  <c r="I119" i="46"/>
  <c r="J119" i="46"/>
  <c r="H129" i="46"/>
  <c r="I129" i="46"/>
  <c r="J129" i="46"/>
  <c r="H63" i="46"/>
  <c r="I63" i="46"/>
  <c r="J63" i="46"/>
  <c r="H98" i="46"/>
  <c r="I98" i="46"/>
  <c r="J98" i="46"/>
  <c r="H113" i="46"/>
  <c r="I113" i="46"/>
  <c r="J113" i="46"/>
  <c r="I121" i="46"/>
  <c r="J121" i="46"/>
  <c r="H121" i="46"/>
  <c r="H76" i="46"/>
  <c r="I76" i="46"/>
  <c r="J76" i="46"/>
  <c r="H99" i="46"/>
  <c r="I99" i="46"/>
  <c r="J99" i="46"/>
  <c r="H70" i="46"/>
  <c r="I70" i="46"/>
  <c r="J70" i="46"/>
  <c r="H109" i="46"/>
  <c r="I109" i="46"/>
  <c r="J109" i="46"/>
  <c r="H127" i="46"/>
  <c r="I127" i="46"/>
  <c r="J127" i="46"/>
  <c r="I44" i="46"/>
  <c r="J44" i="46"/>
  <c r="H44" i="46"/>
  <c r="H104" i="46"/>
  <c r="I104" i="46"/>
  <c r="J104" i="46"/>
  <c r="H49" i="46"/>
  <c r="I49" i="46"/>
  <c r="J49" i="46"/>
  <c r="H20" i="46"/>
  <c r="I20" i="46"/>
  <c r="J20" i="46"/>
  <c r="I66" i="46"/>
  <c r="J66" i="46"/>
  <c r="H66" i="46"/>
  <c r="H45" i="46"/>
  <c r="I45" i="46"/>
  <c r="J45" i="46"/>
  <c r="I15" i="46"/>
  <c r="J15" i="46"/>
  <c r="H15" i="46"/>
  <c r="I101" i="46"/>
  <c r="J101" i="46"/>
  <c r="H101" i="46"/>
  <c r="H58" i="46"/>
  <c r="I58" i="46"/>
  <c r="J58" i="46"/>
  <c r="H60" i="46"/>
  <c r="I60" i="46"/>
  <c r="J60" i="46"/>
  <c r="I84" i="46"/>
  <c r="J84" i="46"/>
  <c r="H84" i="46"/>
  <c r="H112" i="46"/>
  <c r="I112" i="46"/>
  <c r="J112" i="46"/>
  <c r="H115" i="46"/>
  <c r="I115" i="46"/>
  <c r="J115" i="46"/>
  <c r="I77" i="46"/>
  <c r="J77" i="46"/>
  <c r="H77" i="46"/>
  <c r="H72" i="46"/>
  <c r="I72" i="46"/>
  <c r="J72" i="46"/>
  <c r="K224" i="46"/>
  <c r="K143" i="46"/>
  <c r="L246" i="46"/>
  <c r="L144" i="46"/>
  <c r="H28" i="46"/>
  <c r="I28" i="46"/>
  <c r="J28" i="46"/>
  <c r="I95" i="46"/>
  <c r="J95" i="46"/>
  <c r="H95" i="46"/>
  <c r="H111" i="46"/>
  <c r="I111" i="46"/>
  <c r="J111" i="46"/>
  <c r="C21" i="46"/>
  <c r="I11" i="46"/>
  <c r="J11" i="46"/>
  <c r="H11" i="46"/>
  <c r="H55" i="46"/>
  <c r="I55" i="46"/>
  <c r="J55" i="46"/>
  <c r="I40" i="46"/>
  <c r="J40" i="46"/>
  <c r="H40" i="46"/>
  <c r="H68" i="46"/>
  <c r="I68" i="46"/>
  <c r="J68" i="46"/>
  <c r="H25" i="46"/>
  <c r="I25" i="46"/>
  <c r="J25" i="46"/>
  <c r="H51" i="46"/>
  <c r="I51" i="46"/>
  <c r="J51" i="46"/>
  <c r="H42" i="46"/>
  <c r="I42" i="46"/>
  <c r="J42" i="46"/>
  <c r="H18" i="46"/>
  <c r="I18" i="46"/>
  <c r="J18" i="46"/>
  <c r="I92" i="46"/>
  <c r="J92" i="46"/>
  <c r="H92" i="46"/>
  <c r="H16" i="46"/>
  <c r="H36" i="46"/>
  <c r="I36" i="46"/>
  <c r="J36" i="46"/>
  <c r="H17" i="46"/>
  <c r="I17" i="46"/>
  <c r="J17" i="46"/>
  <c r="H88" i="46"/>
  <c r="I88" i="46"/>
  <c r="J88" i="46"/>
  <c r="I52" i="46"/>
  <c r="J52" i="46"/>
  <c r="H52" i="46"/>
  <c r="H62" i="46"/>
  <c r="I62" i="46"/>
  <c r="J62" i="46"/>
  <c r="H78" i="46"/>
  <c r="I78" i="46"/>
  <c r="J78" i="46"/>
  <c r="H54" i="46"/>
  <c r="I54" i="46"/>
  <c r="J54" i="46"/>
  <c r="H117" i="46"/>
  <c r="I117" i="46"/>
  <c r="J117" i="46"/>
  <c r="H59" i="46"/>
  <c r="I59" i="46"/>
  <c r="J59" i="46"/>
  <c r="K154" i="46"/>
  <c r="K141" i="46"/>
  <c r="H64" i="46"/>
  <c r="I64" i="46"/>
  <c r="J64" i="46"/>
  <c r="I80" i="46"/>
  <c r="J80" i="46"/>
  <c r="H80" i="46"/>
  <c r="H96" i="46"/>
  <c r="I96" i="46"/>
  <c r="J96" i="46"/>
  <c r="H38" i="46"/>
  <c r="I38" i="46"/>
  <c r="J38" i="46"/>
  <c r="H48" i="46"/>
  <c r="I48" i="46"/>
  <c r="J48" i="46"/>
  <c r="L224" i="46"/>
  <c r="L143" i="46"/>
  <c r="I67" i="46"/>
  <c r="J67" i="46"/>
  <c r="H67" i="46"/>
  <c r="H29" i="46"/>
  <c r="I29" i="46"/>
  <c r="J29" i="46"/>
  <c r="H114" i="46"/>
  <c r="I114" i="46"/>
  <c r="J114" i="46"/>
  <c r="I39" i="46"/>
  <c r="J39" i="46"/>
  <c r="H39" i="46"/>
  <c r="I74" i="46"/>
  <c r="J74" i="46"/>
  <c r="H74" i="46"/>
  <c r="I108" i="46"/>
  <c r="J108" i="46"/>
  <c r="H108" i="46"/>
  <c r="I46" i="46"/>
  <c r="J46" i="46"/>
  <c r="H46" i="46"/>
  <c r="H73" i="46"/>
  <c r="I73" i="46"/>
  <c r="J73" i="46"/>
  <c r="H90" i="46"/>
  <c r="I90" i="46"/>
  <c r="J90" i="46"/>
  <c r="I100" i="46"/>
  <c r="J100" i="46"/>
  <c r="H100" i="46"/>
  <c r="H93" i="46"/>
  <c r="I93" i="46"/>
  <c r="J93" i="46"/>
  <c r="H106" i="46"/>
  <c r="I106" i="46"/>
  <c r="J106" i="46"/>
  <c r="H19" i="46"/>
  <c r="I19" i="46"/>
  <c r="J19" i="46"/>
  <c r="I13" i="46"/>
  <c r="J13" i="46"/>
  <c r="H13" i="46"/>
  <c r="I53" i="46"/>
  <c r="J53" i="46"/>
  <c r="H53" i="46"/>
  <c r="H71" i="46"/>
  <c r="I71" i="46"/>
  <c r="J71" i="46"/>
  <c r="H91" i="46"/>
  <c r="I91" i="46"/>
  <c r="J91" i="46"/>
  <c r="H56" i="46"/>
  <c r="I56" i="46"/>
  <c r="J56" i="46"/>
  <c r="I107" i="46"/>
  <c r="J107" i="46"/>
  <c r="H107" i="46"/>
  <c r="H118" i="46"/>
  <c r="I118" i="46"/>
  <c r="J118" i="46"/>
  <c r="I83" i="46"/>
  <c r="J83" i="46"/>
  <c r="H83" i="46"/>
  <c r="I37" i="46"/>
  <c r="J37" i="46"/>
  <c r="H37" i="46"/>
  <c r="H87" i="46"/>
  <c r="I87" i="46"/>
  <c r="J87" i="46"/>
  <c r="H110" i="46"/>
  <c r="I110" i="46"/>
  <c r="J110" i="46"/>
  <c r="L154" i="46"/>
  <c r="L141" i="46"/>
  <c r="L211" i="46"/>
  <c r="L142" i="46"/>
  <c r="C26" i="14"/>
  <c r="I126" i="14"/>
</calcChain>
</file>

<file path=xl/sharedStrings.xml><?xml version="1.0" encoding="utf-8"?>
<sst xmlns="http://schemas.openxmlformats.org/spreadsheetml/2006/main" count="47772" uniqueCount="651">
  <si>
    <t>Photo Name</t>
  </si>
  <si>
    <t>X</t>
  </si>
  <si>
    <t>Y</t>
  </si>
  <si>
    <t>s_pt1</t>
  </si>
  <si>
    <t>Sub-categories</t>
  </si>
  <si>
    <t>s_pt2</t>
  </si>
  <si>
    <t>s_pt3</t>
  </si>
  <si>
    <t>s_pt4</t>
  </si>
  <si>
    <t>s_pt5</t>
  </si>
  <si>
    <t>m_pt1</t>
  </si>
  <si>
    <t>Major categories</t>
  </si>
  <si>
    <t>m_pt2</t>
  </si>
  <si>
    <t>m_pt3</t>
  </si>
  <si>
    <t>m_pt4</t>
  </si>
  <si>
    <t>m_pt5</t>
  </si>
  <si>
    <t>n_pt1</t>
  </si>
  <si>
    <t>Notes</t>
  </si>
  <si>
    <t>n_pt2</t>
  </si>
  <si>
    <t>n_pt3</t>
  </si>
  <si>
    <t>n_pt4</t>
  </si>
  <si>
    <t>n_pt5</t>
  </si>
  <si>
    <t>IMG_6294.JPG</t>
  </si>
  <si>
    <t>ACROTBL</t>
  </si>
  <si>
    <t>C</t>
  </si>
  <si>
    <t>IMG_6295.JPG</t>
  </si>
  <si>
    <t>FCA1</t>
  </si>
  <si>
    <t>FCA</t>
  </si>
  <si>
    <t>TURF</t>
  </si>
  <si>
    <t>T</t>
  </si>
  <si>
    <t>CCA1</t>
  </si>
  <si>
    <t>CCA</t>
  </si>
  <si>
    <t>LEPTOR</t>
  </si>
  <si>
    <t>IMG_6296.JPG</t>
  </si>
  <si>
    <t>PACHY</t>
  </si>
  <si>
    <t>IMG_6298.JPG</t>
  </si>
  <si>
    <t>ECHPO</t>
  </si>
  <si>
    <t>IMG_6299.JPG</t>
  </si>
  <si>
    <t>GAL</t>
  </si>
  <si>
    <t>MERU</t>
  </si>
  <si>
    <t>IMG_6300.JPG</t>
  </si>
  <si>
    <t>IMG_6302.JPG</t>
  </si>
  <si>
    <t>BCA1</t>
  </si>
  <si>
    <t>BCA</t>
  </si>
  <si>
    <t>IMG_6303.JPG</t>
  </si>
  <si>
    <t>SHADOW</t>
  </si>
  <si>
    <t>TWS</t>
  </si>
  <si>
    <t>IMG_6304.JPG</t>
  </si>
  <si>
    <t>IMG_6305.JPG</t>
  </si>
  <si>
    <t>IMG_6306.JPG</t>
  </si>
  <si>
    <t>IMG_6307.JPG</t>
  </si>
  <si>
    <t>IMG_6308.JPG</t>
  </si>
  <si>
    <t>STYLO</t>
  </si>
  <si>
    <t>IMG_6309.JPG</t>
  </si>
  <si>
    <t>IMG_6310.JPG</t>
  </si>
  <si>
    <t>IMG_6311.JPG</t>
  </si>
  <si>
    <t>LOBOPH</t>
  </si>
  <si>
    <t>IMG_6312.JPG</t>
  </si>
  <si>
    <t>IMG_6313.JPG</t>
  </si>
  <si>
    <t>IMG_6315.JPG</t>
  </si>
  <si>
    <t>FAV</t>
  </si>
  <si>
    <t>IMG_6316.JPG</t>
  </si>
  <si>
    <t>IMG_6317.JPG</t>
  </si>
  <si>
    <t>IMG_6318.JPG</t>
  </si>
  <si>
    <t>IMG_6319.JPG</t>
  </si>
  <si>
    <t>GON</t>
  </si>
  <si>
    <t>IMG_6320.JPG</t>
  </si>
  <si>
    <t>CYPH</t>
  </si>
  <si>
    <t>IMG_6323.JPG</t>
  </si>
  <si>
    <t>IMG_6324.JPG</t>
  </si>
  <si>
    <t>PLAT</t>
  </si>
  <si>
    <t>IMG_6325.JPG</t>
  </si>
  <si>
    <t>IMG_6327.JPG</t>
  </si>
  <si>
    <t>MYCED</t>
  </si>
  <si>
    <t>IMG_6329.JPG</t>
  </si>
  <si>
    <t>IMG_6330.JPG</t>
  </si>
  <si>
    <t>IMG_6331.JPG</t>
  </si>
  <si>
    <t>IMG_6332.JPG</t>
  </si>
  <si>
    <t>IMG_6333.JPG</t>
  </si>
  <si>
    <t>IMG_6334.JPG</t>
  </si>
  <si>
    <t>IMG_6335.JPG</t>
  </si>
  <si>
    <t>IMG_6336.JPG</t>
  </si>
  <si>
    <t>IMG_6337.JPG</t>
  </si>
  <si>
    <t>IMG_6338.JPG</t>
  </si>
  <si>
    <t>IMG_6339.JPG</t>
  </si>
  <si>
    <t>IMG_6340.JPG</t>
  </si>
  <si>
    <t>IMG_6341.JPG</t>
  </si>
  <si>
    <t>IMG_6342.JPG</t>
  </si>
  <si>
    <t>IMG_6343.JPG</t>
  </si>
  <si>
    <t>IMG_6344.JPG</t>
  </si>
  <si>
    <t>ACROP</t>
  </si>
  <si>
    <t>IMG_6345.JPG</t>
  </si>
  <si>
    <t>IMG_6347.JPG</t>
  </si>
  <si>
    <t>IMG_6348.JPG</t>
  </si>
  <si>
    <t>IMG_6349.JPG</t>
  </si>
  <si>
    <t>IMG_6351.JPG</t>
  </si>
  <si>
    <t>PORRUS</t>
  </si>
  <si>
    <t>Major Categories (% of photo excluding TWS)</t>
  </si>
  <si>
    <t>Coral</t>
  </si>
  <si>
    <t>Other Invertebrates</t>
  </si>
  <si>
    <t>OI</t>
  </si>
  <si>
    <t>Macroalgae</t>
  </si>
  <si>
    <t>MA</t>
  </si>
  <si>
    <t>Branching Coralline Algae</t>
  </si>
  <si>
    <t>Crustose Coralline Algae</t>
  </si>
  <si>
    <t>Sand</t>
  </si>
  <si>
    <t>SD</t>
  </si>
  <si>
    <t>Fleshy Coralline algae</t>
  </si>
  <si>
    <t>Chrysophyte</t>
  </si>
  <si>
    <t>CHRYS</t>
  </si>
  <si>
    <t>Turf Algae</t>
  </si>
  <si>
    <t>Tape, Wand, shadow</t>
  </si>
  <si>
    <t>Number of points classified in image</t>
  </si>
  <si>
    <t>Sub-Categories (% of photo excluding TWS)</t>
  </si>
  <si>
    <t>Acanthastrea (ACAN)</t>
  </si>
  <si>
    <t>ACAN</t>
  </si>
  <si>
    <t>Acropora (ACROP)</t>
  </si>
  <si>
    <t>Acropora-arborescent (ACROPARB)</t>
  </si>
  <si>
    <t>ACROPARB</t>
  </si>
  <si>
    <t>Acropora-stag (ACROST)</t>
  </si>
  <si>
    <t>ACROST</t>
  </si>
  <si>
    <t>Acropora-table (ACROTBL)</t>
  </si>
  <si>
    <t>Astreopora (ASTRP)</t>
  </si>
  <si>
    <t>ASTRP</t>
  </si>
  <si>
    <t>Caulastrea (CAUL)</t>
  </si>
  <si>
    <t>CAUL</t>
  </si>
  <si>
    <t>Coscinaraea (COSC)</t>
  </si>
  <si>
    <t>COSC</t>
  </si>
  <si>
    <t>Ctenactis (CTEN)</t>
  </si>
  <si>
    <t>CTEN</t>
  </si>
  <si>
    <t>Cyphastrea (CYPH)</t>
  </si>
  <si>
    <t>Diplioastrea (DIPLO)</t>
  </si>
  <si>
    <t>DIPLO</t>
  </si>
  <si>
    <t>Echinopora (ECHPO)</t>
  </si>
  <si>
    <t>Echinphyllia (ECHPHY)</t>
  </si>
  <si>
    <t>ECHPHY</t>
  </si>
  <si>
    <t>Euphyllia (EUPH)</t>
  </si>
  <si>
    <t>EUPH</t>
  </si>
  <si>
    <t>Favia (FAV)</t>
  </si>
  <si>
    <t>Favites (FAVT)</t>
  </si>
  <si>
    <t>FAVT</t>
  </si>
  <si>
    <t>Fungia (FUNG)</t>
  </si>
  <si>
    <t>FUNG</t>
  </si>
  <si>
    <t>Galaxea (GAL)</t>
  </si>
  <si>
    <t>Gardineroseris (GARD)</t>
  </si>
  <si>
    <t>GARD</t>
  </si>
  <si>
    <t>Goniastrea (GON)</t>
  </si>
  <si>
    <t>Goniopora (GONIO)</t>
  </si>
  <si>
    <t>GONIO</t>
  </si>
  <si>
    <t>Heliopora (HELIO)</t>
  </si>
  <si>
    <t>HELIO</t>
  </si>
  <si>
    <t>Herpolitha (HERP)</t>
  </si>
  <si>
    <t>HERP</t>
  </si>
  <si>
    <t>Hydnophora (HYD)</t>
  </si>
  <si>
    <t>HYD</t>
  </si>
  <si>
    <t>Isopora (ISOP)</t>
  </si>
  <si>
    <t>ISOP</t>
  </si>
  <si>
    <t>Leptastrea (LEPT)</t>
  </si>
  <si>
    <t>LEPT</t>
  </si>
  <si>
    <t>Leptoria (LEPTOR)</t>
  </si>
  <si>
    <t>Leptoseris (LEPTOS)</t>
  </si>
  <si>
    <t>LEPTOS</t>
  </si>
  <si>
    <t>Lobophyllia (LOBOPH)</t>
  </si>
  <si>
    <t>Merulina (MERU)</t>
  </si>
  <si>
    <t>Millepora (MILL)</t>
  </si>
  <si>
    <t>MILL</t>
  </si>
  <si>
    <t>Montastrea (MONT)</t>
  </si>
  <si>
    <t>MONT</t>
  </si>
  <si>
    <t>Montipora (MONTI)</t>
  </si>
  <si>
    <t>MONTI</t>
  </si>
  <si>
    <t>Mycedium (MYCED)</t>
  </si>
  <si>
    <t>Oulophyllia (OULO)</t>
  </si>
  <si>
    <t>OULO</t>
  </si>
  <si>
    <t>Oxypora (OXYP)</t>
  </si>
  <si>
    <t>OXYP</t>
  </si>
  <si>
    <t>PLeisastrea (PLSIA)</t>
  </si>
  <si>
    <t>PLSIA</t>
  </si>
  <si>
    <t>Pachyseris (PACHY)</t>
  </si>
  <si>
    <t>Pavona (PAV)</t>
  </si>
  <si>
    <t>PAV</t>
  </si>
  <si>
    <t>Pectinia (PECT)</t>
  </si>
  <si>
    <t>PECT</t>
  </si>
  <si>
    <t>Physogyra (PHYSO)</t>
  </si>
  <si>
    <t>PHYSO</t>
  </si>
  <si>
    <t>Platygyra (PLAT)</t>
  </si>
  <si>
    <t>Plerogyra (PLERO)</t>
  </si>
  <si>
    <t>PLERO</t>
  </si>
  <si>
    <t>Pocillopora (POC)</t>
  </si>
  <si>
    <t>POC</t>
  </si>
  <si>
    <t>Porites (POR)</t>
  </si>
  <si>
    <t>POR</t>
  </si>
  <si>
    <t>Porites-cylindrica (PORCYL)</t>
  </si>
  <si>
    <t>PORCYL</t>
  </si>
  <si>
    <t>Porites-massive (PORMAS)</t>
  </si>
  <si>
    <t>PORMAS</t>
  </si>
  <si>
    <t>Porites-rus (PORRUS)</t>
  </si>
  <si>
    <t>Psammocora (PSAM)</t>
  </si>
  <si>
    <t>PSAM</t>
  </si>
  <si>
    <t>Sandalolitha (SANDO)</t>
  </si>
  <si>
    <t>SANDO</t>
  </si>
  <si>
    <t>Scapophyllia (SCAP)</t>
  </si>
  <si>
    <t>SCAP</t>
  </si>
  <si>
    <t>Seriatopora (SERIA)</t>
  </si>
  <si>
    <t>SERIA</t>
  </si>
  <si>
    <t>Stylocoeniella (STYLC)</t>
  </si>
  <si>
    <t>STYLC</t>
  </si>
  <si>
    <t>Stylohpora (STYLO)</t>
  </si>
  <si>
    <t>Symphyllia (SYMP)</t>
  </si>
  <si>
    <t>SYMP</t>
  </si>
  <si>
    <t>Turbinaraea (TURBIN)</t>
  </si>
  <si>
    <t>TURBIN</t>
  </si>
  <si>
    <t>Anenome (ANEM)</t>
  </si>
  <si>
    <t>ANEM</t>
  </si>
  <si>
    <t>Ascidian (ASC)</t>
  </si>
  <si>
    <t>ASC</t>
  </si>
  <si>
    <t>Cup Sponge (CUPS)</t>
  </si>
  <si>
    <t>CUPS</t>
  </si>
  <si>
    <t>Discosoma (DISCO)</t>
  </si>
  <si>
    <t>DISCO</t>
  </si>
  <si>
    <t>Dysidea Sponge (DYS)</t>
  </si>
  <si>
    <t>DYS</t>
  </si>
  <si>
    <t>Gorgonians (G)</t>
  </si>
  <si>
    <t>G</t>
  </si>
  <si>
    <t>Not Identified Invertebrate (NoIDINV)</t>
  </si>
  <si>
    <t>NoIDINV</t>
  </si>
  <si>
    <t>Olive Sponge (OLV)</t>
  </si>
  <si>
    <t>OLV</t>
  </si>
  <si>
    <t>Soft Coral (SC)</t>
  </si>
  <si>
    <t>SC</t>
  </si>
  <si>
    <t>Sponges (S)</t>
  </si>
  <si>
    <t>S</t>
  </si>
  <si>
    <t>Terpios Sponge (TERPS)</t>
  </si>
  <si>
    <t>TERPS</t>
  </si>
  <si>
    <t>Zoanthids (Z)</t>
  </si>
  <si>
    <t>Z</t>
  </si>
  <si>
    <t>Asparagopsis (ASP)</t>
  </si>
  <si>
    <t>ASP</t>
  </si>
  <si>
    <t>Bluegreen (BG)</t>
  </si>
  <si>
    <t>BG</t>
  </si>
  <si>
    <t>Boodlea (Bood)</t>
  </si>
  <si>
    <t>Bood</t>
  </si>
  <si>
    <t>Bryopsis (BRYP)</t>
  </si>
  <si>
    <t>BRYP</t>
  </si>
  <si>
    <t>Caulerpa (CLP)</t>
  </si>
  <si>
    <t>CLP</t>
  </si>
  <si>
    <t>Chlorodesmis (CHLDES)</t>
  </si>
  <si>
    <t>CHLDES</t>
  </si>
  <si>
    <t>Dictosphyrea (DYCTY)</t>
  </si>
  <si>
    <t>DYCTY</t>
  </si>
  <si>
    <t>Dictyota (DICT)</t>
  </si>
  <si>
    <t>DICT</t>
  </si>
  <si>
    <t>Galaxura (GLXU)</t>
  </si>
  <si>
    <t>GLXU</t>
  </si>
  <si>
    <t>Halimeda (HALI)</t>
  </si>
  <si>
    <t>HALI</t>
  </si>
  <si>
    <t>Liagora (LIAG)</t>
  </si>
  <si>
    <t>LIAG</t>
  </si>
  <si>
    <t>Lobophora (LOBO)</t>
  </si>
  <si>
    <t>LOBO</t>
  </si>
  <si>
    <t>Mastophora (MAST)</t>
  </si>
  <si>
    <t>MAST</t>
  </si>
  <si>
    <t>Microdictyton (MICDTY)</t>
  </si>
  <si>
    <t>MICDTY</t>
  </si>
  <si>
    <t>Neomeris (NEOM)</t>
  </si>
  <si>
    <t>NEOM</t>
  </si>
  <si>
    <t>Not ID Macroalgae (NOIDMAC)</t>
  </si>
  <si>
    <t>NOIDMAC</t>
  </si>
  <si>
    <t>Padina (PAD)</t>
  </si>
  <si>
    <t>PAD</t>
  </si>
  <si>
    <t>Sargassum (SARG)</t>
  </si>
  <si>
    <t>SARG</t>
  </si>
  <si>
    <t>Schizothrix (SCHIZ)</t>
  </si>
  <si>
    <t>SCHIZ</t>
  </si>
  <si>
    <t>Turbinaria (TURB)</t>
  </si>
  <si>
    <t>TURB</t>
  </si>
  <si>
    <t>Tydemania (TYDM)</t>
  </si>
  <si>
    <t>TYDM</t>
  </si>
  <si>
    <t>Amphiroa (AMP)</t>
  </si>
  <si>
    <t>AMP</t>
  </si>
  <si>
    <t>Branching Coralline general (BCA1)</t>
  </si>
  <si>
    <t>Jania (JAN)</t>
  </si>
  <si>
    <t>JAN</t>
  </si>
  <si>
    <t>Crustose Coralline (CCA1)</t>
  </si>
  <si>
    <t>Sand (Sand)</t>
  </si>
  <si>
    <t>Fleshy-Coralline (FCA1)</t>
  </si>
  <si>
    <t>Brown Chysophyte (CHRYOBRN)</t>
  </si>
  <si>
    <t>CHRYOBRN</t>
  </si>
  <si>
    <t>Turf (TURF)</t>
  </si>
  <si>
    <t>Shadow (Shadow)</t>
  </si>
  <si>
    <t>Shadow</t>
  </si>
  <si>
    <t>Tape (Tape)</t>
  </si>
  <si>
    <t>Tape</t>
  </si>
  <si>
    <t>Wand (Wand)</t>
  </si>
  <si>
    <t>Wand</t>
  </si>
  <si>
    <t>NOTES (% of image)</t>
  </si>
  <si>
    <t>Bleached Coral</t>
  </si>
  <si>
    <t>BC</t>
  </si>
  <si>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</si>
  <si>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</si>
  <si>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</si>
  <si>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</si>
  <si>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</si>
  <si>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</si>
  <si>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</si>
  <si>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</si>
  <si>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</si>
  <si>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</si>
  <si>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</si>
  <si>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</si>
  <si>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</si>
  <si>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</si>
  <si>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</si>
  <si>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</si>
  <si>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</si>
  <si>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</si>
  <si>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</si>
  <si>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</si>
  <si>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</si>
  <si>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</si>
  <si>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Total pts. minus (tape+wand+shadow):</t>
  </si>
  <si>
    <t>Raw Data</t>
  </si>
  <si>
    <t>Major Category</t>
  </si>
  <si>
    <t>Frame limits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</si>
  <si>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</si>
  <si>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</si>
  <si>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</si>
  <si>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</si>
  <si>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</si>
  <si>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</si>
  <si>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</si>
  <si>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</si>
  <si>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</si>
  <si>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</si>
  <si>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</si>
  <si>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</si>
  <si>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</si>
  <si>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</si>
  <si>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</si>
  <si>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</si>
  <si>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</si>
  <si>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</si>
  <si>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</si>
  <si>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</si>
  <si>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</si>
  <si>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</si>
  <si>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</si>
  <si>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</si>
  <si>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</si>
  <si>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</si>
  <si>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</si>
  <si>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</si>
  <si>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</si>
  <si>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</si>
  <si>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OTHER INVERTEBRATES (OI)</t>
  </si>
  <si>
    <t>MACROALGAE (MA)</t>
  </si>
  <si>
    <t>BRANCHING CORALLINE ALGAE (BCA)</t>
  </si>
  <si>
    <t>CRUSTOSE CORALLINE ALGAE (CCA)</t>
  </si>
  <si>
    <t>SAND (SD)</t>
  </si>
  <si>
    <t>FLESHY CORALLINE ALGAE (FCA)</t>
  </si>
  <si>
    <t>CHRYSOPHYTE (CHRYS)</t>
  </si>
  <si>
    <t>TURF ALGAE (T)</t>
  </si>
  <si>
    <t>TAPE, WAND, SHADOW (TWS)</t>
  </si>
  <si>
    <t>TOTALS</t>
  </si>
  <si>
    <t>NOTES (% of transect)</t>
  </si>
  <si>
    <t>Bleached Coral (BC)</t>
  </si>
  <si>
    <t>NOTES (% of coral)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</si>
  <si>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</si>
  <si>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</si>
  <si>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</si>
  <si>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</si>
  <si>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</si>
  <si>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</si>
  <si>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</si>
  <si>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</si>
  <si>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</si>
  <si>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</si>
  <si>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</si>
  <si>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Total Points</t>
  </si>
  <si>
    <t>Point #</t>
  </si>
  <si>
    <t>Class ID</t>
  </si>
  <si>
    <t>ID Name</t>
  </si>
  <si>
    <t>ID Code</t>
  </si>
  <si>
    <t>Subcategory</t>
  </si>
  <si>
    <t xml:space="preserve"> </t>
  </si>
  <si>
    <t>Acropora-table</t>
  </si>
  <si>
    <t>Fleshy-Coralline</t>
  </si>
  <si>
    <t>Turf</t>
  </si>
  <si>
    <t>Crustose Coralline</t>
  </si>
  <si>
    <t>Leptoria</t>
  </si>
  <si>
    <t>Pachyseris</t>
  </si>
  <si>
    <t>Echinopora</t>
  </si>
  <si>
    <t>Galaxea</t>
  </si>
  <si>
    <t>Merulina</t>
  </si>
  <si>
    <t>Branching Coralline general</t>
  </si>
  <si>
    <t>Stylohpora</t>
  </si>
  <si>
    <t>Lobophyllia</t>
  </si>
  <si>
    <t>Favia</t>
  </si>
  <si>
    <t>Goniastrea</t>
  </si>
  <si>
    <t>Cyphastrea</t>
  </si>
  <si>
    <t>Platygyra</t>
  </si>
  <si>
    <t>Mycedium</t>
  </si>
  <si>
    <t>Acropora</t>
  </si>
  <si>
    <t>Porites-rus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</si>
  <si>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</si>
  <si>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</si>
  <si>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</si>
  <si>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</si>
  <si>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</si>
  <si>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</si>
  <si>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</si>
  <si>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</si>
  <si>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</si>
  <si>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</si>
  <si>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</si>
  <si>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</si>
  <si>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Not Identified Invertebrate (NOIDINV)</t>
  </si>
  <si>
    <t>Boodlea (BOOD)</t>
  </si>
  <si>
    <t>Sand (SAND)</t>
  </si>
  <si>
    <t>Shadow (SHADOW)</t>
  </si>
  <si>
    <t>Tape (TAPE)</t>
  </si>
  <si>
    <t>Wand (WAND)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</si>
  <si>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</si>
  <si>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</si>
  <si>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</si>
  <si>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</si>
  <si>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</si>
  <si>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</si>
  <si>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</si>
  <si>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</si>
  <si>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</si>
  <si>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</si>
  <si>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IMG_6476.JPG</t>
  </si>
  <si>
    <t>IMG_6477.JPG</t>
  </si>
  <si>
    <t>IMG_6478.JPG</t>
  </si>
  <si>
    <t>IMG_6480.JPG</t>
  </si>
  <si>
    <t>IMG_6481.JPG</t>
  </si>
  <si>
    <t>IMG_6483.JPG</t>
  </si>
  <si>
    <t>IMG_6485.JPG</t>
  </si>
  <si>
    <t>IMG_6486.JPG</t>
  </si>
  <si>
    <t>IMG_6487.JPG</t>
  </si>
  <si>
    <t>IMG_6488.JPG</t>
  </si>
  <si>
    <t>IMG_6491.JPG</t>
  </si>
  <si>
    <t>IMG_6494.JPG</t>
  </si>
  <si>
    <t>IMG_6496.JPG</t>
  </si>
  <si>
    <t>IMG_6497.JPG</t>
  </si>
  <si>
    <t>IMG_6498.JPG</t>
  </si>
  <si>
    <t>IMG_6499.JPG</t>
  </si>
  <si>
    <t>IMG_6500.JPG</t>
  </si>
  <si>
    <t>IMG_6502.JPG</t>
  </si>
  <si>
    <t>IMG_6503.JPG</t>
  </si>
  <si>
    <t>IMG_6505.JPG</t>
  </si>
  <si>
    <t>IMG_6507.JPG</t>
  </si>
  <si>
    <t>IMG_6508.JPG</t>
  </si>
  <si>
    <t>IMG_6509.JPG</t>
  </si>
  <si>
    <t>IMG_6510.JPG</t>
  </si>
  <si>
    <t>IMG_6511.JPG</t>
  </si>
  <si>
    <t>IMG_6512.JPG</t>
  </si>
  <si>
    <t>IMG_6514.JPG</t>
  </si>
  <si>
    <t>IMG_6515.JPG</t>
  </si>
  <si>
    <t>IMG_6517.JPG</t>
  </si>
  <si>
    <t>IMG_6518.JPG</t>
  </si>
  <si>
    <t>IMG_6519.JPG</t>
  </si>
  <si>
    <t>IMG_6521.JPG</t>
  </si>
  <si>
    <t>IMG_6522.JPG</t>
  </si>
  <si>
    <t>IMG_6523.JPG</t>
  </si>
  <si>
    <t>IMG_6524.JPG</t>
  </si>
  <si>
    <t>IMG_6525.JPG</t>
  </si>
  <si>
    <t>IMG_6528.JPG</t>
  </si>
  <si>
    <t>IMG_6529.JPG</t>
  </si>
  <si>
    <t>IMG_6530.JPG</t>
  </si>
  <si>
    <t>IMG_6531.JPG</t>
  </si>
  <si>
    <t>IMG_6534.JPG</t>
  </si>
  <si>
    <t>IMG_6535.JPG</t>
  </si>
  <si>
    <t>IMG_6536.JPG</t>
  </si>
  <si>
    <t>IMG_6537.JPG</t>
  </si>
  <si>
    <t>IMG_6540.JPG</t>
  </si>
  <si>
    <t>IMG_6541.JPG</t>
  </si>
  <si>
    <t>IMG_6545.JPG</t>
  </si>
  <si>
    <t>IMG_6546.JPG</t>
  </si>
  <si>
    <t>IMG_6549.JPG</t>
  </si>
  <si>
    <t>IMG_6550.JPG</t>
  </si>
  <si>
    <t>Isopora</t>
  </si>
  <si>
    <t>Favites</t>
  </si>
  <si>
    <t>Porites-massive</t>
  </si>
  <si>
    <t>Leptastrea</t>
  </si>
  <si>
    <t>Montipora</t>
  </si>
  <si>
    <t>Astreopora</t>
  </si>
  <si>
    <t>Porites</t>
  </si>
  <si>
    <t>Hydnophora</t>
  </si>
  <si>
    <t>Pocillopora</t>
  </si>
  <si>
    <t>Transect 2</t>
  </si>
  <si>
    <t>IMG_6357.JPG</t>
  </si>
  <si>
    <t>IMG_6358.JPG</t>
  </si>
  <si>
    <t>IMG_6359.JPG</t>
  </si>
  <si>
    <t>IMG_6360.JPG</t>
  </si>
  <si>
    <t>IMG_6361.JPG</t>
  </si>
  <si>
    <t>IMG_6362.JPG</t>
  </si>
  <si>
    <t>IMG_6364.JPG</t>
  </si>
  <si>
    <t>IMG_6365.JPG</t>
  </si>
  <si>
    <t>IMG_6366.JPG</t>
  </si>
  <si>
    <t>IMG_6367.JPG</t>
  </si>
  <si>
    <t>IMG_6368.JPG</t>
  </si>
  <si>
    <t>IMG_6369.JPG</t>
  </si>
  <si>
    <t>IMG_6370.JPG</t>
  </si>
  <si>
    <t>IMG_6371.JPG</t>
  </si>
  <si>
    <t>IMG_6372.JPG</t>
  </si>
  <si>
    <t>IMG_6373.JPG</t>
  </si>
  <si>
    <t>IMG_6374.JPG</t>
  </si>
  <si>
    <t>IMG_6375.JPG</t>
  </si>
  <si>
    <t>IMG_6376.JPG</t>
  </si>
  <si>
    <t>IMG_6377.JPG</t>
  </si>
  <si>
    <t>IMG_6379.JPG</t>
  </si>
  <si>
    <t>IMG_6380.JPG</t>
  </si>
  <si>
    <t>IMG_6381.JPG</t>
  </si>
  <si>
    <t>IMG_6382.JPG</t>
  </si>
  <si>
    <t>IMG_6383.JPG</t>
  </si>
  <si>
    <t>IMG_6384.JPG</t>
  </si>
  <si>
    <t>IMG_6385.JPG</t>
  </si>
  <si>
    <t>IMG_6386.JPG</t>
  </si>
  <si>
    <t>IMG_6387.JPG</t>
  </si>
  <si>
    <t>IMG_6388.JPG</t>
  </si>
  <si>
    <t>IMG_6390.JPG</t>
  </si>
  <si>
    <t>IMG_6391.JPG</t>
  </si>
  <si>
    <t>IMG_6392.JPG</t>
  </si>
  <si>
    <t>IMG_6393.JPG</t>
  </si>
  <si>
    <t>IMG_6394.JPG</t>
  </si>
  <si>
    <t>IMG_6395.JPG</t>
  </si>
  <si>
    <t>IMG_6396.JPG</t>
  </si>
  <si>
    <t>IMG_6398.JPG</t>
  </si>
  <si>
    <t>IMG_6399.JPG</t>
  </si>
  <si>
    <t>IMG_6401.JPG</t>
  </si>
  <si>
    <t>IMG_6402.JPG</t>
  </si>
  <si>
    <t>IMG_6403.JPG</t>
  </si>
  <si>
    <t>IMG_6404.JPG</t>
  </si>
  <si>
    <t>IMG_6405.JPG</t>
  </si>
  <si>
    <t>IMG_6406.JPG</t>
  </si>
  <si>
    <t>IMG_6407.JPG</t>
  </si>
  <si>
    <t>IMG_6408.JPG</t>
  </si>
  <si>
    <t>IMG_6409.JPG</t>
  </si>
  <si>
    <t>IMG_6410.JPG</t>
  </si>
  <si>
    <t>IMG_6411.JPG</t>
  </si>
  <si>
    <t>Montastrea</t>
  </si>
  <si>
    <t>Millepora</t>
  </si>
  <si>
    <t>Goniopora</t>
  </si>
  <si>
    <t>Transect 3</t>
  </si>
  <si>
    <t>IMG_6354.JPG</t>
  </si>
  <si>
    <t>Transect1</t>
  </si>
  <si>
    <t>IMG_6554.JPG</t>
  </si>
  <si>
    <t>IMG_6555.JPG</t>
  </si>
  <si>
    <t>IMG_6556.JPG</t>
  </si>
  <si>
    <t>IMG_6557.JPG</t>
  </si>
  <si>
    <t>IMG_6558.JPG</t>
  </si>
  <si>
    <t>IMG_6559.JPG</t>
  </si>
  <si>
    <t>IMG_6560.JPG</t>
  </si>
  <si>
    <t>IMG_6561.JPG</t>
  </si>
  <si>
    <t>IMG_6562.JPG</t>
  </si>
  <si>
    <t>IMG_6563.JPG</t>
  </si>
  <si>
    <t>IMG_6564.JPG</t>
  </si>
  <si>
    <t>IMG_6565.JPG</t>
  </si>
  <si>
    <t>IMG_6570.JPG</t>
  </si>
  <si>
    <t>IMG_6571.JPG</t>
  </si>
  <si>
    <t>IMG_6572.JPG</t>
  </si>
  <si>
    <t>IMG_6573.JPG</t>
  </si>
  <si>
    <t>IMG_6574.JPG</t>
  </si>
  <si>
    <t>IMG_6575.JPG</t>
  </si>
  <si>
    <t>IMG_6576.JPG</t>
  </si>
  <si>
    <t>IMG_6577.JPG</t>
  </si>
  <si>
    <t>IMG_6578.JPG</t>
  </si>
  <si>
    <t>IMG_6579.JPG</t>
  </si>
  <si>
    <t>IMG_6580.JPG</t>
  </si>
  <si>
    <t>IMG_6581.JPG</t>
  </si>
  <si>
    <t>IMG_6583.JPG</t>
  </si>
  <si>
    <t>IMG_6584.JPG</t>
  </si>
  <si>
    <t>IMG_6585.JPG</t>
  </si>
  <si>
    <t>IMG_6586.JPG</t>
  </si>
  <si>
    <t>IMG_6587.JPG</t>
  </si>
  <si>
    <t>IMG_6588.JPG</t>
  </si>
  <si>
    <t>IMG_6589.JPG</t>
  </si>
  <si>
    <t>IMG_6590.JPG</t>
  </si>
  <si>
    <t>IMG_6591.JPG</t>
  </si>
  <si>
    <t>IMG_6592.JPG</t>
  </si>
  <si>
    <t>IMG_6593.JPG</t>
  </si>
  <si>
    <t>IMG_6594.JPG</t>
  </si>
  <si>
    <t>IMG_6595.JPG</t>
  </si>
  <si>
    <t>IMG_6596.JPG</t>
  </si>
  <si>
    <t>IMG_6598.JPG</t>
  </si>
  <si>
    <t>IMG_6599.JPG</t>
  </si>
  <si>
    <t>IMG_6600.JPG</t>
  </si>
  <si>
    <t>IMG_6602.JPG</t>
  </si>
  <si>
    <t>IMG_6604.JPG</t>
  </si>
  <si>
    <t>IMG_6606.JPG</t>
  </si>
  <si>
    <t>IMG_6609.JPG</t>
  </si>
  <si>
    <t>IMG_6610.JPG</t>
  </si>
  <si>
    <t>IMG_6611.JPG</t>
  </si>
  <si>
    <t>IMG_6612.JPG</t>
  </si>
  <si>
    <t>IMG_6613.JPG</t>
  </si>
  <si>
    <t>IMG_6614.JPG</t>
  </si>
  <si>
    <t>Symphyllia</t>
  </si>
  <si>
    <t>Transect 4</t>
  </si>
  <si>
    <t>IMG_6415.JPG</t>
  </si>
  <si>
    <t>IMG_6416.JPG</t>
  </si>
  <si>
    <t>IMG_6417.JPG</t>
  </si>
  <si>
    <t>IMG_6419.JPG</t>
  </si>
  <si>
    <t>IMG_6420.JPG</t>
  </si>
  <si>
    <t>IMG_6421.JPG</t>
  </si>
  <si>
    <t>IMG_6422.JPG</t>
  </si>
  <si>
    <t>IMG_6423.JPG</t>
  </si>
  <si>
    <t>IMG_6424.JPG</t>
  </si>
  <si>
    <t>IMG_6425.JPG</t>
  </si>
  <si>
    <t>IMG_6428.JPG</t>
  </si>
  <si>
    <t>IMG_6429.JPG</t>
  </si>
  <si>
    <t>IMG_6430.JPG</t>
  </si>
  <si>
    <t>IMG_6431.JPG</t>
  </si>
  <si>
    <t>IMG_6432.JPG</t>
  </si>
  <si>
    <t>IMG_6433.JPG</t>
  </si>
  <si>
    <t>IMG_6434.JPG</t>
  </si>
  <si>
    <t>IMG_6435.JPG</t>
  </si>
  <si>
    <t>IMG_6436.JPG</t>
  </si>
  <si>
    <t>IMG_6437.JPG</t>
  </si>
  <si>
    <t>IMG_6438.JPG</t>
  </si>
  <si>
    <t>IMG_6439.JPG</t>
  </si>
  <si>
    <t>IMG_6440.JPG</t>
  </si>
  <si>
    <t>IMG_6441.JPG</t>
  </si>
  <si>
    <t>IMG_6442.JPG</t>
  </si>
  <si>
    <t>IMG_6443.JPG</t>
  </si>
  <si>
    <t>IMG_6444.JPG</t>
  </si>
  <si>
    <t>IMG_6445.JPG</t>
  </si>
  <si>
    <t>IMG_6446.JPG</t>
  </si>
  <si>
    <t>IMG_6449.JPG</t>
  </si>
  <si>
    <t>IMG_6450.JPG</t>
  </si>
  <si>
    <t>IMG_6451.JPG</t>
  </si>
  <si>
    <t>IMG_6452.JPG</t>
  </si>
  <si>
    <t>IMG_6453.JPG</t>
  </si>
  <si>
    <t>IMG_6454.JPG</t>
  </si>
  <si>
    <t>IMG_6455.JPG</t>
  </si>
  <si>
    <t>IMG_6456.JPG</t>
  </si>
  <si>
    <t>IMG_6457.JPG</t>
  </si>
  <si>
    <t>IMG_6458.JPG</t>
  </si>
  <si>
    <t>IMG_6459.JPG</t>
  </si>
  <si>
    <t>IMG_6460.JPG</t>
  </si>
  <si>
    <t>IMG_6461.JPG</t>
  </si>
  <si>
    <t>IMG_6462.JPG</t>
  </si>
  <si>
    <t>IMG_6463.JPG</t>
  </si>
  <si>
    <t>IMG_6464.JPG</t>
  </si>
  <si>
    <t>IMG_6465.JPG</t>
  </si>
  <si>
    <t>IMG_6467.JPG</t>
  </si>
  <si>
    <t>IMG_6468.JPG</t>
  </si>
  <si>
    <t>IMG_6469.JPG</t>
  </si>
  <si>
    <t>IMG_6470.JPG</t>
  </si>
  <si>
    <t>Fungia</t>
  </si>
  <si>
    <t>Acropora-stag</t>
  </si>
  <si>
    <t>Transect5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</si>
</sst>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8"/>
        <bgColor indexed="64"/>
      </patternFill>
    </fill>
  </fills>
  <borders count="4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left"/>
    </xf>
    <xf numFmtId="0" fontId="0" fillId="5" borderId="0" xfId="0" applyFill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left"/>
    </xf>
    <xf numFmtId="0" fontId="0" fillId="6" borderId="0" xfId="0" applyFill="1"/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textRotation="90"/>
    </xf>
    <xf numFmtId="0" fontId="1" fillId="7" borderId="0" xfId="0" applyFont="1" applyFill="1" applyAlignment="1">
      <alignment textRotation="90"/>
    </xf>
    <xf numFmtId="0" fontId="0" fillId="7" borderId="0" xfId="0" applyFill="1"/>
    <xf numFmtId="0" fontId="1" fillId="8" borderId="0" xfId="0" applyFont="1" applyFill="1" applyAlignment="1">
      <alignment textRotation="90"/>
    </xf>
    <xf numFmtId="0" fontId="1" fillId="9" borderId="0" xfId="0" applyFont="1" applyFill="1" applyAlignment="1">
      <alignment textRotation="90"/>
    </xf>
    <xf numFmtId="0" fontId="1" fillId="10" borderId="0" xfId="0" applyFont="1" applyFill="1" applyAlignment="1">
      <alignment textRotation="90"/>
    </xf>
    <xf numFmtId="0" fontId="1" fillId="11" borderId="0" xfId="0" applyFont="1" applyFill="1" applyAlignment="1">
      <alignment textRotation="90"/>
    </xf>
    <xf numFmtId="0" fontId="1" fillId="12" borderId="0" xfId="0" applyFont="1" applyFill="1" applyAlignment="1">
      <alignment textRotation="90"/>
    </xf>
    <xf numFmtId="0" fontId="1" fillId="13" borderId="0" xfId="0" applyFont="1" applyFill="1" applyAlignment="1">
      <alignment textRotation="90"/>
    </xf>
    <xf numFmtId="0" fontId="1" fillId="14" borderId="0" xfId="0" applyFont="1" applyFill="1" applyAlignment="1">
      <alignment textRotation="90"/>
    </xf>
    <xf numFmtId="0" fontId="1" fillId="15" borderId="0" xfId="0" applyFont="1" applyFill="1" applyAlignment="1">
      <alignment textRotation="90"/>
    </xf>
    <xf numFmtId="0" fontId="1" fillId="16" borderId="0" xfId="0" applyFont="1" applyFill="1" applyAlignment="1">
      <alignment textRotation="90"/>
    </xf>
    <xf numFmtId="0" fontId="1" fillId="17" borderId="0" xfId="0" applyFont="1" applyFill="1" applyAlignment="1">
      <alignment textRotation="90"/>
    </xf>
    <xf numFmtId="0" fontId="1" fillId="5" borderId="0" xfId="0" applyFont="1" applyFill="1" applyAlignment="1">
      <alignment textRotation="90"/>
    </xf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0" fillId="18" borderId="0" xfId="0" applyFill="1"/>
    <xf numFmtId="2" fontId="0" fillId="18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18" borderId="4" xfId="0" applyFill="1" applyBorder="1"/>
    <xf numFmtId="2" fontId="0" fillId="18" borderId="4" xfId="0" applyNumberFormat="1" applyFill="1" applyBorder="1"/>
    <xf numFmtId="0" fontId="0" fillId="0" borderId="4" xfId="0" applyBorder="1"/>
    <xf numFmtId="2" fontId="0" fillId="0" borderId="4" xfId="0" applyNumberFormat="1" applyBorder="1"/>
    <xf numFmtId="0" fontId="0" fillId="0" borderId="1" xfId="0" applyBorder="1"/>
    <xf numFmtId="0" fontId="1" fillId="0" borderId="4" xfId="0" applyFont="1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18" borderId="0" xfId="0" applyFont="1" applyFill="1"/>
    <xf numFmtId="2" fontId="2" fillId="18" borderId="0" xfId="0" applyNumberFormat="1" applyFont="1" applyFill="1"/>
    <xf numFmtId="1" fontId="2" fillId="0" borderId="0" xfId="0" applyNumberFormat="1" applyFont="1"/>
    <xf numFmtId="1" fontId="2" fillId="18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4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1" fontId="3" fillId="0" borderId="1" xfId="0" applyNumberFormat="1" applyFont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1" fillId="0" borderId="5" xfId="0" applyFont="1" applyBorder="1"/>
    <xf numFmtId="0" fontId="0" fillId="18" borderId="6" xfId="0" applyFill="1" applyBorder="1"/>
    <xf numFmtId="0" fontId="0" fillId="0" borderId="6" xfId="0" applyBorder="1"/>
    <xf numFmtId="0" fontId="1" fillId="0" borderId="6" xfId="0" applyFont="1" applyBorder="1"/>
    <xf numFmtId="0" fontId="0" fillId="18" borderId="7" xfId="0" applyFill="1" applyBorder="1"/>
    <xf numFmtId="0" fontId="1" fillId="0" borderId="8" xfId="0" applyFont="1" applyBorder="1" applyAlignment="1">
      <alignment horizontal="center"/>
    </xf>
    <xf numFmtId="2" fontId="0" fillId="18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18" borderId="9" xfId="0" applyFill="1" applyBorder="1"/>
    <xf numFmtId="0" fontId="0" fillId="18" borderId="10" xfId="0" applyFill="1" applyBorder="1"/>
    <xf numFmtId="0" fontId="0" fillId="0" borderId="7" xfId="0" applyBorder="1"/>
    <xf numFmtId="0" fontId="0" fillId="0" borderId="10" xfId="0" applyBorder="1"/>
    <xf numFmtId="0" fontId="1" fillId="0" borderId="7" xfId="0" applyFont="1" applyBorder="1"/>
    <xf numFmtId="0" fontId="0" fillId="0" borderId="8" xfId="0" applyBorder="1"/>
    <xf numFmtId="0" fontId="1" fillId="0" borderId="11" xfId="0" applyFont="1" applyBorder="1"/>
    <xf numFmtId="0" fontId="0" fillId="18" borderId="12" xfId="0" applyFill="1" applyBorder="1"/>
    <xf numFmtId="0" fontId="0" fillId="0" borderId="12" xfId="0" applyBorder="1"/>
    <xf numFmtId="0" fontId="1" fillId="0" borderId="12" xfId="0" applyFont="1" applyBorder="1"/>
    <xf numFmtId="0" fontId="0" fillId="18" borderId="13" xfId="0" applyFill="1" applyBorder="1"/>
    <xf numFmtId="0" fontId="1" fillId="0" borderId="14" xfId="0" applyFont="1" applyBorder="1" applyAlignment="1">
      <alignment horizontal="center"/>
    </xf>
    <xf numFmtId="2" fontId="0" fillId="18" borderId="15" xfId="0" applyNumberFormat="1" applyFill="1" applyBorder="1"/>
    <xf numFmtId="2" fontId="0" fillId="0" borderId="15" xfId="0" applyNumberFormat="1" applyBorder="1"/>
    <xf numFmtId="0" fontId="0" fillId="0" borderId="15" xfId="0" applyBorder="1"/>
    <xf numFmtId="0" fontId="0" fillId="18" borderId="15" xfId="0" applyFill="1" applyBorder="1"/>
    <xf numFmtId="0" fontId="0" fillId="18" borderId="16" xfId="0" applyFill="1" applyBorder="1"/>
    <xf numFmtId="0" fontId="0" fillId="0" borderId="13" xfId="0" applyBorder="1"/>
    <xf numFmtId="0" fontId="0" fillId="0" borderId="16" xfId="0" applyBorder="1"/>
    <xf numFmtId="0" fontId="1" fillId="0" borderId="13" xfId="0" applyFont="1" applyBorder="1"/>
    <xf numFmtId="0" fontId="0" fillId="0" borderId="14" xfId="0" applyBorder="1"/>
    <xf numFmtId="0" fontId="1" fillId="0" borderId="17" xfId="0" applyFont="1" applyBorder="1"/>
    <xf numFmtId="0" fontId="0" fillId="18" borderId="18" xfId="0" applyFill="1" applyBorder="1"/>
    <xf numFmtId="0" fontId="0" fillId="0" borderId="18" xfId="0" applyBorder="1"/>
    <xf numFmtId="0" fontId="1" fillId="0" borderId="18" xfId="0" applyFont="1" applyBorder="1"/>
    <xf numFmtId="0" fontId="0" fillId="18" borderId="19" xfId="0" applyFill="1" applyBorder="1"/>
    <xf numFmtId="0" fontId="1" fillId="0" borderId="20" xfId="0" applyFont="1" applyBorder="1" applyAlignment="1">
      <alignment horizontal="center"/>
    </xf>
    <xf numFmtId="2" fontId="0" fillId="18" borderId="21" xfId="0" applyNumberFormat="1" applyFill="1" applyBorder="1"/>
    <xf numFmtId="2" fontId="0" fillId="0" borderId="21" xfId="0" applyNumberFormat="1" applyBorder="1"/>
    <xf numFmtId="0" fontId="0" fillId="0" borderId="21" xfId="0" applyBorder="1"/>
    <xf numFmtId="0" fontId="0" fillId="18" borderId="21" xfId="0" applyFill="1" applyBorder="1"/>
    <xf numFmtId="0" fontId="0" fillId="18" borderId="22" xfId="0" applyFill="1" applyBorder="1"/>
    <xf numFmtId="0" fontId="0" fillId="0" borderId="19" xfId="0" applyBorder="1"/>
    <xf numFmtId="0" fontId="0" fillId="0" borderId="22" xfId="0" applyBorder="1"/>
    <xf numFmtId="0" fontId="1" fillId="0" borderId="19" xfId="0" applyFont="1" applyBorder="1"/>
    <xf numFmtId="0" fontId="0" fillId="0" borderId="20" xfId="0" applyBorder="1"/>
    <xf numFmtId="0" fontId="1" fillId="0" borderId="23" xfId="0" applyFont="1" applyBorder="1"/>
    <xf numFmtId="0" fontId="0" fillId="18" borderId="24" xfId="0" applyFill="1" applyBorder="1"/>
    <xf numFmtId="0" fontId="0" fillId="0" borderId="24" xfId="0" applyBorder="1"/>
    <xf numFmtId="0" fontId="1" fillId="0" borderId="24" xfId="0" applyFont="1" applyBorder="1"/>
    <xf numFmtId="0" fontId="0" fillId="18" borderId="25" xfId="0" applyFill="1" applyBorder="1"/>
    <xf numFmtId="0" fontId="1" fillId="0" borderId="26" xfId="0" applyFont="1" applyBorder="1" applyAlignment="1">
      <alignment horizontal="center"/>
    </xf>
    <xf numFmtId="2" fontId="0" fillId="18" borderId="27" xfId="0" applyNumberFormat="1" applyFill="1" applyBorder="1"/>
    <xf numFmtId="2" fontId="0" fillId="0" borderId="27" xfId="0" applyNumberFormat="1" applyBorder="1"/>
    <xf numFmtId="0" fontId="0" fillId="0" borderId="27" xfId="0" applyBorder="1"/>
    <xf numFmtId="0" fontId="0" fillId="18" borderId="27" xfId="0" applyFill="1" applyBorder="1"/>
    <xf numFmtId="0" fontId="0" fillId="18" borderId="28" xfId="0" applyFill="1" applyBorder="1"/>
    <xf numFmtId="0" fontId="0" fillId="0" borderId="25" xfId="0" applyBorder="1"/>
    <xf numFmtId="0" fontId="0" fillId="0" borderId="28" xfId="0" applyBorder="1"/>
    <xf numFmtId="0" fontId="1" fillId="0" borderId="25" xfId="0" applyFont="1" applyBorder="1"/>
    <xf numFmtId="0" fontId="0" fillId="0" borderId="26" xfId="0" applyBorder="1"/>
    <xf numFmtId="0" fontId="1" fillId="0" borderId="29" xfId="0" applyFont="1" applyBorder="1"/>
    <xf numFmtId="0" fontId="0" fillId="18" borderId="30" xfId="0" applyFill="1" applyBorder="1"/>
    <xf numFmtId="0" fontId="0" fillId="0" borderId="30" xfId="0" applyBorder="1"/>
    <xf numFmtId="0" fontId="1" fillId="0" borderId="30" xfId="0" applyFont="1" applyBorder="1"/>
    <xf numFmtId="0" fontId="0" fillId="18" borderId="31" xfId="0" applyFill="1" applyBorder="1"/>
    <xf numFmtId="0" fontId="1" fillId="0" borderId="32" xfId="0" applyFont="1" applyBorder="1" applyAlignment="1">
      <alignment horizontal="center"/>
    </xf>
    <xf numFmtId="2" fontId="0" fillId="18" borderId="33" xfId="0" applyNumberFormat="1" applyFill="1" applyBorder="1"/>
    <xf numFmtId="2" fontId="0" fillId="0" borderId="33" xfId="0" applyNumberFormat="1" applyBorder="1"/>
    <xf numFmtId="0" fontId="0" fillId="0" borderId="33" xfId="0" applyBorder="1"/>
    <xf numFmtId="0" fontId="0" fillId="18" borderId="33" xfId="0" applyFill="1" applyBorder="1"/>
    <xf numFmtId="0" fontId="0" fillId="18" borderId="34" xfId="0" applyFill="1" applyBorder="1"/>
    <xf numFmtId="0" fontId="0" fillId="0" borderId="31" xfId="0" applyBorder="1"/>
    <xf numFmtId="0" fontId="0" fillId="0" borderId="34" xfId="0" applyBorder="1"/>
    <xf numFmtId="0" fontId="1" fillId="0" borderId="31" xfId="0" applyFont="1" applyBorder="1"/>
    <xf numFmtId="0" fontId="0" fillId="0" borderId="32" xfId="0" applyBorder="1"/>
    <xf numFmtId="0" fontId="3" fillId="0" borderId="35" xfId="0" applyFont="1" applyBorder="1"/>
    <xf numFmtId="0" fontId="3" fillId="0" borderId="36" xfId="0" applyFont="1" applyBorder="1"/>
    <xf numFmtId="0" fontId="3" fillId="0" borderId="37" xfId="0" applyFont="1" applyBorder="1"/>
    <xf numFmtId="0" fontId="3" fillId="0" borderId="38" xfId="0" applyFont="1" applyBorder="1"/>
    <xf numFmtId="0" fontId="2" fillId="18" borderId="37" xfId="0" applyFont="1" applyFill="1" applyBorder="1"/>
    <xf numFmtId="0" fontId="2" fillId="0" borderId="37" xfId="0" applyFont="1" applyBorder="1"/>
    <xf numFmtId="0" fontId="3" fillId="18" borderId="37" xfId="0" applyFont="1" applyFill="1" applyBorder="1"/>
    <xf numFmtId="0" fontId="2" fillId="0" borderId="38" xfId="0" applyFont="1" applyBorder="1"/>
    <xf numFmtId="0" fontId="2" fillId="0" borderId="39" xfId="0" applyFont="1" applyBorder="1"/>
    <xf numFmtId="0" fontId="2" fillId="0" borderId="40" xfId="0" applyFont="1" applyBorder="1"/>
    <xf numFmtId="0" fontId="2" fillId="0" borderId="41" xfId="0" applyFont="1" applyBorder="1"/>
    <xf numFmtId="0" fontId="2" fillId="0" borderId="42" xfId="0" applyFont="1" applyBorder="1"/>
    <xf numFmtId="0" fontId="2" fillId="18" borderId="41" xfId="0" applyFont="1" applyFill="1" applyBorder="1"/>
    <xf numFmtId="0" fontId="3" fillId="0" borderId="40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2" fontId="2" fillId="0" borderId="41" xfId="0" applyNumberFormat="1" applyFont="1" applyBorder="1"/>
    <xf numFmtId="2" fontId="2" fillId="18" borderId="4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DFDFDF"/>
      <rgbColor rgb="0000FF00"/>
      <rgbColor rgb="00DFDFDF"/>
      <rgbColor rgb="00DFDFDF"/>
      <rgbColor rgb="00DFDFDF"/>
      <rgbColor rgb="00DFDFDF"/>
      <rgbColor rgb="00DFDFDF"/>
      <rgbColor rgb="00DFDFDF"/>
      <rgbColor rgb="00FF0000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Relationship Id="rId31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2"/>
  <sheetViews>
    <sheetView workbookViewId="0">
      <selection activeCell="E1" sqref="E1:F1"/>
    </sheetView>
  </sheetViews>
  <sheetFormatPr baseColWidth="10" defaultColWidth="8.83203125" defaultRowHeight="14" x14ac:dyDescent="0"/>
  <cols>
    <col min="1" max="1" width="8.83203125" bestFit="1" customWidth="1"/>
    <col min="2" max="2" width="5.6640625" bestFit="1" customWidth="1"/>
    <col min="3" max="3" width="13.83203125" bestFit="1" customWidth="1"/>
    <col min="4" max="4" width="11.1640625" bestFit="1" customWidth="1"/>
  </cols>
  <sheetData>
    <row r="1" spans="1:32" ht="16" thickTop="1" thickBot="1">
      <c r="A1" s="34" t="s">
        <v>319</v>
      </c>
      <c r="B1" s="34" t="s">
        <v>16</v>
      </c>
      <c r="C1" s="34" t="s">
        <v>320</v>
      </c>
      <c r="D1" s="34" t="s">
        <v>321</v>
      </c>
      <c r="E1" s="34" t="s">
        <v>322</v>
      </c>
      <c r="F1" s="34" t="s">
        <v>323</v>
      </c>
      <c r="G1" s="34" t="s">
        <v>324</v>
      </c>
      <c r="H1" s="34" t="s">
        <v>325</v>
      </c>
      <c r="I1" s="34" t="s">
        <v>326</v>
      </c>
      <c r="J1" s="34" t="s">
        <v>327</v>
      </c>
      <c r="K1" s="34" t="s">
        <v>328</v>
      </c>
      <c r="L1" s="34" t="s">
        <v>329</v>
      </c>
      <c r="M1" s="34" t="s">
        <v>330</v>
      </c>
      <c r="N1" s="34" t="s">
        <v>331</v>
      </c>
      <c r="O1" s="34" t="s">
        <v>332</v>
      </c>
      <c r="P1" s="34" t="s">
        <v>333</v>
      </c>
      <c r="Q1" s="34" t="s">
        <v>334</v>
      </c>
      <c r="R1" s="34" t="s">
        <v>335</v>
      </c>
      <c r="S1" s="34" t="s">
        <v>336</v>
      </c>
      <c r="T1" s="34" t="s">
        <v>337</v>
      </c>
      <c r="U1" s="34" t="s">
        <v>338</v>
      </c>
      <c r="V1" s="34" t="s">
        <v>339</v>
      </c>
      <c r="W1" s="34" t="s">
        <v>340</v>
      </c>
      <c r="X1" s="34" t="s">
        <v>341</v>
      </c>
      <c r="Y1" s="34" t="s">
        <v>342</v>
      </c>
      <c r="Z1" s="34" t="s">
        <v>343</v>
      </c>
      <c r="AA1" s="34" t="s">
        <v>344</v>
      </c>
      <c r="AB1" s="34" t="s">
        <v>345</v>
      </c>
      <c r="AC1" s="34" t="s">
        <v>346</v>
      </c>
      <c r="AD1" s="34" t="s">
        <v>347</v>
      </c>
      <c r="AE1" s="34" t="s">
        <v>348</v>
      </c>
      <c r="AF1" s="34" t="s">
        <v>349</v>
      </c>
    </row>
    <row r="2" spans="1:32" ht="15" thickTop="1">
      <c r="A2" s="93" t="s">
        <v>22</v>
      </c>
      <c r="B2" s="38"/>
      <c r="C2" s="43" t="s">
        <v>23</v>
      </c>
      <c r="D2" s="43" t="s">
        <v>365</v>
      </c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107"/>
    </row>
    <row r="3" spans="1:32">
      <c r="A3" s="96" t="s">
        <v>22</v>
      </c>
      <c r="B3" s="31"/>
      <c r="C3" t="s">
        <v>23</v>
      </c>
      <c r="AF3" s="101"/>
    </row>
    <row r="4" spans="1:32">
      <c r="A4" s="96" t="s">
        <v>22</v>
      </c>
      <c r="B4" s="31"/>
      <c r="C4" t="s">
        <v>23</v>
      </c>
      <c r="AF4" s="101"/>
    </row>
    <row r="5" spans="1:32">
      <c r="A5" s="96" t="s">
        <v>22</v>
      </c>
      <c r="B5" s="31"/>
      <c r="C5" t="s">
        <v>23</v>
      </c>
      <c r="AF5" s="101"/>
    </row>
    <row r="6" spans="1:32" ht="15" thickBot="1">
      <c r="A6" s="106" t="s">
        <v>22</v>
      </c>
      <c r="B6" s="44"/>
      <c r="C6" s="41" t="s">
        <v>23</v>
      </c>
      <c r="D6" s="41" t="s">
        <v>366</v>
      </c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105"/>
    </row>
    <row r="7" spans="1:32" ht="15" thickTop="1">
      <c r="A7" s="93" t="s">
        <v>25</v>
      </c>
      <c r="B7" s="38"/>
      <c r="C7" s="43" t="s">
        <v>26</v>
      </c>
      <c r="D7" s="43" t="s">
        <v>365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107"/>
    </row>
    <row r="8" spans="1:32">
      <c r="A8" s="96" t="s">
        <v>27</v>
      </c>
      <c r="B8" s="31"/>
      <c r="C8" t="s">
        <v>28</v>
      </c>
      <c r="AF8" s="101"/>
    </row>
    <row r="9" spans="1:32">
      <c r="A9" s="96" t="s">
        <v>29</v>
      </c>
      <c r="B9" s="31"/>
      <c r="C9" t="s">
        <v>30</v>
      </c>
      <c r="AF9" s="101"/>
    </row>
    <row r="10" spans="1:32">
      <c r="A10" s="96" t="s">
        <v>31</v>
      </c>
      <c r="B10" s="31"/>
      <c r="C10" t="s">
        <v>23</v>
      </c>
      <c r="AF10" s="101"/>
    </row>
    <row r="11" spans="1:32" ht="15" thickBot="1">
      <c r="A11" s="106" t="s">
        <v>31</v>
      </c>
      <c r="B11" s="44"/>
      <c r="C11" s="41" t="s">
        <v>23</v>
      </c>
      <c r="D11" s="41" t="s">
        <v>366</v>
      </c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105"/>
    </row>
    <row r="12" spans="1:32" ht="15" thickTop="1">
      <c r="A12" s="93" t="s">
        <v>33</v>
      </c>
      <c r="B12" s="38"/>
      <c r="C12" s="43" t="s">
        <v>23</v>
      </c>
      <c r="D12" s="43" t="s">
        <v>365</v>
      </c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107"/>
    </row>
    <row r="13" spans="1:32">
      <c r="A13" s="96" t="s">
        <v>25</v>
      </c>
      <c r="B13" s="31"/>
      <c r="C13" t="s">
        <v>26</v>
      </c>
      <c r="AF13" s="101"/>
    </row>
    <row r="14" spans="1:32">
      <c r="A14" s="96" t="s">
        <v>33</v>
      </c>
      <c r="B14" s="31"/>
      <c r="C14" t="s">
        <v>23</v>
      </c>
      <c r="AF14" s="101"/>
    </row>
    <row r="15" spans="1:32">
      <c r="A15" s="96" t="s">
        <v>33</v>
      </c>
      <c r="B15" s="31"/>
      <c r="C15" t="s">
        <v>23</v>
      </c>
      <c r="AF15" s="101"/>
    </row>
    <row r="16" spans="1:32" ht="15" thickBot="1">
      <c r="A16" s="106" t="s">
        <v>25</v>
      </c>
      <c r="B16" s="44"/>
      <c r="C16" s="41" t="s">
        <v>26</v>
      </c>
      <c r="D16" s="41" t="s">
        <v>366</v>
      </c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105"/>
    </row>
    <row r="17" spans="1:32" ht="15" thickTop="1">
      <c r="A17" s="93" t="s">
        <v>35</v>
      </c>
      <c r="B17" s="38"/>
      <c r="C17" s="43" t="s">
        <v>23</v>
      </c>
      <c r="D17" s="43" t="s">
        <v>365</v>
      </c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107"/>
    </row>
    <row r="18" spans="1:32">
      <c r="A18" s="96" t="s">
        <v>29</v>
      </c>
      <c r="B18" s="31"/>
      <c r="C18" t="s">
        <v>30</v>
      </c>
      <c r="AF18" s="101"/>
    </row>
    <row r="19" spans="1:32">
      <c r="A19" s="96" t="s">
        <v>31</v>
      </c>
      <c r="B19" s="31"/>
      <c r="C19" t="s">
        <v>23</v>
      </c>
      <c r="AF19" s="101"/>
    </row>
    <row r="20" spans="1:32">
      <c r="A20" s="96" t="s">
        <v>27</v>
      </c>
      <c r="B20" s="31"/>
      <c r="C20" t="s">
        <v>28</v>
      </c>
      <c r="AF20" s="101"/>
    </row>
    <row r="21" spans="1:32" ht="15" thickBot="1">
      <c r="A21" s="106" t="s">
        <v>29</v>
      </c>
      <c r="B21" s="44"/>
      <c r="C21" s="41" t="s">
        <v>30</v>
      </c>
      <c r="D21" s="41" t="s">
        <v>366</v>
      </c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105"/>
    </row>
    <row r="22" spans="1:32" ht="15" thickTop="1">
      <c r="A22" s="93" t="s">
        <v>37</v>
      </c>
      <c r="B22" s="38"/>
      <c r="C22" s="43" t="s">
        <v>23</v>
      </c>
      <c r="D22" s="43" t="s">
        <v>365</v>
      </c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107"/>
    </row>
    <row r="23" spans="1:32">
      <c r="A23" s="96" t="s">
        <v>38</v>
      </c>
      <c r="B23" s="31"/>
      <c r="C23" t="s">
        <v>23</v>
      </c>
      <c r="AF23" s="101"/>
    </row>
    <row r="24" spans="1:32">
      <c r="A24" s="96" t="s">
        <v>38</v>
      </c>
      <c r="B24" s="31"/>
      <c r="C24" t="s">
        <v>23</v>
      </c>
      <c r="AF24" s="101"/>
    </row>
    <row r="25" spans="1:32">
      <c r="A25" s="96" t="s">
        <v>38</v>
      </c>
      <c r="B25" s="31"/>
      <c r="C25" t="s">
        <v>23</v>
      </c>
      <c r="AF25" s="101"/>
    </row>
    <row r="26" spans="1:32" ht="15" thickBot="1">
      <c r="A26" s="106" t="s">
        <v>38</v>
      </c>
      <c r="B26" s="44"/>
      <c r="C26" s="41" t="s">
        <v>23</v>
      </c>
      <c r="D26" s="41" t="s">
        <v>366</v>
      </c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105"/>
    </row>
    <row r="27" spans="1:32" ht="15" thickTop="1">
      <c r="A27" s="93" t="s">
        <v>35</v>
      </c>
      <c r="B27" s="38"/>
      <c r="C27" s="43" t="s">
        <v>23</v>
      </c>
      <c r="D27" s="43" t="s">
        <v>365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107"/>
    </row>
    <row r="28" spans="1:32">
      <c r="A28" s="96" t="s">
        <v>31</v>
      </c>
      <c r="B28" s="31"/>
      <c r="C28" t="s">
        <v>23</v>
      </c>
      <c r="AF28" s="101"/>
    </row>
    <row r="29" spans="1:32">
      <c r="A29" s="96" t="s">
        <v>31</v>
      </c>
      <c r="B29" s="31"/>
      <c r="C29" t="s">
        <v>23</v>
      </c>
      <c r="AF29" s="101"/>
    </row>
    <row r="30" spans="1:32">
      <c r="A30" s="96" t="s">
        <v>29</v>
      </c>
      <c r="B30" s="31"/>
      <c r="C30" t="s">
        <v>30</v>
      </c>
      <c r="AF30" s="101"/>
    </row>
    <row r="31" spans="1:32" ht="15" thickBot="1">
      <c r="A31" s="106" t="s">
        <v>29</v>
      </c>
      <c r="B31" s="44"/>
      <c r="C31" s="41" t="s">
        <v>30</v>
      </c>
      <c r="D31" s="41" t="s">
        <v>366</v>
      </c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105"/>
    </row>
    <row r="32" spans="1:32" ht="15" thickTop="1">
      <c r="A32" s="93" t="s">
        <v>29</v>
      </c>
      <c r="B32" s="38"/>
      <c r="C32" s="43" t="s">
        <v>30</v>
      </c>
      <c r="D32" s="43" t="s">
        <v>365</v>
      </c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107"/>
    </row>
    <row r="33" spans="1:32">
      <c r="A33" s="96" t="s">
        <v>27</v>
      </c>
      <c r="B33" s="31"/>
      <c r="C33" t="s">
        <v>28</v>
      </c>
      <c r="AF33" s="101"/>
    </row>
    <row r="34" spans="1:32">
      <c r="A34" s="96" t="s">
        <v>29</v>
      </c>
      <c r="B34" s="31"/>
      <c r="C34" t="s">
        <v>30</v>
      </c>
      <c r="AF34" s="101"/>
    </row>
    <row r="35" spans="1:32">
      <c r="A35" s="96" t="s">
        <v>41</v>
      </c>
      <c r="B35" s="31"/>
      <c r="C35" t="s">
        <v>42</v>
      </c>
      <c r="AF35" s="101"/>
    </row>
    <row r="36" spans="1:32" ht="15" thickBot="1">
      <c r="A36" s="106" t="s">
        <v>35</v>
      </c>
      <c r="B36" s="44"/>
      <c r="C36" s="41" t="s">
        <v>23</v>
      </c>
      <c r="D36" s="41" t="s">
        <v>366</v>
      </c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105"/>
    </row>
    <row r="37" spans="1:32" ht="15" thickTop="1">
      <c r="A37" s="93" t="s">
        <v>29</v>
      </c>
      <c r="B37" s="38"/>
      <c r="C37" s="43" t="s">
        <v>30</v>
      </c>
      <c r="D37" s="43" t="s">
        <v>365</v>
      </c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107"/>
    </row>
    <row r="38" spans="1:32">
      <c r="A38" s="96" t="s">
        <v>27</v>
      </c>
      <c r="B38" s="31"/>
      <c r="C38" t="s">
        <v>28</v>
      </c>
      <c r="AF38" s="101"/>
    </row>
    <row r="39" spans="1:32">
      <c r="A39" s="96" t="s">
        <v>35</v>
      </c>
      <c r="B39" s="31"/>
      <c r="C39" t="s">
        <v>23</v>
      </c>
      <c r="AF39" s="101"/>
    </row>
    <row r="40" spans="1:32">
      <c r="A40" s="96" t="s">
        <v>27</v>
      </c>
      <c r="B40" s="31"/>
      <c r="C40" t="s">
        <v>28</v>
      </c>
      <c r="AF40" s="101"/>
    </row>
    <row r="41" spans="1:32" ht="15" thickBot="1">
      <c r="A41" s="106" t="s">
        <v>44</v>
      </c>
      <c r="B41" s="44"/>
      <c r="C41" s="41" t="s">
        <v>45</v>
      </c>
      <c r="D41" s="41" t="s">
        <v>366</v>
      </c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105"/>
    </row>
    <row r="42" spans="1:32" ht="15" thickTop="1">
      <c r="A42" s="93" t="s">
        <v>22</v>
      </c>
      <c r="B42" s="38"/>
      <c r="C42" s="43" t="s">
        <v>23</v>
      </c>
      <c r="D42" s="43" t="s">
        <v>365</v>
      </c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107"/>
    </row>
    <row r="43" spans="1:32">
      <c r="A43" s="96" t="s">
        <v>22</v>
      </c>
      <c r="B43" s="31"/>
      <c r="C43" t="s">
        <v>23</v>
      </c>
      <c r="AF43" s="101"/>
    </row>
    <row r="44" spans="1:32">
      <c r="A44" s="96" t="s">
        <v>22</v>
      </c>
      <c r="B44" s="31"/>
      <c r="C44" t="s">
        <v>23</v>
      </c>
      <c r="AF44" s="101"/>
    </row>
    <row r="45" spans="1:32">
      <c r="A45" s="96" t="s">
        <v>29</v>
      </c>
      <c r="B45" s="31"/>
      <c r="C45" t="s">
        <v>30</v>
      </c>
      <c r="AF45" s="101"/>
    </row>
    <row r="46" spans="1:32" ht="15" thickBot="1">
      <c r="A46" s="106" t="s">
        <v>22</v>
      </c>
      <c r="B46" s="44"/>
      <c r="C46" s="41" t="s">
        <v>23</v>
      </c>
      <c r="D46" s="41" t="s">
        <v>366</v>
      </c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105"/>
    </row>
    <row r="47" spans="1:32" ht="15" thickTop="1">
      <c r="A47" s="93" t="s">
        <v>27</v>
      </c>
      <c r="B47" s="38"/>
      <c r="C47" s="43" t="s">
        <v>28</v>
      </c>
      <c r="D47" s="43" t="s">
        <v>365</v>
      </c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107"/>
    </row>
    <row r="48" spans="1:32">
      <c r="A48" s="96" t="s">
        <v>27</v>
      </c>
      <c r="B48" s="31"/>
      <c r="C48" t="s">
        <v>28</v>
      </c>
      <c r="AF48" s="101"/>
    </row>
    <row r="49" spans="1:32">
      <c r="A49" s="96" t="s">
        <v>35</v>
      </c>
      <c r="B49" s="31"/>
      <c r="C49" t="s">
        <v>23</v>
      </c>
      <c r="AF49" s="101"/>
    </row>
    <row r="50" spans="1:32">
      <c r="A50" s="96" t="s">
        <v>29</v>
      </c>
      <c r="B50" s="31"/>
      <c r="C50" t="s">
        <v>30</v>
      </c>
      <c r="AF50" s="101"/>
    </row>
    <row r="51" spans="1:32" ht="15" thickBot="1">
      <c r="A51" s="106" t="s">
        <v>35</v>
      </c>
      <c r="B51" s="44"/>
      <c r="C51" s="41" t="s">
        <v>23</v>
      </c>
      <c r="D51" s="41" t="s">
        <v>366</v>
      </c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105"/>
    </row>
    <row r="52" spans="1:32" ht="15" thickTop="1">
      <c r="A52" s="93" t="s">
        <v>31</v>
      </c>
      <c r="B52" s="38"/>
      <c r="C52" s="43" t="s">
        <v>23</v>
      </c>
      <c r="D52" s="43" t="s">
        <v>365</v>
      </c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107"/>
    </row>
    <row r="53" spans="1:32">
      <c r="A53" s="96" t="s">
        <v>31</v>
      </c>
      <c r="B53" s="31"/>
      <c r="C53" t="s">
        <v>23</v>
      </c>
      <c r="AF53" s="101"/>
    </row>
    <row r="54" spans="1:32">
      <c r="A54" s="96" t="s">
        <v>29</v>
      </c>
      <c r="B54" s="31"/>
      <c r="C54" t="s">
        <v>30</v>
      </c>
      <c r="AF54" s="101"/>
    </row>
    <row r="55" spans="1:32">
      <c r="A55" s="96" t="s">
        <v>27</v>
      </c>
      <c r="B55" s="31"/>
      <c r="C55" t="s">
        <v>28</v>
      </c>
      <c r="AF55" s="101"/>
    </row>
    <row r="56" spans="1:32" ht="15" thickBot="1">
      <c r="A56" s="106" t="s">
        <v>29</v>
      </c>
      <c r="B56" s="44"/>
      <c r="C56" s="41" t="s">
        <v>30</v>
      </c>
      <c r="D56" s="41" t="s">
        <v>366</v>
      </c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105"/>
    </row>
    <row r="57" spans="1:32" ht="15" thickTop="1">
      <c r="A57" s="93" t="s">
        <v>35</v>
      </c>
      <c r="B57" s="38"/>
      <c r="C57" s="43" t="s">
        <v>23</v>
      </c>
      <c r="D57" s="43" t="s">
        <v>365</v>
      </c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107"/>
    </row>
    <row r="58" spans="1:32">
      <c r="A58" s="96" t="s">
        <v>31</v>
      </c>
      <c r="B58" s="31"/>
      <c r="C58" t="s">
        <v>23</v>
      </c>
      <c r="AF58" s="101"/>
    </row>
    <row r="59" spans="1:32">
      <c r="A59" s="96" t="s">
        <v>25</v>
      </c>
      <c r="B59" s="31"/>
      <c r="C59" t="s">
        <v>26</v>
      </c>
      <c r="AF59" s="101"/>
    </row>
    <row r="60" spans="1:32">
      <c r="A60" s="96" t="s">
        <v>29</v>
      </c>
      <c r="B60" s="31"/>
      <c r="C60" t="s">
        <v>30</v>
      </c>
      <c r="AF60" s="101"/>
    </row>
    <row r="61" spans="1:32" ht="15" thickBot="1">
      <c r="A61" s="106" t="s">
        <v>27</v>
      </c>
      <c r="B61" s="44"/>
      <c r="C61" s="41" t="s">
        <v>28</v>
      </c>
      <c r="D61" s="41" t="s">
        <v>366</v>
      </c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105"/>
    </row>
    <row r="62" spans="1:32" ht="15" thickTop="1">
      <c r="A62" s="93" t="s">
        <v>27</v>
      </c>
      <c r="B62" s="38"/>
      <c r="C62" s="43" t="s">
        <v>28</v>
      </c>
      <c r="D62" s="43" t="s">
        <v>365</v>
      </c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107"/>
    </row>
    <row r="63" spans="1:32">
      <c r="A63" s="96" t="s">
        <v>25</v>
      </c>
      <c r="B63" s="31"/>
      <c r="C63" t="s">
        <v>26</v>
      </c>
      <c r="AF63" s="101"/>
    </row>
    <row r="64" spans="1:32">
      <c r="A64" s="96" t="s">
        <v>27</v>
      </c>
      <c r="B64" s="31"/>
      <c r="C64" t="s">
        <v>28</v>
      </c>
      <c r="AF64" s="101"/>
    </row>
    <row r="65" spans="1:32">
      <c r="A65" s="96" t="s">
        <v>27</v>
      </c>
      <c r="B65" s="31"/>
      <c r="C65" t="s">
        <v>28</v>
      </c>
      <c r="AF65" s="101"/>
    </row>
    <row r="66" spans="1:32" ht="15" thickBot="1">
      <c r="A66" s="106" t="s">
        <v>51</v>
      </c>
      <c r="B66" s="44"/>
      <c r="C66" s="41" t="s">
        <v>23</v>
      </c>
      <c r="D66" s="41" t="s">
        <v>366</v>
      </c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105"/>
    </row>
    <row r="67" spans="1:32" ht="15" thickTop="1">
      <c r="A67" s="93" t="s">
        <v>35</v>
      </c>
      <c r="B67" s="38"/>
      <c r="C67" s="43" t="s">
        <v>23</v>
      </c>
      <c r="D67" s="43" t="s">
        <v>365</v>
      </c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107"/>
    </row>
    <row r="68" spans="1:32">
      <c r="A68" s="96" t="s">
        <v>27</v>
      </c>
      <c r="B68" s="31"/>
      <c r="C68" t="s">
        <v>28</v>
      </c>
      <c r="AF68" s="101"/>
    </row>
    <row r="69" spans="1:32">
      <c r="A69" s="96" t="s">
        <v>35</v>
      </c>
      <c r="B69" s="31"/>
      <c r="C69" t="s">
        <v>23</v>
      </c>
      <c r="AF69" s="101"/>
    </row>
    <row r="70" spans="1:32">
      <c r="A70" s="96" t="s">
        <v>27</v>
      </c>
      <c r="B70" s="31"/>
      <c r="C70" t="s">
        <v>28</v>
      </c>
      <c r="AF70" s="101"/>
    </row>
    <row r="71" spans="1:32" ht="15" thickBot="1">
      <c r="A71" s="106" t="s">
        <v>35</v>
      </c>
      <c r="B71" s="44"/>
      <c r="C71" s="41" t="s">
        <v>23</v>
      </c>
      <c r="D71" s="41" t="s">
        <v>366</v>
      </c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105"/>
    </row>
    <row r="72" spans="1:32" ht="15" thickTop="1">
      <c r="A72" s="93" t="s">
        <v>29</v>
      </c>
      <c r="B72" s="38"/>
      <c r="C72" s="43" t="s">
        <v>30</v>
      </c>
      <c r="D72" s="43" t="s">
        <v>365</v>
      </c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107"/>
    </row>
    <row r="73" spans="1:32">
      <c r="A73" s="96" t="s">
        <v>35</v>
      </c>
      <c r="B73" s="31"/>
      <c r="C73" t="s">
        <v>23</v>
      </c>
      <c r="AF73" s="101"/>
    </row>
    <row r="74" spans="1:32">
      <c r="A74" s="96" t="s">
        <v>35</v>
      </c>
      <c r="B74" s="31"/>
      <c r="C74" t="s">
        <v>23</v>
      </c>
      <c r="AF74" s="101"/>
    </row>
    <row r="75" spans="1:32">
      <c r="A75" s="96" t="s">
        <v>35</v>
      </c>
      <c r="B75" s="31"/>
      <c r="C75" t="s">
        <v>23</v>
      </c>
      <c r="AF75" s="101"/>
    </row>
    <row r="76" spans="1:32" ht="15" thickBot="1">
      <c r="A76" s="106" t="s">
        <v>27</v>
      </c>
      <c r="B76" s="44"/>
      <c r="C76" s="41" t="s">
        <v>28</v>
      </c>
      <c r="D76" s="41" t="s">
        <v>366</v>
      </c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105"/>
    </row>
    <row r="77" spans="1:32" ht="15" thickTop="1">
      <c r="A77" s="93" t="s">
        <v>55</v>
      </c>
      <c r="B77" s="38"/>
      <c r="C77" s="43" t="s">
        <v>23</v>
      </c>
      <c r="D77" s="43" t="s">
        <v>365</v>
      </c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107"/>
    </row>
    <row r="78" spans="1:32">
      <c r="A78" s="96" t="s">
        <v>27</v>
      </c>
      <c r="B78" s="31"/>
      <c r="C78" t="s">
        <v>28</v>
      </c>
      <c r="AF78" s="101"/>
    </row>
    <row r="79" spans="1:32">
      <c r="A79" s="96" t="s">
        <v>55</v>
      </c>
      <c r="B79" s="31"/>
      <c r="C79" t="s">
        <v>23</v>
      </c>
      <c r="AF79" s="101"/>
    </row>
    <row r="80" spans="1:32">
      <c r="A80" s="96" t="s">
        <v>55</v>
      </c>
      <c r="B80" s="31"/>
      <c r="C80" t="s">
        <v>23</v>
      </c>
      <c r="AF80" s="101"/>
    </row>
    <row r="81" spans="1:32" ht="15" thickBot="1">
      <c r="A81" s="106" t="s">
        <v>35</v>
      </c>
      <c r="B81" s="44"/>
      <c r="C81" s="41" t="s">
        <v>23</v>
      </c>
      <c r="D81" s="41" t="s">
        <v>366</v>
      </c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105"/>
    </row>
    <row r="82" spans="1:32" ht="15" thickTop="1">
      <c r="A82" s="93" t="s">
        <v>29</v>
      </c>
      <c r="B82" s="38"/>
      <c r="C82" s="43" t="s">
        <v>30</v>
      </c>
      <c r="D82" s="43" t="s">
        <v>365</v>
      </c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107"/>
    </row>
    <row r="83" spans="1:32">
      <c r="A83" s="96" t="s">
        <v>27</v>
      </c>
      <c r="B83" s="31"/>
      <c r="C83" t="s">
        <v>28</v>
      </c>
      <c r="AF83" s="101"/>
    </row>
    <row r="84" spans="1:32">
      <c r="A84" s="96" t="s">
        <v>22</v>
      </c>
      <c r="B84" s="31"/>
      <c r="C84" t="s">
        <v>23</v>
      </c>
      <c r="AF84" s="101"/>
    </row>
    <row r="85" spans="1:32">
      <c r="A85" s="96" t="s">
        <v>29</v>
      </c>
      <c r="B85" s="31"/>
      <c r="C85" t="s">
        <v>30</v>
      </c>
      <c r="AF85" s="101"/>
    </row>
    <row r="86" spans="1:32" ht="15" thickBot="1">
      <c r="A86" s="106" t="s">
        <v>35</v>
      </c>
      <c r="B86" s="44"/>
      <c r="C86" s="41" t="s">
        <v>23</v>
      </c>
      <c r="D86" s="41" t="s">
        <v>366</v>
      </c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105"/>
    </row>
    <row r="87" spans="1:32" ht="15" thickTop="1">
      <c r="A87" s="93" t="s">
        <v>31</v>
      </c>
      <c r="B87" s="38"/>
      <c r="C87" s="43" t="s">
        <v>23</v>
      </c>
      <c r="D87" s="43" t="s">
        <v>365</v>
      </c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107"/>
    </row>
    <row r="88" spans="1:32">
      <c r="A88" s="96" t="s">
        <v>27</v>
      </c>
      <c r="B88" s="31"/>
      <c r="C88" t="s">
        <v>28</v>
      </c>
      <c r="AF88" s="101"/>
    </row>
    <row r="89" spans="1:32">
      <c r="A89" s="96" t="s">
        <v>22</v>
      </c>
      <c r="B89" s="31"/>
      <c r="C89" t="s">
        <v>23</v>
      </c>
      <c r="AF89" s="101"/>
    </row>
    <row r="90" spans="1:32">
      <c r="A90" s="96" t="s">
        <v>29</v>
      </c>
      <c r="B90" s="31"/>
      <c r="C90" t="s">
        <v>30</v>
      </c>
      <c r="AF90" s="101"/>
    </row>
    <row r="91" spans="1:32" ht="15" thickBot="1">
      <c r="A91" s="106" t="s">
        <v>22</v>
      </c>
      <c r="B91" s="44"/>
      <c r="C91" s="41" t="s">
        <v>23</v>
      </c>
      <c r="D91" s="41" t="s">
        <v>366</v>
      </c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105"/>
    </row>
    <row r="92" spans="1:32" ht="15" thickTop="1">
      <c r="A92" s="93" t="s">
        <v>29</v>
      </c>
      <c r="B92" s="38"/>
      <c r="C92" s="43" t="s">
        <v>30</v>
      </c>
      <c r="D92" s="43" t="s">
        <v>365</v>
      </c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107"/>
    </row>
    <row r="93" spans="1:32">
      <c r="A93" s="96" t="s">
        <v>31</v>
      </c>
      <c r="B93" s="31"/>
      <c r="C93" t="s">
        <v>23</v>
      </c>
      <c r="AF93" s="101"/>
    </row>
    <row r="94" spans="1:32">
      <c r="A94" s="96" t="s">
        <v>29</v>
      </c>
      <c r="B94" s="31"/>
      <c r="C94" t="s">
        <v>30</v>
      </c>
      <c r="AF94" s="101"/>
    </row>
    <row r="95" spans="1:32">
      <c r="A95" s="96" t="s">
        <v>59</v>
      </c>
      <c r="B95" s="31"/>
      <c r="C95" t="s">
        <v>23</v>
      </c>
      <c r="AF95" s="101"/>
    </row>
    <row r="96" spans="1:32" ht="15" thickBot="1">
      <c r="A96" s="106" t="s">
        <v>27</v>
      </c>
      <c r="B96" s="44"/>
      <c r="C96" s="41" t="s">
        <v>28</v>
      </c>
      <c r="D96" s="41" t="s">
        <v>366</v>
      </c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105"/>
    </row>
    <row r="97" spans="1:32" ht="15" thickTop="1">
      <c r="A97" s="93" t="s">
        <v>29</v>
      </c>
      <c r="B97" s="38"/>
      <c r="C97" s="43" t="s">
        <v>30</v>
      </c>
      <c r="D97" s="43" t="s">
        <v>365</v>
      </c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107"/>
    </row>
    <row r="98" spans="1:32">
      <c r="A98" s="96" t="s">
        <v>25</v>
      </c>
      <c r="B98" s="31"/>
      <c r="C98" t="s">
        <v>26</v>
      </c>
      <c r="AF98" s="101"/>
    </row>
    <row r="99" spans="1:32">
      <c r="A99" s="96" t="s">
        <v>25</v>
      </c>
      <c r="B99" s="31"/>
      <c r="C99" t="s">
        <v>26</v>
      </c>
      <c r="AF99" s="101"/>
    </row>
    <row r="100" spans="1:32">
      <c r="A100" s="96" t="s">
        <v>29</v>
      </c>
      <c r="B100" s="31"/>
      <c r="C100" t="s">
        <v>30</v>
      </c>
      <c r="AF100" s="101"/>
    </row>
    <row r="101" spans="1:32" ht="15" thickBot="1">
      <c r="A101" s="106" t="s">
        <v>51</v>
      </c>
      <c r="B101" s="44"/>
      <c r="C101" s="41" t="s">
        <v>23</v>
      </c>
      <c r="D101" s="41" t="s">
        <v>366</v>
      </c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105"/>
    </row>
    <row r="102" spans="1:32" ht="15" thickTop="1">
      <c r="A102" s="93" t="s">
        <v>29</v>
      </c>
      <c r="B102" s="38"/>
      <c r="C102" s="43" t="s">
        <v>30</v>
      </c>
      <c r="D102" s="43" t="s">
        <v>365</v>
      </c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107"/>
    </row>
    <row r="103" spans="1:32">
      <c r="A103" s="96" t="s">
        <v>22</v>
      </c>
      <c r="B103" s="31"/>
      <c r="C103" t="s">
        <v>23</v>
      </c>
      <c r="AF103" s="101"/>
    </row>
    <row r="104" spans="1:32">
      <c r="A104" s="96" t="s">
        <v>22</v>
      </c>
      <c r="B104" s="31"/>
      <c r="C104" t="s">
        <v>23</v>
      </c>
      <c r="AF104" s="101"/>
    </row>
    <row r="105" spans="1:32">
      <c r="A105" s="96" t="s">
        <v>22</v>
      </c>
      <c r="B105" s="31"/>
      <c r="C105" t="s">
        <v>23</v>
      </c>
      <c r="AF105" s="101"/>
    </row>
    <row r="106" spans="1:32" ht="15" thickBot="1">
      <c r="A106" s="106" t="s">
        <v>22</v>
      </c>
      <c r="B106" s="44"/>
      <c r="C106" s="41" t="s">
        <v>23</v>
      </c>
      <c r="D106" s="41" t="s">
        <v>366</v>
      </c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105"/>
    </row>
    <row r="107" spans="1:32" ht="15" thickTop="1">
      <c r="A107" s="93" t="s">
        <v>29</v>
      </c>
      <c r="B107" s="38"/>
      <c r="C107" s="43" t="s">
        <v>30</v>
      </c>
      <c r="D107" s="43" t="s">
        <v>365</v>
      </c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107"/>
    </row>
    <row r="108" spans="1:32">
      <c r="A108" s="96" t="s">
        <v>27</v>
      </c>
      <c r="B108" s="31"/>
      <c r="C108" t="s">
        <v>28</v>
      </c>
      <c r="AF108" s="101"/>
    </row>
    <row r="109" spans="1:32">
      <c r="A109" s="96" t="s">
        <v>29</v>
      </c>
      <c r="B109" s="31"/>
      <c r="C109" t="s">
        <v>30</v>
      </c>
      <c r="AF109" s="101"/>
    </row>
    <row r="110" spans="1:32">
      <c r="A110" s="96" t="s">
        <v>27</v>
      </c>
      <c r="B110" s="31"/>
      <c r="C110" t="s">
        <v>28</v>
      </c>
      <c r="AF110" s="101"/>
    </row>
    <row r="111" spans="1:32" ht="15" thickBot="1">
      <c r="A111" s="106" t="s">
        <v>35</v>
      </c>
      <c r="B111" s="44"/>
      <c r="C111" s="41" t="s">
        <v>23</v>
      </c>
      <c r="D111" s="41" t="s">
        <v>366</v>
      </c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105"/>
    </row>
    <row r="112" spans="1:32" ht="15" thickTop="1">
      <c r="A112" s="93" t="s">
        <v>64</v>
      </c>
      <c r="B112" s="38"/>
      <c r="C112" s="43" t="s">
        <v>23</v>
      </c>
      <c r="D112" s="43" t="s">
        <v>365</v>
      </c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107"/>
    </row>
    <row r="113" spans="1:32">
      <c r="A113" s="96" t="s">
        <v>22</v>
      </c>
      <c r="B113" s="31"/>
      <c r="C113" t="s">
        <v>23</v>
      </c>
      <c r="AF113" s="101"/>
    </row>
    <row r="114" spans="1:32">
      <c r="A114" s="96" t="s">
        <v>22</v>
      </c>
      <c r="B114" s="31"/>
      <c r="C114" t="s">
        <v>23</v>
      </c>
      <c r="AF114" s="101"/>
    </row>
    <row r="115" spans="1:32">
      <c r="A115" s="96" t="s">
        <v>22</v>
      </c>
      <c r="B115" s="31"/>
      <c r="C115" t="s">
        <v>23</v>
      </c>
      <c r="AF115" s="101"/>
    </row>
    <row r="116" spans="1:32" ht="15" thickBot="1">
      <c r="A116" s="106" t="s">
        <v>27</v>
      </c>
      <c r="B116" s="44"/>
      <c r="C116" s="41" t="s">
        <v>28</v>
      </c>
      <c r="D116" s="41" t="s">
        <v>366</v>
      </c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105"/>
    </row>
    <row r="117" spans="1:32" ht="15" thickTop="1">
      <c r="A117" s="93" t="s">
        <v>31</v>
      </c>
      <c r="B117" s="38"/>
      <c r="C117" s="43" t="s">
        <v>23</v>
      </c>
      <c r="D117" s="43" t="s">
        <v>365</v>
      </c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107"/>
    </row>
    <row r="118" spans="1:32">
      <c r="A118" s="96" t="s">
        <v>27</v>
      </c>
      <c r="B118" s="31"/>
      <c r="C118" t="s">
        <v>28</v>
      </c>
      <c r="AF118" s="101"/>
    </row>
    <row r="119" spans="1:32">
      <c r="A119" s="96" t="s">
        <v>27</v>
      </c>
      <c r="B119" s="31"/>
      <c r="C119" t="s">
        <v>28</v>
      </c>
      <c r="AF119" s="101"/>
    </row>
    <row r="120" spans="1:32">
      <c r="A120" s="96" t="s">
        <v>66</v>
      </c>
      <c r="B120" s="31"/>
      <c r="C120" t="s">
        <v>23</v>
      </c>
      <c r="AF120" s="101"/>
    </row>
    <row r="121" spans="1:32" ht="15" thickBot="1">
      <c r="A121" s="106" t="s">
        <v>31</v>
      </c>
      <c r="B121" s="44"/>
      <c r="C121" s="41" t="s">
        <v>23</v>
      </c>
      <c r="D121" s="41" t="s">
        <v>366</v>
      </c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105"/>
    </row>
    <row r="122" spans="1:32" ht="15" thickTop="1">
      <c r="A122" s="93" t="s">
        <v>27</v>
      </c>
      <c r="B122" s="38"/>
      <c r="C122" s="43" t="s">
        <v>28</v>
      </c>
      <c r="D122" s="43" t="s">
        <v>365</v>
      </c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107"/>
    </row>
    <row r="123" spans="1:32">
      <c r="A123" s="96" t="s">
        <v>27</v>
      </c>
      <c r="B123" s="31"/>
      <c r="C123" t="s">
        <v>28</v>
      </c>
      <c r="AF123" s="101"/>
    </row>
    <row r="124" spans="1:32">
      <c r="A124" s="96" t="s">
        <v>27</v>
      </c>
      <c r="B124" s="31"/>
      <c r="C124" t="s">
        <v>28</v>
      </c>
      <c r="AF124" s="101"/>
    </row>
    <row r="125" spans="1:32">
      <c r="A125" s="96" t="s">
        <v>31</v>
      </c>
      <c r="B125" s="31"/>
      <c r="C125" t="s">
        <v>23</v>
      </c>
      <c r="AF125" s="101"/>
    </row>
    <row r="126" spans="1:32" ht="15" thickBot="1">
      <c r="A126" s="106" t="s">
        <v>31</v>
      </c>
      <c r="B126" s="44"/>
      <c r="C126" s="41" t="s">
        <v>23</v>
      </c>
      <c r="D126" s="41" t="s">
        <v>366</v>
      </c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105"/>
    </row>
    <row r="127" spans="1:32" ht="15" thickTop="1">
      <c r="A127" s="93" t="s">
        <v>69</v>
      </c>
      <c r="B127" s="38"/>
      <c r="C127" s="43" t="s">
        <v>23</v>
      </c>
      <c r="D127" s="43" t="s">
        <v>365</v>
      </c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107"/>
    </row>
    <row r="128" spans="1:32">
      <c r="A128" s="96" t="s">
        <v>29</v>
      </c>
      <c r="B128" s="31"/>
      <c r="C128" t="s">
        <v>30</v>
      </c>
      <c r="AF128" s="101"/>
    </row>
    <row r="129" spans="1:32">
      <c r="A129" s="96" t="s">
        <v>69</v>
      </c>
      <c r="B129" s="31"/>
      <c r="C129" t="s">
        <v>23</v>
      </c>
      <c r="AF129" s="101"/>
    </row>
    <row r="130" spans="1:32">
      <c r="A130" s="96" t="s">
        <v>27</v>
      </c>
      <c r="B130" s="31"/>
      <c r="C130" t="s">
        <v>28</v>
      </c>
      <c r="AF130" s="101"/>
    </row>
    <row r="131" spans="1:32" ht="15" thickBot="1">
      <c r="A131" s="106" t="s">
        <v>69</v>
      </c>
      <c r="B131" s="44"/>
      <c r="C131" s="41" t="s">
        <v>23</v>
      </c>
      <c r="D131" s="41" t="s">
        <v>366</v>
      </c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105"/>
    </row>
    <row r="132" spans="1:32" ht="15" thickTop="1">
      <c r="A132" s="93" t="s">
        <v>31</v>
      </c>
      <c r="B132" s="38"/>
      <c r="C132" s="43" t="s">
        <v>23</v>
      </c>
      <c r="D132" s="43" t="s">
        <v>365</v>
      </c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107"/>
    </row>
    <row r="133" spans="1:32">
      <c r="A133" s="96" t="s">
        <v>31</v>
      </c>
      <c r="B133" s="31"/>
      <c r="C133" t="s">
        <v>23</v>
      </c>
      <c r="AF133" s="101"/>
    </row>
    <row r="134" spans="1:32">
      <c r="A134" s="96" t="s">
        <v>29</v>
      </c>
      <c r="B134" s="31"/>
      <c r="C134" t="s">
        <v>30</v>
      </c>
      <c r="AF134" s="101"/>
    </row>
    <row r="135" spans="1:32">
      <c r="A135" s="96" t="s">
        <v>59</v>
      </c>
      <c r="B135" s="31"/>
      <c r="C135" t="s">
        <v>23</v>
      </c>
      <c r="AF135" s="101"/>
    </row>
    <row r="136" spans="1:32" ht="15" thickBot="1">
      <c r="A136" s="106" t="s">
        <v>27</v>
      </c>
      <c r="B136" s="44"/>
      <c r="C136" s="41" t="s">
        <v>28</v>
      </c>
      <c r="D136" s="41" t="s">
        <v>366</v>
      </c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105"/>
    </row>
    <row r="137" spans="1:32" ht="15" thickTop="1">
      <c r="A137" s="93" t="s">
        <v>25</v>
      </c>
      <c r="B137" s="38"/>
      <c r="C137" s="43" t="s">
        <v>26</v>
      </c>
      <c r="D137" s="43" t="s">
        <v>365</v>
      </c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107"/>
    </row>
    <row r="138" spans="1:32">
      <c r="A138" s="96" t="s">
        <v>25</v>
      </c>
      <c r="B138" s="31"/>
      <c r="C138" t="s">
        <v>26</v>
      </c>
      <c r="AF138" s="101"/>
    </row>
    <row r="139" spans="1:32">
      <c r="A139" s="96" t="s">
        <v>29</v>
      </c>
      <c r="B139" s="31"/>
      <c r="C139" t="s">
        <v>30</v>
      </c>
      <c r="AF139" s="101"/>
    </row>
    <row r="140" spans="1:32">
      <c r="A140" s="96" t="s">
        <v>27</v>
      </c>
      <c r="B140" s="31"/>
      <c r="C140" t="s">
        <v>28</v>
      </c>
      <c r="AF140" s="101"/>
    </row>
    <row r="141" spans="1:32" ht="15" thickBot="1">
      <c r="A141" s="106" t="s">
        <v>72</v>
      </c>
      <c r="B141" s="44"/>
      <c r="C141" s="41" t="s">
        <v>23</v>
      </c>
      <c r="D141" s="41" t="s">
        <v>366</v>
      </c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105"/>
    </row>
    <row r="142" spans="1:32" ht="15" thickTop="1">
      <c r="A142" s="93" t="s">
        <v>29</v>
      </c>
      <c r="B142" s="38"/>
      <c r="C142" s="43" t="s">
        <v>30</v>
      </c>
      <c r="D142" s="43" t="s">
        <v>365</v>
      </c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107"/>
    </row>
    <row r="143" spans="1:32">
      <c r="A143" s="96" t="s">
        <v>29</v>
      </c>
      <c r="B143" s="31"/>
      <c r="C143" t="s">
        <v>30</v>
      </c>
      <c r="AF143" s="101"/>
    </row>
    <row r="144" spans="1:32">
      <c r="A144" s="96" t="s">
        <v>29</v>
      </c>
      <c r="B144" s="31"/>
      <c r="C144" t="s">
        <v>30</v>
      </c>
      <c r="AF144" s="101"/>
    </row>
    <row r="145" spans="1:32">
      <c r="A145" s="96" t="s">
        <v>27</v>
      </c>
      <c r="B145" s="31"/>
      <c r="C145" t="s">
        <v>28</v>
      </c>
      <c r="AF145" s="101"/>
    </row>
    <row r="146" spans="1:32" ht="15" thickBot="1">
      <c r="A146" s="106" t="s">
        <v>27</v>
      </c>
      <c r="B146" s="44"/>
      <c r="C146" s="41" t="s">
        <v>28</v>
      </c>
      <c r="D146" s="41" t="s">
        <v>366</v>
      </c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105"/>
    </row>
    <row r="147" spans="1:32" ht="15" thickTop="1">
      <c r="A147" s="93" t="s">
        <v>69</v>
      </c>
      <c r="B147" s="38"/>
      <c r="C147" s="43" t="s">
        <v>23</v>
      </c>
      <c r="D147" s="43" t="s">
        <v>365</v>
      </c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107"/>
    </row>
    <row r="148" spans="1:32">
      <c r="A148" s="96" t="s">
        <v>22</v>
      </c>
      <c r="B148" s="31"/>
      <c r="C148" t="s">
        <v>23</v>
      </c>
      <c r="AF148" s="101"/>
    </row>
    <row r="149" spans="1:32">
      <c r="A149" s="96" t="s">
        <v>29</v>
      </c>
      <c r="B149" s="31"/>
      <c r="C149" t="s">
        <v>30</v>
      </c>
      <c r="AF149" s="101"/>
    </row>
    <row r="150" spans="1:32">
      <c r="A150" s="96" t="s">
        <v>35</v>
      </c>
      <c r="B150" s="31"/>
      <c r="C150" t="s">
        <v>23</v>
      </c>
      <c r="AF150" s="101"/>
    </row>
    <row r="151" spans="1:32" ht="15" thickBot="1">
      <c r="A151" s="106" t="s">
        <v>35</v>
      </c>
      <c r="B151" s="44"/>
      <c r="C151" s="41" t="s">
        <v>23</v>
      </c>
      <c r="D151" s="41" t="s">
        <v>366</v>
      </c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105"/>
    </row>
    <row r="152" spans="1:32" ht="15" thickTop="1">
      <c r="A152" s="93" t="s">
        <v>35</v>
      </c>
      <c r="B152" s="38"/>
      <c r="C152" s="43" t="s">
        <v>23</v>
      </c>
      <c r="D152" s="43" t="s">
        <v>365</v>
      </c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107"/>
    </row>
    <row r="153" spans="1:32">
      <c r="A153" s="96" t="s">
        <v>29</v>
      </c>
      <c r="B153" s="31"/>
      <c r="C153" t="s">
        <v>30</v>
      </c>
      <c r="AF153" s="101"/>
    </row>
    <row r="154" spans="1:32">
      <c r="A154" s="96" t="s">
        <v>35</v>
      </c>
      <c r="B154" s="31"/>
      <c r="C154" t="s">
        <v>23</v>
      </c>
      <c r="AF154" s="101"/>
    </row>
    <row r="155" spans="1:32">
      <c r="A155" s="96" t="s">
        <v>35</v>
      </c>
      <c r="B155" s="31"/>
      <c r="C155" t="s">
        <v>23</v>
      </c>
      <c r="AF155" s="101"/>
    </row>
    <row r="156" spans="1:32" ht="15" thickBot="1">
      <c r="A156" s="106" t="s">
        <v>35</v>
      </c>
      <c r="B156" s="44"/>
      <c r="C156" s="41" t="s">
        <v>23</v>
      </c>
      <c r="D156" s="41" t="s">
        <v>366</v>
      </c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105"/>
    </row>
    <row r="157" spans="1:32" ht="15" thickTop="1">
      <c r="A157" s="93" t="s">
        <v>29</v>
      </c>
      <c r="B157" s="38"/>
      <c r="C157" s="43" t="s">
        <v>30</v>
      </c>
      <c r="D157" s="43" t="s">
        <v>365</v>
      </c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107"/>
    </row>
    <row r="158" spans="1:32">
      <c r="A158" s="96" t="s">
        <v>29</v>
      </c>
      <c r="B158" s="31"/>
      <c r="C158" t="s">
        <v>30</v>
      </c>
      <c r="AF158" s="101"/>
    </row>
    <row r="159" spans="1:32">
      <c r="A159" s="96" t="s">
        <v>31</v>
      </c>
      <c r="B159" s="31"/>
      <c r="C159" t="s">
        <v>23</v>
      </c>
      <c r="AF159" s="101"/>
    </row>
    <row r="160" spans="1:32">
      <c r="A160" s="96" t="s">
        <v>27</v>
      </c>
      <c r="B160" s="31"/>
      <c r="C160" t="s">
        <v>28</v>
      </c>
      <c r="AF160" s="101"/>
    </row>
    <row r="161" spans="1:32" ht="15" thickBot="1">
      <c r="A161" s="106" t="s">
        <v>35</v>
      </c>
      <c r="B161" s="44"/>
      <c r="C161" s="41" t="s">
        <v>23</v>
      </c>
      <c r="D161" s="41" t="s">
        <v>366</v>
      </c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105"/>
    </row>
    <row r="162" spans="1:32" ht="15" thickTop="1">
      <c r="A162" s="93" t="s">
        <v>69</v>
      </c>
      <c r="B162" s="38"/>
      <c r="C162" s="43" t="s">
        <v>23</v>
      </c>
      <c r="D162" s="43" t="s">
        <v>365</v>
      </c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107"/>
    </row>
    <row r="163" spans="1:32">
      <c r="A163" s="96" t="s">
        <v>69</v>
      </c>
      <c r="B163" s="31"/>
      <c r="C163" t="s">
        <v>23</v>
      </c>
      <c r="AF163" s="101"/>
    </row>
    <row r="164" spans="1:32">
      <c r="A164" s="96" t="s">
        <v>25</v>
      </c>
      <c r="B164" s="31"/>
      <c r="C164" t="s">
        <v>26</v>
      </c>
      <c r="AF164" s="101"/>
    </row>
    <row r="165" spans="1:32">
      <c r="A165" s="96" t="s">
        <v>29</v>
      </c>
      <c r="B165" s="31"/>
      <c r="C165" t="s">
        <v>30</v>
      </c>
      <c r="AF165" s="101"/>
    </row>
    <row r="166" spans="1:32" ht="15" thickBot="1">
      <c r="A166" s="106" t="s">
        <v>27</v>
      </c>
      <c r="B166" s="44"/>
      <c r="C166" s="41" t="s">
        <v>28</v>
      </c>
      <c r="D166" s="41" t="s">
        <v>366</v>
      </c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105"/>
    </row>
    <row r="167" spans="1:32" ht="15" thickTop="1">
      <c r="A167" s="93" t="s">
        <v>29</v>
      </c>
      <c r="B167" s="38"/>
      <c r="C167" s="43" t="s">
        <v>30</v>
      </c>
      <c r="D167" s="43" t="s">
        <v>365</v>
      </c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107"/>
    </row>
    <row r="168" spans="1:32">
      <c r="A168" s="96" t="s">
        <v>27</v>
      </c>
      <c r="B168" s="31"/>
      <c r="C168" t="s">
        <v>28</v>
      </c>
      <c r="AF168" s="101"/>
    </row>
    <row r="169" spans="1:32">
      <c r="A169" s="96" t="s">
        <v>29</v>
      </c>
      <c r="B169" s="31"/>
      <c r="C169" t="s">
        <v>30</v>
      </c>
      <c r="AF169" s="101"/>
    </row>
    <row r="170" spans="1:32">
      <c r="A170" s="96" t="s">
        <v>29</v>
      </c>
      <c r="B170" s="31"/>
      <c r="C170" t="s">
        <v>30</v>
      </c>
      <c r="AF170" s="101"/>
    </row>
    <row r="171" spans="1:32" ht="15" thickBot="1">
      <c r="A171" s="106" t="s">
        <v>29</v>
      </c>
      <c r="B171" s="44"/>
      <c r="C171" s="41" t="s">
        <v>30</v>
      </c>
      <c r="D171" s="41" t="s">
        <v>366</v>
      </c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105"/>
    </row>
    <row r="172" spans="1:32" ht="15" thickTop="1">
      <c r="A172" s="93" t="s">
        <v>35</v>
      </c>
      <c r="B172" s="38"/>
      <c r="C172" s="43" t="s">
        <v>23</v>
      </c>
      <c r="D172" s="43" t="s">
        <v>365</v>
      </c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107"/>
    </row>
    <row r="173" spans="1:32">
      <c r="A173" s="96" t="s">
        <v>29</v>
      </c>
      <c r="B173" s="31"/>
      <c r="C173" t="s">
        <v>30</v>
      </c>
      <c r="AF173" s="101"/>
    </row>
    <row r="174" spans="1:32">
      <c r="A174" s="96" t="s">
        <v>27</v>
      </c>
      <c r="B174" s="31"/>
      <c r="C174" t="s">
        <v>28</v>
      </c>
      <c r="AF174" s="101"/>
    </row>
    <row r="175" spans="1:32">
      <c r="A175" s="96" t="s">
        <v>27</v>
      </c>
      <c r="B175" s="31"/>
      <c r="C175" t="s">
        <v>28</v>
      </c>
      <c r="AF175" s="101"/>
    </row>
    <row r="176" spans="1:32" ht="15" thickBot="1">
      <c r="A176" s="106" t="s">
        <v>27</v>
      </c>
      <c r="B176" s="44"/>
      <c r="C176" s="41" t="s">
        <v>28</v>
      </c>
      <c r="D176" s="41" t="s">
        <v>366</v>
      </c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105"/>
    </row>
    <row r="177" spans="1:32" ht="15" thickTop="1">
      <c r="A177" s="93" t="s">
        <v>29</v>
      </c>
      <c r="B177" s="38"/>
      <c r="C177" s="43" t="s">
        <v>30</v>
      </c>
      <c r="D177" s="43" t="s">
        <v>365</v>
      </c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107"/>
    </row>
    <row r="178" spans="1:32">
      <c r="A178" s="96" t="s">
        <v>29</v>
      </c>
      <c r="B178" s="31"/>
      <c r="C178" t="s">
        <v>30</v>
      </c>
      <c r="AF178" s="101"/>
    </row>
    <row r="179" spans="1:32">
      <c r="A179" s="96" t="s">
        <v>69</v>
      </c>
      <c r="B179" s="31"/>
      <c r="C179" t="s">
        <v>23</v>
      </c>
      <c r="AF179" s="101"/>
    </row>
    <row r="180" spans="1:32">
      <c r="A180" s="96" t="s">
        <v>35</v>
      </c>
      <c r="B180" s="31"/>
      <c r="C180" t="s">
        <v>23</v>
      </c>
      <c r="AF180" s="101"/>
    </row>
    <row r="181" spans="1:32" ht="15" thickBot="1">
      <c r="A181" s="106" t="s">
        <v>27</v>
      </c>
      <c r="B181" s="44"/>
      <c r="C181" s="41" t="s">
        <v>28</v>
      </c>
      <c r="D181" s="41" t="s">
        <v>366</v>
      </c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105"/>
    </row>
    <row r="182" spans="1:32" ht="15" thickTop="1">
      <c r="A182" s="93" t="s">
        <v>27</v>
      </c>
      <c r="B182" s="38"/>
      <c r="C182" s="43" t="s">
        <v>28</v>
      </c>
      <c r="D182" s="43" t="s">
        <v>365</v>
      </c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107"/>
    </row>
    <row r="183" spans="1:32">
      <c r="A183" s="96" t="s">
        <v>29</v>
      </c>
      <c r="B183" s="31"/>
      <c r="C183" t="s">
        <v>30</v>
      </c>
      <c r="AF183" s="101"/>
    </row>
    <row r="184" spans="1:32">
      <c r="A184" s="96" t="s">
        <v>51</v>
      </c>
      <c r="B184" s="31"/>
      <c r="C184" t="s">
        <v>23</v>
      </c>
      <c r="AF184" s="101"/>
    </row>
    <row r="185" spans="1:32">
      <c r="A185" s="96" t="s">
        <v>69</v>
      </c>
      <c r="B185" s="31"/>
      <c r="C185" t="s">
        <v>23</v>
      </c>
      <c r="AF185" s="101"/>
    </row>
    <row r="186" spans="1:32" ht="15" thickBot="1">
      <c r="A186" s="106" t="s">
        <v>25</v>
      </c>
      <c r="B186" s="44"/>
      <c r="C186" s="41" t="s">
        <v>26</v>
      </c>
      <c r="D186" s="41" t="s">
        <v>366</v>
      </c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105"/>
    </row>
    <row r="187" spans="1:32" ht="15" thickTop="1">
      <c r="A187" s="93" t="s">
        <v>25</v>
      </c>
      <c r="B187" s="38"/>
      <c r="C187" s="43" t="s">
        <v>26</v>
      </c>
      <c r="D187" s="43" t="s">
        <v>365</v>
      </c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107"/>
    </row>
    <row r="188" spans="1:32">
      <c r="A188" s="96" t="s">
        <v>25</v>
      </c>
      <c r="B188" s="31"/>
      <c r="C188" t="s">
        <v>26</v>
      </c>
      <c r="AF188" s="101"/>
    </row>
    <row r="189" spans="1:32">
      <c r="A189" s="96" t="s">
        <v>25</v>
      </c>
      <c r="B189" s="31"/>
      <c r="C189" t="s">
        <v>26</v>
      </c>
      <c r="AF189" s="101"/>
    </row>
    <row r="190" spans="1:32">
      <c r="A190" s="96" t="s">
        <v>27</v>
      </c>
      <c r="B190" s="31"/>
      <c r="C190" t="s">
        <v>28</v>
      </c>
      <c r="AF190" s="101"/>
    </row>
    <row r="191" spans="1:32" ht="15" thickBot="1">
      <c r="A191" s="106" t="s">
        <v>29</v>
      </c>
      <c r="B191" s="44"/>
      <c r="C191" s="41" t="s">
        <v>30</v>
      </c>
      <c r="D191" s="41" t="s">
        <v>366</v>
      </c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105"/>
    </row>
    <row r="192" spans="1:32" ht="15" thickTop="1">
      <c r="A192" s="93" t="s">
        <v>27</v>
      </c>
      <c r="B192" s="38"/>
      <c r="C192" s="43" t="s">
        <v>28</v>
      </c>
      <c r="D192" s="43" t="s">
        <v>365</v>
      </c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107"/>
    </row>
    <row r="193" spans="1:32">
      <c r="A193" s="96" t="s">
        <v>29</v>
      </c>
      <c r="B193" s="31"/>
      <c r="C193" t="s">
        <v>30</v>
      </c>
      <c r="AF193" s="101"/>
    </row>
    <row r="194" spans="1:32">
      <c r="A194" s="96" t="s">
        <v>27</v>
      </c>
      <c r="B194" s="31"/>
      <c r="C194" t="s">
        <v>28</v>
      </c>
      <c r="AF194" s="101"/>
    </row>
    <row r="195" spans="1:32">
      <c r="A195" s="96" t="s">
        <v>27</v>
      </c>
      <c r="B195" s="31"/>
      <c r="C195" t="s">
        <v>28</v>
      </c>
      <c r="AF195" s="101"/>
    </row>
    <row r="196" spans="1:32" ht="15" thickBot="1">
      <c r="A196" s="106" t="s">
        <v>27</v>
      </c>
      <c r="B196" s="44"/>
      <c r="C196" s="41" t="s">
        <v>28</v>
      </c>
      <c r="D196" s="41" t="s">
        <v>366</v>
      </c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105"/>
    </row>
    <row r="197" spans="1:32" ht="15" thickTop="1">
      <c r="A197" s="93" t="s">
        <v>41</v>
      </c>
      <c r="B197" s="38"/>
      <c r="C197" s="43" t="s">
        <v>42</v>
      </c>
      <c r="D197" s="43" t="s">
        <v>365</v>
      </c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107"/>
    </row>
    <row r="198" spans="1:32">
      <c r="A198" s="96" t="s">
        <v>29</v>
      </c>
      <c r="B198" s="31"/>
      <c r="C198" t="s">
        <v>30</v>
      </c>
      <c r="AF198" s="101"/>
    </row>
    <row r="199" spans="1:32">
      <c r="A199" s="96" t="s">
        <v>29</v>
      </c>
      <c r="B199" s="31"/>
      <c r="C199" t="s">
        <v>30</v>
      </c>
      <c r="AF199" s="101"/>
    </row>
    <row r="200" spans="1:32">
      <c r="A200" s="96" t="s">
        <v>29</v>
      </c>
      <c r="B200" s="31"/>
      <c r="C200" t="s">
        <v>30</v>
      </c>
      <c r="AF200" s="101"/>
    </row>
    <row r="201" spans="1:32" ht="15" thickBot="1">
      <c r="A201" s="106" t="s">
        <v>41</v>
      </c>
      <c r="B201" s="44"/>
      <c r="C201" s="41" t="s">
        <v>42</v>
      </c>
      <c r="D201" s="41" t="s">
        <v>366</v>
      </c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105"/>
    </row>
    <row r="202" spans="1:32" ht="15" thickTop="1">
      <c r="A202" s="93" t="s">
        <v>29</v>
      </c>
      <c r="B202" s="38"/>
      <c r="C202" s="43" t="s">
        <v>30</v>
      </c>
      <c r="D202" s="43" t="s">
        <v>365</v>
      </c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107"/>
    </row>
    <row r="203" spans="1:32">
      <c r="A203" s="96" t="s">
        <v>29</v>
      </c>
      <c r="B203" s="31"/>
      <c r="C203" t="s">
        <v>30</v>
      </c>
      <c r="AF203" s="101"/>
    </row>
    <row r="204" spans="1:32">
      <c r="A204" s="96" t="s">
        <v>25</v>
      </c>
      <c r="B204" s="31"/>
      <c r="C204" t="s">
        <v>26</v>
      </c>
      <c r="AF204" s="101"/>
    </row>
    <row r="205" spans="1:32">
      <c r="A205" s="96" t="s">
        <v>29</v>
      </c>
      <c r="B205" s="31"/>
      <c r="C205" t="s">
        <v>30</v>
      </c>
      <c r="AF205" s="101"/>
    </row>
    <row r="206" spans="1:32" ht="15" thickBot="1">
      <c r="A206" s="106" t="s">
        <v>29</v>
      </c>
      <c r="B206" s="44"/>
      <c r="C206" s="41" t="s">
        <v>30</v>
      </c>
      <c r="D206" s="41" t="s">
        <v>366</v>
      </c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105"/>
    </row>
    <row r="207" spans="1:32" ht="15" thickTop="1">
      <c r="A207" s="93" t="s">
        <v>22</v>
      </c>
      <c r="B207" s="38"/>
      <c r="C207" s="43" t="s">
        <v>23</v>
      </c>
      <c r="D207" s="43" t="s">
        <v>365</v>
      </c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107"/>
    </row>
    <row r="208" spans="1:32">
      <c r="A208" s="96" t="s">
        <v>55</v>
      </c>
      <c r="B208" s="31"/>
      <c r="C208" t="s">
        <v>23</v>
      </c>
      <c r="AF208" s="101"/>
    </row>
    <row r="209" spans="1:32">
      <c r="A209" s="96" t="s">
        <v>64</v>
      </c>
      <c r="B209" s="31"/>
      <c r="C209" t="s">
        <v>23</v>
      </c>
      <c r="AF209" s="101"/>
    </row>
    <row r="210" spans="1:32">
      <c r="A210" s="96" t="s">
        <v>22</v>
      </c>
      <c r="B210" s="31"/>
      <c r="C210" t="s">
        <v>23</v>
      </c>
      <c r="AF210" s="101"/>
    </row>
    <row r="211" spans="1:32" ht="15" thickBot="1">
      <c r="A211" s="106" t="s">
        <v>55</v>
      </c>
      <c r="B211" s="44"/>
      <c r="C211" s="41" t="s">
        <v>23</v>
      </c>
      <c r="D211" s="41" t="s">
        <v>366</v>
      </c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105"/>
    </row>
    <row r="212" spans="1:32" ht="15" thickTop="1">
      <c r="A212" s="93" t="s">
        <v>22</v>
      </c>
      <c r="B212" s="38"/>
      <c r="C212" s="43" t="s">
        <v>23</v>
      </c>
      <c r="D212" s="43" t="s">
        <v>365</v>
      </c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107"/>
    </row>
    <row r="213" spans="1:32">
      <c r="A213" s="96" t="s">
        <v>22</v>
      </c>
      <c r="B213" s="31"/>
      <c r="C213" t="s">
        <v>23</v>
      </c>
      <c r="AF213" s="101"/>
    </row>
    <row r="214" spans="1:32">
      <c r="A214" s="96" t="s">
        <v>27</v>
      </c>
      <c r="B214" s="31"/>
      <c r="C214" t="s">
        <v>28</v>
      </c>
      <c r="AF214" s="101"/>
    </row>
    <row r="215" spans="1:32">
      <c r="A215" s="96" t="s">
        <v>27</v>
      </c>
      <c r="B215" s="31"/>
      <c r="C215" t="s">
        <v>28</v>
      </c>
      <c r="AF215" s="101"/>
    </row>
    <row r="216" spans="1:32" ht="15" thickBot="1">
      <c r="A216" s="106" t="s">
        <v>29</v>
      </c>
      <c r="B216" s="44"/>
      <c r="C216" s="41" t="s">
        <v>30</v>
      </c>
      <c r="D216" s="41" t="s">
        <v>366</v>
      </c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105"/>
    </row>
    <row r="217" spans="1:32" ht="15" thickTop="1">
      <c r="A217" s="93" t="s">
        <v>29</v>
      </c>
      <c r="B217" s="38"/>
      <c r="C217" s="43" t="s">
        <v>30</v>
      </c>
      <c r="D217" s="43" t="s">
        <v>365</v>
      </c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107"/>
    </row>
    <row r="218" spans="1:32">
      <c r="A218" s="96" t="s">
        <v>29</v>
      </c>
      <c r="B218" s="31"/>
      <c r="C218" t="s">
        <v>30</v>
      </c>
      <c r="AF218" s="101"/>
    </row>
    <row r="219" spans="1:32">
      <c r="A219" s="96" t="s">
        <v>27</v>
      </c>
      <c r="B219" s="31"/>
      <c r="C219" t="s">
        <v>28</v>
      </c>
      <c r="AF219" s="101"/>
    </row>
    <row r="220" spans="1:32">
      <c r="A220" s="96" t="s">
        <v>89</v>
      </c>
      <c r="B220" s="31"/>
      <c r="C220" t="s">
        <v>23</v>
      </c>
      <c r="AF220" s="101"/>
    </row>
    <row r="221" spans="1:32" ht="15" thickBot="1">
      <c r="A221" s="106" t="s">
        <v>25</v>
      </c>
      <c r="B221" s="44"/>
      <c r="C221" s="41" t="s">
        <v>26</v>
      </c>
      <c r="D221" s="41" t="s">
        <v>366</v>
      </c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105"/>
    </row>
    <row r="222" spans="1:32" ht="15" thickTop="1">
      <c r="A222" s="93" t="s">
        <v>27</v>
      </c>
      <c r="B222" s="38"/>
      <c r="C222" s="43" t="s">
        <v>28</v>
      </c>
      <c r="D222" s="43" t="s">
        <v>365</v>
      </c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107"/>
    </row>
    <row r="223" spans="1:32">
      <c r="A223" s="96" t="s">
        <v>89</v>
      </c>
      <c r="B223" s="31"/>
      <c r="C223" t="s">
        <v>23</v>
      </c>
      <c r="AF223" s="101"/>
    </row>
    <row r="224" spans="1:32">
      <c r="A224" s="96" t="s">
        <v>89</v>
      </c>
      <c r="B224" s="31"/>
      <c r="C224" t="s">
        <v>23</v>
      </c>
      <c r="AF224" s="101"/>
    </row>
    <row r="225" spans="1:32">
      <c r="A225" s="96" t="s">
        <v>25</v>
      </c>
      <c r="B225" s="31"/>
      <c r="C225" t="s">
        <v>26</v>
      </c>
      <c r="AF225" s="101"/>
    </row>
    <row r="226" spans="1:32" ht="15" thickBot="1">
      <c r="A226" s="106" t="s">
        <v>27</v>
      </c>
      <c r="B226" s="44"/>
      <c r="C226" s="41" t="s">
        <v>28</v>
      </c>
      <c r="D226" s="41" t="s">
        <v>366</v>
      </c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105"/>
    </row>
    <row r="227" spans="1:32" ht="15" thickTop="1">
      <c r="A227" s="93" t="s">
        <v>29</v>
      </c>
      <c r="B227" s="38"/>
      <c r="C227" s="43" t="s">
        <v>30</v>
      </c>
      <c r="D227" s="43" t="s">
        <v>365</v>
      </c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107"/>
    </row>
    <row r="228" spans="1:32">
      <c r="A228" s="96" t="s">
        <v>27</v>
      </c>
      <c r="B228" s="31"/>
      <c r="C228" t="s">
        <v>28</v>
      </c>
      <c r="AF228" s="101"/>
    </row>
    <row r="229" spans="1:32">
      <c r="A229" s="96" t="s">
        <v>27</v>
      </c>
      <c r="B229" s="31"/>
      <c r="C229" t="s">
        <v>28</v>
      </c>
      <c r="AF229" s="101"/>
    </row>
    <row r="230" spans="1:32">
      <c r="A230" s="96" t="s">
        <v>29</v>
      </c>
      <c r="B230" s="31"/>
      <c r="C230" t="s">
        <v>30</v>
      </c>
      <c r="AF230" s="101"/>
    </row>
    <row r="231" spans="1:32" ht="15" thickBot="1">
      <c r="A231" s="106" t="s">
        <v>27</v>
      </c>
      <c r="B231" s="44"/>
      <c r="C231" s="41" t="s">
        <v>28</v>
      </c>
      <c r="D231" s="41" t="s">
        <v>366</v>
      </c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105"/>
    </row>
    <row r="232" spans="1:32" ht="15" thickTop="1">
      <c r="A232" s="93" t="s">
        <v>29</v>
      </c>
      <c r="B232" s="38"/>
      <c r="C232" s="43" t="s">
        <v>30</v>
      </c>
      <c r="D232" s="43" t="s">
        <v>365</v>
      </c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107"/>
    </row>
    <row r="233" spans="1:32">
      <c r="A233" s="96" t="s">
        <v>27</v>
      </c>
      <c r="B233" s="31"/>
      <c r="C233" t="s">
        <v>28</v>
      </c>
      <c r="AF233" s="101"/>
    </row>
    <row r="234" spans="1:32">
      <c r="A234" s="96" t="s">
        <v>27</v>
      </c>
      <c r="B234" s="31"/>
      <c r="C234" t="s">
        <v>28</v>
      </c>
      <c r="AF234" s="101"/>
    </row>
    <row r="235" spans="1:32">
      <c r="A235" s="96" t="s">
        <v>27</v>
      </c>
      <c r="B235" s="31"/>
      <c r="C235" t="s">
        <v>28</v>
      </c>
      <c r="AF235" s="101"/>
    </row>
    <row r="236" spans="1:32" ht="15" thickBot="1">
      <c r="A236" s="106" t="s">
        <v>25</v>
      </c>
      <c r="B236" s="44"/>
      <c r="C236" s="41" t="s">
        <v>26</v>
      </c>
      <c r="D236" s="41" t="s">
        <v>366</v>
      </c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105"/>
    </row>
    <row r="237" spans="1:32" ht="15" thickTop="1">
      <c r="A237" s="93" t="s">
        <v>69</v>
      </c>
      <c r="B237" s="38"/>
      <c r="C237" s="43" t="s">
        <v>23</v>
      </c>
      <c r="D237" s="43" t="s">
        <v>365</v>
      </c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107"/>
    </row>
    <row r="238" spans="1:32">
      <c r="A238" s="96" t="s">
        <v>29</v>
      </c>
      <c r="B238" s="31"/>
      <c r="C238" t="s">
        <v>30</v>
      </c>
      <c r="AF238" s="101"/>
    </row>
    <row r="239" spans="1:32">
      <c r="A239" s="96" t="s">
        <v>27</v>
      </c>
      <c r="B239" s="31"/>
      <c r="C239" t="s">
        <v>28</v>
      </c>
      <c r="AF239" s="101"/>
    </row>
    <row r="240" spans="1:32">
      <c r="A240" s="96" t="s">
        <v>69</v>
      </c>
      <c r="B240" s="31"/>
      <c r="C240" t="s">
        <v>23</v>
      </c>
      <c r="AF240" s="101"/>
    </row>
    <row r="241" spans="1:32" ht="15" thickBot="1">
      <c r="A241" s="106" t="s">
        <v>29</v>
      </c>
      <c r="B241" s="44"/>
      <c r="C241" s="41" t="s">
        <v>30</v>
      </c>
      <c r="D241" s="41" t="s">
        <v>366</v>
      </c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105"/>
    </row>
    <row r="242" spans="1:32" ht="15" thickTop="1">
      <c r="A242" s="93" t="s">
        <v>22</v>
      </c>
      <c r="B242" s="38"/>
      <c r="C242" s="43" t="s">
        <v>23</v>
      </c>
      <c r="D242" s="43" t="s">
        <v>365</v>
      </c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3"/>
      <c r="AF242" s="107"/>
    </row>
    <row r="243" spans="1:32">
      <c r="A243" s="96" t="s">
        <v>22</v>
      </c>
      <c r="B243" s="31"/>
      <c r="C243" t="s">
        <v>23</v>
      </c>
      <c r="AF243" s="101"/>
    </row>
    <row r="244" spans="1:32">
      <c r="A244" s="96" t="s">
        <v>95</v>
      </c>
      <c r="B244" s="31"/>
      <c r="C244" t="s">
        <v>23</v>
      </c>
      <c r="AF244" s="101"/>
    </row>
    <row r="245" spans="1:32">
      <c r="A245" s="96" t="s">
        <v>27</v>
      </c>
      <c r="B245" s="31"/>
      <c r="C245" t="s">
        <v>28</v>
      </c>
      <c r="AF245" s="101"/>
    </row>
    <row r="246" spans="1:32" ht="15" thickBot="1">
      <c r="A246" s="106" t="s">
        <v>27</v>
      </c>
      <c r="B246" s="44"/>
      <c r="C246" s="41" t="s">
        <v>28</v>
      </c>
      <c r="D246" s="41" t="s">
        <v>366</v>
      </c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105"/>
    </row>
    <row r="247" spans="1:32" ht="15" thickTop="1">
      <c r="A247" s="93" t="s">
        <v>29</v>
      </c>
      <c r="B247" s="38"/>
      <c r="C247" s="43" t="s">
        <v>30</v>
      </c>
      <c r="D247" s="43" t="s">
        <v>365</v>
      </c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3"/>
      <c r="AF247" s="107"/>
    </row>
    <row r="248" spans="1:32">
      <c r="A248" s="96" t="s">
        <v>29</v>
      </c>
      <c r="B248" s="31"/>
      <c r="C248" t="s">
        <v>30</v>
      </c>
      <c r="AF248" s="101"/>
    </row>
    <row r="249" spans="1:32">
      <c r="A249" s="96" t="s">
        <v>27</v>
      </c>
      <c r="B249" s="31"/>
      <c r="C249" t="s">
        <v>28</v>
      </c>
      <c r="AF249" s="101"/>
    </row>
    <row r="250" spans="1:32">
      <c r="A250" s="96" t="s">
        <v>25</v>
      </c>
      <c r="B250" s="31"/>
      <c r="C250" t="s">
        <v>26</v>
      </c>
      <c r="AF250" s="101"/>
    </row>
    <row r="251" spans="1:32" ht="15" thickBot="1">
      <c r="A251" s="106" t="s">
        <v>27</v>
      </c>
      <c r="B251" s="44"/>
      <c r="C251" s="41" t="s">
        <v>28</v>
      </c>
      <c r="D251" s="41" t="s">
        <v>366</v>
      </c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105"/>
    </row>
    <row r="252" spans="1:32" ht="15" thickTop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2"/>
  <sheetViews>
    <sheetView workbookViewId="0">
      <selection activeCell="E1" sqref="E1:F1"/>
    </sheetView>
  </sheetViews>
  <sheetFormatPr baseColWidth="10" defaultColWidth="8.83203125" defaultRowHeight="14" x14ac:dyDescent="0"/>
  <cols>
    <col min="1" max="1" width="8.83203125" bestFit="1" customWidth="1"/>
    <col min="2" max="2" width="5.6640625" bestFit="1" customWidth="1"/>
    <col min="3" max="3" width="13.83203125" bestFit="1" customWidth="1"/>
    <col min="4" max="4" width="11.1640625" bestFit="1" customWidth="1"/>
  </cols>
  <sheetData>
    <row r="1" spans="1:32" ht="16" thickTop="1" thickBot="1">
      <c r="A1" s="34" t="s">
        <v>319</v>
      </c>
      <c r="B1" s="34" t="s">
        <v>16</v>
      </c>
      <c r="C1" s="34" t="s">
        <v>320</v>
      </c>
      <c r="D1" s="34" t="s">
        <v>321</v>
      </c>
      <c r="E1" s="34" t="s">
        <v>322</v>
      </c>
      <c r="F1" s="34" t="s">
        <v>323</v>
      </c>
      <c r="G1" s="34" t="s">
        <v>324</v>
      </c>
      <c r="H1" s="34" t="s">
        <v>325</v>
      </c>
      <c r="I1" s="34" t="s">
        <v>326</v>
      </c>
      <c r="J1" s="34" t="s">
        <v>327</v>
      </c>
      <c r="K1" s="34" t="s">
        <v>328</v>
      </c>
      <c r="L1" s="34" t="s">
        <v>329</v>
      </c>
      <c r="M1" s="34" t="s">
        <v>330</v>
      </c>
      <c r="N1" s="34" t="s">
        <v>331</v>
      </c>
      <c r="O1" s="34" t="s">
        <v>332</v>
      </c>
      <c r="P1" s="34" t="s">
        <v>333</v>
      </c>
      <c r="Q1" s="34" t="s">
        <v>334</v>
      </c>
      <c r="R1" s="34" t="s">
        <v>335</v>
      </c>
      <c r="S1" s="34" t="s">
        <v>336</v>
      </c>
      <c r="T1" s="34" t="s">
        <v>337</v>
      </c>
      <c r="U1" s="34" t="s">
        <v>338</v>
      </c>
      <c r="V1" s="34" t="s">
        <v>339</v>
      </c>
      <c r="W1" s="34" t="s">
        <v>340</v>
      </c>
      <c r="X1" s="34" t="s">
        <v>341</v>
      </c>
      <c r="Y1" s="34" t="s">
        <v>342</v>
      </c>
      <c r="Z1" s="34" t="s">
        <v>343</v>
      </c>
      <c r="AA1" s="34" t="s">
        <v>344</v>
      </c>
      <c r="AB1" s="34" t="s">
        <v>345</v>
      </c>
      <c r="AC1" s="34" t="s">
        <v>346</v>
      </c>
      <c r="AD1" s="34" t="s">
        <v>347</v>
      </c>
      <c r="AE1" s="34" t="s">
        <v>348</v>
      </c>
      <c r="AF1" s="34" t="s">
        <v>349</v>
      </c>
    </row>
    <row r="2" spans="1:32" ht="15" thickTop="1">
      <c r="A2" s="63" t="s">
        <v>22</v>
      </c>
      <c r="B2" s="38"/>
      <c r="C2" s="43" t="s">
        <v>23</v>
      </c>
      <c r="D2" s="43" t="s">
        <v>365</v>
      </c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77"/>
    </row>
    <row r="3" spans="1:32">
      <c r="A3" s="66" t="s">
        <v>22</v>
      </c>
      <c r="B3" s="31"/>
      <c r="C3" t="s">
        <v>23</v>
      </c>
      <c r="AF3" s="71"/>
    </row>
    <row r="4" spans="1:32">
      <c r="A4" s="66" t="s">
        <v>155</v>
      </c>
      <c r="B4" s="31"/>
      <c r="C4" t="s">
        <v>23</v>
      </c>
      <c r="AF4" s="71"/>
    </row>
    <row r="5" spans="1:32">
      <c r="A5" s="66" t="s">
        <v>22</v>
      </c>
      <c r="B5" s="31"/>
      <c r="C5" t="s">
        <v>23</v>
      </c>
      <c r="AF5" s="71"/>
    </row>
    <row r="6" spans="1:32" ht="15" thickBot="1">
      <c r="A6" s="76" t="s">
        <v>22</v>
      </c>
      <c r="B6" s="44"/>
      <c r="C6" s="41" t="s">
        <v>23</v>
      </c>
      <c r="D6" s="41" t="s">
        <v>366</v>
      </c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75"/>
    </row>
    <row r="7" spans="1:32" ht="15" thickTop="1">
      <c r="A7" s="63" t="s">
        <v>29</v>
      </c>
      <c r="B7" s="38"/>
      <c r="C7" s="43" t="s">
        <v>30</v>
      </c>
      <c r="D7" s="43" t="s">
        <v>365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77"/>
    </row>
    <row r="8" spans="1:32">
      <c r="A8" s="66" t="s">
        <v>69</v>
      </c>
      <c r="B8" s="31"/>
      <c r="C8" t="s">
        <v>23</v>
      </c>
      <c r="AF8" s="71"/>
    </row>
    <row r="9" spans="1:32">
      <c r="A9" s="66" t="s">
        <v>27</v>
      </c>
      <c r="B9" s="31"/>
      <c r="C9" t="s">
        <v>28</v>
      </c>
      <c r="AF9" s="71"/>
    </row>
    <row r="10" spans="1:32">
      <c r="A10" s="66" t="s">
        <v>29</v>
      </c>
      <c r="B10" s="31"/>
      <c r="C10" t="s">
        <v>30</v>
      </c>
      <c r="AF10" s="71"/>
    </row>
    <row r="11" spans="1:32" ht="15" thickBot="1">
      <c r="A11" s="76" t="s">
        <v>29</v>
      </c>
      <c r="B11" s="44"/>
      <c r="C11" s="41" t="s">
        <v>30</v>
      </c>
      <c r="D11" s="41" t="s">
        <v>366</v>
      </c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75"/>
    </row>
    <row r="12" spans="1:32" ht="15" thickTop="1">
      <c r="A12" s="63" t="s">
        <v>64</v>
      </c>
      <c r="B12" s="38"/>
      <c r="C12" s="43" t="s">
        <v>23</v>
      </c>
      <c r="D12" s="43" t="s">
        <v>365</v>
      </c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77"/>
    </row>
    <row r="13" spans="1:32">
      <c r="A13" s="66" t="s">
        <v>29</v>
      </c>
      <c r="B13" s="31"/>
      <c r="C13" t="s">
        <v>30</v>
      </c>
      <c r="AF13" s="71"/>
    </row>
    <row r="14" spans="1:32">
      <c r="A14" s="66" t="s">
        <v>41</v>
      </c>
      <c r="B14" s="31"/>
      <c r="C14" t="s">
        <v>42</v>
      </c>
      <c r="AF14" s="71"/>
    </row>
    <row r="15" spans="1:32">
      <c r="A15" s="66" t="s">
        <v>64</v>
      </c>
      <c r="B15" s="31"/>
      <c r="C15" t="s">
        <v>23</v>
      </c>
      <c r="AF15" s="71"/>
    </row>
    <row r="16" spans="1:32" ht="15" thickBot="1">
      <c r="A16" s="76" t="s">
        <v>29</v>
      </c>
      <c r="B16" s="44"/>
      <c r="C16" s="41" t="s">
        <v>30</v>
      </c>
      <c r="D16" s="41" t="s">
        <v>366</v>
      </c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75"/>
    </row>
    <row r="17" spans="1:32" ht="15" thickTop="1">
      <c r="A17" s="63" t="s">
        <v>25</v>
      </c>
      <c r="B17" s="38"/>
      <c r="C17" s="43" t="s">
        <v>26</v>
      </c>
      <c r="D17" s="43" t="s">
        <v>365</v>
      </c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77"/>
    </row>
    <row r="18" spans="1:32">
      <c r="A18" s="66" t="s">
        <v>22</v>
      </c>
      <c r="B18" s="31"/>
      <c r="C18" t="s">
        <v>23</v>
      </c>
      <c r="AF18" s="71"/>
    </row>
    <row r="19" spans="1:32">
      <c r="A19" s="66" t="s">
        <v>22</v>
      </c>
      <c r="B19" s="31"/>
      <c r="C19" t="s">
        <v>23</v>
      </c>
      <c r="AF19" s="71"/>
    </row>
    <row r="20" spans="1:32">
      <c r="A20" s="66" t="s">
        <v>59</v>
      </c>
      <c r="B20" s="31"/>
      <c r="C20" t="s">
        <v>23</v>
      </c>
      <c r="AF20" s="71"/>
    </row>
    <row r="21" spans="1:32" ht="15" thickBot="1">
      <c r="A21" s="76" t="s">
        <v>22</v>
      </c>
      <c r="B21" s="44"/>
      <c r="C21" s="41" t="s">
        <v>23</v>
      </c>
      <c r="D21" s="41" t="s">
        <v>366</v>
      </c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75"/>
    </row>
    <row r="22" spans="1:32" ht="15" thickTop="1">
      <c r="A22" s="63" t="s">
        <v>25</v>
      </c>
      <c r="B22" s="38"/>
      <c r="C22" s="43" t="s">
        <v>26</v>
      </c>
      <c r="D22" s="43" t="s">
        <v>365</v>
      </c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77"/>
    </row>
    <row r="23" spans="1:32">
      <c r="A23" s="66" t="s">
        <v>69</v>
      </c>
      <c r="B23" s="31"/>
      <c r="C23" t="s">
        <v>23</v>
      </c>
      <c r="AF23" s="71"/>
    </row>
    <row r="24" spans="1:32">
      <c r="A24" s="66" t="s">
        <v>41</v>
      </c>
      <c r="B24" s="31"/>
      <c r="C24" t="s">
        <v>42</v>
      </c>
      <c r="AF24" s="71"/>
    </row>
    <row r="25" spans="1:32">
      <c r="A25" s="66" t="s">
        <v>69</v>
      </c>
      <c r="B25" s="31"/>
      <c r="C25" t="s">
        <v>23</v>
      </c>
      <c r="AF25" s="71"/>
    </row>
    <row r="26" spans="1:32" ht="15" thickBot="1">
      <c r="A26" s="76" t="s">
        <v>139</v>
      </c>
      <c r="B26" s="44"/>
      <c r="C26" s="41" t="s">
        <v>23</v>
      </c>
      <c r="D26" s="41" t="s">
        <v>366</v>
      </c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75"/>
    </row>
    <row r="27" spans="1:32" ht="15" thickTop="1">
      <c r="A27" s="63" t="s">
        <v>29</v>
      </c>
      <c r="B27" s="38"/>
      <c r="C27" s="43" t="s">
        <v>30</v>
      </c>
      <c r="D27" s="43" t="s">
        <v>365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77"/>
    </row>
    <row r="28" spans="1:32">
      <c r="A28" s="66" t="s">
        <v>69</v>
      </c>
      <c r="B28" s="31"/>
      <c r="C28" t="s">
        <v>23</v>
      </c>
      <c r="AF28" s="71"/>
    </row>
    <row r="29" spans="1:32">
      <c r="A29" s="66" t="s">
        <v>69</v>
      </c>
      <c r="B29" s="31"/>
      <c r="C29" t="s">
        <v>23</v>
      </c>
      <c r="AF29" s="71"/>
    </row>
    <row r="30" spans="1:32">
      <c r="A30" s="66" t="s">
        <v>59</v>
      </c>
      <c r="B30" s="31"/>
      <c r="C30" t="s">
        <v>23</v>
      </c>
      <c r="AF30" s="71"/>
    </row>
    <row r="31" spans="1:32" ht="15" thickBot="1">
      <c r="A31" s="76" t="s">
        <v>27</v>
      </c>
      <c r="B31" s="44"/>
      <c r="C31" s="41" t="s">
        <v>28</v>
      </c>
      <c r="D31" s="41" t="s">
        <v>366</v>
      </c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75"/>
    </row>
    <row r="32" spans="1:32" ht="15" thickTop="1">
      <c r="A32" s="63" t="s">
        <v>29</v>
      </c>
      <c r="B32" s="38"/>
      <c r="C32" s="43" t="s">
        <v>30</v>
      </c>
      <c r="D32" s="43" t="s">
        <v>365</v>
      </c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77"/>
    </row>
    <row r="33" spans="1:32">
      <c r="A33" s="66" t="s">
        <v>29</v>
      </c>
      <c r="B33" s="31"/>
      <c r="C33" t="s">
        <v>30</v>
      </c>
      <c r="AF33" s="71"/>
    </row>
    <row r="34" spans="1:32">
      <c r="A34" s="66" t="s">
        <v>25</v>
      </c>
      <c r="B34" s="31"/>
      <c r="C34" t="s">
        <v>26</v>
      </c>
      <c r="AF34" s="71"/>
    </row>
    <row r="35" spans="1:32">
      <c r="A35" s="66" t="s">
        <v>25</v>
      </c>
      <c r="B35" s="31"/>
      <c r="C35" t="s">
        <v>26</v>
      </c>
      <c r="AF35" s="71"/>
    </row>
    <row r="36" spans="1:32" ht="15" thickBot="1">
      <c r="A36" s="76" t="s">
        <v>29</v>
      </c>
      <c r="B36" s="44"/>
      <c r="C36" s="41" t="s">
        <v>30</v>
      </c>
      <c r="D36" s="41" t="s">
        <v>366</v>
      </c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75"/>
    </row>
    <row r="37" spans="1:32" ht="15" thickTop="1">
      <c r="A37" s="63" t="s">
        <v>29</v>
      </c>
      <c r="B37" s="38"/>
      <c r="C37" s="43" t="s">
        <v>30</v>
      </c>
      <c r="D37" s="43" t="s">
        <v>365</v>
      </c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77"/>
    </row>
    <row r="38" spans="1:32">
      <c r="A38" s="66" t="s">
        <v>64</v>
      </c>
      <c r="B38" s="31"/>
      <c r="C38" t="s">
        <v>23</v>
      </c>
      <c r="AF38" s="71"/>
    </row>
    <row r="39" spans="1:32">
      <c r="A39" s="66" t="s">
        <v>69</v>
      </c>
      <c r="B39" s="31"/>
      <c r="C39" t="s">
        <v>23</v>
      </c>
      <c r="AF39" s="71"/>
    </row>
    <row r="40" spans="1:32">
      <c r="A40" s="66" t="s">
        <v>64</v>
      </c>
      <c r="B40" s="31"/>
      <c r="C40" t="s">
        <v>23</v>
      </c>
      <c r="AF40" s="71"/>
    </row>
    <row r="41" spans="1:32" ht="15" thickBot="1">
      <c r="A41" s="76" t="s">
        <v>29</v>
      </c>
      <c r="B41" s="44"/>
      <c r="C41" s="41" t="s">
        <v>30</v>
      </c>
      <c r="D41" s="41" t="s">
        <v>366</v>
      </c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75"/>
    </row>
    <row r="42" spans="1:32" ht="15" thickTop="1">
      <c r="A42" s="63" t="s">
        <v>27</v>
      </c>
      <c r="B42" s="38"/>
      <c r="C42" s="43" t="s">
        <v>28</v>
      </c>
      <c r="D42" s="43" t="s">
        <v>365</v>
      </c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77"/>
    </row>
    <row r="43" spans="1:32">
      <c r="A43" s="66" t="s">
        <v>22</v>
      </c>
      <c r="B43" s="31"/>
      <c r="C43" t="s">
        <v>23</v>
      </c>
      <c r="AF43" s="71"/>
    </row>
    <row r="44" spans="1:32">
      <c r="A44" s="66" t="s">
        <v>22</v>
      </c>
      <c r="B44" s="31"/>
      <c r="C44" t="s">
        <v>23</v>
      </c>
      <c r="AF44" s="71"/>
    </row>
    <row r="45" spans="1:32">
      <c r="A45" s="66" t="s">
        <v>22</v>
      </c>
      <c r="B45" s="31"/>
      <c r="C45" t="s">
        <v>23</v>
      </c>
      <c r="AF45" s="71"/>
    </row>
    <row r="46" spans="1:32" ht="15" thickBot="1">
      <c r="A46" s="76" t="s">
        <v>29</v>
      </c>
      <c r="B46" s="44"/>
      <c r="C46" s="41" t="s">
        <v>30</v>
      </c>
      <c r="D46" s="41" t="s">
        <v>366</v>
      </c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75"/>
    </row>
    <row r="47" spans="1:32" ht="15" thickTop="1">
      <c r="A47" s="63" t="s">
        <v>35</v>
      </c>
      <c r="B47" s="38"/>
      <c r="C47" s="43" t="s">
        <v>23</v>
      </c>
      <c r="D47" s="43" t="s">
        <v>365</v>
      </c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77"/>
    </row>
    <row r="48" spans="1:32">
      <c r="A48" s="66" t="s">
        <v>27</v>
      </c>
      <c r="B48" s="31"/>
      <c r="C48" t="s">
        <v>28</v>
      </c>
      <c r="AF48" s="71"/>
    </row>
    <row r="49" spans="1:32">
      <c r="A49" s="66" t="s">
        <v>35</v>
      </c>
      <c r="B49" s="31"/>
      <c r="C49" t="s">
        <v>23</v>
      </c>
      <c r="AF49" s="71"/>
    </row>
    <row r="50" spans="1:32">
      <c r="A50" s="66" t="s">
        <v>35</v>
      </c>
      <c r="B50" s="31"/>
      <c r="C50" t="s">
        <v>23</v>
      </c>
      <c r="AF50" s="71"/>
    </row>
    <row r="51" spans="1:32" ht="15" thickBot="1">
      <c r="A51" s="76" t="s">
        <v>29</v>
      </c>
      <c r="B51" s="44"/>
      <c r="C51" s="41" t="s">
        <v>30</v>
      </c>
      <c r="D51" s="41" t="s">
        <v>366</v>
      </c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75"/>
    </row>
    <row r="52" spans="1:32" ht="15" thickTop="1">
      <c r="A52" s="63" t="s">
        <v>51</v>
      </c>
      <c r="B52" s="38"/>
      <c r="C52" s="43" t="s">
        <v>23</v>
      </c>
      <c r="D52" s="43" t="s">
        <v>365</v>
      </c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77"/>
    </row>
    <row r="53" spans="1:32">
      <c r="A53" s="66" t="s">
        <v>59</v>
      </c>
      <c r="B53" s="31"/>
      <c r="C53" t="s">
        <v>23</v>
      </c>
      <c r="AF53" s="71"/>
    </row>
    <row r="54" spans="1:32">
      <c r="A54" s="66" t="s">
        <v>193</v>
      </c>
      <c r="B54" s="31"/>
      <c r="C54" t="s">
        <v>23</v>
      </c>
      <c r="AF54" s="71"/>
    </row>
    <row r="55" spans="1:32">
      <c r="A55" s="66" t="s">
        <v>157</v>
      </c>
      <c r="B55" s="31"/>
      <c r="C55" t="s">
        <v>23</v>
      </c>
      <c r="AF55" s="71"/>
    </row>
    <row r="56" spans="1:32" ht="15" thickBot="1">
      <c r="A56" s="76" t="s">
        <v>157</v>
      </c>
      <c r="B56" s="44"/>
      <c r="C56" s="41" t="s">
        <v>23</v>
      </c>
      <c r="D56" s="41" t="s">
        <v>366</v>
      </c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75"/>
    </row>
    <row r="57" spans="1:32" ht="15" thickTop="1">
      <c r="A57" s="63" t="s">
        <v>31</v>
      </c>
      <c r="B57" s="38"/>
      <c r="C57" s="43" t="s">
        <v>23</v>
      </c>
      <c r="D57" s="43" t="s">
        <v>365</v>
      </c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77"/>
    </row>
    <row r="58" spans="1:32">
      <c r="A58" s="66" t="s">
        <v>22</v>
      </c>
      <c r="B58" s="31"/>
      <c r="C58" t="s">
        <v>23</v>
      </c>
      <c r="AF58" s="71"/>
    </row>
    <row r="59" spans="1:32">
      <c r="A59" s="66" t="s">
        <v>22</v>
      </c>
      <c r="B59" s="31"/>
      <c r="C59" t="s">
        <v>23</v>
      </c>
      <c r="AF59" s="71"/>
    </row>
    <row r="60" spans="1:32">
      <c r="A60" s="66" t="s">
        <v>22</v>
      </c>
      <c r="B60" s="31"/>
      <c r="C60" t="s">
        <v>23</v>
      </c>
      <c r="AF60" s="71"/>
    </row>
    <row r="61" spans="1:32" ht="15" thickBot="1">
      <c r="A61" s="76" t="s">
        <v>22</v>
      </c>
      <c r="B61" s="44"/>
      <c r="C61" s="41" t="s">
        <v>23</v>
      </c>
      <c r="D61" s="41" t="s">
        <v>366</v>
      </c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75"/>
    </row>
    <row r="62" spans="1:32" ht="15" thickTop="1">
      <c r="A62" s="63" t="s">
        <v>29</v>
      </c>
      <c r="B62" s="38"/>
      <c r="C62" s="43" t="s">
        <v>30</v>
      </c>
      <c r="D62" s="43" t="s">
        <v>365</v>
      </c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77"/>
    </row>
    <row r="63" spans="1:32">
      <c r="A63" s="66" t="s">
        <v>29</v>
      </c>
      <c r="B63" s="31"/>
      <c r="C63" t="s">
        <v>30</v>
      </c>
      <c r="AF63" s="71"/>
    </row>
    <row r="64" spans="1:32">
      <c r="A64" s="66" t="s">
        <v>22</v>
      </c>
      <c r="B64" s="31"/>
      <c r="C64" t="s">
        <v>23</v>
      </c>
      <c r="AF64" s="71"/>
    </row>
    <row r="65" spans="1:32">
      <c r="A65" s="66" t="s">
        <v>27</v>
      </c>
      <c r="B65" s="31"/>
      <c r="C65" t="s">
        <v>28</v>
      </c>
      <c r="AF65" s="71"/>
    </row>
    <row r="66" spans="1:32" ht="15" thickBot="1">
      <c r="A66" s="76" t="s">
        <v>22</v>
      </c>
      <c r="B66" s="44"/>
      <c r="C66" s="41" t="s">
        <v>23</v>
      </c>
      <c r="D66" s="41" t="s">
        <v>366</v>
      </c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75"/>
    </row>
    <row r="67" spans="1:32" ht="15" thickTop="1">
      <c r="A67" s="63" t="s">
        <v>29</v>
      </c>
      <c r="B67" s="38"/>
      <c r="C67" s="43" t="s">
        <v>30</v>
      </c>
      <c r="D67" s="43" t="s">
        <v>365</v>
      </c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77"/>
    </row>
    <row r="68" spans="1:32">
      <c r="A68" s="66" t="s">
        <v>22</v>
      </c>
      <c r="B68" s="31"/>
      <c r="C68" t="s">
        <v>23</v>
      </c>
      <c r="AF68" s="71"/>
    </row>
    <row r="69" spans="1:32">
      <c r="A69" s="66" t="s">
        <v>22</v>
      </c>
      <c r="B69" s="31"/>
      <c r="C69" t="s">
        <v>23</v>
      </c>
      <c r="AF69" s="71"/>
    </row>
    <row r="70" spans="1:32">
      <c r="A70" s="66" t="s">
        <v>22</v>
      </c>
      <c r="B70" s="31"/>
      <c r="C70" t="s">
        <v>23</v>
      </c>
      <c r="AF70" s="71"/>
    </row>
    <row r="71" spans="1:32" ht="15" thickBot="1">
      <c r="A71" s="76" t="s">
        <v>22</v>
      </c>
      <c r="B71" s="44"/>
      <c r="C71" s="41" t="s">
        <v>23</v>
      </c>
      <c r="D71" s="41" t="s">
        <v>366</v>
      </c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75"/>
    </row>
    <row r="72" spans="1:32" ht="15" thickTop="1">
      <c r="A72" s="63" t="s">
        <v>27</v>
      </c>
      <c r="B72" s="38"/>
      <c r="C72" s="43" t="s">
        <v>28</v>
      </c>
      <c r="D72" s="43" t="s">
        <v>365</v>
      </c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77"/>
    </row>
    <row r="73" spans="1:32">
      <c r="A73" s="66" t="s">
        <v>25</v>
      </c>
      <c r="B73" s="31"/>
      <c r="C73" t="s">
        <v>26</v>
      </c>
      <c r="AF73" s="71"/>
    </row>
    <row r="74" spans="1:32">
      <c r="A74" s="66" t="s">
        <v>25</v>
      </c>
      <c r="B74" s="31"/>
      <c r="C74" t="s">
        <v>26</v>
      </c>
      <c r="AF74" s="71"/>
    </row>
    <row r="75" spans="1:32">
      <c r="A75" s="66" t="s">
        <v>29</v>
      </c>
      <c r="B75" s="31"/>
      <c r="C75" t="s">
        <v>30</v>
      </c>
      <c r="AF75" s="71"/>
    </row>
    <row r="76" spans="1:32" ht="15" thickBot="1">
      <c r="A76" s="76" t="s">
        <v>29</v>
      </c>
      <c r="B76" s="44"/>
      <c r="C76" s="41" t="s">
        <v>30</v>
      </c>
      <c r="D76" s="41" t="s">
        <v>366</v>
      </c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75"/>
    </row>
    <row r="77" spans="1:32" ht="15" thickTop="1">
      <c r="A77" s="63" t="s">
        <v>22</v>
      </c>
      <c r="B77" s="38"/>
      <c r="C77" s="43" t="s">
        <v>23</v>
      </c>
      <c r="D77" s="43" t="s">
        <v>365</v>
      </c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77"/>
    </row>
    <row r="78" spans="1:32">
      <c r="A78" s="66" t="s">
        <v>168</v>
      </c>
      <c r="B78" s="31"/>
      <c r="C78" t="s">
        <v>23</v>
      </c>
      <c r="AF78" s="71"/>
    </row>
    <row r="79" spans="1:32">
      <c r="A79" s="66" t="s">
        <v>22</v>
      </c>
      <c r="B79" s="31"/>
      <c r="C79" t="s">
        <v>23</v>
      </c>
      <c r="AF79" s="71"/>
    </row>
    <row r="80" spans="1:32">
      <c r="A80" s="66" t="s">
        <v>29</v>
      </c>
      <c r="B80" s="31"/>
      <c r="C80" t="s">
        <v>30</v>
      </c>
      <c r="AF80" s="71"/>
    </row>
    <row r="81" spans="1:32" ht="15" thickBot="1">
      <c r="A81" s="76" t="s">
        <v>25</v>
      </c>
      <c r="B81" s="44"/>
      <c r="C81" s="41" t="s">
        <v>26</v>
      </c>
      <c r="D81" s="41" t="s">
        <v>366</v>
      </c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75"/>
    </row>
    <row r="82" spans="1:32" ht="15" thickTop="1">
      <c r="A82" s="63" t="s">
        <v>51</v>
      </c>
      <c r="B82" s="38"/>
      <c r="C82" s="43" t="s">
        <v>23</v>
      </c>
      <c r="D82" s="43" t="s">
        <v>365</v>
      </c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77"/>
    </row>
    <row r="83" spans="1:32">
      <c r="A83" s="66" t="s">
        <v>27</v>
      </c>
      <c r="B83" s="31"/>
      <c r="C83" t="s">
        <v>28</v>
      </c>
      <c r="AF83" s="71"/>
    </row>
    <row r="84" spans="1:32">
      <c r="A84" s="66" t="s">
        <v>29</v>
      </c>
      <c r="B84" s="31"/>
      <c r="C84" t="s">
        <v>30</v>
      </c>
      <c r="AF84" s="71"/>
    </row>
    <row r="85" spans="1:32">
      <c r="A85" s="66" t="s">
        <v>25</v>
      </c>
      <c r="B85" s="31"/>
      <c r="C85" t="s">
        <v>26</v>
      </c>
      <c r="AF85" s="71"/>
    </row>
    <row r="86" spans="1:32" ht="15" thickBot="1">
      <c r="A86" s="76" t="s">
        <v>35</v>
      </c>
      <c r="B86" s="44"/>
      <c r="C86" s="41" t="s">
        <v>23</v>
      </c>
      <c r="D86" s="41" t="s">
        <v>366</v>
      </c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75"/>
    </row>
    <row r="87" spans="1:32" ht="15" thickTop="1">
      <c r="A87" s="63" t="s">
        <v>29</v>
      </c>
      <c r="B87" s="38"/>
      <c r="C87" s="43" t="s">
        <v>30</v>
      </c>
      <c r="D87" s="43" t="s">
        <v>365</v>
      </c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77"/>
    </row>
    <row r="88" spans="1:32">
      <c r="A88" s="66" t="s">
        <v>22</v>
      </c>
      <c r="B88" s="31"/>
      <c r="C88" t="s">
        <v>23</v>
      </c>
      <c r="AF88" s="71"/>
    </row>
    <row r="89" spans="1:32">
      <c r="A89" s="66" t="s">
        <v>69</v>
      </c>
      <c r="B89" s="31"/>
      <c r="C89" t="s">
        <v>23</v>
      </c>
      <c r="AF89" s="71"/>
    </row>
    <row r="90" spans="1:32">
      <c r="A90" s="66" t="s">
        <v>22</v>
      </c>
      <c r="B90" s="31"/>
      <c r="C90" t="s">
        <v>23</v>
      </c>
      <c r="AF90" s="71"/>
    </row>
    <row r="91" spans="1:32" ht="15" thickBot="1">
      <c r="A91" s="76" t="s">
        <v>89</v>
      </c>
      <c r="B91" s="44"/>
      <c r="C91" s="41" t="s">
        <v>23</v>
      </c>
      <c r="D91" s="41" t="s">
        <v>366</v>
      </c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75"/>
    </row>
    <row r="92" spans="1:32" ht="15" thickTop="1">
      <c r="A92" s="63" t="s">
        <v>69</v>
      </c>
      <c r="B92" s="38"/>
      <c r="C92" s="43" t="s">
        <v>23</v>
      </c>
      <c r="D92" s="43" t="s">
        <v>365</v>
      </c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77"/>
    </row>
    <row r="93" spans="1:32">
      <c r="A93" s="66" t="s">
        <v>122</v>
      </c>
      <c r="B93" s="31"/>
      <c r="C93" t="s">
        <v>23</v>
      </c>
      <c r="AF93" s="71"/>
    </row>
    <row r="94" spans="1:32">
      <c r="A94" s="66" t="s">
        <v>29</v>
      </c>
      <c r="B94" s="31"/>
      <c r="C94" t="s">
        <v>30</v>
      </c>
      <c r="AF94" s="71"/>
    </row>
    <row r="95" spans="1:32">
      <c r="A95" s="66" t="s">
        <v>29</v>
      </c>
      <c r="B95" s="31"/>
      <c r="C95" t="s">
        <v>30</v>
      </c>
      <c r="AF95" s="71"/>
    </row>
    <row r="96" spans="1:32" ht="15" thickBot="1">
      <c r="A96" s="76" t="s">
        <v>27</v>
      </c>
      <c r="B96" s="44"/>
      <c r="C96" s="41" t="s">
        <v>28</v>
      </c>
      <c r="D96" s="41" t="s">
        <v>366</v>
      </c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75"/>
    </row>
    <row r="97" spans="1:32" ht="15" thickTop="1">
      <c r="A97" s="63" t="s">
        <v>35</v>
      </c>
      <c r="B97" s="38"/>
      <c r="C97" s="43" t="s">
        <v>23</v>
      </c>
      <c r="D97" s="43" t="s">
        <v>365</v>
      </c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77"/>
    </row>
    <row r="98" spans="1:32">
      <c r="A98" s="66" t="s">
        <v>35</v>
      </c>
      <c r="B98" s="31"/>
      <c r="C98" t="s">
        <v>23</v>
      </c>
      <c r="AF98" s="71"/>
    </row>
    <row r="99" spans="1:32">
      <c r="A99" s="66" t="s">
        <v>69</v>
      </c>
      <c r="B99" s="31"/>
      <c r="C99" t="s">
        <v>23</v>
      </c>
      <c r="AF99" s="71"/>
    </row>
    <row r="100" spans="1:32">
      <c r="A100" s="66" t="s">
        <v>69</v>
      </c>
      <c r="B100" s="31"/>
      <c r="C100" t="s">
        <v>23</v>
      </c>
      <c r="AF100" s="71"/>
    </row>
    <row r="101" spans="1:32" ht="15" thickBot="1">
      <c r="A101" s="76" t="s">
        <v>29</v>
      </c>
      <c r="B101" s="44"/>
      <c r="C101" s="41" t="s">
        <v>30</v>
      </c>
      <c r="D101" s="41" t="s">
        <v>366</v>
      </c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75"/>
    </row>
    <row r="102" spans="1:32" ht="15" thickTop="1">
      <c r="A102" s="63" t="s">
        <v>35</v>
      </c>
      <c r="B102" s="38"/>
      <c r="C102" s="43" t="s">
        <v>23</v>
      </c>
      <c r="D102" s="43" t="s">
        <v>365</v>
      </c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77"/>
    </row>
    <row r="103" spans="1:32">
      <c r="A103" s="66" t="s">
        <v>29</v>
      </c>
      <c r="B103" s="31"/>
      <c r="C103" t="s">
        <v>30</v>
      </c>
      <c r="AF103" s="71"/>
    </row>
    <row r="104" spans="1:32">
      <c r="A104" s="66" t="s">
        <v>35</v>
      </c>
      <c r="B104" s="31"/>
      <c r="C104" t="s">
        <v>23</v>
      </c>
      <c r="AF104" s="71"/>
    </row>
    <row r="105" spans="1:32">
      <c r="A105" s="66" t="s">
        <v>35</v>
      </c>
      <c r="B105" s="31"/>
      <c r="C105" t="s">
        <v>23</v>
      </c>
      <c r="AF105" s="71"/>
    </row>
    <row r="106" spans="1:32" ht="15" thickBot="1">
      <c r="A106" s="76" t="s">
        <v>35</v>
      </c>
      <c r="B106" s="44"/>
      <c r="C106" s="41" t="s">
        <v>23</v>
      </c>
      <c r="D106" s="41" t="s">
        <v>366</v>
      </c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75"/>
    </row>
    <row r="107" spans="1:32" ht="15" thickTop="1">
      <c r="A107" s="63" t="s">
        <v>25</v>
      </c>
      <c r="B107" s="38"/>
      <c r="C107" s="43" t="s">
        <v>26</v>
      </c>
      <c r="D107" s="43" t="s">
        <v>365</v>
      </c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77"/>
    </row>
    <row r="108" spans="1:32">
      <c r="A108" s="66" t="s">
        <v>35</v>
      </c>
      <c r="B108" s="31"/>
      <c r="C108" t="s">
        <v>23</v>
      </c>
      <c r="AF108" s="71"/>
    </row>
    <row r="109" spans="1:32">
      <c r="A109" s="66" t="s">
        <v>51</v>
      </c>
      <c r="B109" s="31"/>
      <c r="C109" t="s">
        <v>23</v>
      </c>
      <c r="AF109" s="71"/>
    </row>
    <row r="110" spans="1:32">
      <c r="A110" s="66" t="s">
        <v>29</v>
      </c>
      <c r="B110" s="31"/>
      <c r="C110" t="s">
        <v>30</v>
      </c>
      <c r="AF110" s="71"/>
    </row>
    <row r="111" spans="1:32" ht="15" thickBot="1">
      <c r="A111" s="76" t="s">
        <v>64</v>
      </c>
      <c r="B111" s="44"/>
      <c r="C111" s="41" t="s">
        <v>23</v>
      </c>
      <c r="D111" s="41" t="s">
        <v>366</v>
      </c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75"/>
    </row>
    <row r="112" spans="1:32" ht="15" thickTop="1">
      <c r="A112" s="63" t="s">
        <v>89</v>
      </c>
      <c r="B112" s="38"/>
      <c r="C112" s="43" t="s">
        <v>23</v>
      </c>
      <c r="D112" s="43" t="s">
        <v>365</v>
      </c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77"/>
    </row>
    <row r="113" spans="1:32">
      <c r="A113" s="66" t="s">
        <v>35</v>
      </c>
      <c r="B113" s="31"/>
      <c r="C113" t="s">
        <v>23</v>
      </c>
      <c r="AF113" s="71"/>
    </row>
    <row r="114" spans="1:32">
      <c r="A114" s="66" t="s">
        <v>35</v>
      </c>
      <c r="B114" s="31"/>
      <c r="C114" t="s">
        <v>23</v>
      </c>
      <c r="AF114" s="71"/>
    </row>
    <row r="115" spans="1:32">
      <c r="A115" s="66" t="s">
        <v>35</v>
      </c>
      <c r="B115" s="31"/>
      <c r="C115" t="s">
        <v>23</v>
      </c>
      <c r="AF115" s="71"/>
    </row>
    <row r="116" spans="1:32" ht="15" thickBot="1">
      <c r="A116" s="76" t="s">
        <v>35</v>
      </c>
      <c r="B116" s="44"/>
      <c r="C116" s="41" t="s">
        <v>23</v>
      </c>
      <c r="D116" s="41" t="s">
        <v>366</v>
      </c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75"/>
    </row>
    <row r="117" spans="1:32" ht="15" thickTop="1">
      <c r="A117" s="63" t="s">
        <v>35</v>
      </c>
      <c r="B117" s="38"/>
      <c r="C117" s="43" t="s">
        <v>23</v>
      </c>
      <c r="D117" s="43" t="s">
        <v>365</v>
      </c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77"/>
    </row>
    <row r="118" spans="1:32">
      <c r="A118" s="66" t="s">
        <v>189</v>
      </c>
      <c r="B118" s="31"/>
      <c r="C118" t="s">
        <v>23</v>
      </c>
      <c r="AF118" s="71"/>
    </row>
    <row r="119" spans="1:32">
      <c r="A119" s="66" t="s">
        <v>89</v>
      </c>
      <c r="B119" s="31"/>
      <c r="C119" t="s">
        <v>23</v>
      </c>
      <c r="AF119" s="71"/>
    </row>
    <row r="120" spans="1:32">
      <c r="A120" s="66" t="s">
        <v>35</v>
      </c>
      <c r="B120" s="31"/>
      <c r="C120" t="s">
        <v>23</v>
      </c>
      <c r="AF120" s="71"/>
    </row>
    <row r="121" spans="1:32" ht="15" thickBot="1">
      <c r="A121" s="76" t="s">
        <v>35</v>
      </c>
      <c r="B121" s="44"/>
      <c r="C121" s="41" t="s">
        <v>23</v>
      </c>
      <c r="D121" s="41" t="s">
        <v>366</v>
      </c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75"/>
    </row>
    <row r="122" spans="1:32" ht="15" thickTop="1">
      <c r="A122" s="63" t="s">
        <v>29</v>
      </c>
      <c r="B122" s="38"/>
      <c r="C122" s="43" t="s">
        <v>30</v>
      </c>
      <c r="D122" s="43" t="s">
        <v>365</v>
      </c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77"/>
    </row>
    <row r="123" spans="1:32">
      <c r="A123" s="66" t="s">
        <v>29</v>
      </c>
      <c r="B123" s="31"/>
      <c r="C123" t="s">
        <v>30</v>
      </c>
      <c r="AF123" s="71"/>
    </row>
    <row r="124" spans="1:32">
      <c r="A124" s="66" t="s">
        <v>29</v>
      </c>
      <c r="B124" s="31"/>
      <c r="C124" t="s">
        <v>30</v>
      </c>
      <c r="AF124" s="71"/>
    </row>
    <row r="125" spans="1:32">
      <c r="A125" s="66" t="s">
        <v>35</v>
      </c>
      <c r="B125" s="31"/>
      <c r="C125" t="s">
        <v>23</v>
      </c>
      <c r="AF125" s="71"/>
    </row>
    <row r="126" spans="1:32" ht="15" thickBot="1">
      <c r="A126" s="76" t="s">
        <v>22</v>
      </c>
      <c r="B126" s="44"/>
      <c r="C126" s="41" t="s">
        <v>23</v>
      </c>
      <c r="D126" s="41" t="s">
        <v>366</v>
      </c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75"/>
    </row>
    <row r="127" spans="1:32" ht="15" thickTop="1">
      <c r="A127" s="63" t="s">
        <v>64</v>
      </c>
      <c r="B127" s="38"/>
      <c r="C127" s="43" t="s">
        <v>23</v>
      </c>
      <c r="D127" s="43" t="s">
        <v>365</v>
      </c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77"/>
    </row>
    <row r="128" spans="1:32">
      <c r="A128" s="66" t="s">
        <v>29</v>
      </c>
      <c r="B128" s="31"/>
      <c r="C128" t="s">
        <v>30</v>
      </c>
      <c r="AF128" s="71"/>
    </row>
    <row r="129" spans="1:32">
      <c r="A129" s="66" t="s">
        <v>29</v>
      </c>
      <c r="B129" s="31"/>
      <c r="C129" t="s">
        <v>30</v>
      </c>
      <c r="AF129" s="71"/>
    </row>
    <row r="130" spans="1:32">
      <c r="A130" s="66" t="s">
        <v>29</v>
      </c>
      <c r="B130" s="31"/>
      <c r="C130" t="s">
        <v>30</v>
      </c>
      <c r="AF130" s="71"/>
    </row>
    <row r="131" spans="1:32" ht="15" thickBot="1">
      <c r="A131" s="76" t="s">
        <v>64</v>
      </c>
      <c r="B131" s="44"/>
      <c r="C131" s="41" t="s">
        <v>23</v>
      </c>
      <c r="D131" s="41" t="s">
        <v>366</v>
      </c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75"/>
    </row>
    <row r="132" spans="1:32" ht="15" thickTop="1">
      <c r="A132" s="63" t="s">
        <v>25</v>
      </c>
      <c r="B132" s="38"/>
      <c r="C132" s="43" t="s">
        <v>26</v>
      </c>
      <c r="D132" s="43" t="s">
        <v>365</v>
      </c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77"/>
    </row>
    <row r="133" spans="1:32">
      <c r="A133" s="66" t="s">
        <v>29</v>
      </c>
      <c r="B133" s="31"/>
      <c r="C133" t="s">
        <v>30</v>
      </c>
      <c r="AF133" s="71"/>
    </row>
    <row r="134" spans="1:32">
      <c r="A134" s="66" t="s">
        <v>31</v>
      </c>
      <c r="B134" s="31"/>
      <c r="C134" t="s">
        <v>23</v>
      </c>
      <c r="AF134" s="71"/>
    </row>
    <row r="135" spans="1:32">
      <c r="A135" s="66" t="s">
        <v>27</v>
      </c>
      <c r="B135" s="31"/>
      <c r="C135" t="s">
        <v>28</v>
      </c>
      <c r="AF135" s="71"/>
    </row>
    <row r="136" spans="1:32" ht="15" thickBot="1">
      <c r="A136" s="76" t="s">
        <v>29</v>
      </c>
      <c r="B136" s="44"/>
      <c r="C136" s="41" t="s">
        <v>30</v>
      </c>
      <c r="D136" s="41" t="s">
        <v>366</v>
      </c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75"/>
    </row>
    <row r="137" spans="1:32" ht="15" thickTop="1">
      <c r="A137" s="63" t="s">
        <v>31</v>
      </c>
      <c r="B137" s="38"/>
      <c r="C137" s="43" t="s">
        <v>23</v>
      </c>
      <c r="D137" s="43" t="s">
        <v>365</v>
      </c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77"/>
    </row>
    <row r="138" spans="1:32">
      <c r="A138" s="66" t="s">
        <v>51</v>
      </c>
      <c r="B138" s="31"/>
      <c r="C138" t="s">
        <v>23</v>
      </c>
      <c r="AF138" s="71"/>
    </row>
    <row r="139" spans="1:32">
      <c r="A139" s="66" t="s">
        <v>51</v>
      </c>
      <c r="B139" s="31"/>
      <c r="C139" t="s">
        <v>23</v>
      </c>
      <c r="AF139" s="71"/>
    </row>
    <row r="140" spans="1:32">
      <c r="A140" s="66" t="s">
        <v>27</v>
      </c>
      <c r="B140" s="31"/>
      <c r="C140" t="s">
        <v>28</v>
      </c>
      <c r="AF140" s="71"/>
    </row>
    <row r="141" spans="1:32" ht="15" thickBot="1">
      <c r="A141" s="76" t="s">
        <v>31</v>
      </c>
      <c r="B141" s="44"/>
      <c r="C141" s="41" t="s">
        <v>23</v>
      </c>
      <c r="D141" s="41" t="s">
        <v>366</v>
      </c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75"/>
    </row>
    <row r="142" spans="1:32" ht="15" thickTop="1">
      <c r="A142" s="63" t="s">
        <v>37</v>
      </c>
      <c r="B142" s="38"/>
      <c r="C142" s="43" t="s">
        <v>23</v>
      </c>
      <c r="D142" s="43" t="s">
        <v>365</v>
      </c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77"/>
    </row>
    <row r="143" spans="1:32">
      <c r="A143" s="66" t="s">
        <v>27</v>
      </c>
      <c r="B143" s="31"/>
      <c r="C143" t="s">
        <v>28</v>
      </c>
      <c r="AF143" s="71"/>
    </row>
    <row r="144" spans="1:32">
      <c r="A144" s="66" t="s">
        <v>29</v>
      </c>
      <c r="B144" s="31"/>
      <c r="C144" t="s">
        <v>30</v>
      </c>
      <c r="AF144" s="71"/>
    </row>
    <row r="145" spans="1:32">
      <c r="A145" s="66" t="s">
        <v>69</v>
      </c>
      <c r="B145" s="31"/>
      <c r="C145" t="s">
        <v>23</v>
      </c>
      <c r="AF145" s="71"/>
    </row>
    <row r="146" spans="1:32" ht="15" thickBot="1">
      <c r="A146" s="76" t="s">
        <v>29</v>
      </c>
      <c r="B146" s="44"/>
      <c r="C146" s="41" t="s">
        <v>30</v>
      </c>
      <c r="D146" s="41" t="s">
        <v>366</v>
      </c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75"/>
    </row>
    <row r="147" spans="1:32" ht="15" thickTop="1">
      <c r="A147" s="63" t="s">
        <v>69</v>
      </c>
      <c r="B147" s="38"/>
      <c r="C147" s="43" t="s">
        <v>23</v>
      </c>
      <c r="D147" s="43" t="s">
        <v>365</v>
      </c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77"/>
    </row>
    <row r="148" spans="1:32">
      <c r="A148" s="66" t="s">
        <v>69</v>
      </c>
      <c r="B148" s="31"/>
      <c r="C148" t="s">
        <v>23</v>
      </c>
      <c r="AF148" s="71"/>
    </row>
    <row r="149" spans="1:32">
      <c r="A149" s="66" t="s">
        <v>69</v>
      </c>
      <c r="B149" s="31"/>
      <c r="C149" t="s">
        <v>23</v>
      </c>
      <c r="AF149" s="71"/>
    </row>
    <row r="150" spans="1:32">
      <c r="A150" s="66" t="s">
        <v>29</v>
      </c>
      <c r="B150" s="31"/>
      <c r="C150" t="s">
        <v>30</v>
      </c>
      <c r="AF150" s="71"/>
    </row>
    <row r="151" spans="1:32" ht="15" thickBot="1">
      <c r="A151" s="76" t="s">
        <v>27</v>
      </c>
      <c r="B151" s="44"/>
      <c r="C151" s="41" t="s">
        <v>28</v>
      </c>
      <c r="D151" s="41" t="s">
        <v>366</v>
      </c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75"/>
    </row>
    <row r="152" spans="1:32" ht="15" thickTop="1">
      <c r="A152" s="63" t="s">
        <v>69</v>
      </c>
      <c r="B152" s="38"/>
      <c r="C152" s="43" t="s">
        <v>23</v>
      </c>
      <c r="D152" s="43" t="s">
        <v>365</v>
      </c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77"/>
    </row>
    <row r="153" spans="1:32">
      <c r="A153" s="66" t="s">
        <v>139</v>
      </c>
      <c r="B153" s="31"/>
      <c r="C153" t="s">
        <v>23</v>
      </c>
      <c r="AF153" s="71"/>
    </row>
    <row r="154" spans="1:32">
      <c r="A154" s="66" t="s">
        <v>29</v>
      </c>
      <c r="B154" s="31"/>
      <c r="C154" t="s">
        <v>30</v>
      </c>
      <c r="AF154" s="71"/>
    </row>
    <row r="155" spans="1:32">
      <c r="A155" s="66" t="s">
        <v>29</v>
      </c>
      <c r="B155" s="31"/>
      <c r="C155" t="s">
        <v>30</v>
      </c>
      <c r="AF155" s="71"/>
    </row>
    <row r="156" spans="1:32" ht="15" thickBot="1">
      <c r="A156" s="76" t="s">
        <v>35</v>
      </c>
      <c r="B156" s="44"/>
      <c r="C156" s="41" t="s">
        <v>23</v>
      </c>
      <c r="D156" s="41" t="s">
        <v>366</v>
      </c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75"/>
    </row>
    <row r="157" spans="1:32" ht="15" thickTop="1">
      <c r="A157" s="63" t="s">
        <v>22</v>
      </c>
      <c r="B157" s="38"/>
      <c r="C157" s="43" t="s">
        <v>23</v>
      </c>
      <c r="D157" s="43" t="s">
        <v>365</v>
      </c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77"/>
    </row>
    <row r="158" spans="1:32">
      <c r="A158" s="66" t="s">
        <v>27</v>
      </c>
      <c r="B158" s="31"/>
      <c r="C158" t="s">
        <v>28</v>
      </c>
      <c r="AF158" s="71"/>
    </row>
    <row r="159" spans="1:32">
      <c r="A159" s="66" t="s">
        <v>22</v>
      </c>
      <c r="B159" s="31"/>
      <c r="C159" t="s">
        <v>23</v>
      </c>
      <c r="AF159" s="71"/>
    </row>
    <row r="160" spans="1:32">
      <c r="A160" s="66" t="s">
        <v>22</v>
      </c>
      <c r="B160" s="31"/>
      <c r="C160" t="s">
        <v>23</v>
      </c>
      <c r="AF160" s="71"/>
    </row>
    <row r="161" spans="1:32" ht="15" thickBot="1">
      <c r="A161" s="76" t="s">
        <v>22</v>
      </c>
      <c r="B161" s="44"/>
      <c r="C161" s="41" t="s">
        <v>23</v>
      </c>
      <c r="D161" s="41" t="s">
        <v>366</v>
      </c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75"/>
    </row>
    <row r="162" spans="1:32" ht="15" thickTop="1">
      <c r="A162" s="63" t="s">
        <v>35</v>
      </c>
      <c r="B162" s="38"/>
      <c r="C162" s="43" t="s">
        <v>23</v>
      </c>
      <c r="D162" s="43" t="s">
        <v>365</v>
      </c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77"/>
    </row>
    <row r="163" spans="1:32">
      <c r="A163" s="66" t="s">
        <v>27</v>
      </c>
      <c r="B163" s="31"/>
      <c r="C163" t="s">
        <v>28</v>
      </c>
      <c r="AF163" s="71"/>
    </row>
    <row r="164" spans="1:32">
      <c r="A164" s="66" t="s">
        <v>69</v>
      </c>
      <c r="B164" s="31"/>
      <c r="C164" t="s">
        <v>23</v>
      </c>
      <c r="AF164" s="71"/>
    </row>
    <row r="165" spans="1:32">
      <c r="A165" s="66" t="s">
        <v>35</v>
      </c>
      <c r="B165" s="31"/>
      <c r="C165" t="s">
        <v>23</v>
      </c>
      <c r="AF165" s="71"/>
    </row>
    <row r="166" spans="1:32" ht="15" thickBot="1">
      <c r="A166" s="76" t="s">
        <v>35</v>
      </c>
      <c r="B166" s="44"/>
      <c r="C166" s="41" t="s">
        <v>23</v>
      </c>
      <c r="D166" s="41" t="s">
        <v>366</v>
      </c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75"/>
    </row>
    <row r="167" spans="1:32" ht="15" thickTop="1">
      <c r="A167" s="63" t="s">
        <v>25</v>
      </c>
      <c r="B167" s="38"/>
      <c r="C167" s="43" t="s">
        <v>26</v>
      </c>
      <c r="D167" s="43" t="s">
        <v>365</v>
      </c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77"/>
    </row>
    <row r="168" spans="1:32">
      <c r="A168" s="66" t="s">
        <v>69</v>
      </c>
      <c r="B168" s="31"/>
      <c r="C168" t="s">
        <v>23</v>
      </c>
      <c r="AF168" s="71"/>
    </row>
    <row r="169" spans="1:32">
      <c r="A169" s="66" t="s">
        <v>69</v>
      </c>
      <c r="B169" s="31"/>
      <c r="C169" t="s">
        <v>23</v>
      </c>
      <c r="AF169" s="71"/>
    </row>
    <row r="170" spans="1:32">
      <c r="A170" s="66" t="s">
        <v>69</v>
      </c>
      <c r="B170" s="31"/>
      <c r="C170" t="s">
        <v>23</v>
      </c>
      <c r="AF170" s="71"/>
    </row>
    <row r="171" spans="1:32" ht="15" thickBot="1">
      <c r="A171" s="76" t="s">
        <v>69</v>
      </c>
      <c r="B171" s="44"/>
      <c r="C171" s="41" t="s">
        <v>23</v>
      </c>
      <c r="D171" s="41" t="s">
        <v>366</v>
      </c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75"/>
    </row>
    <row r="172" spans="1:32" ht="15" thickTop="1">
      <c r="A172" s="63" t="s">
        <v>27</v>
      </c>
      <c r="B172" s="38"/>
      <c r="C172" s="43" t="s">
        <v>28</v>
      </c>
      <c r="D172" s="43" t="s">
        <v>365</v>
      </c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77"/>
    </row>
    <row r="173" spans="1:32">
      <c r="A173" s="66" t="s">
        <v>29</v>
      </c>
      <c r="B173" s="31"/>
      <c r="C173" t="s">
        <v>30</v>
      </c>
      <c r="AF173" s="71"/>
    </row>
    <row r="174" spans="1:32">
      <c r="A174" s="66" t="s">
        <v>69</v>
      </c>
      <c r="B174" s="31"/>
      <c r="C174" t="s">
        <v>23</v>
      </c>
      <c r="AF174" s="71"/>
    </row>
    <row r="175" spans="1:32">
      <c r="A175" s="66" t="s">
        <v>69</v>
      </c>
      <c r="B175" s="31"/>
      <c r="C175" t="s">
        <v>23</v>
      </c>
      <c r="AF175" s="71"/>
    </row>
    <row r="176" spans="1:32" ht="15" thickBot="1">
      <c r="A176" s="76" t="s">
        <v>69</v>
      </c>
      <c r="B176" s="44"/>
      <c r="C176" s="41" t="s">
        <v>23</v>
      </c>
      <c r="D176" s="41" t="s">
        <v>366</v>
      </c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75"/>
    </row>
    <row r="177" spans="1:32" ht="15" thickTop="1">
      <c r="A177" s="63" t="s">
        <v>29</v>
      </c>
      <c r="B177" s="38"/>
      <c r="C177" s="43" t="s">
        <v>30</v>
      </c>
      <c r="D177" s="43" t="s">
        <v>365</v>
      </c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77"/>
    </row>
    <row r="178" spans="1:32">
      <c r="A178" s="66" t="s">
        <v>25</v>
      </c>
      <c r="B178" s="31"/>
      <c r="C178" t="s">
        <v>26</v>
      </c>
      <c r="AF178" s="71"/>
    </row>
    <row r="179" spans="1:32">
      <c r="A179" s="66" t="s">
        <v>29</v>
      </c>
      <c r="B179" s="31"/>
      <c r="C179" t="s">
        <v>30</v>
      </c>
      <c r="AF179" s="71"/>
    </row>
    <row r="180" spans="1:32">
      <c r="A180" s="66" t="s">
        <v>95</v>
      </c>
      <c r="B180" s="31"/>
      <c r="C180" t="s">
        <v>23</v>
      </c>
      <c r="AF180" s="71"/>
    </row>
    <row r="181" spans="1:32" ht="15" thickBot="1">
      <c r="A181" s="76" t="s">
        <v>95</v>
      </c>
      <c r="B181" s="44"/>
      <c r="C181" s="41" t="s">
        <v>23</v>
      </c>
      <c r="D181" s="41" t="s">
        <v>366</v>
      </c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75"/>
    </row>
    <row r="182" spans="1:32" ht="15" thickTop="1">
      <c r="A182" s="63" t="s">
        <v>22</v>
      </c>
      <c r="B182" s="38"/>
      <c r="C182" s="43" t="s">
        <v>23</v>
      </c>
      <c r="D182" s="43" t="s">
        <v>365</v>
      </c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77"/>
    </row>
    <row r="183" spans="1:32">
      <c r="A183" s="66" t="s">
        <v>22</v>
      </c>
      <c r="B183" s="31"/>
      <c r="C183" t="s">
        <v>23</v>
      </c>
      <c r="AF183" s="71"/>
    </row>
    <row r="184" spans="1:32">
      <c r="A184" s="66" t="s">
        <v>22</v>
      </c>
      <c r="B184" s="31"/>
      <c r="C184" t="s">
        <v>23</v>
      </c>
      <c r="AF184" s="71"/>
    </row>
    <row r="185" spans="1:32">
      <c r="A185" s="66" t="s">
        <v>22</v>
      </c>
      <c r="B185" s="31"/>
      <c r="C185" t="s">
        <v>23</v>
      </c>
      <c r="AF185" s="71"/>
    </row>
    <row r="186" spans="1:32" ht="15" thickBot="1">
      <c r="A186" s="76" t="s">
        <v>153</v>
      </c>
      <c r="B186" s="44"/>
      <c r="C186" s="41" t="s">
        <v>23</v>
      </c>
      <c r="D186" s="41" t="s">
        <v>366</v>
      </c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75"/>
    </row>
    <row r="187" spans="1:32" ht="15" thickTop="1">
      <c r="A187" s="63" t="s">
        <v>51</v>
      </c>
      <c r="B187" s="38"/>
      <c r="C187" s="43" t="s">
        <v>23</v>
      </c>
      <c r="D187" s="43" t="s">
        <v>365</v>
      </c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77"/>
    </row>
    <row r="188" spans="1:32">
      <c r="A188" s="66" t="s">
        <v>29</v>
      </c>
      <c r="B188" s="31"/>
      <c r="C188" t="s">
        <v>30</v>
      </c>
      <c r="AF188" s="71"/>
    </row>
    <row r="189" spans="1:32">
      <c r="A189" s="66" t="s">
        <v>55</v>
      </c>
      <c r="B189" s="31"/>
      <c r="C189" t="s">
        <v>23</v>
      </c>
      <c r="AF189" s="71"/>
    </row>
    <row r="190" spans="1:32">
      <c r="A190" s="66" t="s">
        <v>59</v>
      </c>
      <c r="B190" s="31"/>
      <c r="C190" t="s">
        <v>23</v>
      </c>
      <c r="AF190" s="71"/>
    </row>
    <row r="191" spans="1:32" ht="15" thickBot="1">
      <c r="A191" s="76" t="s">
        <v>51</v>
      </c>
      <c r="B191" s="44"/>
      <c r="C191" s="41" t="s">
        <v>23</v>
      </c>
      <c r="D191" s="41" t="s">
        <v>366</v>
      </c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75"/>
    </row>
    <row r="192" spans="1:32" ht="15" thickTop="1">
      <c r="A192" s="63" t="s">
        <v>55</v>
      </c>
      <c r="B192" s="38"/>
      <c r="C192" s="43" t="s">
        <v>23</v>
      </c>
      <c r="D192" s="43" t="s">
        <v>365</v>
      </c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77"/>
    </row>
    <row r="193" spans="1:32">
      <c r="A193" s="66" t="s">
        <v>55</v>
      </c>
      <c r="B193" s="31"/>
      <c r="C193" t="s">
        <v>23</v>
      </c>
      <c r="AF193" s="71"/>
    </row>
    <row r="194" spans="1:32">
      <c r="A194" s="66" t="s">
        <v>27</v>
      </c>
      <c r="B194" s="31"/>
      <c r="C194" t="s">
        <v>28</v>
      </c>
      <c r="AF194" s="71"/>
    </row>
    <row r="195" spans="1:32">
      <c r="A195" s="66" t="s">
        <v>55</v>
      </c>
      <c r="B195" s="31"/>
      <c r="C195" t="s">
        <v>23</v>
      </c>
      <c r="AF195" s="71"/>
    </row>
    <row r="196" spans="1:32" ht="15" thickBot="1">
      <c r="A196" s="76" t="s">
        <v>37</v>
      </c>
      <c r="B196" s="44"/>
      <c r="C196" s="41" t="s">
        <v>23</v>
      </c>
      <c r="D196" s="41" t="s">
        <v>366</v>
      </c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75"/>
    </row>
    <row r="197" spans="1:32" ht="15" thickTop="1">
      <c r="A197" s="63" t="s">
        <v>37</v>
      </c>
      <c r="B197" s="38"/>
      <c r="C197" s="43" t="s">
        <v>23</v>
      </c>
      <c r="D197" s="43" t="s">
        <v>365</v>
      </c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77"/>
    </row>
    <row r="198" spans="1:32">
      <c r="A198" s="66" t="s">
        <v>22</v>
      </c>
      <c r="B198" s="31"/>
      <c r="C198" t="s">
        <v>23</v>
      </c>
      <c r="AF198" s="71"/>
    </row>
    <row r="199" spans="1:32">
      <c r="A199" s="66" t="s">
        <v>22</v>
      </c>
      <c r="B199" s="31"/>
      <c r="C199" t="s">
        <v>23</v>
      </c>
      <c r="AF199" s="71"/>
    </row>
    <row r="200" spans="1:32">
      <c r="A200" s="66" t="s">
        <v>22</v>
      </c>
      <c r="B200" s="31"/>
      <c r="C200" t="s">
        <v>23</v>
      </c>
      <c r="AF200" s="71"/>
    </row>
    <row r="201" spans="1:32" ht="15" thickBot="1">
      <c r="A201" s="76" t="s">
        <v>29</v>
      </c>
      <c r="B201" s="44"/>
      <c r="C201" s="41" t="s">
        <v>30</v>
      </c>
      <c r="D201" s="41" t="s">
        <v>366</v>
      </c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75"/>
    </row>
    <row r="202" spans="1:32" ht="15" thickTop="1">
      <c r="A202" s="63" t="s">
        <v>22</v>
      </c>
      <c r="B202" s="38"/>
      <c r="C202" s="43" t="s">
        <v>23</v>
      </c>
      <c r="D202" s="43" t="s">
        <v>365</v>
      </c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77"/>
    </row>
    <row r="203" spans="1:32">
      <c r="A203" s="66" t="s">
        <v>22</v>
      </c>
      <c r="B203" s="31"/>
      <c r="C203" t="s">
        <v>23</v>
      </c>
      <c r="AF203" s="71"/>
    </row>
    <row r="204" spans="1:32">
      <c r="A204" s="66" t="s">
        <v>22</v>
      </c>
      <c r="B204" s="31"/>
      <c r="C204" t="s">
        <v>23</v>
      </c>
      <c r="AF204" s="71"/>
    </row>
    <row r="205" spans="1:32">
      <c r="A205" s="66" t="s">
        <v>29</v>
      </c>
      <c r="B205" s="31"/>
      <c r="C205" t="s">
        <v>30</v>
      </c>
      <c r="AF205" s="71"/>
    </row>
    <row r="206" spans="1:32" ht="15" thickBot="1">
      <c r="A206" s="76" t="s">
        <v>22</v>
      </c>
      <c r="B206" s="44"/>
      <c r="C206" s="41" t="s">
        <v>23</v>
      </c>
      <c r="D206" s="41" t="s">
        <v>366</v>
      </c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75"/>
    </row>
    <row r="207" spans="1:32" ht="15" thickTop="1">
      <c r="A207" s="63" t="s">
        <v>22</v>
      </c>
      <c r="B207" s="38"/>
      <c r="C207" s="43" t="s">
        <v>23</v>
      </c>
      <c r="D207" s="43" t="s">
        <v>365</v>
      </c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77"/>
    </row>
    <row r="208" spans="1:32">
      <c r="A208" s="66" t="s">
        <v>22</v>
      </c>
      <c r="B208" s="31"/>
      <c r="C208" t="s">
        <v>23</v>
      </c>
      <c r="AF208" s="71"/>
    </row>
    <row r="209" spans="1:32">
      <c r="A209" s="66" t="s">
        <v>27</v>
      </c>
      <c r="B209" s="31"/>
      <c r="C209" t="s">
        <v>28</v>
      </c>
      <c r="AF209" s="71"/>
    </row>
    <row r="210" spans="1:32">
      <c r="A210" s="66" t="s">
        <v>29</v>
      </c>
      <c r="B210" s="31"/>
      <c r="C210" t="s">
        <v>30</v>
      </c>
      <c r="AF210" s="71"/>
    </row>
    <row r="211" spans="1:32" ht="15" thickBot="1">
      <c r="A211" s="76" t="s">
        <v>22</v>
      </c>
      <c r="B211" s="44"/>
      <c r="C211" s="41" t="s">
        <v>23</v>
      </c>
      <c r="D211" s="41" t="s">
        <v>366</v>
      </c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75"/>
    </row>
    <row r="212" spans="1:32" ht="15" thickTop="1">
      <c r="A212" s="63" t="s">
        <v>29</v>
      </c>
      <c r="B212" s="38"/>
      <c r="C212" s="43" t="s">
        <v>30</v>
      </c>
      <c r="D212" s="43" t="s">
        <v>365</v>
      </c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77"/>
    </row>
    <row r="213" spans="1:32">
      <c r="A213" s="66" t="s">
        <v>29</v>
      </c>
      <c r="B213" s="31"/>
      <c r="C213" t="s">
        <v>30</v>
      </c>
      <c r="AF213" s="71"/>
    </row>
    <row r="214" spans="1:32">
      <c r="A214" s="66" t="s">
        <v>27</v>
      </c>
      <c r="B214" s="31"/>
      <c r="C214" t="s">
        <v>28</v>
      </c>
      <c r="AF214" s="71"/>
    </row>
    <row r="215" spans="1:32">
      <c r="A215" s="66" t="s">
        <v>29</v>
      </c>
      <c r="B215" s="31"/>
      <c r="C215" t="s">
        <v>30</v>
      </c>
      <c r="AF215" s="71"/>
    </row>
    <row r="216" spans="1:32" ht="15" thickBot="1">
      <c r="A216" s="76" t="s">
        <v>22</v>
      </c>
      <c r="B216" s="44"/>
      <c r="C216" s="41" t="s">
        <v>23</v>
      </c>
      <c r="D216" s="41" t="s">
        <v>366</v>
      </c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75"/>
    </row>
    <row r="217" spans="1:32" ht="15" thickTop="1">
      <c r="A217" s="63" t="s">
        <v>22</v>
      </c>
      <c r="B217" s="38"/>
      <c r="C217" s="43" t="s">
        <v>23</v>
      </c>
      <c r="D217" s="43" t="s">
        <v>365</v>
      </c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77"/>
    </row>
    <row r="218" spans="1:32">
      <c r="A218" s="66" t="s">
        <v>22</v>
      </c>
      <c r="B218" s="31"/>
      <c r="C218" t="s">
        <v>23</v>
      </c>
      <c r="AF218" s="71"/>
    </row>
    <row r="219" spans="1:32">
      <c r="A219" s="66" t="s">
        <v>22</v>
      </c>
      <c r="B219" s="31"/>
      <c r="C219" t="s">
        <v>23</v>
      </c>
      <c r="AF219" s="71"/>
    </row>
    <row r="220" spans="1:32">
      <c r="A220" s="66" t="s">
        <v>51</v>
      </c>
      <c r="B220" s="31"/>
      <c r="C220" t="s">
        <v>23</v>
      </c>
      <c r="AF220" s="71"/>
    </row>
    <row r="221" spans="1:32" ht="15" thickBot="1">
      <c r="A221" s="76" t="s">
        <v>22</v>
      </c>
      <c r="B221" s="44"/>
      <c r="C221" s="41" t="s">
        <v>23</v>
      </c>
      <c r="D221" s="41" t="s">
        <v>366</v>
      </c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75"/>
    </row>
    <row r="222" spans="1:32" ht="15" thickTop="1">
      <c r="A222" s="63" t="s">
        <v>51</v>
      </c>
      <c r="B222" s="38"/>
      <c r="C222" s="43" t="s">
        <v>23</v>
      </c>
      <c r="D222" s="43" t="s">
        <v>365</v>
      </c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77"/>
    </row>
    <row r="223" spans="1:32">
      <c r="A223" s="66" t="s">
        <v>29</v>
      </c>
      <c r="B223" s="31"/>
      <c r="C223" t="s">
        <v>30</v>
      </c>
      <c r="AF223" s="71"/>
    </row>
    <row r="224" spans="1:32">
      <c r="A224" s="66" t="s">
        <v>27</v>
      </c>
      <c r="B224" s="31"/>
      <c r="C224" t="s">
        <v>28</v>
      </c>
      <c r="AF224" s="71"/>
    </row>
    <row r="225" spans="1:32">
      <c r="A225" s="66" t="s">
        <v>35</v>
      </c>
      <c r="B225" s="31"/>
      <c r="C225" t="s">
        <v>23</v>
      </c>
      <c r="AF225" s="71"/>
    </row>
    <row r="226" spans="1:32" ht="15" thickBot="1">
      <c r="A226" s="76" t="s">
        <v>51</v>
      </c>
      <c r="B226" s="44"/>
      <c r="C226" s="41" t="s">
        <v>23</v>
      </c>
      <c r="D226" s="41" t="s">
        <v>366</v>
      </c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75"/>
    </row>
    <row r="227" spans="1:32" ht="15" thickTop="1">
      <c r="A227" s="63" t="s">
        <v>22</v>
      </c>
      <c r="B227" s="38"/>
      <c r="C227" s="43" t="s">
        <v>23</v>
      </c>
      <c r="D227" s="43" t="s">
        <v>365</v>
      </c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77"/>
    </row>
    <row r="228" spans="1:32">
      <c r="A228" s="66" t="s">
        <v>29</v>
      </c>
      <c r="B228" s="31"/>
      <c r="C228" t="s">
        <v>30</v>
      </c>
      <c r="AF228" s="71"/>
    </row>
    <row r="229" spans="1:32">
      <c r="A229" s="66" t="s">
        <v>25</v>
      </c>
      <c r="B229" s="31"/>
      <c r="C229" t="s">
        <v>26</v>
      </c>
      <c r="AF229" s="71"/>
    </row>
    <row r="230" spans="1:32">
      <c r="A230" s="66" t="s">
        <v>29</v>
      </c>
      <c r="B230" s="31"/>
      <c r="C230" t="s">
        <v>30</v>
      </c>
      <c r="AF230" s="71"/>
    </row>
    <row r="231" spans="1:32" ht="15" thickBot="1">
      <c r="A231" s="76" t="s">
        <v>29</v>
      </c>
      <c r="B231" s="44"/>
      <c r="C231" s="41" t="s">
        <v>30</v>
      </c>
      <c r="D231" s="41" t="s">
        <v>366</v>
      </c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75"/>
    </row>
    <row r="232" spans="1:32" ht="15" thickTop="1">
      <c r="A232" s="63" t="s">
        <v>27</v>
      </c>
      <c r="B232" s="38"/>
      <c r="C232" s="43" t="s">
        <v>28</v>
      </c>
      <c r="D232" s="43" t="s">
        <v>365</v>
      </c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77"/>
    </row>
    <row r="233" spans="1:32">
      <c r="A233" s="66" t="s">
        <v>187</v>
      </c>
      <c r="B233" s="31"/>
      <c r="C233" t="s">
        <v>23</v>
      </c>
      <c r="AF233" s="71"/>
    </row>
    <row r="234" spans="1:32">
      <c r="A234" s="66" t="s">
        <v>29</v>
      </c>
      <c r="B234" s="31"/>
      <c r="C234" t="s">
        <v>30</v>
      </c>
      <c r="AF234" s="71"/>
    </row>
    <row r="235" spans="1:32">
      <c r="A235" s="66" t="s">
        <v>29</v>
      </c>
      <c r="B235" s="31"/>
      <c r="C235" t="s">
        <v>30</v>
      </c>
      <c r="AF235" s="71"/>
    </row>
    <row r="236" spans="1:32" ht="15" thickBot="1">
      <c r="A236" s="76" t="s">
        <v>22</v>
      </c>
      <c r="B236" s="44"/>
      <c r="C236" s="41" t="s">
        <v>23</v>
      </c>
      <c r="D236" s="41" t="s">
        <v>366</v>
      </c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75"/>
    </row>
    <row r="237" spans="1:32" ht="15" thickTop="1">
      <c r="A237" s="63" t="s">
        <v>29</v>
      </c>
      <c r="B237" s="38"/>
      <c r="C237" s="43" t="s">
        <v>30</v>
      </c>
      <c r="D237" s="43" t="s">
        <v>365</v>
      </c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77"/>
    </row>
    <row r="238" spans="1:32">
      <c r="A238" s="66" t="s">
        <v>29</v>
      </c>
      <c r="B238" s="31"/>
      <c r="C238" t="s">
        <v>30</v>
      </c>
      <c r="AF238" s="71"/>
    </row>
    <row r="239" spans="1:32">
      <c r="A239" s="66" t="s">
        <v>29</v>
      </c>
      <c r="B239" s="31"/>
      <c r="C239" t="s">
        <v>30</v>
      </c>
      <c r="AF239" s="71"/>
    </row>
    <row r="240" spans="1:32">
      <c r="A240" s="66" t="s">
        <v>27</v>
      </c>
      <c r="B240" s="31"/>
      <c r="C240" t="s">
        <v>28</v>
      </c>
      <c r="AF240" s="71"/>
    </row>
    <row r="241" spans="1:32" ht="15" thickBot="1">
      <c r="A241" s="76" t="s">
        <v>51</v>
      </c>
      <c r="B241" s="44"/>
      <c r="C241" s="41" t="s">
        <v>23</v>
      </c>
      <c r="D241" s="41" t="s">
        <v>366</v>
      </c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75"/>
    </row>
    <row r="242" spans="1:32" ht="15" thickTop="1">
      <c r="A242" s="63" t="s">
        <v>35</v>
      </c>
      <c r="B242" s="38"/>
      <c r="C242" s="43" t="s">
        <v>23</v>
      </c>
      <c r="D242" s="43" t="s">
        <v>365</v>
      </c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3"/>
      <c r="AF242" s="77"/>
    </row>
    <row r="243" spans="1:32">
      <c r="A243" s="66" t="s">
        <v>51</v>
      </c>
      <c r="B243" s="31"/>
      <c r="C243" t="s">
        <v>23</v>
      </c>
      <c r="AF243" s="71"/>
    </row>
    <row r="244" spans="1:32">
      <c r="A244" s="66" t="s">
        <v>37</v>
      </c>
      <c r="B244" s="31"/>
      <c r="C244" t="s">
        <v>23</v>
      </c>
      <c r="AF244" s="71"/>
    </row>
    <row r="245" spans="1:32">
      <c r="A245" s="66" t="s">
        <v>27</v>
      </c>
      <c r="B245" s="31"/>
      <c r="C245" t="s">
        <v>28</v>
      </c>
      <c r="AF245" s="71"/>
    </row>
    <row r="246" spans="1:32" ht="15" thickBot="1">
      <c r="A246" s="76" t="s">
        <v>29</v>
      </c>
      <c r="B246" s="44"/>
      <c r="C246" s="41" t="s">
        <v>30</v>
      </c>
      <c r="D246" s="41" t="s">
        <v>366</v>
      </c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75"/>
    </row>
    <row r="247" spans="1:32" ht="15" thickTop="1">
      <c r="A247" s="63" t="s">
        <v>187</v>
      </c>
      <c r="B247" s="38"/>
      <c r="C247" s="43" t="s">
        <v>23</v>
      </c>
      <c r="D247" s="43" t="s">
        <v>365</v>
      </c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3"/>
      <c r="AF247" s="77"/>
    </row>
    <row r="248" spans="1:32">
      <c r="A248" s="66" t="s">
        <v>29</v>
      </c>
      <c r="B248" s="31"/>
      <c r="C248" t="s">
        <v>30</v>
      </c>
      <c r="AF248" s="71"/>
    </row>
    <row r="249" spans="1:32">
      <c r="A249" s="66" t="s">
        <v>189</v>
      </c>
      <c r="B249" s="31"/>
      <c r="C249" t="s">
        <v>23</v>
      </c>
      <c r="AF249" s="71"/>
    </row>
    <row r="250" spans="1:32">
      <c r="A250" s="66" t="s">
        <v>187</v>
      </c>
      <c r="B250" s="31"/>
      <c r="C250" t="s">
        <v>23</v>
      </c>
      <c r="AF250" s="71"/>
    </row>
    <row r="251" spans="1:32" ht="15" thickBot="1">
      <c r="A251" s="76" t="s">
        <v>189</v>
      </c>
      <c r="B251" s="44"/>
      <c r="C251" s="41" t="s">
        <v>23</v>
      </c>
      <c r="D251" s="41" t="s">
        <v>366</v>
      </c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75"/>
    </row>
    <row r="252" spans="1:32" ht="15" thickTop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2"/>
  <sheetViews>
    <sheetView workbookViewId="0">
      <selection activeCell="E1" sqref="E1:F1"/>
    </sheetView>
  </sheetViews>
  <sheetFormatPr baseColWidth="10" defaultColWidth="8.83203125" defaultRowHeight="14" x14ac:dyDescent="0"/>
  <cols>
    <col min="1" max="1" width="8.83203125" bestFit="1" customWidth="1"/>
    <col min="2" max="2" width="5.6640625" bestFit="1" customWidth="1"/>
    <col min="3" max="3" width="13.83203125" bestFit="1" customWidth="1"/>
    <col min="4" max="4" width="11.1640625" bestFit="1" customWidth="1"/>
  </cols>
  <sheetData>
    <row r="1" spans="1:32" ht="16" thickTop="1" thickBot="1">
      <c r="A1" s="34" t="s">
        <v>319</v>
      </c>
      <c r="B1" s="34" t="s">
        <v>16</v>
      </c>
      <c r="C1" s="34" t="s">
        <v>320</v>
      </c>
      <c r="D1" s="34" t="s">
        <v>321</v>
      </c>
      <c r="E1" s="34" t="s">
        <v>322</v>
      </c>
      <c r="F1" s="34" t="s">
        <v>323</v>
      </c>
      <c r="G1" s="34" t="s">
        <v>324</v>
      </c>
      <c r="H1" s="34" t="s">
        <v>325</v>
      </c>
      <c r="I1" s="34" t="s">
        <v>326</v>
      </c>
      <c r="J1" s="34" t="s">
        <v>327</v>
      </c>
      <c r="K1" s="34" t="s">
        <v>328</v>
      </c>
      <c r="L1" s="34" t="s">
        <v>329</v>
      </c>
      <c r="M1" s="34" t="s">
        <v>330</v>
      </c>
      <c r="N1" s="34" t="s">
        <v>331</v>
      </c>
      <c r="O1" s="34" t="s">
        <v>332</v>
      </c>
      <c r="P1" s="34" t="s">
        <v>333</v>
      </c>
      <c r="Q1" s="34" t="s">
        <v>334</v>
      </c>
      <c r="R1" s="34" t="s">
        <v>335</v>
      </c>
      <c r="S1" s="34" t="s">
        <v>336</v>
      </c>
      <c r="T1" s="34" t="s">
        <v>337</v>
      </c>
      <c r="U1" s="34" t="s">
        <v>338</v>
      </c>
      <c r="V1" s="34" t="s">
        <v>339</v>
      </c>
      <c r="W1" s="34" t="s">
        <v>340</v>
      </c>
      <c r="X1" s="34" t="s">
        <v>341</v>
      </c>
      <c r="Y1" s="34" t="s">
        <v>342</v>
      </c>
      <c r="Z1" s="34" t="s">
        <v>343</v>
      </c>
      <c r="AA1" s="34" t="s">
        <v>344</v>
      </c>
      <c r="AB1" s="34" t="s">
        <v>345</v>
      </c>
      <c r="AC1" s="34" t="s">
        <v>346</v>
      </c>
      <c r="AD1" s="34" t="s">
        <v>347</v>
      </c>
      <c r="AE1" s="34" t="s">
        <v>348</v>
      </c>
      <c r="AF1" s="34" t="s">
        <v>349</v>
      </c>
    </row>
    <row r="2" spans="1:32" ht="15" thickTop="1">
      <c r="A2" s="78" t="s">
        <v>29</v>
      </c>
      <c r="B2" s="38"/>
      <c r="C2" s="43" t="s">
        <v>30</v>
      </c>
      <c r="D2" s="43" t="s">
        <v>365</v>
      </c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92"/>
    </row>
    <row r="3" spans="1:32">
      <c r="A3" s="81" t="s">
        <v>25</v>
      </c>
      <c r="B3" s="31"/>
      <c r="C3" t="s">
        <v>26</v>
      </c>
      <c r="AF3" s="86"/>
    </row>
    <row r="4" spans="1:32">
      <c r="A4" s="81" t="s">
        <v>35</v>
      </c>
      <c r="B4" s="31"/>
      <c r="C4" t="s">
        <v>23</v>
      </c>
      <c r="AF4" s="86"/>
    </row>
    <row r="5" spans="1:32">
      <c r="A5" s="81" t="s">
        <v>27</v>
      </c>
      <c r="B5" s="31"/>
      <c r="C5" t="s">
        <v>28</v>
      </c>
      <c r="AF5" s="86"/>
    </row>
    <row r="6" spans="1:32" ht="15" thickBot="1">
      <c r="A6" s="91" t="s">
        <v>29</v>
      </c>
      <c r="B6" s="44"/>
      <c r="C6" s="41" t="s">
        <v>30</v>
      </c>
      <c r="D6" s="41" t="s">
        <v>366</v>
      </c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90"/>
    </row>
    <row r="7" spans="1:32" ht="15" thickTop="1">
      <c r="A7" s="78" t="s">
        <v>31</v>
      </c>
      <c r="B7" s="38"/>
      <c r="C7" s="43" t="s">
        <v>23</v>
      </c>
      <c r="D7" s="43" t="s">
        <v>365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92"/>
    </row>
    <row r="8" spans="1:32">
      <c r="A8" s="81" t="s">
        <v>29</v>
      </c>
      <c r="B8" s="31"/>
      <c r="C8" t="s">
        <v>30</v>
      </c>
      <c r="AF8" s="86"/>
    </row>
    <row r="9" spans="1:32">
      <c r="A9" s="81" t="s">
        <v>29</v>
      </c>
      <c r="B9" s="31"/>
      <c r="C9" t="s">
        <v>30</v>
      </c>
      <c r="AF9" s="86"/>
    </row>
    <row r="10" spans="1:32">
      <c r="A10" s="81" t="s">
        <v>27</v>
      </c>
      <c r="B10" s="31"/>
      <c r="C10" t="s">
        <v>28</v>
      </c>
      <c r="AF10" s="86"/>
    </row>
    <row r="11" spans="1:32" ht="15" thickBot="1">
      <c r="A11" s="91" t="s">
        <v>27</v>
      </c>
      <c r="B11" s="44"/>
      <c r="C11" s="41" t="s">
        <v>28</v>
      </c>
      <c r="D11" s="41" t="s">
        <v>366</v>
      </c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90"/>
    </row>
    <row r="12" spans="1:32" ht="15" thickTop="1">
      <c r="A12" s="78" t="s">
        <v>29</v>
      </c>
      <c r="B12" s="38"/>
      <c r="C12" s="43" t="s">
        <v>30</v>
      </c>
      <c r="D12" s="43" t="s">
        <v>365</v>
      </c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92"/>
    </row>
    <row r="13" spans="1:32">
      <c r="A13" s="81" t="s">
        <v>35</v>
      </c>
      <c r="B13" s="31"/>
      <c r="C13" t="s">
        <v>23</v>
      </c>
      <c r="AF13" s="86"/>
    </row>
    <row r="14" spans="1:32">
      <c r="A14" s="81" t="s">
        <v>35</v>
      </c>
      <c r="B14" s="31"/>
      <c r="C14" t="s">
        <v>23</v>
      </c>
      <c r="AF14" s="86"/>
    </row>
    <row r="15" spans="1:32">
      <c r="A15" s="81" t="s">
        <v>35</v>
      </c>
      <c r="B15" s="31"/>
      <c r="C15" t="s">
        <v>23</v>
      </c>
      <c r="AF15" s="86"/>
    </row>
    <row r="16" spans="1:32" ht="15" thickBot="1">
      <c r="A16" s="91" t="s">
        <v>51</v>
      </c>
      <c r="B16" s="44"/>
      <c r="C16" s="41" t="s">
        <v>23</v>
      </c>
      <c r="D16" s="41" t="s">
        <v>366</v>
      </c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90"/>
    </row>
    <row r="17" spans="1:32" ht="15" thickTop="1">
      <c r="A17" s="78" t="s">
        <v>31</v>
      </c>
      <c r="B17" s="38"/>
      <c r="C17" s="43" t="s">
        <v>23</v>
      </c>
      <c r="D17" s="43" t="s">
        <v>365</v>
      </c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92"/>
    </row>
    <row r="18" spans="1:32">
      <c r="A18" s="81" t="s">
        <v>31</v>
      </c>
      <c r="B18" s="31"/>
      <c r="C18" t="s">
        <v>23</v>
      </c>
      <c r="AF18" s="86"/>
    </row>
    <row r="19" spans="1:32">
      <c r="A19" s="81" t="s">
        <v>22</v>
      </c>
      <c r="B19" s="31"/>
      <c r="C19" t="s">
        <v>23</v>
      </c>
      <c r="AF19" s="86"/>
    </row>
    <row r="20" spans="1:32">
      <c r="A20" s="81" t="s">
        <v>22</v>
      </c>
      <c r="B20" s="31"/>
      <c r="C20" t="s">
        <v>23</v>
      </c>
      <c r="AF20" s="86"/>
    </row>
    <row r="21" spans="1:32" ht="15" thickBot="1">
      <c r="A21" s="91" t="s">
        <v>22</v>
      </c>
      <c r="B21" s="44"/>
      <c r="C21" s="41" t="s">
        <v>23</v>
      </c>
      <c r="D21" s="41" t="s">
        <v>366</v>
      </c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90"/>
    </row>
    <row r="22" spans="1:32" ht="15" thickTop="1">
      <c r="A22" s="78" t="s">
        <v>69</v>
      </c>
      <c r="B22" s="38"/>
      <c r="C22" s="43" t="s">
        <v>23</v>
      </c>
      <c r="D22" s="43" t="s">
        <v>365</v>
      </c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92"/>
    </row>
    <row r="23" spans="1:32">
      <c r="A23" s="81" t="s">
        <v>29</v>
      </c>
      <c r="B23" s="31"/>
      <c r="C23" t="s">
        <v>30</v>
      </c>
      <c r="AF23" s="86"/>
    </row>
    <row r="24" spans="1:32">
      <c r="A24" s="81" t="s">
        <v>29</v>
      </c>
      <c r="B24" s="31"/>
      <c r="C24" t="s">
        <v>30</v>
      </c>
      <c r="AF24" s="86"/>
    </row>
    <row r="25" spans="1:32">
      <c r="A25" s="81" t="s">
        <v>29</v>
      </c>
      <c r="B25" s="31"/>
      <c r="C25" t="s">
        <v>30</v>
      </c>
      <c r="AF25" s="86"/>
    </row>
    <row r="26" spans="1:32" ht="15" thickBot="1">
      <c r="A26" s="91" t="s">
        <v>59</v>
      </c>
      <c r="B26" s="44"/>
      <c r="C26" s="41" t="s">
        <v>23</v>
      </c>
      <c r="D26" s="41" t="s">
        <v>366</v>
      </c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90"/>
    </row>
    <row r="27" spans="1:32" ht="15" thickTop="1">
      <c r="A27" s="78" t="s">
        <v>25</v>
      </c>
      <c r="B27" s="38"/>
      <c r="C27" s="43" t="s">
        <v>26</v>
      </c>
      <c r="D27" s="43" t="s">
        <v>365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92"/>
    </row>
    <row r="28" spans="1:32">
      <c r="A28" s="81" t="s">
        <v>29</v>
      </c>
      <c r="B28" s="31"/>
      <c r="C28" t="s">
        <v>30</v>
      </c>
      <c r="AF28" s="86"/>
    </row>
    <row r="29" spans="1:32">
      <c r="A29" s="81" t="s">
        <v>29</v>
      </c>
      <c r="B29" s="31"/>
      <c r="C29" t="s">
        <v>30</v>
      </c>
      <c r="AF29" s="86"/>
    </row>
    <row r="30" spans="1:32">
      <c r="A30" s="81" t="s">
        <v>25</v>
      </c>
      <c r="B30" s="31"/>
      <c r="C30" t="s">
        <v>26</v>
      </c>
      <c r="AF30" s="86"/>
    </row>
    <row r="31" spans="1:32" ht="15" thickBot="1">
      <c r="A31" s="91" t="s">
        <v>27</v>
      </c>
      <c r="B31" s="44"/>
      <c r="C31" s="41" t="s">
        <v>28</v>
      </c>
      <c r="D31" s="41" t="s">
        <v>366</v>
      </c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90"/>
    </row>
    <row r="32" spans="1:32" ht="15" thickTop="1">
      <c r="A32" s="78" t="s">
        <v>166</v>
      </c>
      <c r="B32" s="38"/>
      <c r="C32" s="43" t="s">
        <v>23</v>
      </c>
      <c r="D32" s="43" t="s">
        <v>365</v>
      </c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92"/>
    </row>
    <row r="33" spans="1:32">
      <c r="A33" s="81" t="s">
        <v>35</v>
      </c>
      <c r="B33" s="31"/>
      <c r="C33" t="s">
        <v>23</v>
      </c>
      <c r="AF33" s="86"/>
    </row>
    <row r="34" spans="1:32">
      <c r="A34" s="81" t="s">
        <v>29</v>
      </c>
      <c r="B34" s="31"/>
      <c r="C34" t="s">
        <v>30</v>
      </c>
      <c r="AF34" s="86"/>
    </row>
    <row r="35" spans="1:32">
      <c r="A35" s="81" t="s">
        <v>35</v>
      </c>
      <c r="B35" s="31"/>
      <c r="C35" t="s">
        <v>23</v>
      </c>
      <c r="AF35" s="86"/>
    </row>
    <row r="36" spans="1:32" ht="15" thickBot="1">
      <c r="A36" s="91" t="s">
        <v>35</v>
      </c>
      <c r="B36" s="44"/>
      <c r="C36" s="41" t="s">
        <v>23</v>
      </c>
      <c r="D36" s="41" t="s">
        <v>366</v>
      </c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90"/>
    </row>
    <row r="37" spans="1:32" ht="15" thickTop="1">
      <c r="A37" s="78" t="s">
        <v>29</v>
      </c>
      <c r="B37" s="38"/>
      <c r="C37" s="43" t="s">
        <v>30</v>
      </c>
      <c r="D37" s="43" t="s">
        <v>365</v>
      </c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92"/>
    </row>
    <row r="38" spans="1:32">
      <c r="A38" s="81" t="s">
        <v>37</v>
      </c>
      <c r="B38" s="31"/>
      <c r="C38" t="s">
        <v>23</v>
      </c>
      <c r="AF38" s="86"/>
    </row>
    <row r="39" spans="1:32">
      <c r="A39" s="81" t="s">
        <v>27</v>
      </c>
      <c r="B39" s="31"/>
      <c r="C39" t="s">
        <v>28</v>
      </c>
      <c r="AF39" s="86"/>
    </row>
    <row r="40" spans="1:32">
      <c r="A40" s="81" t="s">
        <v>27</v>
      </c>
      <c r="B40" s="31"/>
      <c r="C40" t="s">
        <v>28</v>
      </c>
      <c r="AF40" s="86"/>
    </row>
    <row r="41" spans="1:32" ht="15" thickBot="1">
      <c r="A41" s="91" t="s">
        <v>27</v>
      </c>
      <c r="B41" s="44"/>
      <c r="C41" s="41" t="s">
        <v>28</v>
      </c>
      <c r="D41" s="41" t="s">
        <v>366</v>
      </c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90"/>
    </row>
    <row r="42" spans="1:32" ht="15" thickTop="1">
      <c r="A42" s="78" t="s">
        <v>27</v>
      </c>
      <c r="B42" s="38"/>
      <c r="C42" s="43" t="s">
        <v>28</v>
      </c>
      <c r="D42" s="43" t="s">
        <v>365</v>
      </c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92"/>
    </row>
    <row r="43" spans="1:32">
      <c r="A43" s="81" t="s">
        <v>27</v>
      </c>
      <c r="B43" s="31"/>
      <c r="C43" t="s">
        <v>28</v>
      </c>
      <c r="AF43" s="86"/>
    </row>
    <row r="44" spans="1:32">
      <c r="A44" s="81" t="s">
        <v>35</v>
      </c>
      <c r="B44" s="31"/>
      <c r="C44" t="s">
        <v>23</v>
      </c>
      <c r="AF44" s="86"/>
    </row>
    <row r="45" spans="1:32">
      <c r="A45" s="81" t="s">
        <v>25</v>
      </c>
      <c r="B45" s="31"/>
      <c r="C45" t="s">
        <v>26</v>
      </c>
      <c r="AF45" s="86"/>
    </row>
    <row r="46" spans="1:32" ht="15" thickBot="1">
      <c r="A46" s="91" t="s">
        <v>35</v>
      </c>
      <c r="B46" s="44"/>
      <c r="C46" s="41" t="s">
        <v>23</v>
      </c>
      <c r="D46" s="41" t="s">
        <v>366</v>
      </c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90"/>
    </row>
    <row r="47" spans="1:32" ht="15" thickTop="1">
      <c r="A47" s="78" t="s">
        <v>29</v>
      </c>
      <c r="B47" s="38"/>
      <c r="C47" s="43" t="s">
        <v>30</v>
      </c>
      <c r="D47" s="43" t="s">
        <v>365</v>
      </c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92"/>
    </row>
    <row r="48" spans="1:32">
      <c r="A48" s="81" t="s">
        <v>139</v>
      </c>
      <c r="B48" s="31"/>
      <c r="C48" t="s">
        <v>23</v>
      </c>
      <c r="AF48" s="86"/>
    </row>
    <row r="49" spans="1:32">
      <c r="A49" s="81" t="s">
        <v>69</v>
      </c>
      <c r="B49" s="31"/>
      <c r="C49" t="s">
        <v>23</v>
      </c>
      <c r="AF49" s="86"/>
    </row>
    <row r="50" spans="1:32">
      <c r="A50" s="81" t="s">
        <v>29</v>
      </c>
      <c r="B50" s="31"/>
      <c r="C50" t="s">
        <v>30</v>
      </c>
      <c r="AF50" s="86"/>
    </row>
    <row r="51" spans="1:32" ht="15" thickBot="1">
      <c r="A51" s="91" t="s">
        <v>27</v>
      </c>
      <c r="B51" s="44"/>
      <c r="C51" s="41" t="s">
        <v>28</v>
      </c>
      <c r="D51" s="41" t="s">
        <v>366</v>
      </c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90"/>
    </row>
    <row r="52" spans="1:32" ht="15" thickTop="1">
      <c r="A52" s="78" t="s">
        <v>35</v>
      </c>
      <c r="B52" s="38"/>
      <c r="C52" s="43" t="s">
        <v>23</v>
      </c>
      <c r="D52" s="43" t="s">
        <v>365</v>
      </c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92"/>
    </row>
    <row r="53" spans="1:32">
      <c r="A53" s="81" t="s">
        <v>35</v>
      </c>
      <c r="B53" s="31"/>
      <c r="C53" t="s">
        <v>23</v>
      </c>
      <c r="AF53" s="86"/>
    </row>
    <row r="54" spans="1:32">
      <c r="A54" s="81" t="s">
        <v>35</v>
      </c>
      <c r="B54" s="31"/>
      <c r="C54" t="s">
        <v>23</v>
      </c>
      <c r="AF54" s="86"/>
    </row>
    <row r="55" spans="1:32">
      <c r="A55" s="81" t="s">
        <v>35</v>
      </c>
      <c r="B55" s="31"/>
      <c r="C55" t="s">
        <v>23</v>
      </c>
      <c r="AF55" s="86"/>
    </row>
    <row r="56" spans="1:32" ht="15" thickBot="1">
      <c r="A56" s="91" t="s">
        <v>35</v>
      </c>
      <c r="B56" s="44"/>
      <c r="C56" s="41" t="s">
        <v>23</v>
      </c>
      <c r="D56" s="41" t="s">
        <v>366</v>
      </c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90"/>
    </row>
    <row r="57" spans="1:32" ht="15" thickTop="1">
      <c r="A57" s="78" t="s">
        <v>35</v>
      </c>
      <c r="B57" s="38"/>
      <c r="C57" s="43" t="s">
        <v>23</v>
      </c>
      <c r="D57" s="43" t="s">
        <v>365</v>
      </c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92"/>
    </row>
    <row r="58" spans="1:32">
      <c r="A58" s="81" t="s">
        <v>27</v>
      </c>
      <c r="B58" s="31"/>
      <c r="C58" t="s">
        <v>28</v>
      </c>
      <c r="AF58" s="86"/>
    </row>
    <row r="59" spans="1:32">
      <c r="A59" s="81" t="s">
        <v>22</v>
      </c>
      <c r="B59" s="31"/>
      <c r="C59" t="s">
        <v>23</v>
      </c>
      <c r="AF59" s="86"/>
    </row>
    <row r="60" spans="1:32">
      <c r="A60" s="81" t="s">
        <v>164</v>
      </c>
      <c r="B60" s="31"/>
      <c r="C60" t="s">
        <v>23</v>
      </c>
      <c r="AF60" s="86"/>
    </row>
    <row r="61" spans="1:32" ht="15" thickBot="1">
      <c r="A61" s="91" t="s">
        <v>27</v>
      </c>
      <c r="B61" s="44"/>
      <c r="C61" s="41" t="s">
        <v>28</v>
      </c>
      <c r="D61" s="41" t="s">
        <v>366</v>
      </c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90"/>
    </row>
    <row r="62" spans="1:32" ht="15" thickTop="1">
      <c r="A62" s="78" t="s">
        <v>35</v>
      </c>
      <c r="B62" s="38"/>
      <c r="C62" s="43" t="s">
        <v>23</v>
      </c>
      <c r="D62" s="43" t="s">
        <v>365</v>
      </c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92"/>
    </row>
    <row r="63" spans="1:32">
      <c r="A63" s="81" t="s">
        <v>22</v>
      </c>
      <c r="B63" s="31"/>
      <c r="C63" t="s">
        <v>23</v>
      </c>
      <c r="AF63" s="86"/>
    </row>
    <row r="64" spans="1:32">
      <c r="A64" s="81" t="s">
        <v>22</v>
      </c>
      <c r="B64" s="31"/>
      <c r="C64" t="s">
        <v>23</v>
      </c>
      <c r="AF64" s="86"/>
    </row>
    <row r="65" spans="1:32">
      <c r="A65" s="81" t="s">
        <v>35</v>
      </c>
      <c r="B65" s="31"/>
      <c r="C65" t="s">
        <v>23</v>
      </c>
      <c r="AF65" s="86"/>
    </row>
    <row r="66" spans="1:32" ht="15" thickBot="1">
      <c r="A66" s="91" t="s">
        <v>22</v>
      </c>
      <c r="B66" s="44"/>
      <c r="C66" s="41" t="s">
        <v>23</v>
      </c>
      <c r="D66" s="41" t="s">
        <v>366</v>
      </c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90"/>
    </row>
    <row r="67" spans="1:32" ht="15" thickTop="1">
      <c r="A67" s="78" t="s">
        <v>29</v>
      </c>
      <c r="B67" s="38"/>
      <c r="C67" s="43" t="s">
        <v>30</v>
      </c>
      <c r="D67" s="43" t="s">
        <v>365</v>
      </c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92"/>
    </row>
    <row r="68" spans="1:32">
      <c r="A68" s="81" t="s">
        <v>35</v>
      </c>
      <c r="B68" s="31"/>
      <c r="C68" t="s">
        <v>23</v>
      </c>
      <c r="AF68" s="86"/>
    </row>
    <row r="69" spans="1:32">
      <c r="A69" s="81" t="s">
        <v>22</v>
      </c>
      <c r="B69" s="31"/>
      <c r="C69" t="s">
        <v>23</v>
      </c>
      <c r="AF69" s="86"/>
    </row>
    <row r="70" spans="1:32">
      <c r="A70" s="81" t="s">
        <v>35</v>
      </c>
      <c r="B70" s="31"/>
      <c r="C70" t="s">
        <v>23</v>
      </c>
      <c r="AF70" s="86"/>
    </row>
    <row r="71" spans="1:32" ht="15" thickBot="1">
      <c r="A71" s="91" t="s">
        <v>35</v>
      </c>
      <c r="B71" s="44"/>
      <c r="C71" s="41" t="s">
        <v>23</v>
      </c>
      <c r="D71" s="41" t="s">
        <v>366</v>
      </c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90"/>
    </row>
    <row r="72" spans="1:32" ht="15" thickTop="1">
      <c r="A72" s="78" t="s">
        <v>35</v>
      </c>
      <c r="B72" s="38"/>
      <c r="C72" s="43" t="s">
        <v>23</v>
      </c>
      <c r="D72" s="43" t="s">
        <v>365</v>
      </c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92"/>
    </row>
    <row r="73" spans="1:32">
      <c r="A73" s="81" t="s">
        <v>27</v>
      </c>
      <c r="B73" s="31"/>
      <c r="C73" t="s">
        <v>28</v>
      </c>
      <c r="AF73" s="86"/>
    </row>
    <row r="74" spans="1:32">
      <c r="A74" s="81" t="s">
        <v>35</v>
      </c>
      <c r="B74" s="31"/>
      <c r="C74" t="s">
        <v>23</v>
      </c>
      <c r="AF74" s="86"/>
    </row>
    <row r="75" spans="1:32">
      <c r="A75" s="81" t="s">
        <v>35</v>
      </c>
      <c r="B75" s="31"/>
      <c r="C75" t="s">
        <v>23</v>
      </c>
      <c r="AF75" s="86"/>
    </row>
    <row r="76" spans="1:32" ht="15" thickBot="1">
      <c r="A76" s="91" t="s">
        <v>29</v>
      </c>
      <c r="B76" s="44"/>
      <c r="C76" s="41" t="s">
        <v>30</v>
      </c>
      <c r="D76" s="41" t="s">
        <v>366</v>
      </c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90"/>
    </row>
    <row r="77" spans="1:32" ht="15" thickTop="1">
      <c r="A77" s="78" t="s">
        <v>27</v>
      </c>
      <c r="B77" s="38"/>
      <c r="C77" s="43" t="s">
        <v>28</v>
      </c>
      <c r="D77" s="43" t="s">
        <v>365</v>
      </c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92"/>
    </row>
    <row r="78" spans="1:32">
      <c r="A78" s="81" t="s">
        <v>31</v>
      </c>
      <c r="B78" s="31"/>
      <c r="C78" t="s">
        <v>23</v>
      </c>
      <c r="AF78" s="86"/>
    </row>
    <row r="79" spans="1:32">
      <c r="A79" s="81" t="s">
        <v>122</v>
      </c>
      <c r="B79" s="31"/>
      <c r="C79" t="s">
        <v>23</v>
      </c>
      <c r="AF79" s="86"/>
    </row>
    <row r="80" spans="1:32">
      <c r="A80" s="81" t="s">
        <v>27</v>
      </c>
      <c r="B80" s="31"/>
      <c r="C80" t="s">
        <v>28</v>
      </c>
      <c r="AF80" s="86"/>
    </row>
    <row r="81" spans="1:32" ht="15" thickBot="1">
      <c r="A81" s="91" t="s">
        <v>27</v>
      </c>
      <c r="B81" s="44"/>
      <c r="C81" s="41" t="s">
        <v>28</v>
      </c>
      <c r="D81" s="41" t="s">
        <v>366</v>
      </c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90"/>
    </row>
    <row r="82" spans="1:32" ht="15" thickTop="1">
      <c r="A82" s="78" t="s">
        <v>22</v>
      </c>
      <c r="B82" s="38"/>
      <c r="C82" s="43" t="s">
        <v>23</v>
      </c>
      <c r="D82" s="43" t="s">
        <v>365</v>
      </c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92"/>
    </row>
    <row r="83" spans="1:32">
      <c r="A83" s="81" t="s">
        <v>29</v>
      </c>
      <c r="B83" s="31"/>
      <c r="C83" t="s">
        <v>30</v>
      </c>
      <c r="AF83" s="86"/>
    </row>
    <row r="84" spans="1:32">
      <c r="A84" s="81" t="s">
        <v>22</v>
      </c>
      <c r="B84" s="31"/>
      <c r="C84" t="s">
        <v>23</v>
      </c>
      <c r="AF84" s="86"/>
    </row>
    <row r="85" spans="1:32">
      <c r="A85" s="81" t="s">
        <v>27</v>
      </c>
      <c r="B85" s="31"/>
      <c r="C85" t="s">
        <v>28</v>
      </c>
      <c r="AF85" s="86"/>
    </row>
    <row r="86" spans="1:32" ht="15" thickBot="1">
      <c r="A86" s="91" t="s">
        <v>27</v>
      </c>
      <c r="B86" s="44"/>
      <c r="C86" s="41" t="s">
        <v>28</v>
      </c>
      <c r="D86" s="41" t="s">
        <v>366</v>
      </c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90"/>
    </row>
    <row r="87" spans="1:32" ht="15" thickTop="1">
      <c r="A87" s="78" t="s">
        <v>22</v>
      </c>
      <c r="B87" s="38"/>
      <c r="C87" s="43" t="s">
        <v>23</v>
      </c>
      <c r="D87" s="43" t="s">
        <v>365</v>
      </c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92"/>
    </row>
    <row r="88" spans="1:32">
      <c r="A88" s="81" t="s">
        <v>22</v>
      </c>
      <c r="B88" s="31"/>
      <c r="C88" t="s">
        <v>23</v>
      </c>
      <c r="AF88" s="86"/>
    </row>
    <row r="89" spans="1:32">
      <c r="A89" s="81" t="s">
        <v>22</v>
      </c>
      <c r="B89" s="31"/>
      <c r="C89" t="s">
        <v>23</v>
      </c>
      <c r="AF89" s="86"/>
    </row>
    <row r="90" spans="1:32">
      <c r="A90" s="81" t="s">
        <v>22</v>
      </c>
      <c r="B90" s="31"/>
      <c r="C90" t="s">
        <v>23</v>
      </c>
      <c r="AF90" s="86"/>
    </row>
    <row r="91" spans="1:32" ht="15" thickBot="1">
      <c r="A91" s="91" t="s">
        <v>22</v>
      </c>
      <c r="B91" s="44"/>
      <c r="C91" s="41" t="s">
        <v>23</v>
      </c>
      <c r="D91" s="41" t="s">
        <v>366</v>
      </c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90"/>
    </row>
    <row r="92" spans="1:32" ht="15" thickTop="1">
      <c r="A92" s="78" t="s">
        <v>31</v>
      </c>
      <c r="B92" s="38"/>
      <c r="C92" s="43" t="s">
        <v>23</v>
      </c>
      <c r="D92" s="43" t="s">
        <v>365</v>
      </c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92"/>
    </row>
    <row r="93" spans="1:32">
      <c r="A93" s="81" t="s">
        <v>27</v>
      </c>
      <c r="B93" s="31"/>
      <c r="C93" t="s">
        <v>28</v>
      </c>
      <c r="AF93" s="86"/>
    </row>
    <row r="94" spans="1:32">
      <c r="A94" s="81" t="s">
        <v>31</v>
      </c>
      <c r="B94" s="31"/>
      <c r="C94" t="s">
        <v>23</v>
      </c>
      <c r="AF94" s="86"/>
    </row>
    <row r="95" spans="1:32">
      <c r="A95" s="81" t="s">
        <v>25</v>
      </c>
      <c r="B95" s="31"/>
      <c r="C95" t="s">
        <v>26</v>
      </c>
      <c r="AF95" s="86"/>
    </row>
    <row r="96" spans="1:32" ht="15" thickBot="1">
      <c r="A96" s="91" t="s">
        <v>31</v>
      </c>
      <c r="B96" s="44"/>
      <c r="C96" s="41" t="s">
        <v>23</v>
      </c>
      <c r="D96" s="41" t="s">
        <v>366</v>
      </c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90"/>
    </row>
    <row r="97" spans="1:32" ht="15" thickTop="1">
      <c r="A97" s="78" t="s">
        <v>29</v>
      </c>
      <c r="B97" s="38"/>
      <c r="C97" s="43" t="s">
        <v>30</v>
      </c>
      <c r="D97" s="43" t="s">
        <v>365</v>
      </c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92"/>
    </row>
    <row r="98" spans="1:32">
      <c r="A98" s="81" t="s">
        <v>29</v>
      </c>
      <c r="B98" s="31"/>
      <c r="C98" t="s">
        <v>30</v>
      </c>
      <c r="AF98" s="86"/>
    </row>
    <row r="99" spans="1:32">
      <c r="A99" s="81" t="s">
        <v>37</v>
      </c>
      <c r="B99" s="31"/>
      <c r="C99" t="s">
        <v>23</v>
      </c>
      <c r="AF99" s="86"/>
    </row>
    <row r="100" spans="1:32">
      <c r="A100" s="81" t="s">
        <v>27</v>
      </c>
      <c r="B100" s="31"/>
      <c r="C100" t="s">
        <v>28</v>
      </c>
      <c r="AF100" s="86"/>
    </row>
    <row r="101" spans="1:32" ht="15" thickBot="1">
      <c r="A101" s="91" t="s">
        <v>27</v>
      </c>
      <c r="B101" s="44"/>
      <c r="C101" s="41" t="s">
        <v>28</v>
      </c>
      <c r="D101" s="41" t="s">
        <v>366</v>
      </c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90"/>
    </row>
    <row r="102" spans="1:32" ht="15" thickTop="1">
      <c r="A102" s="78" t="s">
        <v>69</v>
      </c>
      <c r="B102" s="38"/>
      <c r="C102" s="43" t="s">
        <v>23</v>
      </c>
      <c r="D102" s="43" t="s">
        <v>365</v>
      </c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92"/>
    </row>
    <row r="103" spans="1:32">
      <c r="A103" s="81" t="s">
        <v>27</v>
      </c>
      <c r="B103" s="31"/>
      <c r="C103" t="s">
        <v>28</v>
      </c>
      <c r="AF103" s="86"/>
    </row>
    <row r="104" spans="1:32">
      <c r="A104" s="81" t="s">
        <v>27</v>
      </c>
      <c r="B104" s="31"/>
      <c r="C104" t="s">
        <v>28</v>
      </c>
      <c r="AF104" s="86"/>
    </row>
    <row r="105" spans="1:32">
      <c r="A105" s="81" t="s">
        <v>187</v>
      </c>
      <c r="B105" s="31"/>
      <c r="C105" t="s">
        <v>23</v>
      </c>
      <c r="AF105" s="86"/>
    </row>
    <row r="106" spans="1:32" ht="15" thickBot="1">
      <c r="A106" s="91" t="s">
        <v>69</v>
      </c>
      <c r="B106" s="44"/>
      <c r="C106" s="41" t="s">
        <v>23</v>
      </c>
      <c r="D106" s="41" t="s">
        <v>366</v>
      </c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90"/>
    </row>
    <row r="107" spans="1:32" ht="15" thickTop="1">
      <c r="A107" s="78" t="s">
        <v>89</v>
      </c>
      <c r="B107" s="38"/>
      <c r="C107" s="43" t="s">
        <v>23</v>
      </c>
      <c r="D107" s="43" t="s">
        <v>365</v>
      </c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92"/>
    </row>
    <row r="108" spans="1:32">
      <c r="A108" s="81" t="s">
        <v>27</v>
      </c>
      <c r="B108" s="31"/>
      <c r="C108" t="s">
        <v>28</v>
      </c>
      <c r="AF108" s="86"/>
    </row>
    <row r="109" spans="1:32">
      <c r="A109" s="81" t="s">
        <v>29</v>
      </c>
      <c r="B109" s="31"/>
      <c r="C109" t="s">
        <v>30</v>
      </c>
      <c r="AF109" s="86"/>
    </row>
    <row r="110" spans="1:32">
      <c r="A110" s="81" t="s">
        <v>89</v>
      </c>
      <c r="B110" s="31"/>
      <c r="C110" t="s">
        <v>23</v>
      </c>
      <c r="AF110" s="86"/>
    </row>
    <row r="111" spans="1:32" ht="15" thickBot="1">
      <c r="A111" s="91" t="s">
        <v>187</v>
      </c>
      <c r="B111" s="44"/>
      <c r="C111" s="41" t="s">
        <v>23</v>
      </c>
      <c r="D111" s="41" t="s">
        <v>366</v>
      </c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90"/>
    </row>
    <row r="112" spans="1:32" ht="15" thickTop="1">
      <c r="A112" s="78" t="s">
        <v>29</v>
      </c>
      <c r="B112" s="38"/>
      <c r="C112" s="43" t="s">
        <v>30</v>
      </c>
      <c r="D112" s="43" t="s">
        <v>365</v>
      </c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92"/>
    </row>
    <row r="113" spans="1:32">
      <c r="A113" s="81" t="s">
        <v>27</v>
      </c>
      <c r="B113" s="31"/>
      <c r="C113" t="s">
        <v>28</v>
      </c>
      <c r="AF113" s="86"/>
    </row>
    <row r="114" spans="1:32">
      <c r="A114" s="81" t="s">
        <v>139</v>
      </c>
      <c r="B114" s="31"/>
      <c r="C114" t="s">
        <v>23</v>
      </c>
      <c r="AF114" s="86"/>
    </row>
    <row r="115" spans="1:32">
      <c r="A115" s="81" t="s">
        <v>51</v>
      </c>
      <c r="B115" s="31"/>
      <c r="C115" t="s">
        <v>23</v>
      </c>
      <c r="AF115" s="86"/>
    </row>
    <row r="116" spans="1:32" ht="15" thickBot="1">
      <c r="A116" s="91" t="s">
        <v>27</v>
      </c>
      <c r="B116" s="44"/>
      <c r="C116" s="41" t="s">
        <v>28</v>
      </c>
      <c r="D116" s="41" t="s">
        <v>366</v>
      </c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90"/>
    </row>
    <row r="117" spans="1:32" ht="15" thickTop="1">
      <c r="A117" s="78" t="s">
        <v>27</v>
      </c>
      <c r="B117" s="38"/>
      <c r="C117" s="43" t="s">
        <v>28</v>
      </c>
      <c r="D117" s="43" t="s">
        <v>365</v>
      </c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92"/>
    </row>
    <row r="118" spans="1:32">
      <c r="A118" s="81" t="s">
        <v>29</v>
      </c>
      <c r="B118" s="31"/>
      <c r="C118" t="s">
        <v>30</v>
      </c>
      <c r="AF118" s="86"/>
    </row>
    <row r="119" spans="1:32">
      <c r="A119" s="81" t="s">
        <v>25</v>
      </c>
      <c r="B119" s="31"/>
      <c r="C119" t="s">
        <v>26</v>
      </c>
      <c r="AF119" s="86"/>
    </row>
    <row r="120" spans="1:32">
      <c r="A120" s="81" t="s">
        <v>29</v>
      </c>
      <c r="B120" s="31"/>
      <c r="C120" t="s">
        <v>30</v>
      </c>
      <c r="AF120" s="86"/>
    </row>
    <row r="121" spans="1:32" ht="15" thickBot="1">
      <c r="A121" s="91" t="s">
        <v>29</v>
      </c>
      <c r="B121" s="44"/>
      <c r="C121" s="41" t="s">
        <v>30</v>
      </c>
      <c r="D121" s="41" t="s">
        <v>366</v>
      </c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90"/>
    </row>
    <row r="122" spans="1:32" ht="15" thickTop="1">
      <c r="A122" s="78" t="s">
        <v>35</v>
      </c>
      <c r="B122" s="38"/>
      <c r="C122" s="43" t="s">
        <v>23</v>
      </c>
      <c r="D122" s="43" t="s">
        <v>365</v>
      </c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92"/>
    </row>
    <row r="123" spans="1:32">
      <c r="A123" s="81" t="s">
        <v>35</v>
      </c>
      <c r="B123" s="31"/>
      <c r="C123" t="s">
        <v>23</v>
      </c>
      <c r="AF123" s="86"/>
    </row>
    <row r="124" spans="1:32">
      <c r="A124" s="81" t="s">
        <v>35</v>
      </c>
      <c r="B124" s="31"/>
      <c r="C124" t="s">
        <v>23</v>
      </c>
      <c r="AF124" s="86"/>
    </row>
    <row r="125" spans="1:32">
      <c r="A125" s="81" t="s">
        <v>35</v>
      </c>
      <c r="B125" s="31"/>
      <c r="C125" t="s">
        <v>23</v>
      </c>
      <c r="AF125" s="86"/>
    </row>
    <row r="126" spans="1:32" ht="15" thickBot="1">
      <c r="A126" s="91" t="s">
        <v>29</v>
      </c>
      <c r="B126" s="44"/>
      <c r="C126" s="41" t="s">
        <v>30</v>
      </c>
      <c r="D126" s="41" t="s">
        <v>366</v>
      </c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90"/>
    </row>
    <row r="127" spans="1:32" ht="15" thickTop="1">
      <c r="A127" s="78" t="s">
        <v>35</v>
      </c>
      <c r="B127" s="38"/>
      <c r="C127" s="43" t="s">
        <v>23</v>
      </c>
      <c r="D127" s="43" t="s">
        <v>365</v>
      </c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92"/>
    </row>
    <row r="128" spans="1:32">
      <c r="A128" s="81" t="s">
        <v>35</v>
      </c>
      <c r="B128" s="31"/>
      <c r="C128" t="s">
        <v>23</v>
      </c>
      <c r="AF128" s="86"/>
    </row>
    <row r="129" spans="1:32">
      <c r="A129" s="81" t="s">
        <v>35</v>
      </c>
      <c r="B129" s="31"/>
      <c r="C129" t="s">
        <v>23</v>
      </c>
      <c r="AF129" s="86"/>
    </row>
    <row r="130" spans="1:32">
      <c r="A130" s="81" t="s">
        <v>35</v>
      </c>
      <c r="B130" s="31"/>
      <c r="C130" t="s">
        <v>23</v>
      </c>
      <c r="AF130" s="86"/>
    </row>
    <row r="131" spans="1:32" ht="15" thickBot="1">
      <c r="A131" s="91" t="s">
        <v>29</v>
      </c>
      <c r="B131" s="44"/>
      <c r="C131" s="41" t="s">
        <v>30</v>
      </c>
      <c r="D131" s="41" t="s">
        <v>366</v>
      </c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90"/>
    </row>
    <row r="132" spans="1:32" ht="15" thickTop="1">
      <c r="A132" s="78" t="s">
        <v>31</v>
      </c>
      <c r="B132" s="38"/>
      <c r="C132" s="43" t="s">
        <v>23</v>
      </c>
      <c r="D132" s="43" t="s">
        <v>365</v>
      </c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92"/>
    </row>
    <row r="133" spans="1:32">
      <c r="A133" s="81" t="s">
        <v>27</v>
      </c>
      <c r="B133" s="31"/>
      <c r="C133" t="s">
        <v>28</v>
      </c>
      <c r="AF133" s="86"/>
    </row>
    <row r="134" spans="1:32">
      <c r="A134" s="81" t="s">
        <v>29</v>
      </c>
      <c r="B134" s="31"/>
      <c r="C134" t="s">
        <v>30</v>
      </c>
      <c r="AF134" s="86"/>
    </row>
    <row r="135" spans="1:32">
      <c r="A135" s="81" t="s">
        <v>29</v>
      </c>
      <c r="B135" s="31"/>
      <c r="C135" t="s">
        <v>30</v>
      </c>
      <c r="AF135" s="86"/>
    </row>
    <row r="136" spans="1:32" ht="15" thickBot="1">
      <c r="A136" s="91" t="s">
        <v>29</v>
      </c>
      <c r="B136" s="44"/>
      <c r="C136" s="41" t="s">
        <v>30</v>
      </c>
      <c r="D136" s="41" t="s">
        <v>366</v>
      </c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90"/>
    </row>
    <row r="137" spans="1:32" ht="15" thickTop="1">
      <c r="A137" s="78" t="s">
        <v>51</v>
      </c>
      <c r="B137" s="38"/>
      <c r="C137" s="43" t="s">
        <v>23</v>
      </c>
      <c r="D137" s="43" t="s">
        <v>365</v>
      </c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92"/>
    </row>
    <row r="138" spans="1:32">
      <c r="A138" s="81" t="s">
        <v>89</v>
      </c>
      <c r="B138" s="31"/>
      <c r="C138" t="s">
        <v>23</v>
      </c>
      <c r="AF138" s="86"/>
    </row>
    <row r="139" spans="1:32">
      <c r="A139" s="81" t="s">
        <v>29</v>
      </c>
      <c r="B139" s="31"/>
      <c r="C139" t="s">
        <v>30</v>
      </c>
      <c r="AF139" s="86"/>
    </row>
    <row r="140" spans="1:32">
      <c r="A140" s="81" t="s">
        <v>51</v>
      </c>
      <c r="B140" s="31"/>
      <c r="C140" t="s">
        <v>23</v>
      </c>
      <c r="AF140" s="86"/>
    </row>
    <row r="141" spans="1:32" ht="15" thickBot="1">
      <c r="A141" s="91" t="s">
        <v>89</v>
      </c>
      <c r="B141" s="44"/>
      <c r="C141" s="41" t="s">
        <v>23</v>
      </c>
      <c r="D141" s="41" t="s">
        <v>366</v>
      </c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90"/>
    </row>
    <row r="142" spans="1:32" ht="15" thickTop="1">
      <c r="A142" s="78" t="s">
        <v>31</v>
      </c>
      <c r="B142" s="38"/>
      <c r="C142" s="43" t="s">
        <v>23</v>
      </c>
      <c r="D142" s="43" t="s">
        <v>365</v>
      </c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92"/>
    </row>
    <row r="143" spans="1:32">
      <c r="A143" s="81" t="s">
        <v>29</v>
      </c>
      <c r="B143" s="31"/>
      <c r="C143" t="s">
        <v>30</v>
      </c>
      <c r="AF143" s="86"/>
    </row>
    <row r="144" spans="1:32">
      <c r="A144" s="81" t="s">
        <v>29</v>
      </c>
      <c r="B144" s="31"/>
      <c r="C144" t="s">
        <v>30</v>
      </c>
      <c r="AF144" s="86"/>
    </row>
    <row r="145" spans="1:32">
      <c r="A145" s="81" t="s">
        <v>29</v>
      </c>
      <c r="B145" s="31"/>
      <c r="C145" t="s">
        <v>30</v>
      </c>
      <c r="AF145" s="86"/>
    </row>
    <row r="146" spans="1:32" ht="15" thickBot="1">
      <c r="A146" s="91" t="s">
        <v>27</v>
      </c>
      <c r="B146" s="44"/>
      <c r="C146" s="41" t="s">
        <v>28</v>
      </c>
      <c r="D146" s="41" t="s">
        <v>366</v>
      </c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90"/>
    </row>
    <row r="147" spans="1:32" ht="15" thickTop="1">
      <c r="A147" s="78" t="s">
        <v>27</v>
      </c>
      <c r="B147" s="38"/>
      <c r="C147" s="43" t="s">
        <v>28</v>
      </c>
      <c r="D147" s="43" t="s">
        <v>365</v>
      </c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92"/>
    </row>
    <row r="148" spans="1:32">
      <c r="A148" s="81" t="s">
        <v>25</v>
      </c>
      <c r="B148" s="31"/>
      <c r="C148" t="s">
        <v>26</v>
      </c>
      <c r="AF148" s="86"/>
    </row>
    <row r="149" spans="1:32">
      <c r="A149" s="81" t="s">
        <v>69</v>
      </c>
      <c r="B149" s="31"/>
      <c r="C149" t="s">
        <v>23</v>
      </c>
      <c r="AF149" s="86"/>
    </row>
    <row r="150" spans="1:32">
      <c r="A150" s="81" t="s">
        <v>69</v>
      </c>
      <c r="B150" s="31"/>
      <c r="C150" t="s">
        <v>23</v>
      </c>
      <c r="AF150" s="86"/>
    </row>
    <row r="151" spans="1:32" ht="15" thickBot="1">
      <c r="A151" s="91" t="s">
        <v>27</v>
      </c>
      <c r="B151" s="44"/>
      <c r="C151" s="41" t="s">
        <v>28</v>
      </c>
      <c r="D151" s="41" t="s">
        <v>366</v>
      </c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90"/>
    </row>
    <row r="152" spans="1:32" ht="15" thickTop="1">
      <c r="A152" s="78" t="s">
        <v>35</v>
      </c>
      <c r="B152" s="38"/>
      <c r="C152" s="43" t="s">
        <v>23</v>
      </c>
      <c r="D152" s="43" t="s">
        <v>365</v>
      </c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92"/>
    </row>
    <row r="153" spans="1:32">
      <c r="A153" s="81" t="s">
        <v>35</v>
      </c>
      <c r="B153" s="31"/>
      <c r="C153" t="s">
        <v>23</v>
      </c>
      <c r="AF153" s="86"/>
    </row>
    <row r="154" spans="1:32">
      <c r="A154" s="81" t="s">
        <v>35</v>
      </c>
      <c r="B154" s="31"/>
      <c r="C154" t="s">
        <v>23</v>
      </c>
      <c r="AF154" s="86"/>
    </row>
    <row r="155" spans="1:32">
      <c r="A155" s="81" t="s">
        <v>35</v>
      </c>
      <c r="B155" s="31"/>
      <c r="C155" t="s">
        <v>23</v>
      </c>
      <c r="AF155" s="86"/>
    </row>
    <row r="156" spans="1:32" ht="15" thickBot="1">
      <c r="A156" s="91" t="s">
        <v>29</v>
      </c>
      <c r="B156" s="44"/>
      <c r="C156" s="41" t="s">
        <v>30</v>
      </c>
      <c r="D156" s="41" t="s">
        <v>366</v>
      </c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90"/>
    </row>
    <row r="157" spans="1:32" ht="15" thickTop="1">
      <c r="A157" s="78" t="s">
        <v>22</v>
      </c>
      <c r="B157" s="38"/>
      <c r="C157" s="43" t="s">
        <v>23</v>
      </c>
      <c r="D157" s="43" t="s">
        <v>365</v>
      </c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92"/>
    </row>
    <row r="158" spans="1:32">
      <c r="A158" s="81" t="s">
        <v>22</v>
      </c>
      <c r="B158" s="31"/>
      <c r="C158" t="s">
        <v>23</v>
      </c>
      <c r="AF158" s="86"/>
    </row>
    <row r="159" spans="1:32">
      <c r="A159" s="81" t="s">
        <v>22</v>
      </c>
      <c r="B159" s="31"/>
      <c r="C159" t="s">
        <v>23</v>
      </c>
      <c r="AF159" s="86"/>
    </row>
    <row r="160" spans="1:32">
      <c r="A160" s="81" t="s">
        <v>22</v>
      </c>
      <c r="B160" s="31"/>
      <c r="C160" t="s">
        <v>23</v>
      </c>
      <c r="AF160" s="86"/>
    </row>
    <row r="161" spans="1:32" ht="15" thickBot="1">
      <c r="A161" s="91" t="s">
        <v>22</v>
      </c>
      <c r="B161" s="44"/>
      <c r="C161" s="41" t="s">
        <v>23</v>
      </c>
      <c r="D161" s="41" t="s">
        <v>366</v>
      </c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90"/>
    </row>
    <row r="162" spans="1:32" ht="15" thickTop="1">
      <c r="A162" s="78" t="s">
        <v>29</v>
      </c>
      <c r="B162" s="38"/>
      <c r="C162" s="43" t="s">
        <v>30</v>
      </c>
      <c r="D162" s="43" t="s">
        <v>365</v>
      </c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92"/>
    </row>
    <row r="163" spans="1:32">
      <c r="A163" s="81" t="s">
        <v>29</v>
      </c>
      <c r="B163" s="31"/>
      <c r="C163" t="s">
        <v>30</v>
      </c>
      <c r="AF163" s="86"/>
    </row>
    <row r="164" spans="1:32">
      <c r="A164" s="81" t="s">
        <v>139</v>
      </c>
      <c r="B164" s="31"/>
      <c r="C164" t="s">
        <v>23</v>
      </c>
      <c r="AF164" s="86"/>
    </row>
    <row r="165" spans="1:32">
      <c r="A165" s="81" t="s">
        <v>139</v>
      </c>
      <c r="B165" s="31"/>
      <c r="C165" t="s">
        <v>23</v>
      </c>
      <c r="AF165" s="86"/>
    </row>
    <row r="166" spans="1:32" ht="15" thickBot="1">
      <c r="A166" s="91" t="s">
        <v>29</v>
      </c>
      <c r="B166" s="44"/>
      <c r="C166" s="41" t="s">
        <v>30</v>
      </c>
      <c r="D166" s="41" t="s">
        <v>366</v>
      </c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90"/>
    </row>
    <row r="167" spans="1:32" ht="15" thickTop="1">
      <c r="A167" s="78" t="s">
        <v>22</v>
      </c>
      <c r="B167" s="38"/>
      <c r="C167" s="43" t="s">
        <v>23</v>
      </c>
      <c r="D167" s="43" t="s">
        <v>365</v>
      </c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92"/>
    </row>
    <row r="168" spans="1:32">
      <c r="A168" s="81" t="s">
        <v>29</v>
      </c>
      <c r="B168" s="31"/>
      <c r="C168" t="s">
        <v>30</v>
      </c>
      <c r="AF168" s="86"/>
    </row>
    <row r="169" spans="1:32">
      <c r="A169" s="81" t="s">
        <v>29</v>
      </c>
      <c r="B169" s="31"/>
      <c r="C169" t="s">
        <v>30</v>
      </c>
      <c r="AF169" s="86"/>
    </row>
    <row r="170" spans="1:32">
      <c r="A170" s="81" t="s">
        <v>22</v>
      </c>
      <c r="B170" s="31"/>
      <c r="C170" t="s">
        <v>23</v>
      </c>
      <c r="AF170" s="86"/>
    </row>
    <row r="171" spans="1:32" ht="15" thickBot="1">
      <c r="A171" s="91" t="s">
        <v>22</v>
      </c>
      <c r="B171" s="44"/>
      <c r="C171" s="41" t="s">
        <v>23</v>
      </c>
      <c r="D171" s="41" t="s">
        <v>366</v>
      </c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90"/>
    </row>
    <row r="172" spans="1:32" ht="15" thickTop="1">
      <c r="A172" s="78" t="s">
        <v>29</v>
      </c>
      <c r="B172" s="38"/>
      <c r="C172" s="43" t="s">
        <v>30</v>
      </c>
      <c r="D172" s="43" t="s">
        <v>365</v>
      </c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92"/>
    </row>
    <row r="173" spans="1:32">
      <c r="A173" s="81" t="s">
        <v>35</v>
      </c>
      <c r="B173" s="31"/>
      <c r="C173" t="s">
        <v>23</v>
      </c>
      <c r="AF173" s="86"/>
    </row>
    <row r="174" spans="1:32">
      <c r="A174" s="81" t="s">
        <v>29</v>
      </c>
      <c r="B174" s="31"/>
      <c r="C174" t="s">
        <v>30</v>
      </c>
      <c r="AF174" s="86"/>
    </row>
    <row r="175" spans="1:32">
      <c r="A175" s="81" t="s">
        <v>29</v>
      </c>
      <c r="B175" s="31"/>
      <c r="C175" t="s">
        <v>30</v>
      </c>
      <c r="AF175" s="86"/>
    </row>
    <row r="176" spans="1:32" ht="15" thickBot="1">
      <c r="A176" s="91" t="s">
        <v>27</v>
      </c>
      <c r="B176" s="44"/>
      <c r="C176" s="41" t="s">
        <v>28</v>
      </c>
      <c r="D176" s="41" t="s">
        <v>366</v>
      </c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90"/>
    </row>
    <row r="177" spans="1:32" ht="15" thickTop="1">
      <c r="A177" s="78" t="s">
        <v>31</v>
      </c>
      <c r="B177" s="38"/>
      <c r="C177" s="43" t="s">
        <v>23</v>
      </c>
      <c r="D177" s="43" t="s">
        <v>365</v>
      </c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92"/>
    </row>
    <row r="178" spans="1:32">
      <c r="A178" s="81" t="s">
        <v>29</v>
      </c>
      <c r="B178" s="31"/>
      <c r="C178" t="s">
        <v>30</v>
      </c>
      <c r="AF178" s="86"/>
    </row>
    <row r="179" spans="1:32">
      <c r="A179" s="81" t="s">
        <v>29</v>
      </c>
      <c r="B179" s="31"/>
      <c r="C179" t="s">
        <v>30</v>
      </c>
      <c r="AF179" s="86"/>
    </row>
    <row r="180" spans="1:32">
      <c r="A180" s="81" t="s">
        <v>29</v>
      </c>
      <c r="B180" s="31"/>
      <c r="C180" t="s">
        <v>30</v>
      </c>
      <c r="AF180" s="86"/>
    </row>
    <row r="181" spans="1:32" ht="15" thickBot="1">
      <c r="A181" s="91" t="s">
        <v>29</v>
      </c>
      <c r="B181" s="44"/>
      <c r="C181" s="41" t="s">
        <v>30</v>
      </c>
      <c r="D181" s="41" t="s">
        <v>366</v>
      </c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90"/>
    </row>
    <row r="182" spans="1:32" ht="15" thickTop="1">
      <c r="A182" s="78" t="s">
        <v>51</v>
      </c>
      <c r="B182" s="38"/>
      <c r="C182" s="43" t="s">
        <v>23</v>
      </c>
      <c r="D182" s="43" t="s">
        <v>365</v>
      </c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92"/>
    </row>
    <row r="183" spans="1:32">
      <c r="A183" s="81" t="s">
        <v>29</v>
      </c>
      <c r="B183" s="31"/>
      <c r="C183" t="s">
        <v>30</v>
      </c>
      <c r="AF183" s="86"/>
    </row>
    <row r="184" spans="1:32">
      <c r="A184" s="81" t="s">
        <v>22</v>
      </c>
      <c r="B184" s="31"/>
      <c r="C184" t="s">
        <v>23</v>
      </c>
      <c r="AF184" s="86"/>
    </row>
    <row r="185" spans="1:32">
      <c r="A185" s="81" t="s">
        <v>35</v>
      </c>
      <c r="B185" s="31"/>
      <c r="C185" t="s">
        <v>23</v>
      </c>
      <c r="AF185" s="86"/>
    </row>
    <row r="186" spans="1:32" ht="15" thickBot="1">
      <c r="A186" s="91" t="s">
        <v>22</v>
      </c>
      <c r="B186" s="44"/>
      <c r="C186" s="41" t="s">
        <v>23</v>
      </c>
      <c r="D186" s="41" t="s">
        <v>366</v>
      </c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90"/>
    </row>
    <row r="187" spans="1:32" ht="15" thickTop="1">
      <c r="A187" s="78" t="s">
        <v>35</v>
      </c>
      <c r="B187" s="38"/>
      <c r="C187" s="43" t="s">
        <v>23</v>
      </c>
      <c r="D187" s="43" t="s">
        <v>365</v>
      </c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92"/>
    </row>
    <row r="188" spans="1:32">
      <c r="A188" s="81" t="s">
        <v>35</v>
      </c>
      <c r="B188" s="31"/>
      <c r="C188" t="s">
        <v>23</v>
      </c>
      <c r="AF188" s="86"/>
    </row>
    <row r="189" spans="1:32">
      <c r="A189" s="81" t="s">
        <v>27</v>
      </c>
      <c r="B189" s="31"/>
      <c r="C189" t="s">
        <v>28</v>
      </c>
      <c r="AF189" s="86"/>
    </row>
    <row r="190" spans="1:32">
      <c r="A190" s="81" t="s">
        <v>27</v>
      </c>
      <c r="B190" s="31"/>
      <c r="C190" t="s">
        <v>28</v>
      </c>
      <c r="AF190" s="86"/>
    </row>
    <row r="191" spans="1:32" ht="15" thickBot="1">
      <c r="A191" s="91" t="s">
        <v>35</v>
      </c>
      <c r="B191" s="44"/>
      <c r="C191" s="41" t="s">
        <v>23</v>
      </c>
      <c r="D191" s="41" t="s">
        <v>366</v>
      </c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90"/>
    </row>
    <row r="192" spans="1:32" ht="15" thickTop="1">
      <c r="A192" s="78" t="s">
        <v>29</v>
      </c>
      <c r="B192" s="38"/>
      <c r="C192" s="43" t="s">
        <v>30</v>
      </c>
      <c r="D192" s="43" t="s">
        <v>365</v>
      </c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92"/>
    </row>
    <row r="193" spans="1:32">
      <c r="A193" s="81" t="s">
        <v>35</v>
      </c>
      <c r="B193" s="31"/>
      <c r="C193" t="s">
        <v>23</v>
      </c>
      <c r="AF193" s="86"/>
    </row>
    <row r="194" spans="1:32">
      <c r="A194" s="81" t="s">
        <v>27</v>
      </c>
      <c r="B194" s="31"/>
      <c r="C194" t="s">
        <v>28</v>
      </c>
      <c r="AF194" s="86"/>
    </row>
    <row r="195" spans="1:32">
      <c r="A195" s="81" t="s">
        <v>31</v>
      </c>
      <c r="B195" s="31"/>
      <c r="C195" t="s">
        <v>23</v>
      </c>
      <c r="AF195" s="86"/>
    </row>
    <row r="196" spans="1:32" ht="15" thickBot="1">
      <c r="A196" s="91" t="s">
        <v>29</v>
      </c>
      <c r="B196" s="44"/>
      <c r="C196" s="41" t="s">
        <v>30</v>
      </c>
      <c r="D196" s="41" t="s">
        <v>366</v>
      </c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90"/>
    </row>
    <row r="197" spans="1:32" ht="15" thickTop="1">
      <c r="A197" s="78" t="s">
        <v>64</v>
      </c>
      <c r="B197" s="38"/>
      <c r="C197" s="43" t="s">
        <v>23</v>
      </c>
      <c r="D197" s="43" t="s">
        <v>365</v>
      </c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92"/>
    </row>
    <row r="198" spans="1:32">
      <c r="A198" s="81" t="s">
        <v>64</v>
      </c>
      <c r="B198" s="31"/>
      <c r="C198" t="s">
        <v>23</v>
      </c>
      <c r="AF198" s="86"/>
    </row>
    <row r="199" spans="1:32">
      <c r="A199" s="81" t="s">
        <v>22</v>
      </c>
      <c r="B199" s="31"/>
      <c r="C199" t="s">
        <v>23</v>
      </c>
      <c r="AF199" s="86"/>
    </row>
    <row r="200" spans="1:32">
      <c r="A200" s="81" t="s">
        <v>51</v>
      </c>
      <c r="B200" s="31"/>
      <c r="C200" t="s">
        <v>23</v>
      </c>
      <c r="AF200" s="86"/>
    </row>
    <row r="201" spans="1:32" ht="15" thickBot="1">
      <c r="A201" s="91" t="s">
        <v>27</v>
      </c>
      <c r="B201" s="44"/>
      <c r="C201" s="41" t="s">
        <v>28</v>
      </c>
      <c r="D201" s="41" t="s">
        <v>366</v>
      </c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90"/>
    </row>
    <row r="202" spans="1:32" ht="15" thickTop="1">
      <c r="A202" s="78" t="s">
        <v>35</v>
      </c>
      <c r="B202" s="38"/>
      <c r="C202" s="43" t="s">
        <v>23</v>
      </c>
      <c r="D202" s="43" t="s">
        <v>365</v>
      </c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92"/>
    </row>
    <row r="203" spans="1:32">
      <c r="A203" s="81" t="s">
        <v>35</v>
      </c>
      <c r="B203" s="31"/>
      <c r="C203" t="s">
        <v>23</v>
      </c>
      <c r="AF203" s="86"/>
    </row>
    <row r="204" spans="1:32">
      <c r="A204" s="81" t="s">
        <v>35</v>
      </c>
      <c r="B204" s="31"/>
      <c r="C204" t="s">
        <v>23</v>
      </c>
      <c r="AF204" s="86"/>
    </row>
    <row r="205" spans="1:32">
      <c r="A205" s="81" t="s">
        <v>35</v>
      </c>
      <c r="B205" s="31"/>
      <c r="C205" t="s">
        <v>23</v>
      </c>
      <c r="AF205" s="86"/>
    </row>
    <row r="206" spans="1:32" ht="15" thickBot="1">
      <c r="A206" s="91" t="s">
        <v>35</v>
      </c>
      <c r="B206" s="44"/>
      <c r="C206" s="41" t="s">
        <v>23</v>
      </c>
      <c r="D206" s="41" t="s">
        <v>366</v>
      </c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90"/>
    </row>
    <row r="207" spans="1:32" ht="15" thickTop="1">
      <c r="A207" s="78" t="s">
        <v>35</v>
      </c>
      <c r="B207" s="38"/>
      <c r="C207" s="43" t="s">
        <v>23</v>
      </c>
      <c r="D207" s="43" t="s">
        <v>365</v>
      </c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92"/>
    </row>
    <row r="208" spans="1:32">
      <c r="A208" s="81" t="s">
        <v>35</v>
      </c>
      <c r="B208" s="31"/>
      <c r="C208" t="s">
        <v>23</v>
      </c>
      <c r="AF208" s="86"/>
    </row>
    <row r="209" spans="1:32">
      <c r="A209" s="81" t="s">
        <v>35</v>
      </c>
      <c r="B209" s="31"/>
      <c r="C209" t="s">
        <v>23</v>
      </c>
      <c r="AF209" s="86"/>
    </row>
    <row r="210" spans="1:32">
      <c r="A210" s="81" t="s">
        <v>35</v>
      </c>
      <c r="B210" s="31"/>
      <c r="C210" t="s">
        <v>23</v>
      </c>
      <c r="AF210" s="86"/>
    </row>
    <row r="211" spans="1:32" ht="15" thickBot="1">
      <c r="A211" s="91" t="s">
        <v>153</v>
      </c>
      <c r="B211" s="44"/>
      <c r="C211" s="41" t="s">
        <v>23</v>
      </c>
      <c r="D211" s="41" t="s">
        <v>366</v>
      </c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90"/>
    </row>
    <row r="212" spans="1:32" ht="15" thickTop="1">
      <c r="A212" s="78" t="s">
        <v>27</v>
      </c>
      <c r="B212" s="38"/>
      <c r="C212" s="43" t="s">
        <v>28</v>
      </c>
      <c r="D212" s="43" t="s">
        <v>365</v>
      </c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92"/>
    </row>
    <row r="213" spans="1:32">
      <c r="A213" s="81" t="s">
        <v>29</v>
      </c>
      <c r="B213" s="31"/>
      <c r="C213" t="s">
        <v>30</v>
      </c>
      <c r="AF213" s="86"/>
    </row>
    <row r="214" spans="1:32">
      <c r="A214" s="81" t="s">
        <v>29</v>
      </c>
      <c r="B214" s="31"/>
      <c r="C214" t="s">
        <v>30</v>
      </c>
      <c r="AF214" s="86"/>
    </row>
    <row r="215" spans="1:32">
      <c r="A215" s="81" t="s">
        <v>95</v>
      </c>
      <c r="B215" s="31"/>
      <c r="C215" t="s">
        <v>23</v>
      </c>
      <c r="AF215" s="86"/>
    </row>
    <row r="216" spans="1:32" ht="15" thickBot="1">
      <c r="A216" s="91" t="s">
        <v>95</v>
      </c>
      <c r="B216" s="44"/>
      <c r="C216" s="41" t="s">
        <v>23</v>
      </c>
      <c r="D216" s="41" t="s">
        <v>366</v>
      </c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90"/>
    </row>
    <row r="217" spans="1:32" ht="15" thickTop="1">
      <c r="A217" s="78" t="s">
        <v>89</v>
      </c>
      <c r="B217" s="38"/>
      <c r="C217" s="43" t="s">
        <v>23</v>
      </c>
      <c r="D217" s="43" t="s">
        <v>365</v>
      </c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92"/>
    </row>
    <row r="218" spans="1:32">
      <c r="A218" s="81" t="s">
        <v>27</v>
      </c>
      <c r="B218" s="31"/>
      <c r="C218" t="s">
        <v>28</v>
      </c>
      <c r="AF218" s="86"/>
    </row>
    <row r="219" spans="1:32">
      <c r="A219" s="81" t="s">
        <v>95</v>
      </c>
      <c r="B219" s="31"/>
      <c r="C219" t="s">
        <v>23</v>
      </c>
      <c r="AF219" s="86"/>
    </row>
    <row r="220" spans="1:32">
      <c r="A220" s="81" t="s">
        <v>35</v>
      </c>
      <c r="B220" s="31"/>
      <c r="C220" t="s">
        <v>23</v>
      </c>
      <c r="AF220" s="86"/>
    </row>
    <row r="221" spans="1:32" ht="15" thickBot="1">
      <c r="A221" s="91" t="s">
        <v>89</v>
      </c>
      <c r="B221" s="44"/>
      <c r="C221" s="41" t="s">
        <v>23</v>
      </c>
      <c r="D221" s="41" t="s">
        <v>366</v>
      </c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90"/>
    </row>
    <row r="222" spans="1:32" ht="15" thickTop="1">
      <c r="A222" s="78" t="s">
        <v>31</v>
      </c>
      <c r="B222" s="38"/>
      <c r="C222" s="43" t="s">
        <v>23</v>
      </c>
      <c r="D222" s="43" t="s">
        <v>365</v>
      </c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92"/>
    </row>
    <row r="223" spans="1:32">
      <c r="A223" s="81" t="s">
        <v>29</v>
      </c>
      <c r="B223" s="31"/>
      <c r="C223" t="s">
        <v>30</v>
      </c>
      <c r="AF223" s="86"/>
    </row>
    <row r="224" spans="1:32">
      <c r="A224" s="81" t="s">
        <v>35</v>
      </c>
      <c r="B224" s="31"/>
      <c r="C224" t="s">
        <v>23</v>
      </c>
      <c r="AF224" s="86"/>
    </row>
    <row r="225" spans="1:32">
      <c r="A225" s="81" t="s">
        <v>89</v>
      </c>
      <c r="B225" s="31"/>
      <c r="C225" t="s">
        <v>23</v>
      </c>
      <c r="AF225" s="86"/>
    </row>
    <row r="226" spans="1:32" ht="15" thickBot="1">
      <c r="A226" s="91" t="s">
        <v>27</v>
      </c>
      <c r="B226" s="44"/>
      <c r="C226" s="41" t="s">
        <v>28</v>
      </c>
      <c r="D226" s="41" t="s">
        <v>366</v>
      </c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90"/>
    </row>
    <row r="227" spans="1:32" ht="15" thickTop="1">
      <c r="A227" s="78" t="s">
        <v>64</v>
      </c>
      <c r="B227" s="38"/>
      <c r="C227" s="43" t="s">
        <v>23</v>
      </c>
      <c r="D227" s="43" t="s">
        <v>365</v>
      </c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92"/>
    </row>
    <row r="228" spans="1:32">
      <c r="A228" s="81" t="s">
        <v>64</v>
      </c>
      <c r="B228" s="31"/>
      <c r="C228" t="s">
        <v>23</v>
      </c>
      <c r="AF228" s="86"/>
    </row>
    <row r="229" spans="1:32">
      <c r="A229" s="81" t="s">
        <v>95</v>
      </c>
      <c r="B229" s="31"/>
      <c r="C229" t="s">
        <v>23</v>
      </c>
      <c r="AF229" s="86"/>
    </row>
    <row r="230" spans="1:32">
      <c r="A230" s="81" t="s">
        <v>27</v>
      </c>
      <c r="B230" s="31"/>
      <c r="C230" t="s">
        <v>28</v>
      </c>
      <c r="AF230" s="86"/>
    </row>
    <row r="231" spans="1:32" ht="15" thickBot="1">
      <c r="A231" s="91" t="s">
        <v>29</v>
      </c>
      <c r="B231" s="44"/>
      <c r="C231" s="41" t="s">
        <v>30</v>
      </c>
      <c r="D231" s="41" t="s">
        <v>366</v>
      </c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90"/>
    </row>
    <row r="232" spans="1:32" ht="15" thickTop="1">
      <c r="A232" s="78" t="s">
        <v>35</v>
      </c>
      <c r="B232" s="38"/>
      <c r="C232" s="43" t="s">
        <v>23</v>
      </c>
      <c r="D232" s="43" t="s">
        <v>365</v>
      </c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92"/>
    </row>
    <row r="233" spans="1:32">
      <c r="A233" s="81" t="s">
        <v>69</v>
      </c>
      <c r="B233" s="31"/>
      <c r="C233" t="s">
        <v>23</v>
      </c>
      <c r="AF233" s="86"/>
    </row>
    <row r="234" spans="1:32">
      <c r="A234" s="81" t="s">
        <v>29</v>
      </c>
      <c r="B234" s="31"/>
      <c r="C234" t="s">
        <v>30</v>
      </c>
      <c r="AF234" s="86"/>
    </row>
    <row r="235" spans="1:32">
      <c r="A235" s="81" t="s">
        <v>29</v>
      </c>
      <c r="B235" s="31"/>
      <c r="C235" t="s">
        <v>30</v>
      </c>
      <c r="AF235" s="86"/>
    </row>
    <row r="236" spans="1:32" ht="15" thickBot="1">
      <c r="A236" s="91" t="s">
        <v>29</v>
      </c>
      <c r="B236" s="44"/>
      <c r="C236" s="41" t="s">
        <v>30</v>
      </c>
      <c r="D236" s="41" t="s">
        <v>366</v>
      </c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90"/>
    </row>
    <row r="237" spans="1:32" ht="15" thickTop="1">
      <c r="A237" s="78" t="s">
        <v>27</v>
      </c>
      <c r="B237" s="38"/>
      <c r="C237" s="43" t="s">
        <v>28</v>
      </c>
      <c r="D237" s="43" t="s">
        <v>365</v>
      </c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92"/>
    </row>
    <row r="238" spans="1:32">
      <c r="A238" s="81" t="s">
        <v>29</v>
      </c>
      <c r="B238" s="31"/>
      <c r="C238" t="s">
        <v>30</v>
      </c>
      <c r="AF238" s="86"/>
    </row>
    <row r="239" spans="1:32">
      <c r="A239" s="81" t="s">
        <v>153</v>
      </c>
      <c r="B239" s="31"/>
      <c r="C239" t="s">
        <v>23</v>
      </c>
      <c r="AF239" s="86"/>
    </row>
    <row r="240" spans="1:32">
      <c r="A240" s="81" t="s">
        <v>153</v>
      </c>
      <c r="B240" s="31"/>
      <c r="C240" t="s">
        <v>23</v>
      </c>
      <c r="AF240" s="86"/>
    </row>
    <row r="241" spans="1:32" ht="15" thickBot="1">
      <c r="A241" s="91" t="s">
        <v>153</v>
      </c>
      <c r="B241" s="44"/>
      <c r="C241" s="41" t="s">
        <v>23</v>
      </c>
      <c r="D241" s="41" t="s">
        <v>366</v>
      </c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90"/>
    </row>
    <row r="242" spans="1:32" ht="15" thickTop="1">
      <c r="A242" s="78" t="s">
        <v>35</v>
      </c>
      <c r="B242" s="38"/>
      <c r="C242" s="43" t="s">
        <v>23</v>
      </c>
      <c r="D242" s="43" t="s">
        <v>365</v>
      </c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3"/>
      <c r="AF242" s="92"/>
    </row>
    <row r="243" spans="1:32">
      <c r="A243" s="81" t="s">
        <v>22</v>
      </c>
      <c r="B243" s="31"/>
      <c r="C243" t="s">
        <v>23</v>
      </c>
      <c r="AF243" s="86"/>
    </row>
    <row r="244" spans="1:32">
      <c r="A244" s="81" t="s">
        <v>22</v>
      </c>
      <c r="B244" s="31"/>
      <c r="C244" t="s">
        <v>23</v>
      </c>
      <c r="AF244" s="86"/>
    </row>
    <row r="245" spans="1:32">
      <c r="A245" s="81" t="s">
        <v>147</v>
      </c>
      <c r="B245" s="31"/>
      <c r="C245" t="s">
        <v>23</v>
      </c>
      <c r="AF245" s="86"/>
    </row>
    <row r="246" spans="1:32" ht="15" thickBot="1">
      <c r="A246" s="91" t="s">
        <v>95</v>
      </c>
      <c r="B246" s="44"/>
      <c r="C246" s="41" t="s">
        <v>23</v>
      </c>
      <c r="D246" s="41" t="s">
        <v>366</v>
      </c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90"/>
    </row>
    <row r="247" spans="1:32" ht="15" thickTop="1">
      <c r="A247" s="78" t="s">
        <v>29</v>
      </c>
      <c r="B247" s="38"/>
      <c r="C247" s="43" t="s">
        <v>30</v>
      </c>
      <c r="D247" s="43" t="s">
        <v>365</v>
      </c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3"/>
      <c r="AF247" s="92"/>
    </row>
    <row r="248" spans="1:32">
      <c r="A248" s="81" t="s">
        <v>95</v>
      </c>
      <c r="B248" s="31"/>
      <c r="C248" t="s">
        <v>23</v>
      </c>
      <c r="AF248" s="86"/>
    </row>
    <row r="249" spans="1:32">
      <c r="A249" s="81" t="s">
        <v>95</v>
      </c>
      <c r="B249" s="31"/>
      <c r="C249" t="s">
        <v>23</v>
      </c>
      <c r="AF249" s="86"/>
    </row>
    <row r="250" spans="1:32">
      <c r="A250" s="81" t="s">
        <v>29</v>
      </c>
      <c r="B250" s="31"/>
      <c r="C250" t="s">
        <v>30</v>
      </c>
      <c r="AF250" s="86"/>
    </row>
    <row r="251" spans="1:32" ht="15" thickBot="1">
      <c r="A251" s="91" t="s">
        <v>64</v>
      </c>
      <c r="B251" s="44"/>
      <c r="C251" s="41" t="s">
        <v>23</v>
      </c>
      <c r="D251" s="41" t="s">
        <v>366</v>
      </c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90"/>
    </row>
    <row r="252" spans="1:32" ht="15" thickTop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2"/>
  <sheetViews>
    <sheetView workbookViewId="0">
      <selection activeCell="E1" sqref="E1:F1"/>
    </sheetView>
  </sheetViews>
  <sheetFormatPr baseColWidth="10" defaultColWidth="8.83203125" defaultRowHeight="14" x14ac:dyDescent="0"/>
  <cols>
    <col min="1" max="1" width="8.83203125" bestFit="1" customWidth="1"/>
    <col min="2" max="2" width="5.6640625" bestFit="1" customWidth="1"/>
    <col min="3" max="3" width="13.83203125" bestFit="1" customWidth="1"/>
    <col min="4" max="4" width="11.1640625" bestFit="1" customWidth="1"/>
  </cols>
  <sheetData>
    <row r="1" spans="1:32" ht="16" thickTop="1" thickBot="1">
      <c r="A1" s="34" t="s">
        <v>319</v>
      </c>
      <c r="B1" s="34" t="s">
        <v>16</v>
      </c>
      <c r="C1" s="34" t="s">
        <v>320</v>
      </c>
      <c r="D1" s="34" t="s">
        <v>321</v>
      </c>
      <c r="E1" s="34" t="s">
        <v>322</v>
      </c>
      <c r="F1" s="34" t="s">
        <v>323</v>
      </c>
      <c r="G1" s="34" t="s">
        <v>324</v>
      </c>
      <c r="H1" s="34" t="s">
        <v>325</v>
      </c>
      <c r="I1" s="34" t="s">
        <v>326</v>
      </c>
      <c r="J1" s="34" t="s">
        <v>327</v>
      </c>
      <c r="K1" s="34" t="s">
        <v>328</v>
      </c>
      <c r="L1" s="34" t="s">
        <v>329</v>
      </c>
      <c r="M1" s="34" t="s">
        <v>330</v>
      </c>
      <c r="N1" s="34" t="s">
        <v>331</v>
      </c>
      <c r="O1" s="34" t="s">
        <v>332</v>
      </c>
      <c r="P1" s="34" t="s">
        <v>333</v>
      </c>
      <c r="Q1" s="34" t="s">
        <v>334</v>
      </c>
      <c r="R1" s="34" t="s">
        <v>335</v>
      </c>
      <c r="S1" s="34" t="s">
        <v>336</v>
      </c>
      <c r="T1" s="34" t="s">
        <v>337</v>
      </c>
      <c r="U1" s="34" t="s">
        <v>338</v>
      </c>
      <c r="V1" s="34" t="s">
        <v>339</v>
      </c>
      <c r="W1" s="34" t="s">
        <v>340</v>
      </c>
      <c r="X1" s="34" t="s">
        <v>341</v>
      </c>
      <c r="Y1" s="34" t="s">
        <v>342</v>
      </c>
      <c r="Z1" s="34" t="s">
        <v>343</v>
      </c>
      <c r="AA1" s="34" t="s">
        <v>344</v>
      </c>
      <c r="AB1" s="34" t="s">
        <v>345</v>
      </c>
      <c r="AC1" s="34" t="s">
        <v>346</v>
      </c>
      <c r="AD1" s="34" t="s">
        <v>347</v>
      </c>
      <c r="AE1" s="34" t="s">
        <v>348</v>
      </c>
      <c r="AF1" s="34" t="s">
        <v>349</v>
      </c>
    </row>
    <row r="2" spans="1:32" ht="15" thickTop="1">
      <c r="A2" s="108" t="s">
        <v>41</v>
      </c>
      <c r="B2" s="38"/>
      <c r="C2" s="43" t="s">
        <v>42</v>
      </c>
      <c r="D2" s="43" t="s">
        <v>365</v>
      </c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122"/>
    </row>
    <row r="3" spans="1:32">
      <c r="A3" s="111" t="s">
        <v>89</v>
      </c>
      <c r="B3" s="31"/>
      <c r="C3" t="s">
        <v>23</v>
      </c>
      <c r="AF3" s="116"/>
    </row>
    <row r="4" spans="1:32">
      <c r="A4" s="111" t="s">
        <v>29</v>
      </c>
      <c r="B4" s="31"/>
      <c r="C4" t="s">
        <v>30</v>
      </c>
      <c r="AF4" s="116"/>
    </row>
    <row r="5" spans="1:32">
      <c r="A5" s="111" t="s">
        <v>27</v>
      </c>
      <c r="B5" s="31"/>
      <c r="C5" t="s">
        <v>28</v>
      </c>
      <c r="AF5" s="116"/>
    </row>
    <row r="6" spans="1:32" ht="15" thickBot="1">
      <c r="A6" s="121" t="s">
        <v>27</v>
      </c>
      <c r="B6" s="44"/>
      <c r="C6" s="41" t="s">
        <v>28</v>
      </c>
      <c r="D6" s="41" t="s">
        <v>366</v>
      </c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120"/>
    </row>
    <row r="7" spans="1:32" ht="15" thickTop="1">
      <c r="A7" s="108" t="s">
        <v>22</v>
      </c>
      <c r="B7" s="38"/>
      <c r="C7" s="43" t="s">
        <v>23</v>
      </c>
      <c r="D7" s="43" t="s">
        <v>365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122"/>
    </row>
    <row r="8" spans="1:32">
      <c r="A8" s="111" t="s">
        <v>22</v>
      </c>
      <c r="B8" s="31"/>
      <c r="C8" t="s">
        <v>23</v>
      </c>
      <c r="AF8" s="116"/>
    </row>
    <row r="9" spans="1:32">
      <c r="A9" s="111" t="s">
        <v>51</v>
      </c>
      <c r="B9" s="31"/>
      <c r="C9" t="s">
        <v>23</v>
      </c>
      <c r="AF9" s="116"/>
    </row>
    <row r="10" spans="1:32">
      <c r="A10" s="111" t="s">
        <v>22</v>
      </c>
      <c r="B10" s="31"/>
      <c r="C10" t="s">
        <v>23</v>
      </c>
      <c r="AF10" s="116"/>
    </row>
    <row r="11" spans="1:32" ht="15" thickBot="1">
      <c r="A11" s="121" t="s">
        <v>41</v>
      </c>
      <c r="B11" s="44"/>
      <c r="C11" s="41" t="s">
        <v>42</v>
      </c>
      <c r="D11" s="41" t="s">
        <v>366</v>
      </c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120"/>
    </row>
    <row r="12" spans="1:32" ht="15" thickTop="1">
      <c r="A12" s="108" t="s">
        <v>22</v>
      </c>
      <c r="B12" s="38"/>
      <c r="C12" s="43" t="s">
        <v>23</v>
      </c>
      <c r="D12" s="43" t="s">
        <v>365</v>
      </c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122"/>
    </row>
    <row r="13" spans="1:32">
      <c r="A13" s="111" t="s">
        <v>22</v>
      </c>
      <c r="B13" s="31"/>
      <c r="C13" t="s">
        <v>23</v>
      </c>
      <c r="AF13" s="116"/>
    </row>
    <row r="14" spans="1:32">
      <c r="A14" s="111" t="s">
        <v>29</v>
      </c>
      <c r="B14" s="31"/>
      <c r="C14" t="s">
        <v>30</v>
      </c>
      <c r="AF14" s="116"/>
    </row>
    <row r="15" spans="1:32">
      <c r="A15" s="111" t="s">
        <v>22</v>
      </c>
      <c r="B15" s="31"/>
      <c r="C15" t="s">
        <v>23</v>
      </c>
      <c r="AF15" s="116"/>
    </row>
    <row r="16" spans="1:32" ht="15" thickBot="1">
      <c r="A16" s="121" t="s">
        <v>22</v>
      </c>
      <c r="B16" s="44"/>
      <c r="C16" s="41" t="s">
        <v>23</v>
      </c>
      <c r="D16" s="41" t="s">
        <v>366</v>
      </c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120"/>
    </row>
    <row r="17" spans="1:32" ht="15" thickTop="1">
      <c r="A17" s="108" t="s">
        <v>33</v>
      </c>
      <c r="B17" s="38"/>
      <c r="C17" s="43" t="s">
        <v>23</v>
      </c>
      <c r="D17" s="43" t="s">
        <v>365</v>
      </c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122"/>
    </row>
    <row r="18" spans="1:32">
      <c r="A18" s="111" t="s">
        <v>22</v>
      </c>
      <c r="B18" s="31"/>
      <c r="C18" t="s">
        <v>23</v>
      </c>
      <c r="AF18" s="116"/>
    </row>
    <row r="19" spans="1:32">
      <c r="A19" s="111" t="s">
        <v>27</v>
      </c>
      <c r="B19" s="31"/>
      <c r="C19" t="s">
        <v>28</v>
      </c>
      <c r="AF19" s="116"/>
    </row>
    <row r="20" spans="1:32">
      <c r="A20" s="111" t="s">
        <v>22</v>
      </c>
      <c r="B20" s="31"/>
      <c r="C20" t="s">
        <v>23</v>
      </c>
      <c r="AF20" s="116"/>
    </row>
    <row r="21" spans="1:32" ht="15" thickBot="1">
      <c r="A21" s="121" t="s">
        <v>22</v>
      </c>
      <c r="B21" s="44"/>
      <c r="C21" s="41" t="s">
        <v>23</v>
      </c>
      <c r="D21" s="41" t="s">
        <v>366</v>
      </c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120"/>
    </row>
    <row r="22" spans="1:32" ht="15" thickTop="1">
      <c r="A22" s="108" t="s">
        <v>29</v>
      </c>
      <c r="B22" s="38"/>
      <c r="C22" s="43" t="s">
        <v>30</v>
      </c>
      <c r="D22" s="43" t="s">
        <v>365</v>
      </c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122"/>
    </row>
    <row r="23" spans="1:32">
      <c r="A23" s="111" t="s">
        <v>29</v>
      </c>
      <c r="B23" s="31"/>
      <c r="C23" t="s">
        <v>30</v>
      </c>
      <c r="AF23" s="116"/>
    </row>
    <row r="24" spans="1:32">
      <c r="A24" s="111" t="s">
        <v>33</v>
      </c>
      <c r="B24" s="31"/>
      <c r="C24" t="s">
        <v>23</v>
      </c>
      <c r="AF24" s="116"/>
    </row>
    <row r="25" spans="1:32">
      <c r="A25" s="111" t="s">
        <v>25</v>
      </c>
      <c r="B25" s="31"/>
      <c r="C25" t="s">
        <v>26</v>
      </c>
      <c r="AF25" s="116"/>
    </row>
    <row r="26" spans="1:32" ht="15" thickBot="1">
      <c r="A26" s="121" t="s">
        <v>25</v>
      </c>
      <c r="B26" s="44"/>
      <c r="C26" s="41" t="s">
        <v>26</v>
      </c>
      <c r="D26" s="41" t="s">
        <v>366</v>
      </c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120"/>
    </row>
    <row r="27" spans="1:32" ht="15" thickTop="1">
      <c r="A27" s="108" t="s">
        <v>29</v>
      </c>
      <c r="B27" s="38"/>
      <c r="C27" s="43" t="s">
        <v>30</v>
      </c>
      <c r="D27" s="43" t="s">
        <v>365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122"/>
    </row>
    <row r="28" spans="1:32">
      <c r="A28" s="111" t="s">
        <v>31</v>
      </c>
      <c r="B28" s="31"/>
      <c r="C28" t="s">
        <v>23</v>
      </c>
      <c r="AF28" s="116"/>
    </row>
    <row r="29" spans="1:32">
      <c r="A29" s="111" t="s">
        <v>29</v>
      </c>
      <c r="B29" s="31"/>
      <c r="C29" t="s">
        <v>30</v>
      </c>
      <c r="AF29" s="116"/>
    </row>
    <row r="30" spans="1:32">
      <c r="A30" s="111" t="s">
        <v>29</v>
      </c>
      <c r="B30" s="31"/>
      <c r="C30" t="s">
        <v>30</v>
      </c>
      <c r="AF30" s="116"/>
    </row>
    <row r="31" spans="1:32" ht="15" thickBot="1">
      <c r="A31" s="121" t="s">
        <v>29</v>
      </c>
      <c r="B31" s="44"/>
      <c r="C31" s="41" t="s">
        <v>30</v>
      </c>
      <c r="D31" s="41" t="s">
        <v>366</v>
      </c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120"/>
    </row>
    <row r="32" spans="1:32" ht="15" thickTop="1">
      <c r="A32" s="108" t="s">
        <v>22</v>
      </c>
      <c r="B32" s="38"/>
      <c r="C32" s="43" t="s">
        <v>23</v>
      </c>
      <c r="D32" s="43" t="s">
        <v>365</v>
      </c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122"/>
    </row>
    <row r="33" spans="1:32">
      <c r="A33" s="111" t="s">
        <v>22</v>
      </c>
      <c r="B33" s="31"/>
      <c r="C33" t="s">
        <v>23</v>
      </c>
      <c r="AF33" s="116"/>
    </row>
    <row r="34" spans="1:32">
      <c r="A34" s="111" t="s">
        <v>29</v>
      </c>
      <c r="B34" s="31"/>
      <c r="C34" t="s">
        <v>30</v>
      </c>
      <c r="AF34" s="116"/>
    </row>
    <row r="35" spans="1:32">
      <c r="A35" s="111" t="s">
        <v>29</v>
      </c>
      <c r="B35" s="31"/>
      <c r="C35" t="s">
        <v>30</v>
      </c>
      <c r="AF35" s="116"/>
    </row>
    <row r="36" spans="1:32" ht="15" thickBot="1">
      <c r="A36" s="121" t="s">
        <v>29</v>
      </c>
      <c r="B36" s="44"/>
      <c r="C36" s="41" t="s">
        <v>30</v>
      </c>
      <c r="D36" s="41" t="s">
        <v>366</v>
      </c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120"/>
    </row>
    <row r="37" spans="1:32" ht="15" thickTop="1">
      <c r="A37" s="108" t="s">
        <v>51</v>
      </c>
      <c r="B37" s="38"/>
      <c r="C37" s="43" t="s">
        <v>23</v>
      </c>
      <c r="D37" s="43" t="s">
        <v>365</v>
      </c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122"/>
    </row>
    <row r="38" spans="1:32">
      <c r="A38" s="111" t="s">
        <v>31</v>
      </c>
      <c r="B38" s="31"/>
      <c r="C38" t="s">
        <v>23</v>
      </c>
      <c r="AF38" s="116"/>
    </row>
    <row r="39" spans="1:32">
      <c r="A39" s="111" t="s">
        <v>38</v>
      </c>
      <c r="B39" s="31"/>
      <c r="C39" t="s">
        <v>23</v>
      </c>
      <c r="AF39" s="116"/>
    </row>
    <row r="40" spans="1:32">
      <c r="A40" s="111" t="s">
        <v>35</v>
      </c>
      <c r="B40" s="31"/>
      <c r="C40" t="s">
        <v>23</v>
      </c>
      <c r="AF40" s="116"/>
    </row>
    <row r="41" spans="1:32" ht="15" thickBot="1">
      <c r="A41" s="121" t="s">
        <v>29</v>
      </c>
      <c r="B41" s="44"/>
      <c r="C41" s="41" t="s">
        <v>30</v>
      </c>
      <c r="D41" s="41" t="s">
        <v>366</v>
      </c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120"/>
    </row>
    <row r="42" spans="1:32" ht="15" thickTop="1">
      <c r="A42" s="108" t="s">
        <v>29</v>
      </c>
      <c r="B42" s="38"/>
      <c r="C42" s="43" t="s">
        <v>30</v>
      </c>
      <c r="D42" s="43" t="s">
        <v>365</v>
      </c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122"/>
    </row>
    <row r="43" spans="1:32">
      <c r="A43" s="111" t="s">
        <v>29</v>
      </c>
      <c r="B43" s="31"/>
      <c r="C43" t="s">
        <v>30</v>
      </c>
      <c r="AF43" s="116"/>
    </row>
    <row r="44" spans="1:32">
      <c r="A44" s="111" t="s">
        <v>25</v>
      </c>
      <c r="B44" s="31"/>
      <c r="C44" t="s">
        <v>26</v>
      </c>
      <c r="AF44" s="116"/>
    </row>
    <row r="45" spans="1:32">
      <c r="A45" s="111" t="s">
        <v>29</v>
      </c>
      <c r="B45" s="31"/>
      <c r="C45" t="s">
        <v>30</v>
      </c>
      <c r="AF45" s="116"/>
    </row>
    <row r="46" spans="1:32" ht="15" thickBot="1">
      <c r="A46" s="121" t="s">
        <v>27</v>
      </c>
      <c r="B46" s="44"/>
      <c r="C46" s="41" t="s">
        <v>28</v>
      </c>
      <c r="D46" s="41" t="s">
        <v>366</v>
      </c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120"/>
    </row>
    <row r="47" spans="1:32" ht="15" thickTop="1">
      <c r="A47" s="108" t="s">
        <v>35</v>
      </c>
      <c r="B47" s="38"/>
      <c r="C47" s="43" t="s">
        <v>23</v>
      </c>
      <c r="D47" s="43" t="s">
        <v>365</v>
      </c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122"/>
    </row>
    <row r="48" spans="1:32">
      <c r="A48" s="111" t="s">
        <v>31</v>
      </c>
      <c r="B48" s="31"/>
      <c r="C48" t="s">
        <v>23</v>
      </c>
      <c r="AF48" s="116"/>
    </row>
    <row r="49" spans="1:32">
      <c r="A49" s="111" t="s">
        <v>31</v>
      </c>
      <c r="B49" s="31"/>
      <c r="C49" t="s">
        <v>23</v>
      </c>
      <c r="AF49" s="116"/>
    </row>
    <row r="50" spans="1:32">
      <c r="A50" s="111" t="s">
        <v>29</v>
      </c>
      <c r="B50" s="31"/>
      <c r="C50" t="s">
        <v>30</v>
      </c>
      <c r="AF50" s="116"/>
    </row>
    <row r="51" spans="1:32" ht="15" thickBot="1">
      <c r="A51" s="121" t="s">
        <v>31</v>
      </c>
      <c r="B51" s="44"/>
      <c r="C51" s="41" t="s">
        <v>23</v>
      </c>
      <c r="D51" s="41" t="s">
        <v>366</v>
      </c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120"/>
    </row>
    <row r="52" spans="1:32" ht="15" thickTop="1">
      <c r="A52" s="108" t="s">
        <v>41</v>
      </c>
      <c r="B52" s="38"/>
      <c r="C52" s="43" t="s">
        <v>42</v>
      </c>
      <c r="D52" s="43" t="s">
        <v>365</v>
      </c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122"/>
    </row>
    <row r="53" spans="1:32">
      <c r="A53" s="111" t="s">
        <v>29</v>
      </c>
      <c r="B53" s="31"/>
      <c r="C53" t="s">
        <v>30</v>
      </c>
      <c r="AF53" s="116"/>
    </row>
    <row r="54" spans="1:32">
      <c r="A54" s="111" t="s">
        <v>147</v>
      </c>
      <c r="B54" s="31"/>
      <c r="C54" t="s">
        <v>23</v>
      </c>
      <c r="AF54" s="116"/>
    </row>
    <row r="55" spans="1:32">
      <c r="A55" s="111" t="s">
        <v>147</v>
      </c>
      <c r="B55" s="31"/>
      <c r="C55" t="s">
        <v>23</v>
      </c>
      <c r="AF55" s="116"/>
    </row>
    <row r="56" spans="1:32" ht="15" thickBot="1">
      <c r="A56" s="121" t="s">
        <v>69</v>
      </c>
      <c r="B56" s="44"/>
      <c r="C56" s="41" t="s">
        <v>23</v>
      </c>
      <c r="D56" s="41" t="s">
        <v>366</v>
      </c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120"/>
    </row>
    <row r="57" spans="1:32" ht="15" thickTop="1">
      <c r="A57" s="108" t="s">
        <v>27</v>
      </c>
      <c r="B57" s="38"/>
      <c r="C57" s="43" t="s">
        <v>28</v>
      </c>
      <c r="D57" s="43" t="s">
        <v>365</v>
      </c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122"/>
    </row>
    <row r="58" spans="1:32">
      <c r="A58" s="111" t="s">
        <v>29</v>
      </c>
      <c r="B58" s="31"/>
      <c r="C58" t="s">
        <v>30</v>
      </c>
      <c r="AF58" s="116"/>
    </row>
    <row r="59" spans="1:32">
      <c r="A59" s="111" t="s">
        <v>31</v>
      </c>
      <c r="B59" s="31"/>
      <c r="C59" t="s">
        <v>23</v>
      </c>
      <c r="AF59" s="116"/>
    </row>
    <row r="60" spans="1:32">
      <c r="A60" s="111" t="s">
        <v>29</v>
      </c>
      <c r="B60" s="31"/>
      <c r="C60" t="s">
        <v>30</v>
      </c>
      <c r="AF60" s="116"/>
    </row>
    <row r="61" spans="1:32" ht="15" thickBot="1">
      <c r="A61" s="121" t="s">
        <v>29</v>
      </c>
      <c r="B61" s="44"/>
      <c r="C61" s="41" t="s">
        <v>30</v>
      </c>
      <c r="D61" s="41" t="s">
        <v>366</v>
      </c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120"/>
    </row>
    <row r="62" spans="1:32" ht="15" thickTop="1">
      <c r="A62" s="108" t="s">
        <v>22</v>
      </c>
      <c r="B62" s="38"/>
      <c r="C62" s="43" t="s">
        <v>23</v>
      </c>
      <c r="D62" s="43" t="s">
        <v>365</v>
      </c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122"/>
    </row>
    <row r="63" spans="1:32">
      <c r="A63" s="111" t="s">
        <v>27</v>
      </c>
      <c r="B63" s="31"/>
      <c r="C63" t="s">
        <v>28</v>
      </c>
      <c r="AF63" s="116"/>
    </row>
    <row r="64" spans="1:32">
      <c r="A64" s="111" t="s">
        <v>22</v>
      </c>
      <c r="B64" s="31"/>
      <c r="C64" t="s">
        <v>23</v>
      </c>
      <c r="AF64" s="116"/>
    </row>
    <row r="65" spans="1:32">
      <c r="A65" s="111" t="s">
        <v>27</v>
      </c>
      <c r="B65" s="31"/>
      <c r="C65" t="s">
        <v>28</v>
      </c>
      <c r="AF65" s="116"/>
    </row>
    <row r="66" spans="1:32" ht="15" thickBot="1">
      <c r="A66" s="121" t="s">
        <v>29</v>
      </c>
      <c r="B66" s="44"/>
      <c r="C66" s="41" t="s">
        <v>30</v>
      </c>
      <c r="D66" s="41" t="s">
        <v>366</v>
      </c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120"/>
    </row>
    <row r="67" spans="1:32" ht="15" thickTop="1">
      <c r="A67" s="108" t="s">
        <v>27</v>
      </c>
      <c r="B67" s="38"/>
      <c r="C67" s="43" t="s">
        <v>28</v>
      </c>
      <c r="D67" s="43" t="s">
        <v>365</v>
      </c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122"/>
    </row>
    <row r="68" spans="1:32">
      <c r="A68" s="111" t="s">
        <v>22</v>
      </c>
      <c r="B68" s="31"/>
      <c r="C68" t="s">
        <v>23</v>
      </c>
      <c r="AF68" s="116"/>
    </row>
    <row r="69" spans="1:32">
      <c r="A69" s="111" t="s">
        <v>25</v>
      </c>
      <c r="B69" s="31"/>
      <c r="C69" t="s">
        <v>26</v>
      </c>
      <c r="AF69" s="116"/>
    </row>
    <row r="70" spans="1:32">
      <c r="A70" s="111" t="s">
        <v>29</v>
      </c>
      <c r="B70" s="31"/>
      <c r="C70" t="s">
        <v>30</v>
      </c>
      <c r="AF70" s="116"/>
    </row>
    <row r="71" spans="1:32" ht="15" thickBot="1">
      <c r="A71" s="121" t="s">
        <v>22</v>
      </c>
      <c r="B71" s="44"/>
      <c r="C71" s="41" t="s">
        <v>23</v>
      </c>
      <c r="D71" s="41" t="s">
        <v>366</v>
      </c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120"/>
    </row>
    <row r="72" spans="1:32" ht="15" thickTop="1">
      <c r="A72" s="108" t="s">
        <v>22</v>
      </c>
      <c r="B72" s="38"/>
      <c r="C72" s="43" t="s">
        <v>23</v>
      </c>
      <c r="D72" s="43" t="s">
        <v>365</v>
      </c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122"/>
    </row>
    <row r="73" spans="1:32">
      <c r="A73" s="111" t="s">
        <v>31</v>
      </c>
      <c r="B73" s="31"/>
      <c r="C73" t="s">
        <v>23</v>
      </c>
      <c r="AF73" s="116"/>
    </row>
    <row r="74" spans="1:32">
      <c r="A74" s="111" t="s">
        <v>27</v>
      </c>
      <c r="B74" s="31"/>
      <c r="C74" t="s">
        <v>28</v>
      </c>
      <c r="AF74" s="116"/>
    </row>
    <row r="75" spans="1:32">
      <c r="A75" s="111" t="s">
        <v>22</v>
      </c>
      <c r="B75" s="31"/>
      <c r="C75" t="s">
        <v>23</v>
      </c>
      <c r="AF75" s="116"/>
    </row>
    <row r="76" spans="1:32" ht="15" thickBot="1">
      <c r="A76" s="121" t="s">
        <v>27</v>
      </c>
      <c r="B76" s="44"/>
      <c r="C76" s="41" t="s">
        <v>28</v>
      </c>
      <c r="D76" s="41" t="s">
        <v>366</v>
      </c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120"/>
    </row>
    <row r="77" spans="1:32" ht="15" thickTop="1">
      <c r="A77" s="108" t="s">
        <v>31</v>
      </c>
      <c r="B77" s="38"/>
      <c r="C77" s="43" t="s">
        <v>23</v>
      </c>
      <c r="D77" s="43" t="s">
        <v>365</v>
      </c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122"/>
    </row>
    <row r="78" spans="1:32">
      <c r="A78" s="111" t="s">
        <v>29</v>
      </c>
      <c r="B78" s="31"/>
      <c r="C78" t="s">
        <v>30</v>
      </c>
      <c r="AF78" s="116"/>
    </row>
    <row r="79" spans="1:32">
      <c r="A79" s="111" t="s">
        <v>29</v>
      </c>
      <c r="B79" s="31"/>
      <c r="C79" t="s">
        <v>30</v>
      </c>
      <c r="AF79" s="116"/>
    </row>
    <row r="80" spans="1:32">
      <c r="A80" s="111" t="s">
        <v>51</v>
      </c>
      <c r="B80" s="31"/>
      <c r="C80" t="s">
        <v>23</v>
      </c>
      <c r="AF80" s="116"/>
    </row>
    <row r="81" spans="1:32" ht="15" thickBot="1">
      <c r="A81" s="121" t="s">
        <v>29</v>
      </c>
      <c r="B81" s="44"/>
      <c r="C81" s="41" t="s">
        <v>30</v>
      </c>
      <c r="D81" s="41" t="s">
        <v>366</v>
      </c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120"/>
    </row>
    <row r="82" spans="1:32" ht="15" thickTop="1">
      <c r="A82" s="108" t="s">
        <v>27</v>
      </c>
      <c r="B82" s="38"/>
      <c r="C82" s="43" t="s">
        <v>28</v>
      </c>
      <c r="D82" s="43" t="s">
        <v>365</v>
      </c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122"/>
    </row>
    <row r="83" spans="1:32">
      <c r="A83" s="111" t="s">
        <v>153</v>
      </c>
      <c r="B83" s="31"/>
      <c r="C83" t="s">
        <v>23</v>
      </c>
      <c r="AF83" s="116"/>
    </row>
    <row r="84" spans="1:32">
      <c r="A84" s="111" t="s">
        <v>27</v>
      </c>
      <c r="B84" s="31"/>
      <c r="C84" t="s">
        <v>28</v>
      </c>
      <c r="AF84" s="116"/>
    </row>
    <row r="85" spans="1:32">
      <c r="A85" s="111" t="s">
        <v>25</v>
      </c>
      <c r="B85" s="31"/>
      <c r="C85" t="s">
        <v>26</v>
      </c>
      <c r="AF85" s="116"/>
    </row>
    <row r="86" spans="1:32" ht="15" thickBot="1">
      <c r="A86" s="121" t="s">
        <v>35</v>
      </c>
      <c r="B86" s="44"/>
      <c r="C86" s="41" t="s">
        <v>23</v>
      </c>
      <c r="D86" s="41" t="s">
        <v>366</v>
      </c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120"/>
    </row>
    <row r="87" spans="1:32" ht="15" thickTop="1">
      <c r="A87" s="108" t="s">
        <v>157</v>
      </c>
      <c r="B87" s="38"/>
      <c r="C87" s="43" t="s">
        <v>23</v>
      </c>
      <c r="D87" s="43" t="s">
        <v>365</v>
      </c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122"/>
    </row>
    <row r="88" spans="1:32">
      <c r="A88" s="111" t="s">
        <v>157</v>
      </c>
      <c r="B88" s="31"/>
      <c r="C88" t="s">
        <v>23</v>
      </c>
      <c r="AF88" s="116"/>
    </row>
    <row r="89" spans="1:32">
      <c r="A89" s="111" t="s">
        <v>157</v>
      </c>
      <c r="B89" s="31"/>
      <c r="C89" t="s">
        <v>23</v>
      </c>
      <c r="AF89" s="116"/>
    </row>
    <row r="90" spans="1:32">
      <c r="A90" s="111" t="s">
        <v>157</v>
      </c>
      <c r="B90" s="31"/>
      <c r="C90" t="s">
        <v>23</v>
      </c>
      <c r="AF90" s="116"/>
    </row>
    <row r="91" spans="1:32" ht="15" thickBot="1">
      <c r="A91" s="121" t="s">
        <v>157</v>
      </c>
      <c r="B91" s="44"/>
      <c r="C91" s="41" t="s">
        <v>23</v>
      </c>
      <c r="D91" s="41" t="s">
        <v>366</v>
      </c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120"/>
    </row>
    <row r="92" spans="1:32" ht="15" thickTop="1">
      <c r="A92" s="108" t="s">
        <v>29</v>
      </c>
      <c r="B92" s="38"/>
      <c r="C92" s="43" t="s">
        <v>30</v>
      </c>
      <c r="D92" s="43" t="s">
        <v>365</v>
      </c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122"/>
    </row>
    <row r="93" spans="1:32">
      <c r="A93" s="111" t="s">
        <v>31</v>
      </c>
      <c r="B93" s="31"/>
      <c r="C93" t="s">
        <v>23</v>
      </c>
      <c r="AF93" s="116"/>
    </row>
    <row r="94" spans="1:32">
      <c r="A94" s="111" t="s">
        <v>27</v>
      </c>
      <c r="B94" s="31"/>
      <c r="C94" t="s">
        <v>28</v>
      </c>
      <c r="AF94" s="116"/>
    </row>
    <row r="95" spans="1:32">
      <c r="A95" s="111" t="s">
        <v>31</v>
      </c>
      <c r="B95" s="31"/>
      <c r="C95" t="s">
        <v>23</v>
      </c>
      <c r="AF95" s="116"/>
    </row>
    <row r="96" spans="1:32" ht="15" thickBot="1">
      <c r="A96" s="121" t="s">
        <v>31</v>
      </c>
      <c r="B96" s="44"/>
      <c r="C96" s="41" t="s">
        <v>23</v>
      </c>
      <c r="D96" s="41" t="s">
        <v>366</v>
      </c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120"/>
    </row>
    <row r="97" spans="1:32" ht="15" thickTop="1">
      <c r="A97" s="108" t="s">
        <v>29</v>
      </c>
      <c r="B97" s="38"/>
      <c r="C97" s="43" t="s">
        <v>30</v>
      </c>
      <c r="D97" s="43" t="s">
        <v>365</v>
      </c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122"/>
    </row>
    <row r="98" spans="1:32">
      <c r="A98" s="111" t="s">
        <v>168</v>
      </c>
      <c r="B98" s="31"/>
      <c r="C98" t="s">
        <v>23</v>
      </c>
      <c r="AF98" s="116"/>
    </row>
    <row r="99" spans="1:32">
      <c r="A99" s="111" t="s">
        <v>29</v>
      </c>
      <c r="B99" s="31"/>
      <c r="C99" t="s">
        <v>30</v>
      </c>
      <c r="AF99" s="116"/>
    </row>
    <row r="100" spans="1:32">
      <c r="A100" s="111" t="s">
        <v>89</v>
      </c>
      <c r="B100" s="31"/>
      <c r="C100" t="s">
        <v>23</v>
      </c>
      <c r="AF100" s="116"/>
    </row>
    <row r="101" spans="1:32" ht="15" thickBot="1">
      <c r="A101" s="121" t="s">
        <v>95</v>
      </c>
      <c r="B101" s="44"/>
      <c r="C101" s="41" t="s">
        <v>23</v>
      </c>
      <c r="D101" s="41" t="s">
        <v>366</v>
      </c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120"/>
    </row>
    <row r="102" spans="1:32" ht="15" thickTop="1">
      <c r="A102" s="108" t="s">
        <v>31</v>
      </c>
      <c r="B102" s="38"/>
      <c r="C102" s="43" t="s">
        <v>23</v>
      </c>
      <c r="D102" s="43" t="s">
        <v>365</v>
      </c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122"/>
    </row>
    <row r="103" spans="1:32">
      <c r="A103" s="111" t="s">
        <v>89</v>
      </c>
      <c r="B103" s="31"/>
      <c r="C103" t="s">
        <v>23</v>
      </c>
      <c r="AF103" s="116"/>
    </row>
    <row r="104" spans="1:32">
      <c r="A104" s="111" t="s">
        <v>89</v>
      </c>
      <c r="B104" s="31"/>
      <c r="C104" t="s">
        <v>23</v>
      </c>
      <c r="AF104" s="116"/>
    </row>
    <row r="105" spans="1:32">
      <c r="A105" s="111" t="s">
        <v>35</v>
      </c>
      <c r="B105" s="31"/>
      <c r="C105" t="s">
        <v>23</v>
      </c>
      <c r="AF105" s="116"/>
    </row>
    <row r="106" spans="1:32" ht="15" thickBot="1">
      <c r="A106" s="121" t="s">
        <v>27</v>
      </c>
      <c r="B106" s="44"/>
      <c r="C106" s="41" t="s">
        <v>28</v>
      </c>
      <c r="D106" s="41" t="s">
        <v>366</v>
      </c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120"/>
    </row>
    <row r="107" spans="1:32" ht="15" thickTop="1">
      <c r="A107" s="108" t="s">
        <v>29</v>
      </c>
      <c r="B107" s="38"/>
      <c r="C107" s="43" t="s">
        <v>30</v>
      </c>
      <c r="D107" s="43" t="s">
        <v>365</v>
      </c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122"/>
    </row>
    <row r="108" spans="1:32">
      <c r="A108" s="111" t="s">
        <v>29</v>
      </c>
      <c r="B108" s="31"/>
      <c r="C108" t="s">
        <v>30</v>
      </c>
      <c r="AF108" s="116"/>
    </row>
    <row r="109" spans="1:32">
      <c r="A109" s="111" t="s">
        <v>31</v>
      </c>
      <c r="B109" s="31"/>
      <c r="C109" t="s">
        <v>23</v>
      </c>
      <c r="AF109" s="116"/>
    </row>
    <row r="110" spans="1:32">
      <c r="A110" s="111" t="s">
        <v>22</v>
      </c>
      <c r="B110" s="31"/>
      <c r="C110" t="s">
        <v>23</v>
      </c>
      <c r="AF110" s="116"/>
    </row>
    <row r="111" spans="1:32" ht="15" thickBot="1">
      <c r="A111" s="121" t="s">
        <v>27</v>
      </c>
      <c r="B111" s="44"/>
      <c r="C111" s="41" t="s">
        <v>28</v>
      </c>
      <c r="D111" s="41" t="s">
        <v>366</v>
      </c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120"/>
    </row>
    <row r="112" spans="1:32" ht="15" thickTop="1">
      <c r="A112" s="108" t="s">
        <v>22</v>
      </c>
      <c r="B112" s="38"/>
      <c r="C112" s="43" t="s">
        <v>23</v>
      </c>
      <c r="D112" s="43" t="s">
        <v>365</v>
      </c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122"/>
    </row>
    <row r="113" spans="1:32">
      <c r="A113" s="111" t="s">
        <v>22</v>
      </c>
      <c r="B113" s="31"/>
      <c r="C113" t="s">
        <v>23</v>
      </c>
      <c r="AF113" s="116"/>
    </row>
    <row r="114" spans="1:32">
      <c r="A114" s="111" t="s">
        <v>22</v>
      </c>
      <c r="B114" s="31"/>
      <c r="C114" t="s">
        <v>23</v>
      </c>
      <c r="AF114" s="116"/>
    </row>
    <row r="115" spans="1:32">
      <c r="A115" s="111" t="s">
        <v>22</v>
      </c>
      <c r="B115" s="31"/>
      <c r="C115" t="s">
        <v>23</v>
      </c>
      <c r="AF115" s="116"/>
    </row>
    <row r="116" spans="1:32" ht="15" thickBot="1">
      <c r="A116" s="121" t="s">
        <v>22</v>
      </c>
      <c r="B116" s="44"/>
      <c r="C116" s="41" t="s">
        <v>23</v>
      </c>
      <c r="D116" s="41" t="s">
        <v>366</v>
      </c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120"/>
    </row>
    <row r="117" spans="1:32" ht="15" thickTop="1">
      <c r="A117" s="108" t="s">
        <v>35</v>
      </c>
      <c r="B117" s="38"/>
      <c r="C117" s="43" t="s">
        <v>23</v>
      </c>
      <c r="D117" s="43" t="s">
        <v>365</v>
      </c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122"/>
    </row>
    <row r="118" spans="1:32">
      <c r="A118" s="111" t="s">
        <v>35</v>
      </c>
      <c r="B118" s="31"/>
      <c r="C118" t="s">
        <v>23</v>
      </c>
      <c r="AF118" s="116"/>
    </row>
    <row r="119" spans="1:32">
      <c r="A119" s="111" t="s">
        <v>35</v>
      </c>
      <c r="B119" s="31"/>
      <c r="C119" t="s">
        <v>23</v>
      </c>
      <c r="AF119" s="116"/>
    </row>
    <row r="120" spans="1:32">
      <c r="A120" s="111" t="s">
        <v>35</v>
      </c>
      <c r="B120" s="31"/>
      <c r="C120" t="s">
        <v>23</v>
      </c>
      <c r="AF120" s="116"/>
    </row>
    <row r="121" spans="1:32" ht="15" thickBot="1">
      <c r="A121" s="121" t="s">
        <v>29</v>
      </c>
      <c r="B121" s="44"/>
      <c r="C121" s="41" t="s">
        <v>30</v>
      </c>
      <c r="D121" s="41" t="s">
        <v>366</v>
      </c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120"/>
    </row>
    <row r="122" spans="1:32" ht="15" thickTop="1">
      <c r="A122" s="108" t="s">
        <v>29</v>
      </c>
      <c r="B122" s="38"/>
      <c r="C122" s="43" t="s">
        <v>30</v>
      </c>
      <c r="D122" s="43" t="s">
        <v>365</v>
      </c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122"/>
    </row>
    <row r="123" spans="1:32">
      <c r="A123" s="111" t="s">
        <v>187</v>
      </c>
      <c r="B123" s="31"/>
      <c r="C123" t="s">
        <v>23</v>
      </c>
      <c r="AF123" s="116"/>
    </row>
    <row r="124" spans="1:32">
      <c r="A124" s="111" t="s">
        <v>29</v>
      </c>
      <c r="B124" s="31"/>
      <c r="C124" t="s">
        <v>30</v>
      </c>
      <c r="AF124" s="116"/>
    </row>
    <row r="125" spans="1:32">
      <c r="A125" s="111" t="s">
        <v>29</v>
      </c>
      <c r="B125" s="31"/>
      <c r="C125" t="s">
        <v>30</v>
      </c>
      <c r="AF125" s="116"/>
    </row>
    <row r="126" spans="1:32" ht="15" thickBot="1">
      <c r="A126" s="121" t="s">
        <v>29</v>
      </c>
      <c r="B126" s="44"/>
      <c r="C126" s="41" t="s">
        <v>30</v>
      </c>
      <c r="D126" s="41" t="s">
        <v>366</v>
      </c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120"/>
    </row>
    <row r="127" spans="1:32" ht="15" thickTop="1">
      <c r="A127" s="108" t="s">
        <v>29</v>
      </c>
      <c r="B127" s="38"/>
      <c r="C127" s="43" t="s">
        <v>30</v>
      </c>
      <c r="D127" s="43" t="s">
        <v>365</v>
      </c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122"/>
    </row>
    <row r="128" spans="1:32">
      <c r="A128" s="111" t="s">
        <v>27</v>
      </c>
      <c r="B128" s="31"/>
      <c r="C128" t="s">
        <v>28</v>
      </c>
      <c r="AF128" s="116"/>
    </row>
    <row r="129" spans="1:32">
      <c r="A129" s="111" t="s">
        <v>27</v>
      </c>
      <c r="B129" s="31"/>
      <c r="C129" t="s">
        <v>28</v>
      </c>
      <c r="AF129" s="116"/>
    </row>
    <row r="130" spans="1:32">
      <c r="A130" s="111" t="s">
        <v>29</v>
      </c>
      <c r="B130" s="31"/>
      <c r="C130" t="s">
        <v>30</v>
      </c>
      <c r="AF130" s="116"/>
    </row>
    <row r="131" spans="1:32" ht="15" thickBot="1">
      <c r="A131" s="121" t="s">
        <v>139</v>
      </c>
      <c r="B131" s="44"/>
      <c r="C131" s="41" t="s">
        <v>23</v>
      </c>
      <c r="D131" s="41" t="s">
        <v>366</v>
      </c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120"/>
    </row>
    <row r="132" spans="1:32" ht="15" thickTop="1">
      <c r="A132" s="108" t="s">
        <v>51</v>
      </c>
      <c r="B132" s="38"/>
      <c r="C132" s="43" t="s">
        <v>23</v>
      </c>
      <c r="D132" s="43" t="s">
        <v>365</v>
      </c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122"/>
    </row>
    <row r="133" spans="1:32">
      <c r="A133" s="111" t="s">
        <v>29</v>
      </c>
      <c r="B133" s="31"/>
      <c r="C133" t="s">
        <v>30</v>
      </c>
      <c r="AF133" s="116"/>
    </row>
    <row r="134" spans="1:32">
      <c r="A134" s="111" t="s">
        <v>51</v>
      </c>
      <c r="B134" s="31"/>
      <c r="C134" t="s">
        <v>23</v>
      </c>
      <c r="AF134" s="116"/>
    </row>
    <row r="135" spans="1:32">
      <c r="A135" s="111" t="s">
        <v>29</v>
      </c>
      <c r="B135" s="31"/>
      <c r="C135" t="s">
        <v>30</v>
      </c>
      <c r="AF135" s="116"/>
    </row>
    <row r="136" spans="1:32" ht="15" thickBot="1">
      <c r="A136" s="121" t="s">
        <v>27</v>
      </c>
      <c r="B136" s="44"/>
      <c r="C136" s="41" t="s">
        <v>28</v>
      </c>
      <c r="D136" s="41" t="s">
        <v>366</v>
      </c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120"/>
    </row>
    <row r="137" spans="1:32" ht="15" thickTop="1">
      <c r="A137" s="108" t="s">
        <v>69</v>
      </c>
      <c r="B137" s="38"/>
      <c r="C137" s="43" t="s">
        <v>23</v>
      </c>
      <c r="D137" s="43" t="s">
        <v>365</v>
      </c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122"/>
    </row>
    <row r="138" spans="1:32">
      <c r="A138" s="111" t="s">
        <v>51</v>
      </c>
      <c r="B138" s="31"/>
      <c r="C138" t="s">
        <v>23</v>
      </c>
      <c r="AF138" s="116"/>
    </row>
    <row r="139" spans="1:32">
      <c r="A139" s="111" t="s">
        <v>51</v>
      </c>
      <c r="B139" s="31"/>
      <c r="C139" t="s">
        <v>23</v>
      </c>
      <c r="AF139" s="116"/>
    </row>
    <row r="140" spans="1:32">
      <c r="A140" s="111" t="s">
        <v>51</v>
      </c>
      <c r="B140" s="31"/>
      <c r="C140" t="s">
        <v>23</v>
      </c>
      <c r="AF140" s="116"/>
    </row>
    <row r="141" spans="1:32" ht="15" thickBot="1">
      <c r="A141" s="121" t="s">
        <v>69</v>
      </c>
      <c r="B141" s="44"/>
      <c r="C141" s="41" t="s">
        <v>23</v>
      </c>
      <c r="D141" s="41" t="s">
        <v>366</v>
      </c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120"/>
    </row>
    <row r="142" spans="1:32" ht="15" thickTop="1">
      <c r="A142" s="108" t="s">
        <v>69</v>
      </c>
      <c r="B142" s="38"/>
      <c r="C142" s="43" t="s">
        <v>23</v>
      </c>
      <c r="D142" s="43" t="s">
        <v>365</v>
      </c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122"/>
    </row>
    <row r="143" spans="1:32">
      <c r="A143" s="111" t="s">
        <v>69</v>
      </c>
      <c r="B143" s="31"/>
      <c r="C143" t="s">
        <v>23</v>
      </c>
      <c r="AF143" s="116"/>
    </row>
    <row r="144" spans="1:32">
      <c r="A144" s="111" t="s">
        <v>95</v>
      </c>
      <c r="B144" s="31"/>
      <c r="C144" t="s">
        <v>23</v>
      </c>
      <c r="AF144" s="116"/>
    </row>
    <row r="145" spans="1:32">
      <c r="A145" s="111" t="s">
        <v>27</v>
      </c>
      <c r="B145" s="31"/>
      <c r="C145" t="s">
        <v>28</v>
      </c>
      <c r="AF145" s="116"/>
    </row>
    <row r="146" spans="1:32" ht="15" thickBot="1">
      <c r="A146" s="121" t="s">
        <v>29</v>
      </c>
      <c r="B146" s="44"/>
      <c r="C146" s="41" t="s">
        <v>30</v>
      </c>
      <c r="D146" s="41" t="s">
        <v>366</v>
      </c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120"/>
    </row>
    <row r="147" spans="1:32" ht="15" thickTop="1">
      <c r="A147" s="108" t="s">
        <v>22</v>
      </c>
      <c r="B147" s="38"/>
      <c r="C147" s="43" t="s">
        <v>23</v>
      </c>
      <c r="D147" s="43" t="s">
        <v>365</v>
      </c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122"/>
    </row>
    <row r="148" spans="1:32">
      <c r="A148" s="111" t="s">
        <v>155</v>
      </c>
      <c r="B148" s="31"/>
      <c r="C148" t="s">
        <v>23</v>
      </c>
      <c r="AF148" s="116"/>
    </row>
    <row r="149" spans="1:32">
      <c r="A149" s="111" t="s">
        <v>22</v>
      </c>
      <c r="B149" s="31"/>
      <c r="C149" t="s">
        <v>23</v>
      </c>
      <c r="AF149" s="116"/>
    </row>
    <row r="150" spans="1:32">
      <c r="A150" s="111" t="s">
        <v>27</v>
      </c>
      <c r="B150" s="31"/>
      <c r="C150" t="s">
        <v>28</v>
      </c>
      <c r="AF150" s="116"/>
    </row>
    <row r="151" spans="1:32" ht="15" thickBot="1">
      <c r="A151" s="121" t="s">
        <v>22</v>
      </c>
      <c r="B151" s="44"/>
      <c r="C151" s="41" t="s">
        <v>23</v>
      </c>
      <c r="D151" s="41" t="s">
        <v>366</v>
      </c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120"/>
    </row>
    <row r="152" spans="1:32" ht="15" thickTop="1">
      <c r="A152" s="108" t="s">
        <v>27</v>
      </c>
      <c r="B152" s="38"/>
      <c r="C152" s="43" t="s">
        <v>28</v>
      </c>
      <c r="D152" s="43" t="s">
        <v>365</v>
      </c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122"/>
    </row>
    <row r="153" spans="1:32">
      <c r="A153" s="111" t="s">
        <v>29</v>
      </c>
      <c r="B153" s="31"/>
      <c r="C153" t="s">
        <v>30</v>
      </c>
      <c r="AF153" s="116"/>
    </row>
    <row r="154" spans="1:32">
      <c r="A154" s="111" t="s">
        <v>27</v>
      </c>
      <c r="B154" s="31"/>
      <c r="C154" t="s">
        <v>28</v>
      </c>
      <c r="AF154" s="116"/>
    </row>
    <row r="155" spans="1:32">
      <c r="A155" s="111" t="s">
        <v>29</v>
      </c>
      <c r="B155" s="31"/>
      <c r="C155" t="s">
        <v>30</v>
      </c>
      <c r="AF155" s="116"/>
    </row>
    <row r="156" spans="1:32" ht="15" thickBot="1">
      <c r="A156" s="121" t="s">
        <v>29</v>
      </c>
      <c r="B156" s="44"/>
      <c r="C156" s="41" t="s">
        <v>30</v>
      </c>
      <c r="D156" s="41" t="s">
        <v>366</v>
      </c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120"/>
    </row>
    <row r="157" spans="1:32" ht="15" thickTop="1">
      <c r="A157" s="108" t="s">
        <v>22</v>
      </c>
      <c r="B157" s="38"/>
      <c r="C157" s="43" t="s">
        <v>23</v>
      </c>
      <c r="D157" s="43" t="s">
        <v>365</v>
      </c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122"/>
    </row>
    <row r="158" spans="1:32">
      <c r="A158" s="111" t="s">
        <v>168</v>
      </c>
      <c r="B158" s="31"/>
      <c r="C158" t="s">
        <v>23</v>
      </c>
      <c r="AF158" s="116"/>
    </row>
    <row r="159" spans="1:32">
      <c r="A159" s="111" t="s">
        <v>168</v>
      </c>
      <c r="B159" s="31"/>
      <c r="C159" t="s">
        <v>23</v>
      </c>
      <c r="AF159" s="116"/>
    </row>
    <row r="160" spans="1:32">
      <c r="A160" s="111" t="s">
        <v>51</v>
      </c>
      <c r="B160" s="31"/>
      <c r="C160" t="s">
        <v>23</v>
      </c>
      <c r="AF160" s="116"/>
    </row>
    <row r="161" spans="1:32" ht="15" thickBot="1">
      <c r="A161" s="121" t="s">
        <v>51</v>
      </c>
      <c r="B161" s="44"/>
      <c r="C161" s="41" t="s">
        <v>23</v>
      </c>
      <c r="D161" s="41" t="s">
        <v>366</v>
      </c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120"/>
    </row>
    <row r="162" spans="1:32" ht="15" thickTop="1">
      <c r="A162" s="108" t="s">
        <v>22</v>
      </c>
      <c r="B162" s="38"/>
      <c r="C162" s="43" t="s">
        <v>23</v>
      </c>
      <c r="D162" s="43" t="s">
        <v>365</v>
      </c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122"/>
    </row>
    <row r="163" spans="1:32">
      <c r="A163" s="111" t="s">
        <v>22</v>
      </c>
      <c r="B163" s="31"/>
      <c r="C163" t="s">
        <v>23</v>
      </c>
      <c r="AF163" s="116"/>
    </row>
    <row r="164" spans="1:32">
      <c r="A164" s="111" t="s">
        <v>22</v>
      </c>
      <c r="B164" s="31"/>
      <c r="C164" t="s">
        <v>23</v>
      </c>
      <c r="AF164" s="116"/>
    </row>
    <row r="165" spans="1:32">
      <c r="A165" s="111" t="s">
        <v>29</v>
      </c>
      <c r="B165" s="31"/>
      <c r="C165" t="s">
        <v>30</v>
      </c>
      <c r="AF165" s="116"/>
    </row>
    <row r="166" spans="1:32" ht="15" thickBot="1">
      <c r="A166" s="121" t="s">
        <v>27</v>
      </c>
      <c r="B166" s="44"/>
      <c r="C166" s="41" t="s">
        <v>28</v>
      </c>
      <c r="D166" s="41" t="s">
        <v>366</v>
      </c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120"/>
    </row>
    <row r="167" spans="1:32" ht="15" thickTop="1">
      <c r="A167" s="108" t="s">
        <v>153</v>
      </c>
      <c r="B167" s="38"/>
      <c r="C167" s="43" t="s">
        <v>23</v>
      </c>
      <c r="D167" s="43" t="s">
        <v>365</v>
      </c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122"/>
    </row>
    <row r="168" spans="1:32">
      <c r="A168" s="111" t="s">
        <v>27</v>
      </c>
      <c r="B168" s="31"/>
      <c r="C168" t="s">
        <v>28</v>
      </c>
      <c r="AF168" s="116"/>
    </row>
    <row r="169" spans="1:32">
      <c r="A169" s="111" t="s">
        <v>153</v>
      </c>
      <c r="B169" s="31"/>
      <c r="C169" t="s">
        <v>23</v>
      </c>
      <c r="AF169" s="116"/>
    </row>
    <row r="170" spans="1:32">
      <c r="A170" s="111" t="s">
        <v>22</v>
      </c>
      <c r="B170" s="31"/>
      <c r="C170" t="s">
        <v>23</v>
      </c>
      <c r="AF170" s="116"/>
    </row>
    <row r="171" spans="1:32" ht="15" thickBot="1">
      <c r="A171" s="121" t="s">
        <v>147</v>
      </c>
      <c r="B171" s="44"/>
      <c r="C171" s="41" t="s">
        <v>23</v>
      </c>
      <c r="D171" s="41" t="s">
        <v>366</v>
      </c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120"/>
    </row>
    <row r="172" spans="1:32" ht="15" thickTop="1">
      <c r="A172" s="108" t="s">
        <v>22</v>
      </c>
      <c r="B172" s="38"/>
      <c r="C172" s="43" t="s">
        <v>23</v>
      </c>
      <c r="D172" s="43" t="s">
        <v>365</v>
      </c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122"/>
    </row>
    <row r="173" spans="1:32">
      <c r="A173" s="111" t="s">
        <v>22</v>
      </c>
      <c r="B173" s="31"/>
      <c r="C173" t="s">
        <v>23</v>
      </c>
      <c r="AF173" s="116"/>
    </row>
    <row r="174" spans="1:32">
      <c r="A174" s="111" t="s">
        <v>22</v>
      </c>
      <c r="B174" s="31"/>
      <c r="C174" t="s">
        <v>23</v>
      </c>
      <c r="AF174" s="116"/>
    </row>
    <row r="175" spans="1:32">
      <c r="A175" s="111" t="s">
        <v>25</v>
      </c>
      <c r="B175" s="31"/>
      <c r="C175" t="s">
        <v>26</v>
      </c>
      <c r="AF175" s="116"/>
    </row>
    <row r="176" spans="1:32" ht="15" thickBot="1">
      <c r="A176" s="121" t="s">
        <v>22</v>
      </c>
      <c r="B176" s="44"/>
      <c r="C176" s="41" t="s">
        <v>23</v>
      </c>
      <c r="D176" s="41" t="s">
        <v>366</v>
      </c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120"/>
    </row>
    <row r="177" spans="1:32" ht="15" thickTop="1">
      <c r="A177" s="108" t="s">
        <v>22</v>
      </c>
      <c r="B177" s="38"/>
      <c r="C177" s="43" t="s">
        <v>23</v>
      </c>
      <c r="D177" s="43" t="s">
        <v>365</v>
      </c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122"/>
    </row>
    <row r="178" spans="1:32">
      <c r="A178" s="111" t="s">
        <v>22</v>
      </c>
      <c r="B178" s="31"/>
      <c r="C178" t="s">
        <v>23</v>
      </c>
      <c r="AF178" s="116"/>
    </row>
    <row r="179" spans="1:32">
      <c r="A179" s="111" t="s">
        <v>59</v>
      </c>
      <c r="B179" s="31"/>
      <c r="C179" t="s">
        <v>23</v>
      </c>
      <c r="AF179" s="116"/>
    </row>
    <row r="180" spans="1:32">
      <c r="A180" s="111" t="s">
        <v>35</v>
      </c>
      <c r="B180" s="31"/>
      <c r="C180" t="s">
        <v>23</v>
      </c>
      <c r="AF180" s="116"/>
    </row>
    <row r="181" spans="1:32" ht="15" thickBot="1">
      <c r="A181" s="121" t="s">
        <v>22</v>
      </c>
      <c r="B181" s="44"/>
      <c r="C181" s="41" t="s">
        <v>23</v>
      </c>
      <c r="D181" s="41" t="s">
        <v>366</v>
      </c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120"/>
    </row>
    <row r="182" spans="1:32" ht="15" thickTop="1">
      <c r="A182" s="108" t="s">
        <v>69</v>
      </c>
      <c r="B182" s="38"/>
      <c r="C182" s="43" t="s">
        <v>23</v>
      </c>
      <c r="D182" s="43" t="s">
        <v>365</v>
      </c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122"/>
    </row>
    <row r="183" spans="1:32">
      <c r="A183" s="111" t="s">
        <v>41</v>
      </c>
      <c r="B183" s="31"/>
      <c r="C183" t="s">
        <v>42</v>
      </c>
      <c r="AF183" s="116"/>
    </row>
    <row r="184" spans="1:32">
      <c r="A184" s="111" t="s">
        <v>29</v>
      </c>
      <c r="B184" s="31"/>
      <c r="C184" t="s">
        <v>30</v>
      </c>
      <c r="AF184" s="116"/>
    </row>
    <row r="185" spans="1:32">
      <c r="A185" s="111" t="s">
        <v>51</v>
      </c>
      <c r="B185" s="31"/>
      <c r="C185" t="s">
        <v>23</v>
      </c>
      <c r="AF185" s="116"/>
    </row>
    <row r="186" spans="1:32" ht="15" thickBot="1">
      <c r="A186" s="121" t="s">
        <v>29</v>
      </c>
      <c r="B186" s="44"/>
      <c r="C186" s="41" t="s">
        <v>30</v>
      </c>
      <c r="D186" s="41" t="s">
        <v>366</v>
      </c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120"/>
    </row>
    <row r="187" spans="1:32" ht="15" thickTop="1">
      <c r="A187" s="108" t="s">
        <v>51</v>
      </c>
      <c r="B187" s="38"/>
      <c r="C187" s="43" t="s">
        <v>23</v>
      </c>
      <c r="D187" s="43" t="s">
        <v>365</v>
      </c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122"/>
    </row>
    <row r="188" spans="1:32">
      <c r="A188" s="111" t="s">
        <v>51</v>
      </c>
      <c r="B188" s="31"/>
      <c r="C188" t="s">
        <v>23</v>
      </c>
      <c r="AF188" s="116"/>
    </row>
    <row r="189" spans="1:32">
      <c r="A189" s="111" t="s">
        <v>31</v>
      </c>
      <c r="B189" s="31"/>
      <c r="C189" t="s">
        <v>23</v>
      </c>
      <c r="AF189" s="116"/>
    </row>
    <row r="190" spans="1:32">
      <c r="A190" s="111" t="s">
        <v>29</v>
      </c>
      <c r="B190" s="31"/>
      <c r="C190" t="s">
        <v>30</v>
      </c>
      <c r="AF190" s="116"/>
    </row>
    <row r="191" spans="1:32" ht="15" thickBot="1">
      <c r="A191" s="121" t="s">
        <v>51</v>
      </c>
      <c r="B191" s="44"/>
      <c r="C191" s="41" t="s">
        <v>23</v>
      </c>
      <c r="D191" s="41" t="s">
        <v>366</v>
      </c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120"/>
    </row>
    <row r="192" spans="1:32" ht="15" thickTop="1">
      <c r="A192" s="108" t="s">
        <v>139</v>
      </c>
      <c r="B192" s="38"/>
      <c r="C192" s="43" t="s">
        <v>23</v>
      </c>
      <c r="D192" s="43" t="s">
        <v>365</v>
      </c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122"/>
    </row>
    <row r="193" spans="1:32">
      <c r="A193" s="111" t="s">
        <v>35</v>
      </c>
      <c r="B193" s="31"/>
      <c r="C193" t="s">
        <v>23</v>
      </c>
      <c r="AF193" s="116"/>
    </row>
    <row r="194" spans="1:32">
      <c r="A194" s="111" t="s">
        <v>27</v>
      </c>
      <c r="B194" s="31"/>
      <c r="C194" t="s">
        <v>28</v>
      </c>
      <c r="AF194" s="116"/>
    </row>
    <row r="195" spans="1:32">
      <c r="A195" s="111" t="s">
        <v>51</v>
      </c>
      <c r="B195" s="31"/>
      <c r="C195" t="s">
        <v>23</v>
      </c>
      <c r="AF195" s="116"/>
    </row>
    <row r="196" spans="1:32" ht="15" thickBot="1">
      <c r="A196" s="121" t="s">
        <v>29</v>
      </c>
      <c r="B196" s="44"/>
      <c r="C196" s="41" t="s">
        <v>30</v>
      </c>
      <c r="D196" s="41" t="s">
        <v>366</v>
      </c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120"/>
    </row>
    <row r="197" spans="1:32" ht="15" thickTop="1">
      <c r="A197" s="108" t="s">
        <v>22</v>
      </c>
      <c r="B197" s="38"/>
      <c r="C197" s="43" t="s">
        <v>23</v>
      </c>
      <c r="D197" s="43" t="s">
        <v>365</v>
      </c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122"/>
    </row>
    <row r="198" spans="1:32">
      <c r="A198" s="111" t="s">
        <v>31</v>
      </c>
      <c r="B198" s="31"/>
      <c r="C198" t="s">
        <v>23</v>
      </c>
      <c r="AF198" s="116"/>
    </row>
    <row r="199" spans="1:32">
      <c r="A199" s="111" t="s">
        <v>207</v>
      </c>
      <c r="B199" s="31"/>
      <c r="C199" t="s">
        <v>23</v>
      </c>
      <c r="AF199" s="116"/>
    </row>
    <row r="200" spans="1:32">
      <c r="A200" s="111" t="s">
        <v>207</v>
      </c>
      <c r="B200" s="31"/>
      <c r="C200" t="s">
        <v>23</v>
      </c>
      <c r="AF200" s="116"/>
    </row>
    <row r="201" spans="1:32" ht="15" thickBot="1">
      <c r="A201" s="121" t="s">
        <v>207</v>
      </c>
      <c r="B201" s="44"/>
      <c r="C201" s="41" t="s">
        <v>23</v>
      </c>
      <c r="D201" s="41" t="s">
        <v>366</v>
      </c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120"/>
    </row>
    <row r="202" spans="1:32" ht="15" thickTop="1">
      <c r="A202" s="108" t="s">
        <v>22</v>
      </c>
      <c r="B202" s="38"/>
      <c r="C202" s="43" t="s">
        <v>23</v>
      </c>
      <c r="D202" s="43" t="s">
        <v>365</v>
      </c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122"/>
    </row>
    <row r="203" spans="1:32">
      <c r="A203" s="111" t="s">
        <v>22</v>
      </c>
      <c r="B203" s="31"/>
      <c r="C203" t="s">
        <v>23</v>
      </c>
      <c r="AF203" s="116"/>
    </row>
    <row r="204" spans="1:32">
      <c r="A204" s="111" t="s">
        <v>22</v>
      </c>
      <c r="B204" s="31"/>
      <c r="C204" t="s">
        <v>23</v>
      </c>
      <c r="AF204" s="116"/>
    </row>
    <row r="205" spans="1:32">
      <c r="A205" s="111" t="s">
        <v>22</v>
      </c>
      <c r="B205" s="31"/>
      <c r="C205" t="s">
        <v>23</v>
      </c>
      <c r="AF205" s="116"/>
    </row>
    <row r="206" spans="1:32" ht="15" thickBot="1">
      <c r="A206" s="121" t="s">
        <v>22</v>
      </c>
      <c r="B206" s="44"/>
      <c r="C206" s="41" t="s">
        <v>23</v>
      </c>
      <c r="D206" s="41" t="s">
        <v>366</v>
      </c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120"/>
    </row>
    <row r="207" spans="1:32" ht="15" thickTop="1">
      <c r="A207" s="108" t="s">
        <v>22</v>
      </c>
      <c r="B207" s="38"/>
      <c r="C207" s="43" t="s">
        <v>23</v>
      </c>
      <c r="D207" s="43" t="s">
        <v>365</v>
      </c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122"/>
    </row>
    <row r="208" spans="1:32">
      <c r="A208" s="111" t="s">
        <v>27</v>
      </c>
      <c r="B208" s="31"/>
      <c r="C208" t="s">
        <v>28</v>
      </c>
      <c r="AF208" s="116"/>
    </row>
    <row r="209" spans="1:32">
      <c r="A209" s="111" t="s">
        <v>27</v>
      </c>
      <c r="B209" s="31"/>
      <c r="C209" t="s">
        <v>28</v>
      </c>
      <c r="AF209" s="116"/>
    </row>
    <row r="210" spans="1:32">
      <c r="A210" s="111" t="s">
        <v>29</v>
      </c>
      <c r="B210" s="31"/>
      <c r="C210" t="s">
        <v>30</v>
      </c>
      <c r="AF210" s="116"/>
    </row>
    <row r="211" spans="1:32" ht="15" thickBot="1">
      <c r="A211" s="121" t="s">
        <v>27</v>
      </c>
      <c r="B211" s="44"/>
      <c r="C211" s="41" t="s">
        <v>28</v>
      </c>
      <c r="D211" s="41" t="s">
        <v>366</v>
      </c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120"/>
    </row>
    <row r="212" spans="1:32" ht="15" thickTop="1">
      <c r="A212" s="108" t="s">
        <v>31</v>
      </c>
      <c r="B212" s="38"/>
      <c r="C212" s="43" t="s">
        <v>23</v>
      </c>
      <c r="D212" s="43" t="s">
        <v>365</v>
      </c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122"/>
    </row>
    <row r="213" spans="1:32">
      <c r="A213" s="111" t="s">
        <v>22</v>
      </c>
      <c r="B213" s="31"/>
      <c r="C213" t="s">
        <v>23</v>
      </c>
      <c r="AF213" s="116"/>
    </row>
    <row r="214" spans="1:32">
      <c r="A214" s="111" t="s">
        <v>27</v>
      </c>
      <c r="B214" s="31"/>
      <c r="C214" t="s">
        <v>28</v>
      </c>
      <c r="AF214" s="116"/>
    </row>
    <row r="215" spans="1:32">
      <c r="A215" s="111" t="s">
        <v>51</v>
      </c>
      <c r="B215" s="31"/>
      <c r="C215" t="s">
        <v>23</v>
      </c>
      <c r="AF215" s="116"/>
    </row>
    <row r="216" spans="1:32" ht="15" thickBot="1">
      <c r="A216" s="121" t="s">
        <v>22</v>
      </c>
      <c r="B216" s="44"/>
      <c r="C216" s="41" t="s">
        <v>23</v>
      </c>
      <c r="D216" s="41" t="s">
        <v>366</v>
      </c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120"/>
    </row>
    <row r="217" spans="1:32" ht="15" thickTop="1">
      <c r="A217" s="108" t="s">
        <v>22</v>
      </c>
      <c r="B217" s="38"/>
      <c r="C217" s="43" t="s">
        <v>23</v>
      </c>
      <c r="D217" s="43" t="s">
        <v>365</v>
      </c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122"/>
    </row>
    <row r="218" spans="1:32">
      <c r="A218" s="111" t="s">
        <v>27</v>
      </c>
      <c r="B218" s="31"/>
      <c r="C218" t="s">
        <v>28</v>
      </c>
      <c r="AF218" s="116"/>
    </row>
    <row r="219" spans="1:32">
      <c r="A219" s="111" t="s">
        <v>35</v>
      </c>
      <c r="B219" s="31"/>
      <c r="C219" t="s">
        <v>23</v>
      </c>
      <c r="AF219" s="116"/>
    </row>
    <row r="220" spans="1:32">
      <c r="A220" s="111" t="s">
        <v>22</v>
      </c>
      <c r="B220" s="31"/>
      <c r="C220" t="s">
        <v>23</v>
      </c>
      <c r="AF220" s="116"/>
    </row>
    <row r="221" spans="1:32" ht="15" thickBot="1">
      <c r="A221" s="121" t="s">
        <v>22</v>
      </c>
      <c r="B221" s="44"/>
      <c r="C221" s="41" t="s">
        <v>23</v>
      </c>
      <c r="D221" s="41" t="s">
        <v>366</v>
      </c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120"/>
    </row>
    <row r="222" spans="1:32" ht="15" thickTop="1">
      <c r="A222" s="108" t="s">
        <v>35</v>
      </c>
      <c r="B222" s="38"/>
      <c r="C222" s="43" t="s">
        <v>23</v>
      </c>
      <c r="D222" s="43" t="s">
        <v>365</v>
      </c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122"/>
    </row>
    <row r="223" spans="1:32">
      <c r="A223" s="111" t="s">
        <v>35</v>
      </c>
      <c r="B223" s="31"/>
      <c r="C223" t="s">
        <v>23</v>
      </c>
      <c r="AF223" s="116"/>
    </row>
    <row r="224" spans="1:32">
      <c r="A224" s="111" t="s">
        <v>35</v>
      </c>
      <c r="B224" s="31"/>
      <c r="C224" t="s">
        <v>23</v>
      </c>
      <c r="AF224" s="116"/>
    </row>
    <row r="225" spans="1:32">
      <c r="A225" s="111" t="s">
        <v>35</v>
      </c>
      <c r="B225" s="31"/>
      <c r="C225" t="s">
        <v>23</v>
      </c>
      <c r="AF225" s="116"/>
    </row>
    <row r="226" spans="1:32" ht="15" thickBot="1">
      <c r="A226" s="121" t="s">
        <v>27</v>
      </c>
      <c r="B226" s="44"/>
      <c r="C226" s="41" t="s">
        <v>28</v>
      </c>
      <c r="D226" s="41" t="s">
        <v>366</v>
      </c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120"/>
    </row>
    <row r="227" spans="1:32" ht="15" thickTop="1">
      <c r="A227" s="108" t="s">
        <v>29</v>
      </c>
      <c r="B227" s="38"/>
      <c r="C227" s="43" t="s">
        <v>30</v>
      </c>
      <c r="D227" s="43" t="s">
        <v>365</v>
      </c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122"/>
    </row>
    <row r="228" spans="1:32">
      <c r="A228" s="111" t="s">
        <v>25</v>
      </c>
      <c r="B228" s="31"/>
      <c r="C228" t="s">
        <v>26</v>
      </c>
      <c r="AF228" s="116"/>
    </row>
    <row r="229" spans="1:32">
      <c r="A229" s="111" t="s">
        <v>22</v>
      </c>
      <c r="B229" s="31"/>
      <c r="C229" t="s">
        <v>23</v>
      </c>
      <c r="AF229" s="116"/>
    </row>
    <row r="230" spans="1:32">
      <c r="A230" s="111" t="s">
        <v>22</v>
      </c>
      <c r="B230" s="31"/>
      <c r="C230" t="s">
        <v>23</v>
      </c>
      <c r="AF230" s="116"/>
    </row>
    <row r="231" spans="1:32" ht="15" thickBot="1">
      <c r="A231" s="121" t="s">
        <v>51</v>
      </c>
      <c r="B231" s="44"/>
      <c r="C231" s="41" t="s">
        <v>23</v>
      </c>
      <c r="D231" s="41" t="s">
        <v>366</v>
      </c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120"/>
    </row>
    <row r="232" spans="1:32" ht="15" thickTop="1">
      <c r="A232" s="108" t="s">
        <v>29</v>
      </c>
      <c r="B232" s="38"/>
      <c r="C232" s="43" t="s">
        <v>30</v>
      </c>
      <c r="D232" s="43" t="s">
        <v>365</v>
      </c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122"/>
    </row>
    <row r="233" spans="1:32">
      <c r="A233" s="111" t="s">
        <v>51</v>
      </c>
      <c r="B233" s="31"/>
      <c r="C233" t="s">
        <v>23</v>
      </c>
      <c r="AF233" s="116"/>
    </row>
    <row r="234" spans="1:32">
      <c r="A234" s="111" t="s">
        <v>22</v>
      </c>
      <c r="B234" s="31"/>
      <c r="C234" t="s">
        <v>23</v>
      </c>
      <c r="AF234" s="116"/>
    </row>
    <row r="235" spans="1:32">
      <c r="A235" s="111" t="s">
        <v>157</v>
      </c>
      <c r="B235" s="31"/>
      <c r="C235" t="s">
        <v>23</v>
      </c>
      <c r="AF235" s="116"/>
    </row>
    <row r="236" spans="1:32" ht="15" thickBot="1">
      <c r="A236" s="121" t="s">
        <v>22</v>
      </c>
      <c r="B236" s="44"/>
      <c r="C236" s="41" t="s">
        <v>23</v>
      </c>
      <c r="D236" s="41" t="s">
        <v>366</v>
      </c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120"/>
    </row>
    <row r="237" spans="1:32" ht="15" thickTop="1">
      <c r="A237" s="108" t="s">
        <v>27</v>
      </c>
      <c r="B237" s="38"/>
      <c r="C237" s="43" t="s">
        <v>28</v>
      </c>
      <c r="D237" s="43" t="s">
        <v>365</v>
      </c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122"/>
    </row>
    <row r="238" spans="1:32">
      <c r="A238" s="111" t="s">
        <v>31</v>
      </c>
      <c r="B238" s="31"/>
      <c r="C238" t="s">
        <v>23</v>
      </c>
      <c r="AF238" s="116"/>
    </row>
    <row r="239" spans="1:32">
      <c r="A239" s="111" t="s">
        <v>35</v>
      </c>
      <c r="B239" s="31"/>
      <c r="C239" t="s">
        <v>23</v>
      </c>
      <c r="AF239" s="116"/>
    </row>
    <row r="240" spans="1:32">
      <c r="A240" s="111" t="s">
        <v>35</v>
      </c>
      <c r="B240" s="31"/>
      <c r="C240" t="s">
        <v>23</v>
      </c>
      <c r="AF240" s="116"/>
    </row>
    <row r="241" spans="1:32" ht="15" thickBot="1">
      <c r="A241" s="121" t="s">
        <v>35</v>
      </c>
      <c r="B241" s="44"/>
      <c r="C241" s="41" t="s">
        <v>23</v>
      </c>
      <c r="D241" s="41" t="s">
        <v>366</v>
      </c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120"/>
    </row>
    <row r="242" spans="1:32" ht="15" thickTop="1">
      <c r="A242" s="108" t="s">
        <v>27</v>
      </c>
      <c r="B242" s="38"/>
      <c r="C242" s="43" t="s">
        <v>28</v>
      </c>
      <c r="D242" s="43" t="s">
        <v>365</v>
      </c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3"/>
      <c r="AF242" s="122"/>
    </row>
    <row r="243" spans="1:32">
      <c r="A243" s="111" t="s">
        <v>29</v>
      </c>
      <c r="B243" s="31"/>
      <c r="C243" t="s">
        <v>30</v>
      </c>
      <c r="AF243" s="116"/>
    </row>
    <row r="244" spans="1:32">
      <c r="A244" s="111" t="s">
        <v>35</v>
      </c>
      <c r="B244" s="31"/>
      <c r="C244" t="s">
        <v>23</v>
      </c>
      <c r="AF244" s="116"/>
    </row>
    <row r="245" spans="1:32">
      <c r="A245" s="111" t="s">
        <v>29</v>
      </c>
      <c r="B245" s="31"/>
      <c r="C245" t="s">
        <v>30</v>
      </c>
      <c r="AF245" s="116"/>
    </row>
    <row r="246" spans="1:32" ht="15" thickBot="1">
      <c r="A246" s="121" t="s">
        <v>51</v>
      </c>
      <c r="B246" s="44"/>
      <c r="C246" s="41" t="s">
        <v>23</v>
      </c>
      <c r="D246" s="41" t="s">
        <v>366</v>
      </c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120"/>
    </row>
    <row r="247" spans="1:32" ht="15" thickTop="1">
      <c r="A247" s="108" t="s">
        <v>89</v>
      </c>
      <c r="B247" s="38"/>
      <c r="C247" s="43" t="s">
        <v>23</v>
      </c>
      <c r="D247" s="43" t="s">
        <v>365</v>
      </c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3"/>
      <c r="AF247" s="122"/>
    </row>
    <row r="248" spans="1:32">
      <c r="A248" s="111" t="s">
        <v>35</v>
      </c>
      <c r="B248" s="31"/>
      <c r="C248" t="s">
        <v>23</v>
      </c>
      <c r="AF248" s="116"/>
    </row>
    <row r="249" spans="1:32">
      <c r="A249" s="111" t="s">
        <v>27</v>
      </c>
      <c r="B249" s="31"/>
      <c r="C249" t="s">
        <v>28</v>
      </c>
      <c r="AF249" s="116"/>
    </row>
    <row r="250" spans="1:32">
      <c r="A250" s="111" t="s">
        <v>89</v>
      </c>
      <c r="B250" s="31"/>
      <c r="C250" t="s">
        <v>23</v>
      </c>
      <c r="AF250" s="116"/>
    </row>
    <row r="251" spans="1:32" ht="15" thickBot="1">
      <c r="A251" s="121" t="s">
        <v>29</v>
      </c>
      <c r="B251" s="44"/>
      <c r="C251" s="41" t="s">
        <v>30</v>
      </c>
      <c r="D251" s="41" t="s">
        <v>366</v>
      </c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120"/>
    </row>
    <row r="252" spans="1:32" ht="15" thickTop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2"/>
  <sheetViews>
    <sheetView topLeftCell="A2" workbookViewId="0">
      <selection activeCell="E2" sqref="E2:E251"/>
    </sheetView>
  </sheetViews>
  <sheetFormatPr baseColWidth="10" defaultColWidth="8.83203125" defaultRowHeight="14" x14ac:dyDescent="0"/>
  <cols>
    <col min="1" max="1" width="8.83203125" bestFit="1" customWidth="1"/>
    <col min="2" max="2" width="5.6640625" bestFit="1" customWidth="1"/>
    <col min="3" max="3" width="13.83203125" bestFit="1" customWidth="1"/>
    <col min="4" max="4" width="11.1640625" bestFit="1" customWidth="1"/>
  </cols>
  <sheetData>
    <row r="1" spans="1:32" ht="16" thickTop="1" thickBot="1">
      <c r="A1" s="34" t="s">
        <v>319</v>
      </c>
      <c r="B1" s="34" t="s">
        <v>16</v>
      </c>
      <c r="C1" s="34" t="s">
        <v>320</v>
      </c>
      <c r="D1" s="34" t="s">
        <v>321</v>
      </c>
      <c r="E1" s="34" t="s">
        <v>322</v>
      </c>
      <c r="F1" s="34" t="s">
        <v>323</v>
      </c>
      <c r="G1" s="34" t="s">
        <v>324</v>
      </c>
      <c r="H1" s="34" t="s">
        <v>325</v>
      </c>
      <c r="I1" s="34" t="s">
        <v>326</v>
      </c>
      <c r="J1" s="34" t="s">
        <v>327</v>
      </c>
      <c r="K1" s="34" t="s">
        <v>328</v>
      </c>
      <c r="L1" s="34" t="s">
        <v>329</v>
      </c>
      <c r="M1" s="34" t="s">
        <v>330</v>
      </c>
      <c r="N1" s="34" t="s">
        <v>331</v>
      </c>
      <c r="O1" s="34" t="s">
        <v>332</v>
      </c>
      <c r="P1" s="34" t="s">
        <v>333</v>
      </c>
      <c r="Q1" s="34" t="s">
        <v>334</v>
      </c>
      <c r="R1" s="34" t="s">
        <v>335</v>
      </c>
      <c r="S1" s="34" t="s">
        <v>336</v>
      </c>
      <c r="T1" s="34" t="s">
        <v>337</v>
      </c>
      <c r="U1" s="34" t="s">
        <v>338</v>
      </c>
      <c r="V1" s="34" t="s">
        <v>339</v>
      </c>
      <c r="W1" s="34" t="s">
        <v>340</v>
      </c>
      <c r="X1" s="34" t="s">
        <v>341</v>
      </c>
      <c r="Y1" s="34" t="s">
        <v>342</v>
      </c>
      <c r="Z1" s="34" t="s">
        <v>343</v>
      </c>
      <c r="AA1" s="34" t="s">
        <v>344</v>
      </c>
      <c r="AB1" s="34" t="s">
        <v>345</v>
      </c>
      <c r="AC1" s="34" t="s">
        <v>346</v>
      </c>
      <c r="AD1" s="34" t="s">
        <v>347</v>
      </c>
      <c r="AE1" s="34" t="s">
        <v>348</v>
      </c>
      <c r="AF1" s="34" t="s">
        <v>349</v>
      </c>
    </row>
    <row r="2" spans="1:32" ht="15" thickTop="1">
      <c r="A2" s="123" t="s">
        <v>27</v>
      </c>
      <c r="B2" s="38"/>
      <c r="C2" s="43" t="s">
        <v>28</v>
      </c>
      <c r="D2" s="43" t="s">
        <v>365</v>
      </c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137"/>
    </row>
    <row r="3" spans="1:32">
      <c r="A3" s="126" t="s">
        <v>27</v>
      </c>
      <c r="B3" s="31"/>
      <c r="C3" t="s">
        <v>28</v>
      </c>
      <c r="AF3" s="131"/>
    </row>
    <row r="4" spans="1:32">
      <c r="A4" s="126" t="s">
        <v>29</v>
      </c>
      <c r="B4" s="31"/>
      <c r="C4" t="s">
        <v>30</v>
      </c>
      <c r="AF4" s="131"/>
    </row>
    <row r="5" spans="1:32">
      <c r="A5" s="126" t="s">
        <v>35</v>
      </c>
      <c r="B5" s="31"/>
      <c r="C5" t="s">
        <v>23</v>
      </c>
      <c r="AF5" s="131"/>
    </row>
    <row r="6" spans="1:32" ht="15" thickBot="1">
      <c r="A6" s="136" t="s">
        <v>22</v>
      </c>
      <c r="B6" s="44"/>
      <c r="C6" s="41" t="s">
        <v>23</v>
      </c>
      <c r="D6" s="41" t="s">
        <v>366</v>
      </c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135"/>
    </row>
    <row r="7" spans="1:32" ht="15" thickTop="1">
      <c r="A7" s="123" t="s">
        <v>25</v>
      </c>
      <c r="B7" s="38"/>
      <c r="C7" s="43" t="s">
        <v>26</v>
      </c>
      <c r="D7" s="43" t="s">
        <v>365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137"/>
    </row>
    <row r="8" spans="1:32">
      <c r="A8" s="126" t="s">
        <v>38</v>
      </c>
      <c r="B8" s="31"/>
      <c r="C8" t="s">
        <v>23</v>
      </c>
      <c r="AF8" s="131"/>
    </row>
    <row r="9" spans="1:32">
      <c r="A9" s="126" t="s">
        <v>38</v>
      </c>
      <c r="B9" s="31"/>
      <c r="C9" t="s">
        <v>23</v>
      </c>
      <c r="AF9" s="131"/>
    </row>
    <row r="10" spans="1:32">
      <c r="A10" s="126" t="s">
        <v>38</v>
      </c>
      <c r="B10" s="31"/>
      <c r="C10" t="s">
        <v>23</v>
      </c>
      <c r="AF10" s="131"/>
    </row>
    <row r="11" spans="1:32" ht="15" thickBot="1">
      <c r="A11" s="136" t="s">
        <v>38</v>
      </c>
      <c r="B11" s="44"/>
      <c r="C11" s="41" t="s">
        <v>23</v>
      </c>
      <c r="D11" s="41" t="s">
        <v>366</v>
      </c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135"/>
    </row>
    <row r="12" spans="1:32" ht="15" thickTop="1">
      <c r="A12" s="123" t="s">
        <v>29</v>
      </c>
      <c r="B12" s="38"/>
      <c r="C12" s="43" t="s">
        <v>30</v>
      </c>
      <c r="D12" s="43" t="s">
        <v>365</v>
      </c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137"/>
    </row>
    <row r="13" spans="1:32">
      <c r="A13" s="126" t="s">
        <v>29</v>
      </c>
      <c r="B13" s="31"/>
      <c r="C13" t="s">
        <v>30</v>
      </c>
      <c r="AF13" s="131"/>
    </row>
    <row r="14" spans="1:32">
      <c r="A14" s="126" t="s">
        <v>38</v>
      </c>
      <c r="B14" s="31"/>
      <c r="C14" t="s">
        <v>23</v>
      </c>
      <c r="AF14" s="131"/>
    </row>
    <row r="15" spans="1:32">
      <c r="A15" s="126" t="s">
        <v>31</v>
      </c>
      <c r="B15" s="31"/>
      <c r="C15" t="s">
        <v>23</v>
      </c>
      <c r="AF15" s="131"/>
    </row>
    <row r="16" spans="1:32" ht="15" thickBot="1">
      <c r="A16" s="136" t="s">
        <v>27</v>
      </c>
      <c r="B16" s="44"/>
      <c r="C16" s="41" t="s">
        <v>28</v>
      </c>
      <c r="D16" s="41" t="s">
        <v>366</v>
      </c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135"/>
    </row>
    <row r="17" spans="1:32" ht="15" thickTop="1">
      <c r="A17" s="123" t="s">
        <v>29</v>
      </c>
      <c r="B17" s="38"/>
      <c r="C17" s="43" t="s">
        <v>30</v>
      </c>
      <c r="D17" s="43" t="s">
        <v>365</v>
      </c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137"/>
    </row>
    <row r="18" spans="1:32">
      <c r="A18" s="126" t="s">
        <v>51</v>
      </c>
      <c r="B18" s="31"/>
      <c r="C18" t="s">
        <v>23</v>
      </c>
      <c r="AF18" s="131"/>
    </row>
    <row r="19" spans="1:32">
      <c r="A19" s="126" t="s">
        <v>29</v>
      </c>
      <c r="B19" s="31"/>
      <c r="C19" t="s">
        <v>30</v>
      </c>
      <c r="AF19" s="131"/>
    </row>
    <row r="20" spans="1:32">
      <c r="A20" s="126" t="s">
        <v>35</v>
      </c>
      <c r="B20" s="31"/>
      <c r="C20" t="s">
        <v>23</v>
      </c>
      <c r="AF20" s="131"/>
    </row>
    <row r="21" spans="1:32" ht="15" thickBot="1">
      <c r="A21" s="136" t="s">
        <v>64</v>
      </c>
      <c r="B21" s="44"/>
      <c r="C21" s="41" t="s">
        <v>23</v>
      </c>
      <c r="D21" s="41" t="s">
        <v>366</v>
      </c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135"/>
    </row>
    <row r="22" spans="1:32" ht="15" thickTop="1">
      <c r="A22" s="123" t="s">
        <v>29</v>
      </c>
      <c r="B22" s="38"/>
      <c r="C22" s="43" t="s">
        <v>30</v>
      </c>
      <c r="D22" s="43" t="s">
        <v>365</v>
      </c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137"/>
    </row>
    <row r="23" spans="1:32">
      <c r="A23" s="126" t="s">
        <v>38</v>
      </c>
      <c r="B23" s="31"/>
      <c r="C23" t="s">
        <v>23</v>
      </c>
      <c r="AF23" s="131"/>
    </row>
    <row r="24" spans="1:32">
      <c r="A24" s="126" t="s">
        <v>69</v>
      </c>
      <c r="B24" s="31"/>
      <c r="C24" t="s">
        <v>23</v>
      </c>
      <c r="AF24" s="131"/>
    </row>
    <row r="25" spans="1:32">
      <c r="A25" s="126" t="s">
        <v>29</v>
      </c>
      <c r="B25" s="31"/>
      <c r="C25" t="s">
        <v>30</v>
      </c>
      <c r="AF25" s="131"/>
    </row>
    <row r="26" spans="1:32" ht="15" thickBot="1">
      <c r="A26" s="136" t="s">
        <v>51</v>
      </c>
      <c r="B26" s="44"/>
      <c r="C26" s="41" t="s">
        <v>23</v>
      </c>
      <c r="D26" s="41" t="s">
        <v>366</v>
      </c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135"/>
    </row>
    <row r="27" spans="1:32" ht="15" thickTop="1">
      <c r="A27" s="123" t="s">
        <v>38</v>
      </c>
      <c r="B27" s="38"/>
      <c r="C27" s="43" t="s">
        <v>23</v>
      </c>
      <c r="D27" s="43" t="s">
        <v>365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137"/>
    </row>
    <row r="28" spans="1:32">
      <c r="A28" s="126" t="s">
        <v>69</v>
      </c>
      <c r="B28" s="31"/>
      <c r="C28" t="s">
        <v>23</v>
      </c>
      <c r="AF28" s="131"/>
    </row>
    <row r="29" spans="1:32">
      <c r="A29" s="126" t="s">
        <v>38</v>
      </c>
      <c r="B29" s="31"/>
      <c r="C29" t="s">
        <v>23</v>
      </c>
      <c r="AF29" s="131"/>
    </row>
    <row r="30" spans="1:32">
      <c r="A30" s="126" t="s">
        <v>64</v>
      </c>
      <c r="B30" s="31"/>
      <c r="C30" t="s">
        <v>23</v>
      </c>
      <c r="AF30" s="131"/>
    </row>
    <row r="31" spans="1:32" ht="15" thickBot="1">
      <c r="A31" s="136" t="s">
        <v>38</v>
      </c>
      <c r="B31" s="44"/>
      <c r="C31" s="41" t="s">
        <v>23</v>
      </c>
      <c r="D31" s="41" t="s">
        <v>366</v>
      </c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135"/>
    </row>
    <row r="32" spans="1:32" ht="15" thickTop="1">
      <c r="A32" s="123" t="s">
        <v>27</v>
      </c>
      <c r="B32" s="38"/>
      <c r="C32" s="43" t="s">
        <v>28</v>
      </c>
      <c r="D32" s="43" t="s">
        <v>365</v>
      </c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137"/>
    </row>
    <row r="33" spans="1:32">
      <c r="A33" s="126" t="s">
        <v>51</v>
      </c>
      <c r="B33" s="31"/>
      <c r="C33" t="s">
        <v>23</v>
      </c>
      <c r="AF33" s="131"/>
    </row>
    <row r="34" spans="1:32">
      <c r="A34" s="126" t="s">
        <v>69</v>
      </c>
      <c r="B34" s="31"/>
      <c r="C34" t="s">
        <v>23</v>
      </c>
      <c r="AF34" s="131"/>
    </row>
    <row r="35" spans="1:32">
      <c r="A35" s="126" t="s">
        <v>69</v>
      </c>
      <c r="B35" s="31"/>
      <c r="C35" t="s">
        <v>23</v>
      </c>
      <c r="AF35" s="131"/>
    </row>
    <row r="36" spans="1:32" ht="15" thickBot="1">
      <c r="A36" s="136" t="s">
        <v>69</v>
      </c>
      <c r="B36" s="44"/>
      <c r="C36" s="41" t="s">
        <v>23</v>
      </c>
      <c r="D36" s="41" t="s">
        <v>366</v>
      </c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135"/>
    </row>
    <row r="37" spans="1:32" ht="15" thickTop="1">
      <c r="A37" s="123" t="s">
        <v>27</v>
      </c>
      <c r="B37" s="38"/>
      <c r="C37" s="43" t="s">
        <v>28</v>
      </c>
      <c r="D37" s="43" t="s">
        <v>365</v>
      </c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137"/>
    </row>
    <row r="38" spans="1:32">
      <c r="A38" s="126" t="s">
        <v>27</v>
      </c>
      <c r="B38" s="31"/>
      <c r="C38" t="s">
        <v>28</v>
      </c>
      <c r="AF38" s="131"/>
    </row>
    <row r="39" spans="1:32">
      <c r="A39" s="126" t="s">
        <v>35</v>
      </c>
      <c r="B39" s="31"/>
      <c r="C39" t="s">
        <v>23</v>
      </c>
      <c r="AF39" s="131"/>
    </row>
    <row r="40" spans="1:32">
      <c r="A40" s="126" t="s">
        <v>31</v>
      </c>
      <c r="B40" s="31"/>
      <c r="C40" t="s">
        <v>23</v>
      </c>
      <c r="AF40" s="131"/>
    </row>
    <row r="41" spans="1:32" ht="15" thickBot="1">
      <c r="A41" s="136" t="s">
        <v>64</v>
      </c>
      <c r="B41" s="44"/>
      <c r="C41" s="41" t="s">
        <v>23</v>
      </c>
      <c r="D41" s="41" t="s">
        <v>366</v>
      </c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135"/>
    </row>
    <row r="42" spans="1:32" ht="15" thickTop="1">
      <c r="A42" s="123" t="s">
        <v>29</v>
      </c>
      <c r="B42" s="38"/>
      <c r="C42" s="43" t="s">
        <v>30</v>
      </c>
      <c r="D42" s="43" t="s">
        <v>365</v>
      </c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137"/>
    </row>
    <row r="43" spans="1:32">
      <c r="A43" s="126" t="s">
        <v>51</v>
      </c>
      <c r="B43" s="31"/>
      <c r="C43" t="s">
        <v>23</v>
      </c>
      <c r="AF43" s="131"/>
    </row>
    <row r="44" spans="1:32">
      <c r="A44" s="126" t="s">
        <v>35</v>
      </c>
      <c r="B44" s="31"/>
      <c r="C44" t="s">
        <v>23</v>
      </c>
      <c r="AF44" s="131"/>
    </row>
    <row r="45" spans="1:32">
      <c r="A45" s="126" t="s">
        <v>29</v>
      </c>
      <c r="B45" s="31"/>
      <c r="C45" t="s">
        <v>30</v>
      </c>
      <c r="AF45" s="131"/>
    </row>
    <row r="46" spans="1:32" ht="15" thickBot="1">
      <c r="A46" s="136" t="s">
        <v>27</v>
      </c>
      <c r="B46" s="44"/>
      <c r="C46" s="41" t="s">
        <v>28</v>
      </c>
      <c r="D46" s="41" t="s">
        <v>366</v>
      </c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135"/>
    </row>
    <row r="47" spans="1:32" ht="15" thickTop="1">
      <c r="A47" s="123" t="s">
        <v>38</v>
      </c>
      <c r="B47" s="38"/>
      <c r="C47" s="43" t="s">
        <v>23</v>
      </c>
      <c r="D47" s="43" t="s">
        <v>365</v>
      </c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137"/>
    </row>
    <row r="48" spans="1:32">
      <c r="A48" s="126" t="s">
        <v>29</v>
      </c>
      <c r="B48" s="31"/>
      <c r="C48" t="s">
        <v>30</v>
      </c>
      <c r="AF48" s="131"/>
    </row>
    <row r="49" spans="1:32">
      <c r="A49" s="126" t="s">
        <v>27</v>
      </c>
      <c r="B49" s="31"/>
      <c r="C49" t="s">
        <v>28</v>
      </c>
      <c r="AF49" s="131"/>
    </row>
    <row r="50" spans="1:32">
      <c r="A50" s="126" t="s">
        <v>27</v>
      </c>
      <c r="B50" s="31"/>
      <c r="C50" t="s">
        <v>28</v>
      </c>
      <c r="AF50" s="131"/>
    </row>
    <row r="51" spans="1:32" ht="15" thickBot="1">
      <c r="A51" s="136" t="s">
        <v>141</v>
      </c>
      <c r="B51" s="44"/>
      <c r="C51" s="41" t="s">
        <v>23</v>
      </c>
      <c r="D51" s="41" t="s">
        <v>366</v>
      </c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135"/>
    </row>
    <row r="52" spans="1:32" ht="15" thickTop="1">
      <c r="A52" s="123" t="s">
        <v>38</v>
      </c>
      <c r="B52" s="38"/>
      <c r="C52" s="43" t="s">
        <v>23</v>
      </c>
      <c r="D52" s="43" t="s">
        <v>365</v>
      </c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137"/>
    </row>
    <row r="53" spans="1:32">
      <c r="A53" s="126" t="s">
        <v>29</v>
      </c>
      <c r="B53" s="31"/>
      <c r="C53" t="s">
        <v>30</v>
      </c>
      <c r="AF53" s="131"/>
    </row>
    <row r="54" spans="1:32">
      <c r="A54" s="126" t="s">
        <v>27</v>
      </c>
      <c r="B54" s="31"/>
      <c r="C54" t="s">
        <v>28</v>
      </c>
      <c r="AF54" s="131"/>
    </row>
    <row r="55" spans="1:32">
      <c r="A55" s="126" t="s">
        <v>27</v>
      </c>
      <c r="B55" s="31"/>
      <c r="C55" t="s">
        <v>28</v>
      </c>
      <c r="AF55" s="131"/>
    </row>
    <row r="56" spans="1:32" ht="15" thickBot="1">
      <c r="A56" s="136" t="s">
        <v>29</v>
      </c>
      <c r="B56" s="44"/>
      <c r="C56" s="41" t="s">
        <v>30</v>
      </c>
      <c r="D56" s="41" t="s">
        <v>366</v>
      </c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135"/>
    </row>
    <row r="57" spans="1:32" ht="15" thickTop="1">
      <c r="A57" s="123" t="s">
        <v>35</v>
      </c>
      <c r="B57" s="38"/>
      <c r="C57" s="43" t="s">
        <v>23</v>
      </c>
      <c r="D57" s="43" t="s">
        <v>365</v>
      </c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137"/>
    </row>
    <row r="58" spans="1:32">
      <c r="A58" s="126" t="s">
        <v>27</v>
      </c>
      <c r="B58" s="31"/>
      <c r="C58" t="s">
        <v>28</v>
      </c>
      <c r="AF58" s="131"/>
    </row>
    <row r="59" spans="1:32">
      <c r="A59" s="126" t="s">
        <v>29</v>
      </c>
      <c r="B59" s="31"/>
      <c r="C59" t="s">
        <v>30</v>
      </c>
      <c r="AF59" s="131"/>
    </row>
    <row r="60" spans="1:32">
      <c r="A60" s="126" t="s">
        <v>35</v>
      </c>
      <c r="B60" s="31"/>
      <c r="C60" t="s">
        <v>23</v>
      </c>
      <c r="AF60" s="131"/>
    </row>
    <row r="61" spans="1:32" ht="15" thickBot="1">
      <c r="A61" s="136" t="s">
        <v>35</v>
      </c>
      <c r="B61" s="44"/>
      <c r="C61" s="41" t="s">
        <v>23</v>
      </c>
      <c r="D61" s="41" t="s">
        <v>366</v>
      </c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135"/>
    </row>
    <row r="62" spans="1:32" ht="15" thickTop="1">
      <c r="A62" s="123" t="s">
        <v>35</v>
      </c>
      <c r="B62" s="38"/>
      <c r="C62" s="43" t="s">
        <v>23</v>
      </c>
      <c r="D62" s="43" t="s">
        <v>365</v>
      </c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137"/>
    </row>
    <row r="63" spans="1:32">
      <c r="A63" s="126" t="s">
        <v>35</v>
      </c>
      <c r="B63" s="31"/>
      <c r="C63" t="s">
        <v>23</v>
      </c>
      <c r="AF63" s="131"/>
    </row>
    <row r="64" spans="1:32">
      <c r="A64" s="126" t="s">
        <v>29</v>
      </c>
      <c r="B64" s="31"/>
      <c r="C64" t="s">
        <v>30</v>
      </c>
      <c r="AF64" s="131"/>
    </row>
    <row r="65" spans="1:32">
      <c r="A65" s="126" t="s">
        <v>35</v>
      </c>
      <c r="B65" s="31"/>
      <c r="C65" t="s">
        <v>23</v>
      </c>
      <c r="AF65" s="131"/>
    </row>
    <row r="66" spans="1:32" ht="15" thickBot="1">
      <c r="A66" s="136" t="s">
        <v>35</v>
      </c>
      <c r="B66" s="44"/>
      <c r="C66" s="41" t="s">
        <v>23</v>
      </c>
      <c r="D66" s="41" t="s">
        <v>366</v>
      </c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135"/>
    </row>
    <row r="67" spans="1:32" ht="15" thickTop="1">
      <c r="A67" s="123" t="s">
        <v>31</v>
      </c>
      <c r="B67" s="38"/>
      <c r="C67" s="43" t="s">
        <v>23</v>
      </c>
      <c r="D67" s="43" t="s">
        <v>365</v>
      </c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137"/>
    </row>
    <row r="68" spans="1:32">
      <c r="A68" s="126" t="s">
        <v>27</v>
      </c>
      <c r="B68" s="31"/>
      <c r="C68" t="s">
        <v>28</v>
      </c>
      <c r="AF68" s="131"/>
    </row>
    <row r="69" spans="1:32">
      <c r="A69" s="126" t="s">
        <v>29</v>
      </c>
      <c r="B69" s="31"/>
      <c r="C69" t="s">
        <v>30</v>
      </c>
      <c r="AF69" s="131"/>
    </row>
    <row r="70" spans="1:32">
      <c r="A70" s="126" t="s">
        <v>29</v>
      </c>
      <c r="B70" s="31"/>
      <c r="C70" t="s">
        <v>30</v>
      </c>
      <c r="AF70" s="131"/>
    </row>
    <row r="71" spans="1:32" ht="15" thickBot="1">
      <c r="A71" s="136" t="s">
        <v>35</v>
      </c>
      <c r="B71" s="44"/>
      <c r="C71" s="41" t="s">
        <v>23</v>
      </c>
      <c r="D71" s="41" t="s">
        <v>366</v>
      </c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135"/>
    </row>
    <row r="72" spans="1:32" ht="15" thickTop="1">
      <c r="A72" s="123" t="s">
        <v>35</v>
      </c>
      <c r="B72" s="38"/>
      <c r="C72" s="43" t="s">
        <v>23</v>
      </c>
      <c r="D72" s="43" t="s">
        <v>365</v>
      </c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137"/>
    </row>
    <row r="73" spans="1:32">
      <c r="A73" s="126" t="s">
        <v>27</v>
      </c>
      <c r="B73" s="31"/>
      <c r="C73" t="s">
        <v>28</v>
      </c>
      <c r="AF73" s="131"/>
    </row>
    <row r="74" spans="1:32">
      <c r="A74" s="126" t="s">
        <v>35</v>
      </c>
      <c r="B74" s="31"/>
      <c r="C74" t="s">
        <v>23</v>
      </c>
      <c r="AF74" s="131"/>
    </row>
    <row r="75" spans="1:32">
      <c r="A75" s="126" t="s">
        <v>35</v>
      </c>
      <c r="B75" s="31"/>
      <c r="C75" t="s">
        <v>23</v>
      </c>
      <c r="AF75" s="131"/>
    </row>
    <row r="76" spans="1:32" ht="15" thickBot="1">
      <c r="A76" s="136" t="s">
        <v>35</v>
      </c>
      <c r="B76" s="44"/>
      <c r="C76" s="41" t="s">
        <v>23</v>
      </c>
      <c r="D76" s="41" t="s">
        <v>366</v>
      </c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135"/>
    </row>
    <row r="77" spans="1:32" ht="15" thickTop="1">
      <c r="A77" s="123" t="s">
        <v>35</v>
      </c>
      <c r="B77" s="38"/>
      <c r="C77" s="43" t="s">
        <v>23</v>
      </c>
      <c r="D77" s="43" t="s">
        <v>365</v>
      </c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137"/>
    </row>
    <row r="78" spans="1:32">
      <c r="A78" s="126" t="s">
        <v>35</v>
      </c>
      <c r="B78" s="31"/>
      <c r="C78" t="s">
        <v>23</v>
      </c>
      <c r="AF78" s="131"/>
    </row>
    <row r="79" spans="1:32">
      <c r="A79" s="126" t="s">
        <v>35</v>
      </c>
      <c r="B79" s="31"/>
      <c r="C79" t="s">
        <v>23</v>
      </c>
      <c r="AF79" s="131"/>
    </row>
    <row r="80" spans="1:32">
      <c r="A80" s="126" t="s">
        <v>29</v>
      </c>
      <c r="B80" s="31"/>
      <c r="C80" t="s">
        <v>30</v>
      </c>
      <c r="AF80" s="131"/>
    </row>
    <row r="81" spans="1:32" ht="15" thickBot="1">
      <c r="A81" s="136" t="s">
        <v>29</v>
      </c>
      <c r="B81" s="44"/>
      <c r="C81" s="41" t="s">
        <v>30</v>
      </c>
      <c r="D81" s="41" t="s">
        <v>366</v>
      </c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135"/>
    </row>
    <row r="82" spans="1:32" ht="15" thickTop="1">
      <c r="A82" s="123" t="s">
        <v>35</v>
      </c>
      <c r="B82" s="38"/>
      <c r="C82" s="43" t="s">
        <v>23</v>
      </c>
      <c r="D82" s="43" t="s">
        <v>365</v>
      </c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137"/>
    </row>
    <row r="83" spans="1:32">
      <c r="A83" s="126" t="s">
        <v>27</v>
      </c>
      <c r="B83" s="31"/>
      <c r="C83" t="s">
        <v>28</v>
      </c>
      <c r="AF83" s="131"/>
    </row>
    <row r="84" spans="1:32">
      <c r="A84" s="126" t="s">
        <v>27</v>
      </c>
      <c r="B84" s="31"/>
      <c r="C84" t="s">
        <v>28</v>
      </c>
      <c r="AF84" s="131"/>
    </row>
    <row r="85" spans="1:32">
      <c r="A85" s="126" t="s">
        <v>38</v>
      </c>
      <c r="B85" s="31"/>
      <c r="C85" t="s">
        <v>23</v>
      </c>
      <c r="AF85" s="131"/>
    </row>
    <row r="86" spans="1:32" ht="15" thickBot="1">
      <c r="A86" s="136" t="s">
        <v>29</v>
      </c>
      <c r="B86" s="44"/>
      <c r="C86" s="41" t="s">
        <v>30</v>
      </c>
      <c r="D86" s="41" t="s">
        <v>366</v>
      </c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135"/>
    </row>
    <row r="87" spans="1:32" ht="15" thickTop="1">
      <c r="A87" s="123" t="s">
        <v>153</v>
      </c>
      <c r="B87" s="38"/>
      <c r="C87" s="43" t="s">
        <v>23</v>
      </c>
      <c r="D87" s="43" t="s">
        <v>365</v>
      </c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137"/>
    </row>
    <row r="88" spans="1:32">
      <c r="A88" s="126" t="s">
        <v>27</v>
      </c>
      <c r="B88" s="31"/>
      <c r="C88" t="s">
        <v>28</v>
      </c>
      <c r="AF88" s="131"/>
    </row>
    <row r="89" spans="1:32">
      <c r="A89" s="126" t="s">
        <v>27</v>
      </c>
      <c r="B89" s="31"/>
      <c r="C89" t="s">
        <v>28</v>
      </c>
      <c r="AF89" s="131"/>
    </row>
    <row r="90" spans="1:32">
      <c r="A90" s="126" t="s">
        <v>153</v>
      </c>
      <c r="B90" s="31"/>
      <c r="C90" t="s">
        <v>23</v>
      </c>
      <c r="AF90" s="131"/>
    </row>
    <row r="91" spans="1:32" ht="15" thickBot="1">
      <c r="A91" s="136" t="s">
        <v>25</v>
      </c>
      <c r="B91" s="44"/>
      <c r="C91" s="41" t="s">
        <v>26</v>
      </c>
      <c r="D91" s="41" t="s">
        <v>366</v>
      </c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135"/>
    </row>
    <row r="92" spans="1:32" ht="15" thickTop="1">
      <c r="A92" s="123" t="s">
        <v>41</v>
      </c>
      <c r="B92" s="38"/>
      <c r="C92" s="43" t="s">
        <v>42</v>
      </c>
      <c r="D92" s="43" t="s">
        <v>365</v>
      </c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137"/>
    </row>
    <row r="93" spans="1:32">
      <c r="A93" s="126" t="s">
        <v>153</v>
      </c>
      <c r="B93" s="31"/>
      <c r="C93" t="s">
        <v>23</v>
      </c>
      <c r="AF93" s="131"/>
    </row>
    <row r="94" spans="1:32">
      <c r="A94" s="126" t="s">
        <v>27</v>
      </c>
      <c r="B94" s="31"/>
      <c r="C94" t="s">
        <v>28</v>
      </c>
      <c r="AF94" s="131"/>
    </row>
    <row r="95" spans="1:32">
      <c r="A95" s="126" t="s">
        <v>38</v>
      </c>
      <c r="B95" s="31"/>
      <c r="C95" t="s">
        <v>23</v>
      </c>
      <c r="AF95" s="131"/>
    </row>
    <row r="96" spans="1:32" ht="15" thickBot="1">
      <c r="A96" s="136" t="s">
        <v>29</v>
      </c>
      <c r="B96" s="44"/>
      <c r="C96" s="41" t="s">
        <v>30</v>
      </c>
      <c r="D96" s="41" t="s">
        <v>366</v>
      </c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135"/>
    </row>
    <row r="97" spans="1:32" ht="15" thickTop="1">
      <c r="A97" s="123" t="s">
        <v>27</v>
      </c>
      <c r="B97" s="38"/>
      <c r="C97" s="43" t="s">
        <v>28</v>
      </c>
      <c r="D97" s="43" t="s">
        <v>365</v>
      </c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137"/>
    </row>
    <row r="98" spans="1:32">
      <c r="A98" s="126" t="s">
        <v>27</v>
      </c>
      <c r="B98" s="31"/>
      <c r="C98" t="s">
        <v>28</v>
      </c>
      <c r="AF98" s="131"/>
    </row>
    <row r="99" spans="1:32">
      <c r="A99" s="126" t="s">
        <v>51</v>
      </c>
      <c r="B99" s="31"/>
      <c r="C99" t="s">
        <v>23</v>
      </c>
      <c r="AF99" s="131"/>
    </row>
    <row r="100" spans="1:32">
      <c r="A100" s="126" t="s">
        <v>35</v>
      </c>
      <c r="B100" s="31"/>
      <c r="C100" t="s">
        <v>23</v>
      </c>
      <c r="AF100" s="131"/>
    </row>
    <row r="101" spans="1:32" ht="15" thickBot="1">
      <c r="A101" s="136" t="s">
        <v>38</v>
      </c>
      <c r="B101" s="44"/>
      <c r="C101" s="41" t="s">
        <v>23</v>
      </c>
      <c r="D101" s="41" t="s">
        <v>366</v>
      </c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135"/>
    </row>
    <row r="102" spans="1:32" ht="15" thickTop="1">
      <c r="A102" s="123" t="s">
        <v>25</v>
      </c>
      <c r="B102" s="38"/>
      <c r="C102" s="43" t="s">
        <v>26</v>
      </c>
      <c r="D102" s="43" t="s">
        <v>365</v>
      </c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137"/>
    </row>
    <row r="103" spans="1:32">
      <c r="A103" s="126" t="s">
        <v>38</v>
      </c>
      <c r="B103" s="31"/>
      <c r="C103" t="s">
        <v>23</v>
      </c>
      <c r="AF103" s="131"/>
    </row>
    <row r="104" spans="1:32">
      <c r="A104" s="126" t="s">
        <v>29</v>
      </c>
      <c r="B104" s="31"/>
      <c r="C104" t="s">
        <v>30</v>
      </c>
      <c r="AF104" s="131"/>
    </row>
    <row r="105" spans="1:32">
      <c r="A105" s="126" t="s">
        <v>25</v>
      </c>
      <c r="B105" s="31"/>
      <c r="C105" t="s">
        <v>26</v>
      </c>
      <c r="AF105" s="131"/>
    </row>
    <row r="106" spans="1:32" ht="15" thickBot="1">
      <c r="A106" s="136" t="s">
        <v>38</v>
      </c>
      <c r="B106" s="44"/>
      <c r="C106" s="41" t="s">
        <v>23</v>
      </c>
      <c r="D106" s="41" t="s">
        <v>366</v>
      </c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135"/>
    </row>
    <row r="107" spans="1:32" ht="15" thickTop="1">
      <c r="A107" s="123" t="s">
        <v>164</v>
      </c>
      <c r="B107" s="38"/>
      <c r="C107" s="43" t="s">
        <v>23</v>
      </c>
      <c r="D107" s="43" t="s">
        <v>365</v>
      </c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137"/>
    </row>
    <row r="108" spans="1:32">
      <c r="A108" s="126" t="s">
        <v>38</v>
      </c>
      <c r="B108" s="31"/>
      <c r="C108" t="s">
        <v>23</v>
      </c>
      <c r="AF108" s="131"/>
    </row>
    <row r="109" spans="1:32">
      <c r="A109" s="126" t="s">
        <v>29</v>
      </c>
      <c r="B109" s="31"/>
      <c r="C109" t="s">
        <v>30</v>
      </c>
      <c r="AF109" s="131"/>
    </row>
    <row r="110" spans="1:32">
      <c r="A110" s="126" t="s">
        <v>29</v>
      </c>
      <c r="B110" s="31"/>
      <c r="C110" t="s">
        <v>30</v>
      </c>
      <c r="AF110" s="131"/>
    </row>
    <row r="111" spans="1:32" ht="15" thickBot="1">
      <c r="A111" s="136" t="s">
        <v>27</v>
      </c>
      <c r="B111" s="44"/>
      <c r="C111" s="41" t="s">
        <v>28</v>
      </c>
      <c r="D111" s="41" t="s">
        <v>366</v>
      </c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135"/>
    </row>
    <row r="112" spans="1:32" ht="15" thickTop="1">
      <c r="A112" s="123" t="s">
        <v>31</v>
      </c>
      <c r="B112" s="38"/>
      <c r="C112" s="43" t="s">
        <v>23</v>
      </c>
      <c r="D112" s="43" t="s">
        <v>365</v>
      </c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137"/>
    </row>
    <row r="113" spans="1:32">
      <c r="A113" s="126" t="s">
        <v>29</v>
      </c>
      <c r="B113" s="31"/>
      <c r="C113" t="s">
        <v>30</v>
      </c>
      <c r="AF113" s="131"/>
    </row>
    <row r="114" spans="1:32">
      <c r="A114" s="126" t="s">
        <v>41</v>
      </c>
      <c r="B114" s="31"/>
      <c r="C114" t="s">
        <v>42</v>
      </c>
      <c r="AF114" s="131"/>
    </row>
    <row r="115" spans="1:32">
      <c r="A115" s="126" t="s">
        <v>27</v>
      </c>
      <c r="B115" s="31"/>
      <c r="C115" t="s">
        <v>28</v>
      </c>
      <c r="AF115" s="131"/>
    </row>
    <row r="116" spans="1:32" ht="15" thickBot="1">
      <c r="A116" s="136" t="s">
        <v>27</v>
      </c>
      <c r="B116" s="44"/>
      <c r="C116" s="41" t="s">
        <v>28</v>
      </c>
      <c r="D116" s="41" t="s">
        <v>366</v>
      </c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135"/>
    </row>
    <row r="117" spans="1:32" ht="15" thickTop="1">
      <c r="A117" s="123" t="s">
        <v>38</v>
      </c>
      <c r="B117" s="38"/>
      <c r="C117" s="43" t="s">
        <v>23</v>
      </c>
      <c r="D117" s="43" t="s">
        <v>365</v>
      </c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137"/>
    </row>
    <row r="118" spans="1:32">
      <c r="A118" s="126" t="s">
        <v>38</v>
      </c>
      <c r="B118" s="31"/>
      <c r="C118" t="s">
        <v>23</v>
      </c>
      <c r="AF118" s="131"/>
    </row>
    <row r="119" spans="1:32">
      <c r="A119" s="126" t="s">
        <v>38</v>
      </c>
      <c r="B119" s="31"/>
      <c r="C119" t="s">
        <v>23</v>
      </c>
      <c r="AF119" s="131"/>
    </row>
    <row r="120" spans="1:32">
      <c r="A120" s="126" t="s">
        <v>38</v>
      </c>
      <c r="B120" s="31"/>
      <c r="C120" t="s">
        <v>23</v>
      </c>
      <c r="AF120" s="131"/>
    </row>
    <row r="121" spans="1:32" ht="15" thickBot="1">
      <c r="A121" s="136" t="s">
        <v>38</v>
      </c>
      <c r="B121" s="44"/>
      <c r="C121" s="41" t="s">
        <v>23</v>
      </c>
      <c r="D121" s="41" t="s">
        <v>366</v>
      </c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135"/>
    </row>
    <row r="122" spans="1:32" ht="15" thickTop="1">
      <c r="A122" s="123" t="s">
        <v>153</v>
      </c>
      <c r="B122" s="38"/>
      <c r="C122" s="43" t="s">
        <v>23</v>
      </c>
      <c r="D122" s="43" t="s">
        <v>365</v>
      </c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137"/>
    </row>
    <row r="123" spans="1:32">
      <c r="A123" s="126" t="s">
        <v>27</v>
      </c>
      <c r="B123" s="31"/>
      <c r="C123" t="s">
        <v>28</v>
      </c>
      <c r="AF123" s="131"/>
    </row>
    <row r="124" spans="1:32">
      <c r="A124" s="126" t="s">
        <v>147</v>
      </c>
      <c r="B124" s="31"/>
      <c r="C124" t="s">
        <v>23</v>
      </c>
      <c r="AF124" s="131"/>
    </row>
    <row r="125" spans="1:32">
      <c r="A125" s="126" t="s">
        <v>38</v>
      </c>
      <c r="B125" s="31"/>
      <c r="C125" t="s">
        <v>23</v>
      </c>
      <c r="AF125" s="131"/>
    </row>
    <row r="126" spans="1:32" ht="15" thickBot="1">
      <c r="A126" s="136" t="s">
        <v>27</v>
      </c>
      <c r="B126" s="44"/>
      <c r="C126" s="41" t="s">
        <v>28</v>
      </c>
      <c r="D126" s="41" t="s">
        <v>366</v>
      </c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135"/>
    </row>
    <row r="127" spans="1:32" ht="15" thickTop="1">
      <c r="A127" s="123" t="s">
        <v>27</v>
      </c>
      <c r="B127" s="38"/>
      <c r="C127" s="43" t="s">
        <v>28</v>
      </c>
      <c r="D127" s="43" t="s">
        <v>365</v>
      </c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137"/>
    </row>
    <row r="128" spans="1:32">
      <c r="A128" s="126" t="s">
        <v>29</v>
      </c>
      <c r="B128" s="31"/>
      <c r="C128" t="s">
        <v>30</v>
      </c>
      <c r="AF128" s="131"/>
    </row>
    <row r="129" spans="1:32">
      <c r="A129" s="126" t="s">
        <v>29</v>
      </c>
      <c r="B129" s="31"/>
      <c r="C129" t="s">
        <v>30</v>
      </c>
      <c r="AF129" s="131"/>
    </row>
    <row r="130" spans="1:32">
      <c r="A130" s="126" t="s">
        <v>38</v>
      </c>
      <c r="B130" s="31"/>
      <c r="C130" t="s">
        <v>23</v>
      </c>
      <c r="AF130" s="131"/>
    </row>
    <row r="131" spans="1:32" ht="15" thickBot="1">
      <c r="A131" s="136" t="s">
        <v>35</v>
      </c>
      <c r="B131" s="44"/>
      <c r="C131" s="41" t="s">
        <v>23</v>
      </c>
      <c r="D131" s="41" t="s">
        <v>366</v>
      </c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135"/>
    </row>
    <row r="132" spans="1:32" ht="15" thickTop="1">
      <c r="A132" s="123" t="s">
        <v>29</v>
      </c>
      <c r="B132" s="38"/>
      <c r="C132" s="43" t="s">
        <v>30</v>
      </c>
      <c r="D132" s="43" t="s">
        <v>365</v>
      </c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137"/>
    </row>
    <row r="133" spans="1:32">
      <c r="A133" s="126" t="s">
        <v>51</v>
      </c>
      <c r="B133" s="31"/>
      <c r="C133" t="s">
        <v>23</v>
      </c>
      <c r="AF133" s="131"/>
    </row>
    <row r="134" spans="1:32">
      <c r="A134" s="126" t="s">
        <v>27</v>
      </c>
      <c r="B134" s="31"/>
      <c r="C134" t="s">
        <v>28</v>
      </c>
      <c r="AF134" s="131"/>
    </row>
    <row r="135" spans="1:32">
      <c r="A135" s="126" t="s">
        <v>29</v>
      </c>
      <c r="B135" s="31"/>
      <c r="C135" t="s">
        <v>30</v>
      </c>
      <c r="AF135" s="131"/>
    </row>
    <row r="136" spans="1:32" ht="15" thickBot="1">
      <c r="A136" s="136" t="s">
        <v>29</v>
      </c>
      <c r="B136" s="44"/>
      <c r="C136" s="41" t="s">
        <v>30</v>
      </c>
      <c r="D136" s="41" t="s">
        <v>366</v>
      </c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135"/>
    </row>
    <row r="137" spans="1:32" ht="15" thickTop="1">
      <c r="A137" s="123" t="s">
        <v>29</v>
      </c>
      <c r="B137" s="38"/>
      <c r="C137" s="43" t="s">
        <v>30</v>
      </c>
      <c r="D137" s="43" t="s">
        <v>365</v>
      </c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137"/>
    </row>
    <row r="138" spans="1:32">
      <c r="A138" s="126" t="s">
        <v>29</v>
      </c>
      <c r="B138" s="31"/>
      <c r="C138" t="s">
        <v>30</v>
      </c>
      <c r="AF138" s="131"/>
    </row>
    <row r="139" spans="1:32">
      <c r="A139" s="126" t="s">
        <v>27</v>
      </c>
      <c r="B139" s="31"/>
      <c r="C139" t="s">
        <v>28</v>
      </c>
      <c r="AF139" s="131"/>
    </row>
    <row r="140" spans="1:32">
      <c r="A140" s="126" t="s">
        <v>29</v>
      </c>
      <c r="B140" s="31"/>
      <c r="C140" t="s">
        <v>30</v>
      </c>
      <c r="AF140" s="131"/>
    </row>
    <row r="141" spans="1:32" ht="15" thickBot="1">
      <c r="A141" s="136" t="s">
        <v>155</v>
      </c>
      <c r="B141" s="44"/>
      <c r="C141" s="41" t="s">
        <v>23</v>
      </c>
      <c r="D141" s="41" t="s">
        <v>366</v>
      </c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135"/>
    </row>
    <row r="142" spans="1:32" ht="15" thickTop="1">
      <c r="A142" s="123" t="s">
        <v>89</v>
      </c>
      <c r="B142" s="38"/>
      <c r="C142" s="43" t="s">
        <v>23</v>
      </c>
      <c r="D142" s="43" t="s">
        <v>365</v>
      </c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137"/>
    </row>
    <row r="143" spans="1:32">
      <c r="A143" s="126" t="s">
        <v>89</v>
      </c>
      <c r="B143" s="31"/>
      <c r="C143" t="s">
        <v>23</v>
      </c>
      <c r="AF143" s="131"/>
    </row>
    <row r="144" spans="1:32">
      <c r="A144" s="126" t="s">
        <v>89</v>
      </c>
      <c r="B144" s="31"/>
      <c r="C144" t="s">
        <v>23</v>
      </c>
      <c r="AF144" s="131"/>
    </row>
    <row r="145" spans="1:32">
      <c r="A145" s="126" t="s">
        <v>29</v>
      </c>
      <c r="B145" s="31"/>
      <c r="C145" t="s">
        <v>30</v>
      </c>
      <c r="AF145" s="131"/>
    </row>
    <row r="146" spans="1:32" ht="15" thickBot="1">
      <c r="A146" s="136" t="s">
        <v>119</v>
      </c>
      <c r="B146" s="44"/>
      <c r="C146" s="41" t="s">
        <v>23</v>
      </c>
      <c r="D146" s="41" t="s">
        <v>366</v>
      </c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135"/>
    </row>
    <row r="147" spans="1:32" ht="15" thickTop="1">
      <c r="A147" s="123" t="s">
        <v>29</v>
      </c>
      <c r="B147" s="38"/>
      <c r="C147" s="43" t="s">
        <v>30</v>
      </c>
      <c r="D147" s="43" t="s">
        <v>365</v>
      </c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137"/>
    </row>
    <row r="148" spans="1:32">
      <c r="A148" s="126" t="s">
        <v>41</v>
      </c>
      <c r="B148" s="31"/>
      <c r="C148" t="s">
        <v>42</v>
      </c>
      <c r="AF148" s="131"/>
    </row>
    <row r="149" spans="1:32">
      <c r="A149" s="126" t="s">
        <v>189</v>
      </c>
      <c r="B149" s="31"/>
      <c r="C149" t="s">
        <v>23</v>
      </c>
      <c r="AF149" s="131"/>
    </row>
    <row r="150" spans="1:32">
      <c r="A150" s="126" t="s">
        <v>38</v>
      </c>
      <c r="B150" s="31"/>
      <c r="C150" t="s">
        <v>23</v>
      </c>
      <c r="AF150" s="131"/>
    </row>
    <row r="151" spans="1:32" ht="15" thickBot="1">
      <c r="A151" s="136" t="s">
        <v>38</v>
      </c>
      <c r="B151" s="44"/>
      <c r="C151" s="41" t="s">
        <v>23</v>
      </c>
      <c r="D151" s="41" t="s">
        <v>366</v>
      </c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135"/>
    </row>
    <row r="152" spans="1:32" ht="15" thickTop="1">
      <c r="A152" s="123" t="s">
        <v>29</v>
      </c>
      <c r="B152" s="38"/>
      <c r="C152" s="43" t="s">
        <v>30</v>
      </c>
      <c r="D152" s="43" t="s">
        <v>365</v>
      </c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137"/>
    </row>
    <row r="153" spans="1:32">
      <c r="A153" s="126" t="s">
        <v>38</v>
      </c>
      <c r="B153" s="31"/>
      <c r="C153" t="s">
        <v>23</v>
      </c>
      <c r="AF153" s="131"/>
    </row>
    <row r="154" spans="1:32">
      <c r="A154" s="126" t="s">
        <v>27</v>
      </c>
      <c r="B154" s="31"/>
      <c r="C154" t="s">
        <v>28</v>
      </c>
      <c r="AF154" s="131"/>
    </row>
    <row r="155" spans="1:32">
      <c r="A155" s="126" t="s">
        <v>38</v>
      </c>
      <c r="B155" s="31"/>
      <c r="C155" t="s">
        <v>23</v>
      </c>
      <c r="AF155" s="131"/>
    </row>
    <row r="156" spans="1:32" ht="15" thickBot="1">
      <c r="A156" s="136" t="s">
        <v>38</v>
      </c>
      <c r="B156" s="44"/>
      <c r="C156" s="41" t="s">
        <v>23</v>
      </c>
      <c r="D156" s="41" t="s">
        <v>366</v>
      </c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135"/>
    </row>
    <row r="157" spans="1:32" ht="15" thickTop="1">
      <c r="A157" s="123" t="s">
        <v>38</v>
      </c>
      <c r="B157" s="38"/>
      <c r="C157" s="43" t="s">
        <v>23</v>
      </c>
      <c r="D157" s="43" t="s">
        <v>365</v>
      </c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137"/>
    </row>
    <row r="158" spans="1:32">
      <c r="A158" s="126" t="s">
        <v>27</v>
      </c>
      <c r="B158" s="31"/>
      <c r="C158" t="s">
        <v>28</v>
      </c>
      <c r="AF158" s="131"/>
    </row>
    <row r="159" spans="1:32">
      <c r="A159" s="126" t="s">
        <v>29</v>
      </c>
      <c r="B159" s="31"/>
      <c r="C159" t="s">
        <v>30</v>
      </c>
      <c r="AF159" s="131"/>
    </row>
    <row r="160" spans="1:32">
      <c r="A160" s="126" t="s">
        <v>38</v>
      </c>
      <c r="B160" s="31"/>
      <c r="C160" t="s">
        <v>23</v>
      </c>
      <c r="AF160" s="131"/>
    </row>
    <row r="161" spans="1:32" ht="15" thickBot="1">
      <c r="A161" s="136" t="s">
        <v>38</v>
      </c>
      <c r="B161" s="44"/>
      <c r="C161" s="41" t="s">
        <v>23</v>
      </c>
      <c r="D161" s="41" t="s">
        <v>366</v>
      </c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135"/>
    </row>
    <row r="162" spans="1:32" ht="15" thickTop="1">
      <c r="A162" s="123" t="s">
        <v>29</v>
      </c>
      <c r="B162" s="38"/>
      <c r="C162" s="43" t="s">
        <v>30</v>
      </c>
      <c r="D162" s="43" t="s">
        <v>365</v>
      </c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137"/>
    </row>
    <row r="163" spans="1:32">
      <c r="A163" s="126" t="s">
        <v>29</v>
      </c>
      <c r="B163" s="31"/>
      <c r="C163" t="s">
        <v>30</v>
      </c>
      <c r="AF163" s="131"/>
    </row>
    <row r="164" spans="1:32">
      <c r="A164" s="126" t="s">
        <v>38</v>
      </c>
      <c r="B164" s="31"/>
      <c r="C164" t="s">
        <v>23</v>
      </c>
      <c r="AF164" s="131"/>
    </row>
    <row r="165" spans="1:32">
      <c r="A165" s="126" t="s">
        <v>38</v>
      </c>
      <c r="B165" s="31"/>
      <c r="C165" t="s">
        <v>23</v>
      </c>
      <c r="AF165" s="131"/>
    </row>
    <row r="166" spans="1:32" ht="15" thickBot="1">
      <c r="A166" s="136" t="s">
        <v>29</v>
      </c>
      <c r="B166" s="44"/>
      <c r="C166" s="41" t="s">
        <v>30</v>
      </c>
      <c r="D166" s="41" t="s">
        <v>366</v>
      </c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135"/>
    </row>
    <row r="167" spans="1:32" ht="15" thickTop="1">
      <c r="A167" s="123" t="s">
        <v>22</v>
      </c>
      <c r="B167" s="38"/>
      <c r="C167" s="43" t="s">
        <v>23</v>
      </c>
      <c r="D167" s="43" t="s">
        <v>365</v>
      </c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137"/>
    </row>
    <row r="168" spans="1:32">
      <c r="A168" s="126" t="s">
        <v>22</v>
      </c>
      <c r="B168" s="31"/>
      <c r="C168" t="s">
        <v>23</v>
      </c>
      <c r="AF168" s="131"/>
    </row>
    <row r="169" spans="1:32">
      <c r="A169" s="126" t="s">
        <v>22</v>
      </c>
      <c r="B169" s="31"/>
      <c r="C169" t="s">
        <v>23</v>
      </c>
      <c r="AF169" s="131"/>
    </row>
    <row r="170" spans="1:32">
      <c r="A170" s="126" t="s">
        <v>22</v>
      </c>
      <c r="B170" s="31"/>
      <c r="C170" t="s">
        <v>23</v>
      </c>
      <c r="AF170" s="131"/>
    </row>
    <row r="171" spans="1:32" ht="15" thickBot="1">
      <c r="A171" s="136" t="s">
        <v>22</v>
      </c>
      <c r="B171" s="44"/>
      <c r="C171" s="41" t="s">
        <v>23</v>
      </c>
      <c r="D171" s="41" t="s">
        <v>366</v>
      </c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135"/>
    </row>
    <row r="172" spans="1:32" ht="15" thickTop="1">
      <c r="A172" s="123" t="s">
        <v>22</v>
      </c>
      <c r="B172" s="38"/>
      <c r="C172" s="43" t="s">
        <v>23</v>
      </c>
      <c r="D172" s="43" t="s">
        <v>365</v>
      </c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137"/>
    </row>
    <row r="173" spans="1:32">
      <c r="A173" s="126" t="s">
        <v>22</v>
      </c>
      <c r="B173" s="31"/>
      <c r="C173" t="s">
        <v>23</v>
      </c>
      <c r="AF173" s="131"/>
    </row>
    <row r="174" spans="1:32">
      <c r="A174" s="126" t="s">
        <v>38</v>
      </c>
      <c r="B174" s="31"/>
      <c r="C174" t="s">
        <v>23</v>
      </c>
      <c r="AF174" s="131"/>
    </row>
    <row r="175" spans="1:32">
      <c r="A175" s="126" t="s">
        <v>22</v>
      </c>
      <c r="B175" s="31"/>
      <c r="C175" t="s">
        <v>23</v>
      </c>
      <c r="AF175" s="131"/>
    </row>
    <row r="176" spans="1:32" ht="15" thickBot="1">
      <c r="A176" s="136" t="s">
        <v>22</v>
      </c>
      <c r="B176" s="44"/>
      <c r="C176" s="41" t="s">
        <v>23</v>
      </c>
      <c r="D176" s="41" t="s">
        <v>366</v>
      </c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135"/>
    </row>
    <row r="177" spans="1:32" ht="15" thickTop="1">
      <c r="A177" s="123" t="s">
        <v>27</v>
      </c>
      <c r="B177" s="38"/>
      <c r="C177" s="43" t="s">
        <v>28</v>
      </c>
      <c r="D177" s="43" t="s">
        <v>365</v>
      </c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137"/>
    </row>
    <row r="178" spans="1:32">
      <c r="A178" s="126" t="s">
        <v>38</v>
      </c>
      <c r="B178" s="31"/>
      <c r="C178" t="s">
        <v>23</v>
      </c>
      <c r="AF178" s="131"/>
    </row>
    <row r="179" spans="1:32">
      <c r="A179" s="126" t="s">
        <v>29</v>
      </c>
      <c r="B179" s="31"/>
      <c r="C179" t="s">
        <v>30</v>
      </c>
      <c r="AF179" s="131"/>
    </row>
    <row r="180" spans="1:32">
      <c r="A180" s="126" t="s">
        <v>29</v>
      </c>
      <c r="B180" s="31"/>
      <c r="C180" t="s">
        <v>30</v>
      </c>
      <c r="AF180" s="131"/>
    </row>
    <row r="181" spans="1:32" ht="15" thickBot="1">
      <c r="A181" s="136" t="s">
        <v>29</v>
      </c>
      <c r="B181" s="44"/>
      <c r="C181" s="41" t="s">
        <v>30</v>
      </c>
      <c r="D181" s="41" t="s">
        <v>366</v>
      </c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135"/>
    </row>
    <row r="182" spans="1:32" ht="15" thickTop="1">
      <c r="A182" s="123" t="s">
        <v>29</v>
      </c>
      <c r="B182" s="38"/>
      <c r="C182" s="43" t="s">
        <v>30</v>
      </c>
      <c r="D182" s="43" t="s">
        <v>365</v>
      </c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137"/>
    </row>
    <row r="183" spans="1:32">
      <c r="A183" s="126" t="s">
        <v>29</v>
      </c>
      <c r="B183" s="31"/>
      <c r="C183" t="s">
        <v>30</v>
      </c>
      <c r="AF183" s="131"/>
    </row>
    <row r="184" spans="1:32">
      <c r="A184" s="126" t="s">
        <v>38</v>
      </c>
      <c r="B184" s="31"/>
      <c r="C184" t="s">
        <v>23</v>
      </c>
      <c r="AF184" s="131"/>
    </row>
    <row r="185" spans="1:32">
      <c r="A185" s="126" t="s">
        <v>27</v>
      </c>
      <c r="B185" s="31"/>
      <c r="C185" t="s">
        <v>28</v>
      </c>
      <c r="AF185" s="131"/>
    </row>
    <row r="186" spans="1:32" ht="15" thickBot="1">
      <c r="A186" s="136" t="s">
        <v>29</v>
      </c>
      <c r="B186" s="44"/>
      <c r="C186" s="41" t="s">
        <v>30</v>
      </c>
      <c r="D186" s="41" t="s">
        <v>366</v>
      </c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135"/>
    </row>
    <row r="187" spans="1:32" ht="15" thickTop="1">
      <c r="A187" s="123" t="s">
        <v>35</v>
      </c>
      <c r="B187" s="38"/>
      <c r="C187" s="43" t="s">
        <v>23</v>
      </c>
      <c r="D187" s="43" t="s">
        <v>365</v>
      </c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137"/>
    </row>
    <row r="188" spans="1:32">
      <c r="A188" s="126" t="s">
        <v>25</v>
      </c>
      <c r="B188" s="31"/>
      <c r="C188" t="s">
        <v>26</v>
      </c>
      <c r="AF188" s="131"/>
    </row>
    <row r="189" spans="1:32">
      <c r="A189" s="126" t="s">
        <v>147</v>
      </c>
      <c r="B189" s="31"/>
      <c r="C189" t="s">
        <v>23</v>
      </c>
      <c r="AF189" s="131"/>
    </row>
    <row r="190" spans="1:32">
      <c r="A190" s="126" t="s">
        <v>157</v>
      </c>
      <c r="B190" s="31"/>
      <c r="C190" t="s">
        <v>23</v>
      </c>
      <c r="AF190" s="131"/>
    </row>
    <row r="191" spans="1:32" ht="15" thickBot="1">
      <c r="A191" s="136" t="s">
        <v>27</v>
      </c>
      <c r="B191" s="44"/>
      <c r="C191" s="41" t="s">
        <v>28</v>
      </c>
      <c r="D191" s="41" t="s">
        <v>366</v>
      </c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135"/>
    </row>
    <row r="192" spans="1:32" ht="15" thickTop="1">
      <c r="A192" s="123" t="s">
        <v>27</v>
      </c>
      <c r="B192" s="38"/>
      <c r="C192" s="43" t="s">
        <v>28</v>
      </c>
      <c r="D192" s="43" t="s">
        <v>365</v>
      </c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137"/>
    </row>
    <row r="193" spans="1:32">
      <c r="A193" s="126" t="s">
        <v>27</v>
      </c>
      <c r="B193" s="31"/>
      <c r="C193" t="s">
        <v>28</v>
      </c>
      <c r="AF193" s="131"/>
    </row>
    <row r="194" spans="1:32">
      <c r="A194" s="126" t="s">
        <v>35</v>
      </c>
      <c r="B194" s="31"/>
      <c r="C194" t="s">
        <v>23</v>
      </c>
      <c r="AF194" s="131"/>
    </row>
    <row r="195" spans="1:32">
      <c r="A195" s="126" t="s">
        <v>29</v>
      </c>
      <c r="B195" s="31"/>
      <c r="C195" t="s">
        <v>30</v>
      </c>
      <c r="AF195" s="131"/>
    </row>
    <row r="196" spans="1:32" ht="15" thickBot="1">
      <c r="A196" s="136" t="s">
        <v>29</v>
      </c>
      <c r="B196" s="44"/>
      <c r="C196" s="41" t="s">
        <v>30</v>
      </c>
      <c r="D196" s="41" t="s">
        <v>366</v>
      </c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135"/>
    </row>
    <row r="197" spans="1:32" ht="15" thickTop="1">
      <c r="A197" s="123" t="s">
        <v>51</v>
      </c>
      <c r="B197" s="38"/>
      <c r="C197" s="43" t="s">
        <v>23</v>
      </c>
      <c r="D197" s="43" t="s">
        <v>365</v>
      </c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137"/>
    </row>
    <row r="198" spans="1:32">
      <c r="A198" s="126" t="s">
        <v>29</v>
      </c>
      <c r="B198" s="31"/>
      <c r="C198" t="s">
        <v>30</v>
      </c>
      <c r="AF198" s="131"/>
    </row>
    <row r="199" spans="1:32">
      <c r="A199" s="126" t="s">
        <v>29</v>
      </c>
      <c r="B199" s="31"/>
      <c r="C199" t="s">
        <v>30</v>
      </c>
      <c r="AF199" s="131"/>
    </row>
    <row r="200" spans="1:32">
      <c r="A200" s="126" t="s">
        <v>29</v>
      </c>
      <c r="B200" s="31"/>
      <c r="C200" t="s">
        <v>30</v>
      </c>
      <c r="AF200" s="131"/>
    </row>
    <row r="201" spans="1:32" ht="15" thickBot="1">
      <c r="A201" s="136" t="s">
        <v>27</v>
      </c>
      <c r="B201" s="44"/>
      <c r="C201" s="41" t="s">
        <v>28</v>
      </c>
      <c r="D201" s="41" t="s">
        <v>366</v>
      </c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135"/>
    </row>
    <row r="202" spans="1:32" ht="15" thickTop="1">
      <c r="A202" s="123" t="s">
        <v>27</v>
      </c>
      <c r="B202" s="38"/>
      <c r="C202" s="43" t="s">
        <v>28</v>
      </c>
      <c r="D202" s="43" t="s">
        <v>365</v>
      </c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137"/>
    </row>
    <row r="203" spans="1:32">
      <c r="A203" s="126" t="s">
        <v>29</v>
      </c>
      <c r="B203" s="31"/>
      <c r="C203" t="s">
        <v>30</v>
      </c>
      <c r="AF203" s="131"/>
    </row>
    <row r="204" spans="1:32">
      <c r="A204" s="126" t="s">
        <v>29</v>
      </c>
      <c r="B204" s="31"/>
      <c r="C204" t="s">
        <v>30</v>
      </c>
      <c r="AF204" s="131"/>
    </row>
    <row r="205" spans="1:32">
      <c r="A205" s="126" t="s">
        <v>31</v>
      </c>
      <c r="B205" s="31"/>
      <c r="C205" t="s">
        <v>23</v>
      </c>
      <c r="AF205" s="131"/>
    </row>
    <row r="206" spans="1:32" ht="15" thickBot="1">
      <c r="A206" s="136" t="s">
        <v>29</v>
      </c>
      <c r="B206" s="44"/>
      <c r="C206" s="41" t="s">
        <v>30</v>
      </c>
      <c r="D206" s="41" t="s">
        <v>366</v>
      </c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135"/>
    </row>
    <row r="207" spans="1:32" ht="15" thickTop="1">
      <c r="A207" s="123" t="s">
        <v>29</v>
      </c>
      <c r="B207" s="38"/>
      <c r="C207" s="43" t="s">
        <v>30</v>
      </c>
      <c r="D207" s="43" t="s">
        <v>365</v>
      </c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137"/>
    </row>
    <row r="208" spans="1:32">
      <c r="A208" s="126" t="s">
        <v>29</v>
      </c>
      <c r="B208" s="31"/>
      <c r="C208" t="s">
        <v>30</v>
      </c>
      <c r="AF208" s="131"/>
    </row>
    <row r="209" spans="1:32">
      <c r="A209" s="126" t="s">
        <v>29</v>
      </c>
      <c r="B209" s="31"/>
      <c r="C209" t="s">
        <v>30</v>
      </c>
      <c r="AF209" s="131"/>
    </row>
    <row r="210" spans="1:32">
      <c r="A210" s="126" t="s">
        <v>29</v>
      </c>
      <c r="B210" s="31"/>
      <c r="C210" t="s">
        <v>30</v>
      </c>
      <c r="AF210" s="131"/>
    </row>
    <row r="211" spans="1:32" ht="15" thickBot="1">
      <c r="A211" s="136" t="s">
        <v>29</v>
      </c>
      <c r="B211" s="44"/>
      <c r="C211" s="41" t="s">
        <v>30</v>
      </c>
      <c r="D211" s="41" t="s">
        <v>366</v>
      </c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135"/>
    </row>
    <row r="212" spans="1:32" ht="15" thickTop="1">
      <c r="A212" s="123" t="s">
        <v>27</v>
      </c>
      <c r="B212" s="38"/>
      <c r="C212" s="43" t="s">
        <v>28</v>
      </c>
      <c r="D212" s="43" t="s">
        <v>365</v>
      </c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137"/>
    </row>
    <row r="213" spans="1:32">
      <c r="A213" s="126" t="s">
        <v>29</v>
      </c>
      <c r="B213" s="31"/>
      <c r="C213" t="s">
        <v>30</v>
      </c>
      <c r="AF213" s="131"/>
    </row>
    <row r="214" spans="1:32">
      <c r="A214" s="126" t="s">
        <v>29</v>
      </c>
      <c r="B214" s="31"/>
      <c r="C214" t="s">
        <v>30</v>
      </c>
      <c r="AF214" s="131"/>
    </row>
    <row r="215" spans="1:32">
      <c r="A215" s="126" t="s">
        <v>29</v>
      </c>
      <c r="B215" s="31"/>
      <c r="C215" t="s">
        <v>30</v>
      </c>
      <c r="AF215" s="131"/>
    </row>
    <row r="216" spans="1:32" ht="15" thickBot="1">
      <c r="A216" s="136" t="s">
        <v>29</v>
      </c>
      <c r="B216" s="44"/>
      <c r="C216" s="41" t="s">
        <v>30</v>
      </c>
      <c r="D216" s="41" t="s">
        <v>366</v>
      </c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135"/>
    </row>
    <row r="217" spans="1:32" ht="15" thickTop="1">
      <c r="A217" s="123" t="s">
        <v>29</v>
      </c>
      <c r="B217" s="38"/>
      <c r="C217" s="43" t="s">
        <v>30</v>
      </c>
      <c r="D217" s="43" t="s">
        <v>365</v>
      </c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137"/>
    </row>
    <row r="218" spans="1:32">
      <c r="A218" s="126" t="s">
        <v>29</v>
      </c>
      <c r="B218" s="31"/>
      <c r="C218" t="s">
        <v>30</v>
      </c>
      <c r="AF218" s="131"/>
    </row>
    <row r="219" spans="1:32">
      <c r="A219" s="126" t="s">
        <v>29</v>
      </c>
      <c r="B219" s="31"/>
      <c r="C219" t="s">
        <v>30</v>
      </c>
      <c r="AF219" s="131"/>
    </row>
    <row r="220" spans="1:32">
      <c r="A220" s="126" t="s">
        <v>29</v>
      </c>
      <c r="B220" s="31"/>
      <c r="C220" t="s">
        <v>30</v>
      </c>
      <c r="AF220" s="131"/>
    </row>
    <row r="221" spans="1:32" ht="15" thickBot="1">
      <c r="A221" s="136" t="s">
        <v>41</v>
      </c>
      <c r="B221" s="44"/>
      <c r="C221" s="41" t="s">
        <v>42</v>
      </c>
      <c r="D221" s="41" t="s">
        <v>366</v>
      </c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135"/>
    </row>
    <row r="222" spans="1:32" ht="15" thickTop="1">
      <c r="A222" s="123" t="s">
        <v>22</v>
      </c>
      <c r="B222" s="38"/>
      <c r="C222" s="43" t="s">
        <v>23</v>
      </c>
      <c r="D222" s="43" t="s">
        <v>365</v>
      </c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137"/>
    </row>
    <row r="223" spans="1:32">
      <c r="A223" s="126" t="s">
        <v>29</v>
      </c>
      <c r="B223" s="31"/>
      <c r="C223" t="s">
        <v>30</v>
      </c>
      <c r="AF223" s="131"/>
    </row>
    <row r="224" spans="1:32">
      <c r="A224" s="126" t="s">
        <v>38</v>
      </c>
      <c r="B224" s="31"/>
      <c r="C224" t="s">
        <v>23</v>
      </c>
      <c r="AF224" s="131"/>
    </row>
    <row r="225" spans="1:32">
      <c r="A225" s="126" t="s">
        <v>38</v>
      </c>
      <c r="B225" s="31"/>
      <c r="C225" t="s">
        <v>23</v>
      </c>
      <c r="AF225" s="131"/>
    </row>
    <row r="226" spans="1:32" ht="15" thickBot="1">
      <c r="A226" s="136" t="s">
        <v>29</v>
      </c>
      <c r="B226" s="44"/>
      <c r="C226" s="41" t="s">
        <v>30</v>
      </c>
      <c r="D226" s="41" t="s">
        <v>366</v>
      </c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135"/>
    </row>
    <row r="227" spans="1:32" ht="15" thickTop="1">
      <c r="A227" s="123" t="s">
        <v>29</v>
      </c>
      <c r="B227" s="38"/>
      <c r="C227" s="43" t="s">
        <v>30</v>
      </c>
      <c r="D227" s="43" t="s">
        <v>365</v>
      </c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137"/>
    </row>
    <row r="228" spans="1:32">
      <c r="A228" s="126" t="s">
        <v>31</v>
      </c>
      <c r="B228" s="31"/>
      <c r="C228" t="s">
        <v>23</v>
      </c>
      <c r="AF228" s="131"/>
    </row>
    <row r="229" spans="1:32">
      <c r="A229" s="126" t="s">
        <v>27</v>
      </c>
      <c r="B229" s="31"/>
      <c r="C229" t="s">
        <v>28</v>
      </c>
      <c r="AF229" s="131"/>
    </row>
    <row r="230" spans="1:32">
      <c r="A230" s="126" t="s">
        <v>27</v>
      </c>
      <c r="B230" s="31"/>
      <c r="C230" t="s">
        <v>28</v>
      </c>
      <c r="AF230" s="131"/>
    </row>
    <row r="231" spans="1:32" ht="15" thickBot="1">
      <c r="A231" s="136" t="s">
        <v>38</v>
      </c>
      <c r="B231" s="44"/>
      <c r="C231" s="41" t="s">
        <v>23</v>
      </c>
      <c r="D231" s="41" t="s">
        <v>366</v>
      </c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135"/>
    </row>
    <row r="232" spans="1:32" ht="15" thickTop="1">
      <c r="A232" s="123" t="s">
        <v>29</v>
      </c>
      <c r="B232" s="38"/>
      <c r="C232" s="43" t="s">
        <v>30</v>
      </c>
      <c r="D232" s="43" t="s">
        <v>365</v>
      </c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137"/>
    </row>
    <row r="233" spans="1:32">
      <c r="A233" s="126" t="s">
        <v>31</v>
      </c>
      <c r="B233" s="31"/>
      <c r="C233" t="s">
        <v>23</v>
      </c>
      <c r="AF233" s="131"/>
    </row>
    <row r="234" spans="1:32">
      <c r="A234" s="126" t="s">
        <v>31</v>
      </c>
      <c r="B234" s="31"/>
      <c r="C234" t="s">
        <v>23</v>
      </c>
      <c r="AF234" s="131"/>
    </row>
    <row r="235" spans="1:32">
      <c r="A235" s="126" t="s">
        <v>31</v>
      </c>
      <c r="B235" s="31"/>
      <c r="C235" t="s">
        <v>23</v>
      </c>
      <c r="AF235" s="131"/>
    </row>
    <row r="236" spans="1:32" ht="15" thickBot="1">
      <c r="A236" s="136" t="s">
        <v>31</v>
      </c>
      <c r="B236" s="44"/>
      <c r="C236" s="41" t="s">
        <v>23</v>
      </c>
      <c r="D236" s="41" t="s">
        <v>366</v>
      </c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135"/>
    </row>
    <row r="237" spans="1:32" ht="15" thickTop="1">
      <c r="A237" s="123" t="s">
        <v>29</v>
      </c>
      <c r="B237" s="38"/>
      <c r="C237" s="43" t="s">
        <v>30</v>
      </c>
      <c r="D237" s="43" t="s">
        <v>365</v>
      </c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137"/>
    </row>
    <row r="238" spans="1:32">
      <c r="A238" s="126" t="s">
        <v>31</v>
      </c>
      <c r="B238" s="31"/>
      <c r="C238" t="s">
        <v>23</v>
      </c>
      <c r="AF238" s="131"/>
    </row>
    <row r="239" spans="1:32">
      <c r="A239" s="126" t="s">
        <v>41</v>
      </c>
      <c r="B239" s="31"/>
      <c r="C239" t="s">
        <v>42</v>
      </c>
      <c r="AF239" s="131"/>
    </row>
    <row r="240" spans="1:32">
      <c r="A240" s="126" t="s">
        <v>29</v>
      </c>
      <c r="B240" s="31"/>
      <c r="C240" t="s">
        <v>30</v>
      </c>
      <c r="AF240" s="131"/>
    </row>
    <row r="241" spans="1:32" ht="15" thickBot="1">
      <c r="A241" s="136" t="s">
        <v>29</v>
      </c>
      <c r="B241" s="44"/>
      <c r="C241" s="41" t="s">
        <v>30</v>
      </c>
      <c r="D241" s="41" t="s">
        <v>366</v>
      </c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135"/>
    </row>
    <row r="242" spans="1:32" ht="15" thickTop="1">
      <c r="A242" s="123" t="s">
        <v>29</v>
      </c>
      <c r="B242" s="38"/>
      <c r="C242" s="43" t="s">
        <v>30</v>
      </c>
      <c r="D242" s="43" t="s">
        <v>365</v>
      </c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3"/>
      <c r="AF242" s="137"/>
    </row>
    <row r="243" spans="1:32">
      <c r="A243" s="126" t="s">
        <v>27</v>
      </c>
      <c r="B243" s="31"/>
      <c r="C243" t="s">
        <v>28</v>
      </c>
      <c r="AF243" s="131"/>
    </row>
    <row r="244" spans="1:32">
      <c r="A244" s="126" t="s">
        <v>29</v>
      </c>
      <c r="B244" s="31"/>
      <c r="C244" t="s">
        <v>30</v>
      </c>
      <c r="AF244" s="131"/>
    </row>
    <row r="245" spans="1:32">
      <c r="A245" s="126" t="s">
        <v>41</v>
      </c>
      <c r="B245" s="31"/>
      <c r="C245" t="s">
        <v>42</v>
      </c>
      <c r="AF245" s="131"/>
    </row>
    <row r="246" spans="1:32" ht="15" thickBot="1">
      <c r="A246" s="136" t="s">
        <v>51</v>
      </c>
      <c r="B246" s="44"/>
      <c r="C246" s="41" t="s">
        <v>23</v>
      </c>
      <c r="D246" s="41" t="s">
        <v>366</v>
      </c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135"/>
    </row>
    <row r="247" spans="1:32" ht="15" thickTop="1">
      <c r="A247" s="123" t="s">
        <v>27</v>
      </c>
      <c r="B247" s="38"/>
      <c r="C247" s="43" t="s">
        <v>28</v>
      </c>
      <c r="D247" s="43" t="s">
        <v>365</v>
      </c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3"/>
      <c r="AF247" s="137"/>
    </row>
    <row r="248" spans="1:32">
      <c r="A248" s="126" t="s">
        <v>27</v>
      </c>
      <c r="B248" s="31"/>
      <c r="C248" t="s">
        <v>28</v>
      </c>
      <c r="AF248" s="131"/>
    </row>
    <row r="249" spans="1:32">
      <c r="A249" s="126" t="s">
        <v>41</v>
      </c>
      <c r="B249" s="31"/>
      <c r="C249" t="s">
        <v>42</v>
      </c>
      <c r="AF249" s="131"/>
    </row>
    <row r="250" spans="1:32">
      <c r="A250" s="126" t="s">
        <v>41</v>
      </c>
      <c r="B250" s="31"/>
      <c r="C250" t="s">
        <v>42</v>
      </c>
      <c r="AF250" s="131"/>
    </row>
    <row r="251" spans="1:32" ht="15" thickBot="1">
      <c r="A251" s="136" t="s">
        <v>29</v>
      </c>
      <c r="B251" s="44"/>
      <c r="C251" s="41" t="s">
        <v>30</v>
      </c>
      <c r="D251" s="41" t="s">
        <v>366</v>
      </c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135"/>
    </row>
    <row r="252" spans="1:32" ht="15" thickTop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workbookViewId="0"/>
  </sheetViews>
  <sheetFormatPr baseColWidth="10" defaultColWidth="8.83203125" defaultRowHeight="14" x14ac:dyDescent="0"/>
  <cols>
    <col min="1" max="1" width="2.83203125" style="2" customWidth="1"/>
    <col min="2" max="2" width="12.83203125" style="2" bestFit="1" customWidth="1"/>
    <col min="3" max="4" width="1.83203125" style="4" customWidth="1"/>
    <col min="5" max="8" width="8.5" style="7" customWidth="1"/>
    <col min="9" max="9" width="8.6640625" style="7" customWidth="1"/>
    <col min="10" max="14" width="6.33203125" style="10" customWidth="1"/>
    <col min="15" max="19" width="5.6640625" style="13" customWidth="1"/>
  </cols>
  <sheetData>
    <row r="1" spans="1:19">
      <c r="E1" s="6" t="s">
        <v>4</v>
      </c>
      <c r="J1" s="9" t="s">
        <v>10</v>
      </c>
      <c r="O1" s="12" t="s">
        <v>16</v>
      </c>
    </row>
    <row r="2" spans="1:19">
      <c r="B2" s="3" t="s">
        <v>0</v>
      </c>
      <c r="C2" s="5" t="s">
        <v>1</v>
      </c>
      <c r="D2" s="5" t="s">
        <v>2</v>
      </c>
      <c r="E2" s="8" t="s">
        <v>3</v>
      </c>
      <c r="F2" s="8" t="s">
        <v>5</v>
      </c>
      <c r="G2" s="8" t="s">
        <v>6</v>
      </c>
      <c r="H2" s="8" t="s">
        <v>7</v>
      </c>
      <c r="I2" s="8" t="s">
        <v>8</v>
      </c>
      <c r="J2" s="11" t="s">
        <v>9</v>
      </c>
      <c r="K2" s="11" t="s">
        <v>11</v>
      </c>
      <c r="L2" s="11" t="s">
        <v>12</v>
      </c>
      <c r="M2" s="11" t="s">
        <v>13</v>
      </c>
      <c r="N2" s="11" t="s">
        <v>14</v>
      </c>
      <c r="O2" s="14" t="s">
        <v>15</v>
      </c>
      <c r="P2" s="14" t="s">
        <v>17</v>
      </c>
      <c r="Q2" s="14" t="s">
        <v>18</v>
      </c>
      <c r="R2" s="14" t="s">
        <v>19</v>
      </c>
      <c r="S2" s="14" t="s">
        <v>20</v>
      </c>
    </row>
    <row r="3" spans="1:19">
      <c r="A3" s="2">
        <v>1</v>
      </c>
      <c r="B3" s="2" t="s">
        <v>21</v>
      </c>
      <c r="E3" s="7" t="s">
        <v>22</v>
      </c>
      <c r="F3" s="7" t="s">
        <v>22</v>
      </c>
      <c r="G3" s="7" t="s">
        <v>22</v>
      </c>
      <c r="H3" s="7" t="s">
        <v>22</v>
      </c>
      <c r="I3" s="7" t="s">
        <v>22</v>
      </c>
      <c r="J3" s="10" t="s">
        <v>23</v>
      </c>
      <c r="K3" s="10" t="s">
        <v>23</v>
      </c>
      <c r="L3" s="10" t="s">
        <v>23</v>
      </c>
      <c r="M3" s="10" t="s">
        <v>23</v>
      </c>
      <c r="N3" s="10" t="s">
        <v>23</v>
      </c>
    </row>
    <row r="4" spans="1:19">
      <c r="A4" s="2">
        <v>2</v>
      </c>
      <c r="B4" s="2" t="s">
        <v>24</v>
      </c>
      <c r="E4" s="7" t="s">
        <v>25</v>
      </c>
      <c r="F4" s="7" t="s">
        <v>27</v>
      </c>
      <c r="G4" s="7" t="s">
        <v>29</v>
      </c>
      <c r="H4" s="7" t="s">
        <v>31</v>
      </c>
      <c r="I4" s="7" t="s">
        <v>31</v>
      </c>
      <c r="J4" s="10" t="s">
        <v>26</v>
      </c>
      <c r="K4" s="10" t="s">
        <v>28</v>
      </c>
      <c r="L4" s="10" t="s">
        <v>30</v>
      </c>
      <c r="M4" s="10" t="s">
        <v>23</v>
      </c>
      <c r="N4" s="10" t="s">
        <v>23</v>
      </c>
    </row>
    <row r="5" spans="1:19">
      <c r="A5" s="2">
        <v>3</v>
      </c>
      <c r="B5" s="2" t="s">
        <v>32</v>
      </c>
      <c r="E5" s="7" t="s">
        <v>33</v>
      </c>
      <c r="F5" s="7" t="s">
        <v>25</v>
      </c>
      <c r="G5" s="7" t="s">
        <v>33</v>
      </c>
      <c r="H5" s="7" t="s">
        <v>33</v>
      </c>
      <c r="I5" s="7" t="s">
        <v>25</v>
      </c>
      <c r="J5" s="10" t="s">
        <v>23</v>
      </c>
      <c r="K5" s="10" t="s">
        <v>26</v>
      </c>
      <c r="L5" s="10" t="s">
        <v>23</v>
      </c>
      <c r="M5" s="10" t="s">
        <v>23</v>
      </c>
      <c r="N5" s="10" t="s">
        <v>26</v>
      </c>
    </row>
    <row r="6" spans="1:19">
      <c r="A6" s="2">
        <v>4</v>
      </c>
      <c r="B6" s="2" t="s">
        <v>34</v>
      </c>
      <c r="E6" s="7" t="s">
        <v>35</v>
      </c>
      <c r="F6" s="7" t="s">
        <v>29</v>
      </c>
      <c r="G6" s="7" t="s">
        <v>31</v>
      </c>
      <c r="H6" s="7" t="s">
        <v>27</v>
      </c>
      <c r="I6" s="7" t="s">
        <v>29</v>
      </c>
      <c r="J6" s="10" t="s">
        <v>23</v>
      </c>
      <c r="K6" s="10" t="s">
        <v>30</v>
      </c>
      <c r="L6" s="10" t="s">
        <v>23</v>
      </c>
      <c r="M6" s="10" t="s">
        <v>28</v>
      </c>
      <c r="N6" s="10" t="s">
        <v>30</v>
      </c>
    </row>
    <row r="7" spans="1:19">
      <c r="A7" s="2">
        <v>5</v>
      </c>
      <c r="B7" s="2" t="s">
        <v>36</v>
      </c>
      <c r="E7" s="7" t="s">
        <v>37</v>
      </c>
      <c r="F7" s="7" t="s">
        <v>38</v>
      </c>
      <c r="G7" s="7" t="s">
        <v>38</v>
      </c>
      <c r="H7" s="7" t="s">
        <v>38</v>
      </c>
      <c r="I7" s="7" t="s">
        <v>38</v>
      </c>
      <c r="J7" s="10" t="s">
        <v>23</v>
      </c>
      <c r="K7" s="10" t="s">
        <v>23</v>
      </c>
      <c r="L7" s="10" t="s">
        <v>23</v>
      </c>
      <c r="M7" s="10" t="s">
        <v>23</v>
      </c>
      <c r="N7" s="10" t="s">
        <v>23</v>
      </c>
    </row>
    <row r="8" spans="1:19">
      <c r="A8" s="2">
        <v>6</v>
      </c>
      <c r="B8" s="2" t="s">
        <v>39</v>
      </c>
      <c r="E8" s="7" t="s">
        <v>35</v>
      </c>
      <c r="F8" s="7" t="s">
        <v>31</v>
      </c>
      <c r="G8" s="7" t="s">
        <v>31</v>
      </c>
      <c r="H8" s="7" t="s">
        <v>29</v>
      </c>
      <c r="I8" s="7" t="s">
        <v>29</v>
      </c>
      <c r="J8" s="10" t="s">
        <v>23</v>
      </c>
      <c r="K8" s="10" t="s">
        <v>23</v>
      </c>
      <c r="L8" s="10" t="s">
        <v>23</v>
      </c>
      <c r="M8" s="10" t="s">
        <v>30</v>
      </c>
      <c r="N8" s="10" t="s">
        <v>30</v>
      </c>
    </row>
    <row r="9" spans="1:19">
      <c r="A9" s="2">
        <v>7</v>
      </c>
      <c r="B9" s="2" t="s">
        <v>40</v>
      </c>
      <c r="E9" s="7" t="s">
        <v>29</v>
      </c>
      <c r="F9" s="7" t="s">
        <v>27</v>
      </c>
      <c r="G9" s="7" t="s">
        <v>29</v>
      </c>
      <c r="H9" s="7" t="s">
        <v>41</v>
      </c>
      <c r="I9" s="7" t="s">
        <v>35</v>
      </c>
      <c r="J9" s="10" t="s">
        <v>30</v>
      </c>
      <c r="K9" s="10" t="s">
        <v>28</v>
      </c>
      <c r="L9" s="10" t="s">
        <v>30</v>
      </c>
      <c r="M9" s="10" t="s">
        <v>42</v>
      </c>
      <c r="N9" s="10" t="s">
        <v>23</v>
      </c>
    </row>
    <row r="10" spans="1:19">
      <c r="A10" s="2">
        <v>8</v>
      </c>
      <c r="B10" s="2" t="s">
        <v>43</v>
      </c>
      <c r="E10" s="7" t="s">
        <v>29</v>
      </c>
      <c r="F10" s="7" t="s">
        <v>27</v>
      </c>
      <c r="G10" s="7" t="s">
        <v>35</v>
      </c>
      <c r="H10" s="7" t="s">
        <v>27</v>
      </c>
      <c r="I10" s="7" t="s">
        <v>44</v>
      </c>
      <c r="J10" s="10" t="s">
        <v>30</v>
      </c>
      <c r="K10" s="10" t="s">
        <v>28</v>
      </c>
      <c r="L10" s="10" t="s">
        <v>23</v>
      </c>
      <c r="M10" s="10" t="s">
        <v>28</v>
      </c>
      <c r="N10" s="10" t="s">
        <v>45</v>
      </c>
    </row>
    <row r="11" spans="1:19">
      <c r="A11" s="2">
        <v>9</v>
      </c>
      <c r="B11" s="2" t="s">
        <v>46</v>
      </c>
      <c r="E11" s="7" t="s">
        <v>22</v>
      </c>
      <c r="F11" s="7" t="s">
        <v>22</v>
      </c>
      <c r="G11" s="7" t="s">
        <v>22</v>
      </c>
      <c r="H11" s="7" t="s">
        <v>29</v>
      </c>
      <c r="I11" s="7" t="s">
        <v>22</v>
      </c>
      <c r="J11" s="10" t="s">
        <v>23</v>
      </c>
      <c r="K11" s="10" t="s">
        <v>23</v>
      </c>
      <c r="L11" s="10" t="s">
        <v>23</v>
      </c>
      <c r="M11" s="10" t="s">
        <v>30</v>
      </c>
      <c r="N11" s="10" t="s">
        <v>23</v>
      </c>
    </row>
    <row r="12" spans="1:19">
      <c r="A12" s="2">
        <v>10</v>
      </c>
      <c r="B12" s="2" t="s">
        <v>47</v>
      </c>
      <c r="E12" s="7" t="s">
        <v>27</v>
      </c>
      <c r="F12" s="7" t="s">
        <v>27</v>
      </c>
      <c r="G12" s="7" t="s">
        <v>35</v>
      </c>
      <c r="H12" s="7" t="s">
        <v>29</v>
      </c>
      <c r="I12" s="7" t="s">
        <v>35</v>
      </c>
      <c r="J12" s="10" t="s">
        <v>28</v>
      </c>
      <c r="K12" s="10" t="s">
        <v>28</v>
      </c>
      <c r="L12" s="10" t="s">
        <v>23</v>
      </c>
      <c r="M12" s="10" t="s">
        <v>30</v>
      </c>
      <c r="N12" s="10" t="s">
        <v>23</v>
      </c>
    </row>
    <row r="13" spans="1:19">
      <c r="A13" s="2">
        <v>11</v>
      </c>
      <c r="B13" s="2" t="s">
        <v>48</v>
      </c>
      <c r="E13" s="7" t="s">
        <v>31</v>
      </c>
      <c r="F13" s="7" t="s">
        <v>31</v>
      </c>
      <c r="G13" s="7" t="s">
        <v>29</v>
      </c>
      <c r="H13" s="7" t="s">
        <v>27</v>
      </c>
      <c r="I13" s="7" t="s">
        <v>29</v>
      </c>
      <c r="J13" s="10" t="s">
        <v>23</v>
      </c>
      <c r="K13" s="10" t="s">
        <v>23</v>
      </c>
      <c r="L13" s="10" t="s">
        <v>30</v>
      </c>
      <c r="M13" s="10" t="s">
        <v>28</v>
      </c>
      <c r="N13" s="10" t="s">
        <v>30</v>
      </c>
    </row>
    <row r="14" spans="1:19">
      <c r="A14" s="2">
        <v>12</v>
      </c>
      <c r="B14" s="2" t="s">
        <v>49</v>
      </c>
      <c r="E14" s="7" t="s">
        <v>35</v>
      </c>
      <c r="F14" s="7" t="s">
        <v>31</v>
      </c>
      <c r="G14" s="7" t="s">
        <v>25</v>
      </c>
      <c r="H14" s="7" t="s">
        <v>29</v>
      </c>
      <c r="I14" s="7" t="s">
        <v>27</v>
      </c>
      <c r="J14" s="10" t="s">
        <v>23</v>
      </c>
      <c r="K14" s="10" t="s">
        <v>23</v>
      </c>
      <c r="L14" s="10" t="s">
        <v>26</v>
      </c>
      <c r="M14" s="10" t="s">
        <v>30</v>
      </c>
      <c r="N14" s="10" t="s">
        <v>28</v>
      </c>
    </row>
    <row r="15" spans="1:19">
      <c r="A15" s="2">
        <v>13</v>
      </c>
      <c r="B15" s="2" t="s">
        <v>50</v>
      </c>
      <c r="E15" s="7" t="s">
        <v>27</v>
      </c>
      <c r="F15" s="7" t="s">
        <v>25</v>
      </c>
      <c r="G15" s="7" t="s">
        <v>27</v>
      </c>
      <c r="H15" s="7" t="s">
        <v>27</v>
      </c>
      <c r="I15" s="7" t="s">
        <v>51</v>
      </c>
      <c r="J15" s="10" t="s">
        <v>28</v>
      </c>
      <c r="K15" s="10" t="s">
        <v>26</v>
      </c>
      <c r="L15" s="10" t="s">
        <v>28</v>
      </c>
      <c r="M15" s="10" t="s">
        <v>28</v>
      </c>
      <c r="N15" s="10" t="s">
        <v>23</v>
      </c>
    </row>
    <row r="16" spans="1:19">
      <c r="A16" s="2">
        <v>14</v>
      </c>
      <c r="B16" s="2" t="s">
        <v>52</v>
      </c>
      <c r="E16" s="7" t="s">
        <v>35</v>
      </c>
      <c r="F16" s="7" t="s">
        <v>27</v>
      </c>
      <c r="G16" s="7" t="s">
        <v>35</v>
      </c>
      <c r="H16" s="7" t="s">
        <v>27</v>
      </c>
      <c r="I16" s="7" t="s">
        <v>35</v>
      </c>
      <c r="J16" s="10" t="s">
        <v>23</v>
      </c>
      <c r="K16" s="10" t="s">
        <v>28</v>
      </c>
      <c r="L16" s="10" t="s">
        <v>23</v>
      </c>
      <c r="M16" s="10" t="s">
        <v>28</v>
      </c>
      <c r="N16" s="10" t="s">
        <v>23</v>
      </c>
    </row>
    <row r="17" spans="1:14">
      <c r="A17" s="2">
        <v>15</v>
      </c>
      <c r="B17" s="2" t="s">
        <v>53</v>
      </c>
      <c r="E17" s="7" t="s">
        <v>29</v>
      </c>
      <c r="F17" s="7" t="s">
        <v>35</v>
      </c>
      <c r="G17" s="7" t="s">
        <v>35</v>
      </c>
      <c r="H17" s="7" t="s">
        <v>35</v>
      </c>
      <c r="I17" s="7" t="s">
        <v>27</v>
      </c>
      <c r="J17" s="10" t="s">
        <v>30</v>
      </c>
      <c r="K17" s="10" t="s">
        <v>23</v>
      </c>
      <c r="L17" s="10" t="s">
        <v>23</v>
      </c>
      <c r="M17" s="10" t="s">
        <v>23</v>
      </c>
      <c r="N17" s="10" t="s">
        <v>28</v>
      </c>
    </row>
    <row r="18" spans="1:14">
      <c r="A18" s="2">
        <v>16</v>
      </c>
      <c r="B18" s="2" t="s">
        <v>54</v>
      </c>
      <c r="E18" s="7" t="s">
        <v>55</v>
      </c>
      <c r="F18" s="7" t="s">
        <v>27</v>
      </c>
      <c r="G18" s="7" t="s">
        <v>55</v>
      </c>
      <c r="H18" s="7" t="s">
        <v>55</v>
      </c>
      <c r="I18" s="7" t="s">
        <v>35</v>
      </c>
      <c r="J18" s="10" t="s">
        <v>23</v>
      </c>
      <c r="K18" s="10" t="s">
        <v>28</v>
      </c>
      <c r="L18" s="10" t="s">
        <v>23</v>
      </c>
      <c r="M18" s="10" t="s">
        <v>23</v>
      </c>
      <c r="N18" s="10" t="s">
        <v>23</v>
      </c>
    </row>
    <row r="19" spans="1:14">
      <c r="A19" s="2">
        <v>17</v>
      </c>
      <c r="B19" s="2" t="s">
        <v>56</v>
      </c>
      <c r="E19" s="7" t="s">
        <v>29</v>
      </c>
      <c r="F19" s="7" t="s">
        <v>27</v>
      </c>
      <c r="G19" s="7" t="s">
        <v>22</v>
      </c>
      <c r="H19" s="7" t="s">
        <v>29</v>
      </c>
      <c r="I19" s="7" t="s">
        <v>35</v>
      </c>
      <c r="J19" s="10" t="s">
        <v>30</v>
      </c>
      <c r="K19" s="10" t="s">
        <v>28</v>
      </c>
      <c r="L19" s="10" t="s">
        <v>23</v>
      </c>
      <c r="M19" s="10" t="s">
        <v>30</v>
      </c>
      <c r="N19" s="10" t="s">
        <v>23</v>
      </c>
    </row>
    <row r="20" spans="1:14">
      <c r="A20" s="2">
        <v>18</v>
      </c>
      <c r="B20" s="2" t="s">
        <v>57</v>
      </c>
      <c r="E20" s="7" t="s">
        <v>31</v>
      </c>
      <c r="F20" s="7" t="s">
        <v>27</v>
      </c>
      <c r="G20" s="7" t="s">
        <v>22</v>
      </c>
      <c r="H20" s="7" t="s">
        <v>29</v>
      </c>
      <c r="I20" s="7" t="s">
        <v>22</v>
      </c>
      <c r="J20" s="10" t="s">
        <v>23</v>
      </c>
      <c r="K20" s="10" t="s">
        <v>28</v>
      </c>
      <c r="L20" s="10" t="s">
        <v>23</v>
      </c>
      <c r="M20" s="10" t="s">
        <v>30</v>
      </c>
      <c r="N20" s="10" t="s">
        <v>23</v>
      </c>
    </row>
    <row r="21" spans="1:14">
      <c r="A21" s="2">
        <v>19</v>
      </c>
      <c r="B21" s="2" t="s">
        <v>58</v>
      </c>
      <c r="E21" s="7" t="s">
        <v>29</v>
      </c>
      <c r="F21" s="7" t="s">
        <v>31</v>
      </c>
      <c r="G21" s="7" t="s">
        <v>29</v>
      </c>
      <c r="H21" s="7" t="s">
        <v>59</v>
      </c>
      <c r="I21" s="7" t="s">
        <v>27</v>
      </c>
      <c r="J21" s="10" t="s">
        <v>30</v>
      </c>
      <c r="K21" s="10" t="s">
        <v>23</v>
      </c>
      <c r="L21" s="10" t="s">
        <v>30</v>
      </c>
      <c r="M21" s="10" t="s">
        <v>23</v>
      </c>
      <c r="N21" s="10" t="s">
        <v>28</v>
      </c>
    </row>
    <row r="22" spans="1:14">
      <c r="A22" s="2">
        <v>20</v>
      </c>
      <c r="B22" s="2" t="s">
        <v>60</v>
      </c>
      <c r="E22" s="7" t="s">
        <v>29</v>
      </c>
      <c r="F22" s="7" t="s">
        <v>25</v>
      </c>
      <c r="G22" s="7" t="s">
        <v>25</v>
      </c>
      <c r="H22" s="7" t="s">
        <v>29</v>
      </c>
      <c r="I22" s="7" t="s">
        <v>51</v>
      </c>
      <c r="J22" s="10" t="s">
        <v>30</v>
      </c>
      <c r="K22" s="10" t="s">
        <v>26</v>
      </c>
      <c r="L22" s="10" t="s">
        <v>26</v>
      </c>
      <c r="M22" s="10" t="s">
        <v>30</v>
      </c>
      <c r="N22" s="10" t="s">
        <v>23</v>
      </c>
    </row>
    <row r="23" spans="1:14">
      <c r="A23" s="2">
        <v>21</v>
      </c>
      <c r="B23" s="2" t="s">
        <v>61</v>
      </c>
      <c r="E23" s="7" t="s">
        <v>29</v>
      </c>
      <c r="F23" s="7" t="s">
        <v>22</v>
      </c>
      <c r="G23" s="7" t="s">
        <v>22</v>
      </c>
      <c r="H23" s="7" t="s">
        <v>22</v>
      </c>
      <c r="I23" s="7" t="s">
        <v>22</v>
      </c>
      <c r="J23" s="10" t="s">
        <v>30</v>
      </c>
      <c r="K23" s="10" t="s">
        <v>23</v>
      </c>
      <c r="L23" s="10" t="s">
        <v>23</v>
      </c>
      <c r="M23" s="10" t="s">
        <v>23</v>
      </c>
      <c r="N23" s="10" t="s">
        <v>23</v>
      </c>
    </row>
    <row r="24" spans="1:14">
      <c r="A24" s="2">
        <v>22</v>
      </c>
      <c r="B24" s="2" t="s">
        <v>62</v>
      </c>
      <c r="E24" s="7" t="s">
        <v>29</v>
      </c>
      <c r="F24" s="7" t="s">
        <v>27</v>
      </c>
      <c r="G24" s="7" t="s">
        <v>29</v>
      </c>
      <c r="H24" s="7" t="s">
        <v>27</v>
      </c>
      <c r="I24" s="7" t="s">
        <v>35</v>
      </c>
      <c r="J24" s="10" t="s">
        <v>30</v>
      </c>
      <c r="K24" s="10" t="s">
        <v>28</v>
      </c>
      <c r="L24" s="10" t="s">
        <v>30</v>
      </c>
      <c r="M24" s="10" t="s">
        <v>28</v>
      </c>
      <c r="N24" s="10" t="s">
        <v>23</v>
      </c>
    </row>
    <row r="25" spans="1:14">
      <c r="A25" s="2">
        <v>23</v>
      </c>
      <c r="B25" s="2" t="s">
        <v>63</v>
      </c>
      <c r="E25" s="7" t="s">
        <v>64</v>
      </c>
      <c r="F25" s="7" t="s">
        <v>22</v>
      </c>
      <c r="G25" s="7" t="s">
        <v>22</v>
      </c>
      <c r="H25" s="7" t="s">
        <v>22</v>
      </c>
      <c r="I25" s="7" t="s">
        <v>27</v>
      </c>
      <c r="J25" s="10" t="s">
        <v>23</v>
      </c>
      <c r="K25" s="10" t="s">
        <v>23</v>
      </c>
      <c r="L25" s="10" t="s">
        <v>23</v>
      </c>
      <c r="M25" s="10" t="s">
        <v>23</v>
      </c>
      <c r="N25" s="10" t="s">
        <v>28</v>
      </c>
    </row>
    <row r="26" spans="1:14">
      <c r="A26" s="2">
        <v>24</v>
      </c>
      <c r="B26" s="2" t="s">
        <v>65</v>
      </c>
      <c r="E26" s="7" t="s">
        <v>31</v>
      </c>
      <c r="F26" s="7" t="s">
        <v>27</v>
      </c>
      <c r="G26" s="7" t="s">
        <v>27</v>
      </c>
      <c r="H26" s="7" t="s">
        <v>66</v>
      </c>
      <c r="I26" s="7" t="s">
        <v>31</v>
      </c>
      <c r="J26" s="10" t="s">
        <v>23</v>
      </c>
      <c r="K26" s="10" t="s">
        <v>28</v>
      </c>
      <c r="L26" s="10" t="s">
        <v>28</v>
      </c>
      <c r="M26" s="10" t="s">
        <v>23</v>
      </c>
      <c r="N26" s="10" t="s">
        <v>23</v>
      </c>
    </row>
    <row r="27" spans="1:14">
      <c r="A27" s="2">
        <v>25</v>
      </c>
      <c r="B27" s="2" t="s">
        <v>67</v>
      </c>
      <c r="E27" s="7" t="s">
        <v>27</v>
      </c>
      <c r="F27" s="7" t="s">
        <v>27</v>
      </c>
      <c r="G27" s="7" t="s">
        <v>27</v>
      </c>
      <c r="H27" s="7" t="s">
        <v>31</v>
      </c>
      <c r="I27" s="7" t="s">
        <v>31</v>
      </c>
      <c r="J27" s="10" t="s">
        <v>28</v>
      </c>
      <c r="K27" s="10" t="s">
        <v>28</v>
      </c>
      <c r="L27" s="10" t="s">
        <v>28</v>
      </c>
      <c r="M27" s="10" t="s">
        <v>23</v>
      </c>
      <c r="N27" s="10" t="s">
        <v>23</v>
      </c>
    </row>
    <row r="28" spans="1:14">
      <c r="A28" s="2">
        <v>26</v>
      </c>
      <c r="B28" s="2" t="s">
        <v>68</v>
      </c>
      <c r="E28" s="7" t="s">
        <v>69</v>
      </c>
      <c r="F28" s="7" t="s">
        <v>29</v>
      </c>
      <c r="G28" s="7" t="s">
        <v>69</v>
      </c>
      <c r="H28" s="7" t="s">
        <v>27</v>
      </c>
      <c r="I28" s="7" t="s">
        <v>69</v>
      </c>
      <c r="J28" s="10" t="s">
        <v>23</v>
      </c>
      <c r="K28" s="10" t="s">
        <v>30</v>
      </c>
      <c r="L28" s="10" t="s">
        <v>23</v>
      </c>
      <c r="M28" s="10" t="s">
        <v>28</v>
      </c>
      <c r="N28" s="10" t="s">
        <v>23</v>
      </c>
    </row>
    <row r="29" spans="1:14">
      <c r="A29" s="2">
        <v>27</v>
      </c>
      <c r="B29" s="2" t="s">
        <v>70</v>
      </c>
      <c r="E29" s="7" t="s">
        <v>31</v>
      </c>
      <c r="F29" s="7" t="s">
        <v>31</v>
      </c>
      <c r="G29" s="7" t="s">
        <v>29</v>
      </c>
      <c r="H29" s="7" t="s">
        <v>59</v>
      </c>
      <c r="I29" s="7" t="s">
        <v>27</v>
      </c>
      <c r="J29" s="10" t="s">
        <v>23</v>
      </c>
      <c r="K29" s="10" t="s">
        <v>23</v>
      </c>
      <c r="L29" s="10" t="s">
        <v>30</v>
      </c>
      <c r="M29" s="10" t="s">
        <v>23</v>
      </c>
      <c r="N29" s="10" t="s">
        <v>28</v>
      </c>
    </row>
    <row r="30" spans="1:14">
      <c r="A30" s="2">
        <v>28</v>
      </c>
      <c r="B30" s="2" t="s">
        <v>71</v>
      </c>
      <c r="E30" s="7" t="s">
        <v>25</v>
      </c>
      <c r="F30" s="7" t="s">
        <v>25</v>
      </c>
      <c r="G30" s="7" t="s">
        <v>29</v>
      </c>
      <c r="H30" s="7" t="s">
        <v>27</v>
      </c>
      <c r="I30" s="7" t="s">
        <v>72</v>
      </c>
      <c r="J30" s="10" t="s">
        <v>26</v>
      </c>
      <c r="K30" s="10" t="s">
        <v>26</v>
      </c>
      <c r="L30" s="10" t="s">
        <v>30</v>
      </c>
      <c r="M30" s="10" t="s">
        <v>28</v>
      </c>
      <c r="N30" s="10" t="s">
        <v>23</v>
      </c>
    </row>
    <row r="31" spans="1:14">
      <c r="A31" s="2">
        <v>29</v>
      </c>
      <c r="B31" s="2" t="s">
        <v>73</v>
      </c>
      <c r="E31" s="7" t="s">
        <v>29</v>
      </c>
      <c r="F31" s="7" t="s">
        <v>29</v>
      </c>
      <c r="G31" s="7" t="s">
        <v>29</v>
      </c>
      <c r="H31" s="7" t="s">
        <v>27</v>
      </c>
      <c r="I31" s="7" t="s">
        <v>27</v>
      </c>
      <c r="J31" s="10" t="s">
        <v>30</v>
      </c>
      <c r="K31" s="10" t="s">
        <v>30</v>
      </c>
      <c r="L31" s="10" t="s">
        <v>30</v>
      </c>
      <c r="M31" s="10" t="s">
        <v>28</v>
      </c>
      <c r="N31" s="10" t="s">
        <v>28</v>
      </c>
    </row>
    <row r="32" spans="1:14">
      <c r="A32" s="2">
        <v>30</v>
      </c>
      <c r="B32" s="2" t="s">
        <v>74</v>
      </c>
      <c r="E32" s="7" t="s">
        <v>69</v>
      </c>
      <c r="F32" s="7" t="s">
        <v>22</v>
      </c>
      <c r="G32" s="7" t="s">
        <v>29</v>
      </c>
      <c r="H32" s="7" t="s">
        <v>35</v>
      </c>
      <c r="I32" s="7" t="s">
        <v>35</v>
      </c>
      <c r="J32" s="10" t="s">
        <v>23</v>
      </c>
      <c r="K32" s="10" t="s">
        <v>23</v>
      </c>
      <c r="L32" s="10" t="s">
        <v>30</v>
      </c>
      <c r="M32" s="10" t="s">
        <v>23</v>
      </c>
      <c r="N32" s="10" t="s">
        <v>23</v>
      </c>
    </row>
    <row r="33" spans="1:14">
      <c r="A33" s="2">
        <v>31</v>
      </c>
      <c r="B33" s="2" t="s">
        <v>75</v>
      </c>
      <c r="E33" s="7" t="s">
        <v>35</v>
      </c>
      <c r="F33" s="7" t="s">
        <v>29</v>
      </c>
      <c r="G33" s="7" t="s">
        <v>35</v>
      </c>
      <c r="H33" s="7" t="s">
        <v>35</v>
      </c>
      <c r="I33" s="7" t="s">
        <v>35</v>
      </c>
      <c r="J33" s="10" t="s">
        <v>23</v>
      </c>
      <c r="K33" s="10" t="s">
        <v>30</v>
      </c>
      <c r="L33" s="10" t="s">
        <v>23</v>
      </c>
      <c r="M33" s="10" t="s">
        <v>23</v>
      </c>
      <c r="N33" s="10" t="s">
        <v>23</v>
      </c>
    </row>
    <row r="34" spans="1:14">
      <c r="A34" s="2">
        <v>32</v>
      </c>
      <c r="B34" s="2" t="s">
        <v>76</v>
      </c>
      <c r="E34" s="7" t="s">
        <v>29</v>
      </c>
      <c r="F34" s="7" t="s">
        <v>29</v>
      </c>
      <c r="G34" s="7" t="s">
        <v>31</v>
      </c>
      <c r="H34" s="7" t="s">
        <v>27</v>
      </c>
      <c r="I34" s="7" t="s">
        <v>35</v>
      </c>
      <c r="J34" s="10" t="s">
        <v>30</v>
      </c>
      <c r="K34" s="10" t="s">
        <v>30</v>
      </c>
      <c r="L34" s="10" t="s">
        <v>23</v>
      </c>
      <c r="M34" s="10" t="s">
        <v>28</v>
      </c>
      <c r="N34" s="10" t="s">
        <v>23</v>
      </c>
    </row>
    <row r="35" spans="1:14">
      <c r="A35" s="2">
        <v>33</v>
      </c>
      <c r="B35" s="2" t="s">
        <v>77</v>
      </c>
      <c r="E35" s="7" t="s">
        <v>69</v>
      </c>
      <c r="F35" s="7" t="s">
        <v>69</v>
      </c>
      <c r="G35" s="7" t="s">
        <v>25</v>
      </c>
      <c r="H35" s="7" t="s">
        <v>29</v>
      </c>
      <c r="I35" s="7" t="s">
        <v>27</v>
      </c>
      <c r="J35" s="10" t="s">
        <v>23</v>
      </c>
      <c r="K35" s="10" t="s">
        <v>23</v>
      </c>
      <c r="L35" s="10" t="s">
        <v>26</v>
      </c>
      <c r="M35" s="10" t="s">
        <v>30</v>
      </c>
      <c r="N35" s="10" t="s">
        <v>28</v>
      </c>
    </row>
    <row r="36" spans="1:14">
      <c r="A36" s="2">
        <v>34</v>
      </c>
      <c r="B36" s="2" t="s">
        <v>78</v>
      </c>
      <c r="E36" s="7" t="s">
        <v>29</v>
      </c>
      <c r="F36" s="7" t="s">
        <v>27</v>
      </c>
      <c r="G36" s="7" t="s">
        <v>29</v>
      </c>
      <c r="H36" s="7" t="s">
        <v>29</v>
      </c>
      <c r="I36" s="7" t="s">
        <v>29</v>
      </c>
      <c r="J36" s="10" t="s">
        <v>30</v>
      </c>
      <c r="K36" s="10" t="s">
        <v>28</v>
      </c>
      <c r="L36" s="10" t="s">
        <v>30</v>
      </c>
      <c r="M36" s="10" t="s">
        <v>30</v>
      </c>
      <c r="N36" s="10" t="s">
        <v>30</v>
      </c>
    </row>
    <row r="37" spans="1:14">
      <c r="A37" s="2">
        <v>35</v>
      </c>
      <c r="B37" s="2" t="s">
        <v>79</v>
      </c>
      <c r="E37" s="7" t="s">
        <v>35</v>
      </c>
      <c r="F37" s="7" t="s">
        <v>29</v>
      </c>
      <c r="G37" s="7" t="s">
        <v>27</v>
      </c>
      <c r="H37" s="7" t="s">
        <v>27</v>
      </c>
      <c r="I37" s="7" t="s">
        <v>27</v>
      </c>
      <c r="J37" s="10" t="s">
        <v>23</v>
      </c>
      <c r="K37" s="10" t="s">
        <v>30</v>
      </c>
      <c r="L37" s="10" t="s">
        <v>28</v>
      </c>
      <c r="M37" s="10" t="s">
        <v>28</v>
      </c>
      <c r="N37" s="10" t="s">
        <v>28</v>
      </c>
    </row>
    <row r="38" spans="1:14">
      <c r="A38" s="2">
        <v>36</v>
      </c>
      <c r="B38" s="2" t="s">
        <v>80</v>
      </c>
      <c r="E38" s="7" t="s">
        <v>29</v>
      </c>
      <c r="F38" s="7" t="s">
        <v>29</v>
      </c>
      <c r="G38" s="7" t="s">
        <v>69</v>
      </c>
      <c r="H38" s="7" t="s">
        <v>35</v>
      </c>
      <c r="I38" s="7" t="s">
        <v>27</v>
      </c>
      <c r="J38" s="10" t="s">
        <v>30</v>
      </c>
      <c r="K38" s="10" t="s">
        <v>30</v>
      </c>
      <c r="L38" s="10" t="s">
        <v>23</v>
      </c>
      <c r="M38" s="10" t="s">
        <v>23</v>
      </c>
      <c r="N38" s="10" t="s">
        <v>28</v>
      </c>
    </row>
    <row r="39" spans="1:14">
      <c r="A39" s="2">
        <v>37</v>
      </c>
      <c r="B39" s="2" t="s">
        <v>81</v>
      </c>
      <c r="E39" s="7" t="s">
        <v>27</v>
      </c>
      <c r="F39" s="7" t="s">
        <v>29</v>
      </c>
      <c r="G39" s="7" t="s">
        <v>51</v>
      </c>
      <c r="H39" s="7" t="s">
        <v>69</v>
      </c>
      <c r="I39" s="7" t="s">
        <v>25</v>
      </c>
      <c r="J39" s="10" t="s">
        <v>28</v>
      </c>
      <c r="K39" s="10" t="s">
        <v>30</v>
      </c>
      <c r="L39" s="10" t="s">
        <v>23</v>
      </c>
      <c r="M39" s="10" t="s">
        <v>23</v>
      </c>
      <c r="N39" s="10" t="s">
        <v>26</v>
      </c>
    </row>
    <row r="40" spans="1:14">
      <c r="A40" s="2">
        <v>38</v>
      </c>
      <c r="B40" s="2" t="s">
        <v>82</v>
      </c>
      <c r="E40" s="7" t="s">
        <v>25</v>
      </c>
      <c r="F40" s="7" t="s">
        <v>25</v>
      </c>
      <c r="G40" s="7" t="s">
        <v>25</v>
      </c>
      <c r="H40" s="7" t="s">
        <v>27</v>
      </c>
      <c r="I40" s="7" t="s">
        <v>29</v>
      </c>
      <c r="J40" s="10" t="s">
        <v>26</v>
      </c>
      <c r="K40" s="10" t="s">
        <v>26</v>
      </c>
      <c r="L40" s="10" t="s">
        <v>26</v>
      </c>
      <c r="M40" s="10" t="s">
        <v>28</v>
      </c>
      <c r="N40" s="10" t="s">
        <v>30</v>
      </c>
    </row>
    <row r="41" spans="1:14">
      <c r="A41" s="2">
        <v>39</v>
      </c>
      <c r="B41" s="2" t="s">
        <v>83</v>
      </c>
      <c r="E41" s="7" t="s">
        <v>27</v>
      </c>
      <c r="F41" s="7" t="s">
        <v>29</v>
      </c>
      <c r="G41" s="7" t="s">
        <v>27</v>
      </c>
      <c r="H41" s="7" t="s">
        <v>27</v>
      </c>
      <c r="I41" s="7" t="s">
        <v>27</v>
      </c>
      <c r="J41" s="10" t="s">
        <v>28</v>
      </c>
      <c r="K41" s="10" t="s">
        <v>30</v>
      </c>
      <c r="L41" s="10" t="s">
        <v>28</v>
      </c>
      <c r="M41" s="10" t="s">
        <v>28</v>
      </c>
      <c r="N41" s="10" t="s">
        <v>28</v>
      </c>
    </row>
    <row r="42" spans="1:14">
      <c r="A42" s="2">
        <v>40</v>
      </c>
      <c r="B42" s="2" t="s">
        <v>84</v>
      </c>
      <c r="E42" s="7" t="s">
        <v>41</v>
      </c>
      <c r="F42" s="7" t="s">
        <v>29</v>
      </c>
      <c r="G42" s="7" t="s">
        <v>29</v>
      </c>
      <c r="H42" s="7" t="s">
        <v>29</v>
      </c>
      <c r="I42" s="7" t="s">
        <v>41</v>
      </c>
      <c r="J42" s="10" t="s">
        <v>42</v>
      </c>
      <c r="K42" s="10" t="s">
        <v>30</v>
      </c>
      <c r="L42" s="10" t="s">
        <v>30</v>
      </c>
      <c r="M42" s="10" t="s">
        <v>30</v>
      </c>
      <c r="N42" s="10" t="s">
        <v>42</v>
      </c>
    </row>
    <row r="43" spans="1:14">
      <c r="A43" s="2">
        <v>41</v>
      </c>
      <c r="B43" s="2" t="s">
        <v>85</v>
      </c>
      <c r="E43" s="7" t="s">
        <v>29</v>
      </c>
      <c r="F43" s="7" t="s">
        <v>29</v>
      </c>
      <c r="G43" s="7" t="s">
        <v>25</v>
      </c>
      <c r="H43" s="7" t="s">
        <v>29</v>
      </c>
      <c r="I43" s="7" t="s">
        <v>29</v>
      </c>
      <c r="J43" s="10" t="s">
        <v>30</v>
      </c>
      <c r="K43" s="10" t="s">
        <v>30</v>
      </c>
      <c r="L43" s="10" t="s">
        <v>26</v>
      </c>
      <c r="M43" s="10" t="s">
        <v>30</v>
      </c>
      <c r="N43" s="10" t="s">
        <v>30</v>
      </c>
    </row>
    <row r="44" spans="1:14">
      <c r="A44" s="2">
        <v>42</v>
      </c>
      <c r="B44" s="2" t="s">
        <v>86</v>
      </c>
      <c r="E44" s="7" t="s">
        <v>22</v>
      </c>
      <c r="F44" s="7" t="s">
        <v>55</v>
      </c>
      <c r="G44" s="7" t="s">
        <v>64</v>
      </c>
      <c r="H44" s="7" t="s">
        <v>22</v>
      </c>
      <c r="I44" s="7" t="s">
        <v>55</v>
      </c>
      <c r="J44" s="10" t="s">
        <v>23</v>
      </c>
      <c r="K44" s="10" t="s">
        <v>23</v>
      </c>
      <c r="L44" s="10" t="s">
        <v>23</v>
      </c>
      <c r="M44" s="10" t="s">
        <v>23</v>
      </c>
      <c r="N44" s="10" t="s">
        <v>23</v>
      </c>
    </row>
    <row r="45" spans="1:14">
      <c r="A45" s="2">
        <v>43</v>
      </c>
      <c r="B45" s="2" t="s">
        <v>87</v>
      </c>
      <c r="E45" s="7" t="s">
        <v>22</v>
      </c>
      <c r="F45" s="7" t="s">
        <v>22</v>
      </c>
      <c r="G45" s="7" t="s">
        <v>27</v>
      </c>
      <c r="H45" s="7" t="s">
        <v>27</v>
      </c>
      <c r="I45" s="7" t="s">
        <v>29</v>
      </c>
      <c r="J45" s="10" t="s">
        <v>23</v>
      </c>
      <c r="K45" s="10" t="s">
        <v>23</v>
      </c>
      <c r="L45" s="10" t="s">
        <v>28</v>
      </c>
      <c r="M45" s="10" t="s">
        <v>28</v>
      </c>
      <c r="N45" s="10" t="s">
        <v>30</v>
      </c>
    </row>
    <row r="46" spans="1:14">
      <c r="A46" s="2">
        <v>44</v>
      </c>
      <c r="B46" s="2" t="s">
        <v>88</v>
      </c>
      <c r="E46" s="7" t="s">
        <v>29</v>
      </c>
      <c r="F46" s="7" t="s">
        <v>29</v>
      </c>
      <c r="G46" s="7" t="s">
        <v>27</v>
      </c>
      <c r="H46" s="7" t="s">
        <v>89</v>
      </c>
      <c r="I46" s="7" t="s">
        <v>25</v>
      </c>
      <c r="J46" s="10" t="s">
        <v>30</v>
      </c>
      <c r="K46" s="10" t="s">
        <v>30</v>
      </c>
      <c r="L46" s="10" t="s">
        <v>28</v>
      </c>
      <c r="M46" s="10" t="s">
        <v>23</v>
      </c>
      <c r="N46" s="10" t="s">
        <v>26</v>
      </c>
    </row>
    <row r="47" spans="1:14">
      <c r="A47" s="2">
        <v>45</v>
      </c>
      <c r="B47" s="2" t="s">
        <v>90</v>
      </c>
      <c r="E47" s="7" t="s">
        <v>27</v>
      </c>
      <c r="F47" s="7" t="s">
        <v>89</v>
      </c>
      <c r="G47" s="7" t="s">
        <v>89</v>
      </c>
      <c r="H47" s="7" t="s">
        <v>25</v>
      </c>
      <c r="I47" s="7" t="s">
        <v>27</v>
      </c>
      <c r="J47" s="10" t="s">
        <v>28</v>
      </c>
      <c r="K47" s="10" t="s">
        <v>23</v>
      </c>
      <c r="L47" s="10" t="s">
        <v>23</v>
      </c>
      <c r="M47" s="10" t="s">
        <v>26</v>
      </c>
      <c r="N47" s="10" t="s">
        <v>28</v>
      </c>
    </row>
    <row r="48" spans="1:14">
      <c r="A48" s="2">
        <v>46</v>
      </c>
      <c r="B48" s="2" t="s">
        <v>91</v>
      </c>
      <c r="E48" s="7" t="s">
        <v>29</v>
      </c>
      <c r="F48" s="7" t="s">
        <v>27</v>
      </c>
      <c r="G48" s="7" t="s">
        <v>27</v>
      </c>
      <c r="H48" s="7" t="s">
        <v>29</v>
      </c>
      <c r="I48" s="7" t="s">
        <v>27</v>
      </c>
      <c r="J48" s="10" t="s">
        <v>30</v>
      </c>
      <c r="K48" s="10" t="s">
        <v>28</v>
      </c>
      <c r="L48" s="10" t="s">
        <v>28</v>
      </c>
      <c r="M48" s="10" t="s">
        <v>30</v>
      </c>
      <c r="N48" s="10" t="s">
        <v>28</v>
      </c>
    </row>
    <row r="49" spans="1:14">
      <c r="A49" s="2">
        <v>47</v>
      </c>
      <c r="B49" s="2" t="s">
        <v>92</v>
      </c>
      <c r="E49" s="7" t="s">
        <v>29</v>
      </c>
      <c r="F49" s="7" t="s">
        <v>27</v>
      </c>
      <c r="G49" s="7" t="s">
        <v>27</v>
      </c>
      <c r="H49" s="7" t="s">
        <v>27</v>
      </c>
      <c r="I49" s="7" t="s">
        <v>25</v>
      </c>
      <c r="J49" s="10" t="s">
        <v>30</v>
      </c>
      <c r="K49" s="10" t="s">
        <v>28</v>
      </c>
      <c r="L49" s="10" t="s">
        <v>28</v>
      </c>
      <c r="M49" s="10" t="s">
        <v>28</v>
      </c>
      <c r="N49" s="10" t="s">
        <v>26</v>
      </c>
    </row>
    <row r="50" spans="1:14">
      <c r="A50" s="2">
        <v>48</v>
      </c>
      <c r="B50" s="2" t="s">
        <v>93</v>
      </c>
      <c r="E50" s="7" t="s">
        <v>69</v>
      </c>
      <c r="F50" s="7" t="s">
        <v>29</v>
      </c>
      <c r="G50" s="7" t="s">
        <v>27</v>
      </c>
      <c r="H50" s="7" t="s">
        <v>69</v>
      </c>
      <c r="I50" s="7" t="s">
        <v>29</v>
      </c>
      <c r="J50" s="10" t="s">
        <v>23</v>
      </c>
      <c r="K50" s="10" t="s">
        <v>30</v>
      </c>
      <c r="L50" s="10" t="s">
        <v>28</v>
      </c>
      <c r="M50" s="10" t="s">
        <v>23</v>
      </c>
      <c r="N50" s="10" t="s">
        <v>30</v>
      </c>
    </row>
    <row r="51" spans="1:14">
      <c r="A51" s="2">
        <v>49</v>
      </c>
      <c r="B51" s="2" t="s">
        <v>94</v>
      </c>
      <c r="E51" s="7" t="s">
        <v>22</v>
      </c>
      <c r="F51" s="7" t="s">
        <v>22</v>
      </c>
      <c r="G51" s="7" t="s">
        <v>95</v>
      </c>
      <c r="H51" s="7" t="s">
        <v>27</v>
      </c>
      <c r="I51" s="7" t="s">
        <v>27</v>
      </c>
      <c r="J51" s="10" t="s">
        <v>23</v>
      </c>
      <c r="K51" s="10" t="s">
        <v>23</v>
      </c>
      <c r="L51" s="10" t="s">
        <v>23</v>
      </c>
      <c r="M51" s="10" t="s">
        <v>28</v>
      </c>
      <c r="N51" s="10" t="s">
        <v>28</v>
      </c>
    </row>
    <row r="52" spans="1:14">
      <c r="A52" s="2">
        <v>50</v>
      </c>
      <c r="B52" s="2" t="s">
        <v>544</v>
      </c>
      <c r="E52" s="7" t="s">
        <v>29</v>
      </c>
      <c r="F52" s="7" t="s">
        <v>29</v>
      </c>
      <c r="G52" s="7" t="s">
        <v>27</v>
      </c>
      <c r="H52" s="7" t="s">
        <v>25</v>
      </c>
      <c r="I52" s="7" t="s">
        <v>27</v>
      </c>
      <c r="J52" s="10" t="s">
        <v>30</v>
      </c>
      <c r="K52" s="10" t="s">
        <v>30</v>
      </c>
      <c r="L52" s="10" t="s">
        <v>28</v>
      </c>
      <c r="M52" s="10" t="s">
        <v>26</v>
      </c>
      <c r="N52" s="10" t="s">
        <v>28</v>
      </c>
    </row>
  </sheetData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workbookViewId="0"/>
  </sheetViews>
  <sheetFormatPr baseColWidth="10" defaultColWidth="8.83203125" defaultRowHeight="14" x14ac:dyDescent="0"/>
  <cols>
    <col min="1" max="1" width="2.83203125" style="2" customWidth="1"/>
    <col min="2" max="2" width="12.83203125" style="2" bestFit="1" customWidth="1"/>
    <col min="3" max="4" width="1.83203125" style="4" customWidth="1"/>
    <col min="5" max="9" width="8.5" style="7" customWidth="1"/>
    <col min="10" max="14" width="6.33203125" style="10" customWidth="1"/>
    <col min="15" max="19" width="5.6640625" style="13" customWidth="1"/>
  </cols>
  <sheetData>
    <row r="1" spans="1:19">
      <c r="E1" s="6" t="s">
        <v>4</v>
      </c>
      <c r="J1" s="9" t="s">
        <v>10</v>
      </c>
      <c r="O1" s="12" t="s">
        <v>16</v>
      </c>
    </row>
    <row r="2" spans="1:19">
      <c r="B2" s="3" t="s">
        <v>0</v>
      </c>
      <c r="C2" s="5" t="s">
        <v>1</v>
      </c>
      <c r="D2" s="5" t="s">
        <v>2</v>
      </c>
      <c r="E2" s="8" t="s">
        <v>3</v>
      </c>
      <c r="F2" s="8" t="s">
        <v>5</v>
      </c>
      <c r="G2" s="8" t="s">
        <v>6</v>
      </c>
      <c r="H2" s="8" t="s">
        <v>7</v>
      </c>
      <c r="I2" s="8" t="s">
        <v>8</v>
      </c>
      <c r="J2" s="11" t="s">
        <v>9</v>
      </c>
      <c r="K2" s="11" t="s">
        <v>11</v>
      </c>
      <c r="L2" s="11" t="s">
        <v>12</v>
      </c>
      <c r="M2" s="11" t="s">
        <v>13</v>
      </c>
      <c r="N2" s="11" t="s">
        <v>14</v>
      </c>
      <c r="O2" s="14" t="s">
        <v>15</v>
      </c>
      <c r="P2" s="14" t="s">
        <v>17</v>
      </c>
      <c r="Q2" s="14" t="s">
        <v>18</v>
      </c>
      <c r="R2" s="14" t="s">
        <v>19</v>
      </c>
      <c r="S2" s="14" t="s">
        <v>20</v>
      </c>
    </row>
    <row r="3" spans="1:19">
      <c r="A3" s="2">
        <v>1</v>
      </c>
      <c r="B3" s="2" t="s">
        <v>430</v>
      </c>
      <c r="E3" s="7" t="s">
        <v>22</v>
      </c>
      <c r="F3" s="7" t="s">
        <v>22</v>
      </c>
      <c r="G3" s="7" t="s">
        <v>155</v>
      </c>
      <c r="H3" s="7" t="s">
        <v>22</v>
      </c>
      <c r="I3" s="7" t="s">
        <v>22</v>
      </c>
      <c r="J3" s="10" t="s">
        <v>23</v>
      </c>
      <c r="K3" s="10" t="s">
        <v>23</v>
      </c>
      <c r="L3" s="10" t="s">
        <v>23</v>
      </c>
      <c r="M3" s="10" t="s">
        <v>23</v>
      </c>
      <c r="N3" s="10" t="s">
        <v>23</v>
      </c>
    </row>
    <row r="4" spans="1:19">
      <c r="A4" s="2">
        <v>2</v>
      </c>
      <c r="B4" s="2" t="s">
        <v>431</v>
      </c>
      <c r="E4" s="7" t="s">
        <v>29</v>
      </c>
      <c r="F4" s="7" t="s">
        <v>69</v>
      </c>
      <c r="G4" s="7" t="s">
        <v>27</v>
      </c>
      <c r="H4" s="7" t="s">
        <v>29</v>
      </c>
      <c r="I4" s="7" t="s">
        <v>29</v>
      </c>
      <c r="J4" s="10" t="s">
        <v>30</v>
      </c>
      <c r="K4" s="10" t="s">
        <v>23</v>
      </c>
      <c r="L4" s="10" t="s">
        <v>28</v>
      </c>
      <c r="M4" s="10" t="s">
        <v>30</v>
      </c>
      <c r="N4" s="10" t="s">
        <v>30</v>
      </c>
    </row>
    <row r="5" spans="1:19">
      <c r="A5" s="2">
        <v>3</v>
      </c>
      <c r="B5" s="2" t="s">
        <v>432</v>
      </c>
      <c r="E5" s="7" t="s">
        <v>64</v>
      </c>
      <c r="F5" s="7" t="s">
        <v>29</v>
      </c>
      <c r="G5" s="7" t="s">
        <v>41</v>
      </c>
      <c r="H5" s="7" t="s">
        <v>64</v>
      </c>
      <c r="I5" s="7" t="s">
        <v>29</v>
      </c>
      <c r="J5" s="10" t="s">
        <v>23</v>
      </c>
      <c r="K5" s="10" t="s">
        <v>30</v>
      </c>
      <c r="L5" s="10" t="s">
        <v>42</v>
      </c>
      <c r="M5" s="10" t="s">
        <v>23</v>
      </c>
      <c r="N5" s="10" t="s">
        <v>30</v>
      </c>
    </row>
    <row r="6" spans="1:19">
      <c r="A6" s="2">
        <v>4</v>
      </c>
      <c r="B6" s="2" t="s">
        <v>433</v>
      </c>
      <c r="E6" s="7" t="s">
        <v>25</v>
      </c>
      <c r="F6" s="7" t="s">
        <v>22</v>
      </c>
      <c r="G6" s="7" t="s">
        <v>22</v>
      </c>
      <c r="H6" s="7" t="s">
        <v>59</v>
      </c>
      <c r="I6" s="7" t="s">
        <v>22</v>
      </c>
      <c r="J6" s="10" t="s">
        <v>26</v>
      </c>
      <c r="K6" s="10" t="s">
        <v>23</v>
      </c>
      <c r="L6" s="10" t="s">
        <v>23</v>
      </c>
      <c r="M6" s="10" t="s">
        <v>23</v>
      </c>
      <c r="N6" s="10" t="s">
        <v>23</v>
      </c>
    </row>
    <row r="7" spans="1:19">
      <c r="A7" s="2">
        <v>5</v>
      </c>
      <c r="B7" s="2" t="s">
        <v>434</v>
      </c>
      <c r="E7" s="7" t="s">
        <v>25</v>
      </c>
      <c r="F7" s="7" t="s">
        <v>69</v>
      </c>
      <c r="G7" s="7" t="s">
        <v>41</v>
      </c>
      <c r="H7" s="7" t="s">
        <v>69</v>
      </c>
      <c r="I7" s="7" t="s">
        <v>139</v>
      </c>
      <c r="J7" s="10" t="s">
        <v>26</v>
      </c>
      <c r="K7" s="10" t="s">
        <v>23</v>
      </c>
      <c r="L7" s="10" t="s">
        <v>42</v>
      </c>
      <c r="M7" s="10" t="s">
        <v>23</v>
      </c>
      <c r="N7" s="10" t="s">
        <v>23</v>
      </c>
    </row>
    <row r="8" spans="1:19">
      <c r="A8" s="2">
        <v>6</v>
      </c>
      <c r="B8" s="2" t="s">
        <v>435</v>
      </c>
      <c r="E8" s="7" t="s">
        <v>29</v>
      </c>
      <c r="F8" s="7" t="s">
        <v>69</v>
      </c>
      <c r="G8" s="7" t="s">
        <v>69</v>
      </c>
      <c r="H8" s="7" t="s">
        <v>59</v>
      </c>
      <c r="I8" s="7" t="s">
        <v>27</v>
      </c>
      <c r="J8" s="10" t="s">
        <v>30</v>
      </c>
      <c r="K8" s="10" t="s">
        <v>23</v>
      </c>
      <c r="L8" s="10" t="s">
        <v>23</v>
      </c>
      <c r="M8" s="10" t="s">
        <v>23</v>
      </c>
      <c r="N8" s="10" t="s">
        <v>28</v>
      </c>
    </row>
    <row r="9" spans="1:19">
      <c r="A9" s="2">
        <v>7</v>
      </c>
      <c r="B9" s="2" t="s">
        <v>436</v>
      </c>
      <c r="E9" s="7" t="s">
        <v>29</v>
      </c>
      <c r="F9" s="7" t="s">
        <v>29</v>
      </c>
      <c r="G9" s="7" t="s">
        <v>25</v>
      </c>
      <c r="H9" s="7" t="s">
        <v>25</v>
      </c>
      <c r="I9" s="7" t="s">
        <v>29</v>
      </c>
      <c r="J9" s="10" t="s">
        <v>30</v>
      </c>
      <c r="K9" s="10" t="s">
        <v>30</v>
      </c>
      <c r="L9" s="10" t="s">
        <v>26</v>
      </c>
      <c r="M9" s="10" t="s">
        <v>26</v>
      </c>
      <c r="N9" s="10" t="s">
        <v>30</v>
      </c>
    </row>
    <row r="10" spans="1:19">
      <c r="A10" s="2">
        <v>8</v>
      </c>
      <c r="B10" s="2" t="s">
        <v>437</v>
      </c>
      <c r="E10" s="7" t="s">
        <v>29</v>
      </c>
      <c r="F10" s="7" t="s">
        <v>64</v>
      </c>
      <c r="G10" s="7" t="s">
        <v>69</v>
      </c>
      <c r="H10" s="7" t="s">
        <v>64</v>
      </c>
      <c r="I10" s="7" t="s">
        <v>29</v>
      </c>
      <c r="J10" s="10" t="s">
        <v>30</v>
      </c>
      <c r="K10" s="10" t="s">
        <v>23</v>
      </c>
      <c r="L10" s="10" t="s">
        <v>23</v>
      </c>
      <c r="M10" s="10" t="s">
        <v>23</v>
      </c>
      <c r="N10" s="10" t="s">
        <v>30</v>
      </c>
    </row>
    <row r="11" spans="1:19">
      <c r="A11" s="2">
        <v>9</v>
      </c>
      <c r="B11" s="2" t="s">
        <v>438</v>
      </c>
      <c r="E11" s="7" t="s">
        <v>27</v>
      </c>
      <c r="F11" s="7" t="s">
        <v>22</v>
      </c>
      <c r="G11" s="7" t="s">
        <v>22</v>
      </c>
      <c r="H11" s="7" t="s">
        <v>22</v>
      </c>
      <c r="I11" s="7" t="s">
        <v>29</v>
      </c>
      <c r="J11" s="10" t="s">
        <v>28</v>
      </c>
      <c r="K11" s="10" t="s">
        <v>23</v>
      </c>
      <c r="L11" s="10" t="s">
        <v>23</v>
      </c>
      <c r="M11" s="10" t="s">
        <v>23</v>
      </c>
      <c r="N11" s="10" t="s">
        <v>30</v>
      </c>
    </row>
    <row r="12" spans="1:19">
      <c r="A12" s="2">
        <v>10</v>
      </c>
      <c r="B12" s="2" t="s">
        <v>439</v>
      </c>
      <c r="E12" s="7" t="s">
        <v>35</v>
      </c>
      <c r="F12" s="7" t="s">
        <v>27</v>
      </c>
      <c r="G12" s="7" t="s">
        <v>35</v>
      </c>
      <c r="H12" s="7" t="s">
        <v>35</v>
      </c>
      <c r="I12" s="7" t="s">
        <v>29</v>
      </c>
      <c r="J12" s="10" t="s">
        <v>23</v>
      </c>
      <c r="K12" s="10" t="s">
        <v>28</v>
      </c>
      <c r="L12" s="10" t="s">
        <v>23</v>
      </c>
      <c r="M12" s="10" t="s">
        <v>23</v>
      </c>
      <c r="N12" s="10" t="s">
        <v>30</v>
      </c>
    </row>
    <row r="13" spans="1:19">
      <c r="A13" s="2">
        <v>11</v>
      </c>
      <c r="B13" s="2" t="s">
        <v>440</v>
      </c>
      <c r="E13" s="7" t="s">
        <v>51</v>
      </c>
      <c r="F13" s="7" t="s">
        <v>59</v>
      </c>
      <c r="G13" s="7" t="s">
        <v>193</v>
      </c>
      <c r="H13" s="7" t="s">
        <v>157</v>
      </c>
      <c r="I13" s="7" t="s">
        <v>157</v>
      </c>
      <c r="J13" s="10" t="s">
        <v>23</v>
      </c>
      <c r="K13" s="10" t="s">
        <v>23</v>
      </c>
      <c r="L13" s="10" t="s">
        <v>23</v>
      </c>
      <c r="M13" s="10" t="s">
        <v>23</v>
      </c>
      <c r="N13" s="10" t="s">
        <v>23</v>
      </c>
    </row>
    <row r="14" spans="1:19">
      <c r="A14" s="2">
        <v>12</v>
      </c>
      <c r="B14" s="2" t="s">
        <v>441</v>
      </c>
      <c r="E14" s="7" t="s">
        <v>31</v>
      </c>
      <c r="F14" s="7" t="s">
        <v>22</v>
      </c>
      <c r="G14" s="7" t="s">
        <v>22</v>
      </c>
      <c r="H14" s="7" t="s">
        <v>22</v>
      </c>
      <c r="I14" s="7" t="s">
        <v>22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</row>
    <row r="15" spans="1:19">
      <c r="A15" s="2">
        <v>13</v>
      </c>
      <c r="B15" s="2" t="s">
        <v>442</v>
      </c>
      <c r="E15" s="7" t="s">
        <v>29</v>
      </c>
      <c r="F15" s="7" t="s">
        <v>29</v>
      </c>
      <c r="G15" s="7" t="s">
        <v>22</v>
      </c>
      <c r="H15" s="7" t="s">
        <v>27</v>
      </c>
      <c r="I15" s="7" t="s">
        <v>22</v>
      </c>
      <c r="J15" s="10" t="s">
        <v>30</v>
      </c>
      <c r="K15" s="10" t="s">
        <v>30</v>
      </c>
      <c r="L15" s="10" t="s">
        <v>23</v>
      </c>
      <c r="M15" s="10" t="s">
        <v>28</v>
      </c>
      <c r="N15" s="10" t="s">
        <v>23</v>
      </c>
    </row>
    <row r="16" spans="1:19">
      <c r="A16" s="2">
        <v>14</v>
      </c>
      <c r="B16" s="2" t="s">
        <v>443</v>
      </c>
      <c r="E16" s="7" t="s">
        <v>29</v>
      </c>
      <c r="F16" s="7" t="s">
        <v>22</v>
      </c>
      <c r="G16" s="7" t="s">
        <v>22</v>
      </c>
      <c r="H16" s="7" t="s">
        <v>22</v>
      </c>
      <c r="I16" s="7" t="s">
        <v>22</v>
      </c>
      <c r="J16" s="10" t="s">
        <v>30</v>
      </c>
      <c r="K16" s="10" t="s">
        <v>23</v>
      </c>
      <c r="L16" s="10" t="s">
        <v>23</v>
      </c>
      <c r="M16" s="10" t="s">
        <v>23</v>
      </c>
      <c r="N16" s="10" t="s">
        <v>23</v>
      </c>
    </row>
    <row r="17" spans="1:14">
      <c r="A17" s="2">
        <v>15</v>
      </c>
      <c r="B17" s="2" t="s">
        <v>444</v>
      </c>
      <c r="E17" s="7" t="s">
        <v>27</v>
      </c>
      <c r="F17" s="7" t="s">
        <v>25</v>
      </c>
      <c r="G17" s="7" t="s">
        <v>25</v>
      </c>
      <c r="H17" s="7" t="s">
        <v>29</v>
      </c>
      <c r="I17" s="7" t="s">
        <v>29</v>
      </c>
      <c r="J17" s="10" t="s">
        <v>28</v>
      </c>
      <c r="K17" s="10" t="s">
        <v>26</v>
      </c>
      <c r="L17" s="10" t="s">
        <v>26</v>
      </c>
      <c r="M17" s="10" t="s">
        <v>30</v>
      </c>
      <c r="N17" s="10" t="s">
        <v>30</v>
      </c>
    </row>
    <row r="18" spans="1:14">
      <c r="A18" s="2">
        <v>16</v>
      </c>
      <c r="B18" s="2" t="s">
        <v>445</v>
      </c>
      <c r="E18" s="7" t="s">
        <v>22</v>
      </c>
      <c r="F18" s="7" t="s">
        <v>168</v>
      </c>
      <c r="G18" s="7" t="s">
        <v>22</v>
      </c>
      <c r="H18" s="7" t="s">
        <v>29</v>
      </c>
      <c r="I18" s="7" t="s">
        <v>25</v>
      </c>
      <c r="J18" s="10" t="s">
        <v>23</v>
      </c>
      <c r="K18" s="10" t="s">
        <v>23</v>
      </c>
      <c r="L18" s="10" t="s">
        <v>23</v>
      </c>
      <c r="M18" s="10" t="s">
        <v>30</v>
      </c>
      <c r="N18" s="10" t="s">
        <v>26</v>
      </c>
    </row>
    <row r="19" spans="1:14">
      <c r="A19" s="2">
        <v>17</v>
      </c>
      <c r="B19" s="2" t="s">
        <v>446</v>
      </c>
      <c r="E19" s="7" t="s">
        <v>51</v>
      </c>
      <c r="F19" s="7" t="s">
        <v>27</v>
      </c>
      <c r="G19" s="7" t="s">
        <v>29</v>
      </c>
      <c r="H19" s="7" t="s">
        <v>25</v>
      </c>
      <c r="I19" s="7" t="s">
        <v>35</v>
      </c>
      <c r="J19" s="10" t="s">
        <v>23</v>
      </c>
      <c r="K19" s="10" t="s">
        <v>28</v>
      </c>
      <c r="L19" s="10" t="s">
        <v>30</v>
      </c>
      <c r="M19" s="10" t="s">
        <v>26</v>
      </c>
      <c r="N19" s="10" t="s">
        <v>23</v>
      </c>
    </row>
    <row r="20" spans="1:14">
      <c r="A20" s="2">
        <v>18</v>
      </c>
      <c r="B20" s="2" t="s">
        <v>447</v>
      </c>
      <c r="E20" s="7" t="s">
        <v>29</v>
      </c>
      <c r="F20" s="7" t="s">
        <v>22</v>
      </c>
      <c r="G20" s="7" t="s">
        <v>69</v>
      </c>
      <c r="H20" s="7" t="s">
        <v>22</v>
      </c>
      <c r="I20" s="7" t="s">
        <v>89</v>
      </c>
      <c r="J20" s="10" t="s">
        <v>30</v>
      </c>
      <c r="K20" s="10" t="s">
        <v>23</v>
      </c>
      <c r="L20" s="10" t="s">
        <v>23</v>
      </c>
      <c r="M20" s="10" t="s">
        <v>23</v>
      </c>
      <c r="N20" s="10" t="s">
        <v>23</v>
      </c>
    </row>
    <row r="21" spans="1:14">
      <c r="A21" s="2">
        <v>19</v>
      </c>
      <c r="B21" s="2" t="s">
        <v>448</v>
      </c>
      <c r="E21" s="7" t="s">
        <v>69</v>
      </c>
      <c r="F21" s="7" t="s">
        <v>122</v>
      </c>
      <c r="G21" s="7" t="s">
        <v>29</v>
      </c>
      <c r="H21" s="7" t="s">
        <v>29</v>
      </c>
      <c r="I21" s="7" t="s">
        <v>27</v>
      </c>
      <c r="J21" s="10" t="s">
        <v>23</v>
      </c>
      <c r="K21" s="10" t="s">
        <v>23</v>
      </c>
      <c r="L21" s="10" t="s">
        <v>30</v>
      </c>
      <c r="M21" s="10" t="s">
        <v>30</v>
      </c>
      <c r="N21" s="10" t="s">
        <v>28</v>
      </c>
    </row>
    <row r="22" spans="1:14">
      <c r="A22" s="2">
        <v>20</v>
      </c>
      <c r="B22" s="2" t="s">
        <v>449</v>
      </c>
      <c r="E22" s="7" t="s">
        <v>35</v>
      </c>
      <c r="F22" s="7" t="s">
        <v>35</v>
      </c>
      <c r="G22" s="7" t="s">
        <v>69</v>
      </c>
      <c r="H22" s="7" t="s">
        <v>69</v>
      </c>
      <c r="I22" s="7" t="s">
        <v>29</v>
      </c>
      <c r="J22" s="10" t="s">
        <v>23</v>
      </c>
      <c r="K22" s="10" t="s">
        <v>23</v>
      </c>
      <c r="L22" s="10" t="s">
        <v>23</v>
      </c>
      <c r="M22" s="10" t="s">
        <v>23</v>
      </c>
      <c r="N22" s="10" t="s">
        <v>30</v>
      </c>
    </row>
    <row r="23" spans="1:14">
      <c r="A23" s="2">
        <v>21</v>
      </c>
      <c r="B23" s="2" t="s">
        <v>450</v>
      </c>
      <c r="E23" s="7" t="s">
        <v>35</v>
      </c>
      <c r="F23" s="7" t="s">
        <v>29</v>
      </c>
      <c r="G23" s="7" t="s">
        <v>35</v>
      </c>
      <c r="H23" s="7" t="s">
        <v>35</v>
      </c>
      <c r="I23" s="7" t="s">
        <v>35</v>
      </c>
      <c r="J23" s="10" t="s">
        <v>23</v>
      </c>
      <c r="K23" s="10" t="s">
        <v>30</v>
      </c>
      <c r="L23" s="10" t="s">
        <v>23</v>
      </c>
      <c r="M23" s="10" t="s">
        <v>23</v>
      </c>
      <c r="N23" s="10" t="s">
        <v>23</v>
      </c>
    </row>
    <row r="24" spans="1:14">
      <c r="A24" s="2">
        <v>22</v>
      </c>
      <c r="B24" s="2" t="s">
        <v>451</v>
      </c>
      <c r="E24" s="7" t="s">
        <v>25</v>
      </c>
      <c r="F24" s="7" t="s">
        <v>35</v>
      </c>
      <c r="G24" s="7" t="s">
        <v>51</v>
      </c>
      <c r="H24" s="7" t="s">
        <v>29</v>
      </c>
      <c r="I24" s="7" t="s">
        <v>64</v>
      </c>
      <c r="J24" s="10" t="s">
        <v>26</v>
      </c>
      <c r="K24" s="10" t="s">
        <v>23</v>
      </c>
      <c r="L24" s="10" t="s">
        <v>23</v>
      </c>
      <c r="M24" s="10" t="s">
        <v>30</v>
      </c>
      <c r="N24" s="10" t="s">
        <v>23</v>
      </c>
    </row>
    <row r="25" spans="1:14">
      <c r="A25" s="2">
        <v>23</v>
      </c>
      <c r="B25" s="2" t="s">
        <v>452</v>
      </c>
      <c r="E25" s="7" t="s">
        <v>89</v>
      </c>
      <c r="F25" s="7" t="s">
        <v>35</v>
      </c>
      <c r="G25" s="7" t="s">
        <v>35</v>
      </c>
      <c r="H25" s="7" t="s">
        <v>35</v>
      </c>
      <c r="I25" s="7" t="s">
        <v>35</v>
      </c>
      <c r="J25" s="10" t="s">
        <v>23</v>
      </c>
      <c r="K25" s="10" t="s">
        <v>23</v>
      </c>
      <c r="L25" s="10" t="s">
        <v>23</v>
      </c>
      <c r="M25" s="10" t="s">
        <v>23</v>
      </c>
      <c r="N25" s="10" t="s">
        <v>23</v>
      </c>
    </row>
    <row r="26" spans="1:14">
      <c r="A26" s="2">
        <v>24</v>
      </c>
      <c r="B26" s="2" t="s">
        <v>453</v>
      </c>
      <c r="E26" s="7" t="s">
        <v>35</v>
      </c>
      <c r="F26" s="7" t="s">
        <v>189</v>
      </c>
      <c r="G26" s="7" t="s">
        <v>89</v>
      </c>
      <c r="H26" s="7" t="s">
        <v>35</v>
      </c>
      <c r="I26" s="7" t="s">
        <v>35</v>
      </c>
      <c r="J26" s="10" t="s">
        <v>23</v>
      </c>
      <c r="K26" s="10" t="s">
        <v>23</v>
      </c>
      <c r="L26" s="10" t="s">
        <v>23</v>
      </c>
      <c r="M26" s="10" t="s">
        <v>23</v>
      </c>
      <c r="N26" s="10" t="s">
        <v>23</v>
      </c>
    </row>
    <row r="27" spans="1:14">
      <c r="A27" s="2">
        <v>25</v>
      </c>
      <c r="B27" s="2" t="s">
        <v>454</v>
      </c>
      <c r="E27" s="7" t="s">
        <v>29</v>
      </c>
      <c r="F27" s="7" t="s">
        <v>29</v>
      </c>
      <c r="G27" s="7" t="s">
        <v>29</v>
      </c>
      <c r="H27" s="7" t="s">
        <v>35</v>
      </c>
      <c r="I27" s="7" t="s">
        <v>22</v>
      </c>
      <c r="J27" s="10" t="s">
        <v>30</v>
      </c>
      <c r="K27" s="10" t="s">
        <v>30</v>
      </c>
      <c r="L27" s="10" t="s">
        <v>30</v>
      </c>
      <c r="M27" s="10" t="s">
        <v>23</v>
      </c>
      <c r="N27" s="10" t="s">
        <v>23</v>
      </c>
    </row>
    <row r="28" spans="1:14">
      <c r="A28" s="2">
        <v>26</v>
      </c>
      <c r="B28" s="2" t="s">
        <v>455</v>
      </c>
      <c r="E28" s="7" t="s">
        <v>64</v>
      </c>
      <c r="F28" s="7" t="s">
        <v>29</v>
      </c>
      <c r="G28" s="7" t="s">
        <v>29</v>
      </c>
      <c r="H28" s="7" t="s">
        <v>29</v>
      </c>
      <c r="I28" s="7" t="s">
        <v>64</v>
      </c>
      <c r="J28" s="10" t="s">
        <v>23</v>
      </c>
      <c r="K28" s="10" t="s">
        <v>30</v>
      </c>
      <c r="L28" s="10" t="s">
        <v>30</v>
      </c>
      <c r="M28" s="10" t="s">
        <v>30</v>
      </c>
      <c r="N28" s="10" t="s">
        <v>23</v>
      </c>
    </row>
    <row r="29" spans="1:14">
      <c r="A29" s="2">
        <v>27</v>
      </c>
      <c r="B29" s="2" t="s">
        <v>456</v>
      </c>
      <c r="E29" s="7" t="s">
        <v>25</v>
      </c>
      <c r="F29" s="7" t="s">
        <v>29</v>
      </c>
      <c r="G29" s="7" t="s">
        <v>31</v>
      </c>
      <c r="H29" s="7" t="s">
        <v>27</v>
      </c>
      <c r="I29" s="7" t="s">
        <v>29</v>
      </c>
      <c r="J29" s="10" t="s">
        <v>26</v>
      </c>
      <c r="K29" s="10" t="s">
        <v>30</v>
      </c>
      <c r="L29" s="10" t="s">
        <v>23</v>
      </c>
      <c r="M29" s="10" t="s">
        <v>28</v>
      </c>
      <c r="N29" s="10" t="s">
        <v>30</v>
      </c>
    </row>
    <row r="30" spans="1:14">
      <c r="A30" s="2">
        <v>28</v>
      </c>
      <c r="B30" s="2" t="s">
        <v>457</v>
      </c>
      <c r="E30" s="7" t="s">
        <v>31</v>
      </c>
      <c r="F30" s="7" t="s">
        <v>51</v>
      </c>
      <c r="G30" s="7" t="s">
        <v>51</v>
      </c>
      <c r="H30" s="7" t="s">
        <v>27</v>
      </c>
      <c r="I30" s="7" t="s">
        <v>31</v>
      </c>
      <c r="J30" s="10" t="s">
        <v>23</v>
      </c>
      <c r="K30" s="10" t="s">
        <v>23</v>
      </c>
      <c r="L30" s="10" t="s">
        <v>23</v>
      </c>
      <c r="M30" s="10" t="s">
        <v>28</v>
      </c>
      <c r="N30" s="10" t="s">
        <v>23</v>
      </c>
    </row>
    <row r="31" spans="1:14">
      <c r="A31" s="2">
        <v>29</v>
      </c>
      <c r="B31" s="2" t="s">
        <v>458</v>
      </c>
      <c r="E31" s="7" t="s">
        <v>37</v>
      </c>
      <c r="F31" s="7" t="s">
        <v>27</v>
      </c>
      <c r="G31" s="7" t="s">
        <v>29</v>
      </c>
      <c r="H31" s="7" t="s">
        <v>69</v>
      </c>
      <c r="I31" s="7" t="s">
        <v>29</v>
      </c>
      <c r="J31" s="10" t="s">
        <v>23</v>
      </c>
      <c r="K31" s="10" t="s">
        <v>28</v>
      </c>
      <c r="L31" s="10" t="s">
        <v>30</v>
      </c>
      <c r="M31" s="10" t="s">
        <v>23</v>
      </c>
      <c r="N31" s="10" t="s">
        <v>30</v>
      </c>
    </row>
    <row r="32" spans="1:14">
      <c r="A32" s="2">
        <v>30</v>
      </c>
      <c r="B32" s="2" t="s">
        <v>459</v>
      </c>
      <c r="E32" s="7" t="s">
        <v>69</v>
      </c>
      <c r="F32" s="7" t="s">
        <v>69</v>
      </c>
      <c r="G32" s="7" t="s">
        <v>69</v>
      </c>
      <c r="H32" s="7" t="s">
        <v>29</v>
      </c>
      <c r="I32" s="7" t="s">
        <v>27</v>
      </c>
      <c r="J32" s="10" t="s">
        <v>23</v>
      </c>
      <c r="K32" s="10" t="s">
        <v>23</v>
      </c>
      <c r="L32" s="10" t="s">
        <v>23</v>
      </c>
      <c r="M32" s="10" t="s">
        <v>30</v>
      </c>
      <c r="N32" s="10" t="s">
        <v>28</v>
      </c>
    </row>
    <row r="33" spans="1:14">
      <c r="A33" s="2">
        <v>31</v>
      </c>
      <c r="B33" s="2" t="s">
        <v>460</v>
      </c>
      <c r="E33" s="7" t="s">
        <v>69</v>
      </c>
      <c r="F33" s="7" t="s">
        <v>139</v>
      </c>
      <c r="G33" s="7" t="s">
        <v>29</v>
      </c>
      <c r="H33" s="7" t="s">
        <v>29</v>
      </c>
      <c r="I33" s="7" t="s">
        <v>35</v>
      </c>
      <c r="J33" s="10" t="s">
        <v>23</v>
      </c>
      <c r="K33" s="10" t="s">
        <v>23</v>
      </c>
      <c r="L33" s="10" t="s">
        <v>30</v>
      </c>
      <c r="M33" s="10" t="s">
        <v>30</v>
      </c>
      <c r="N33" s="10" t="s">
        <v>23</v>
      </c>
    </row>
    <row r="34" spans="1:14">
      <c r="A34" s="2">
        <v>32</v>
      </c>
      <c r="B34" s="2" t="s">
        <v>461</v>
      </c>
      <c r="E34" s="7" t="s">
        <v>22</v>
      </c>
      <c r="F34" s="7" t="s">
        <v>27</v>
      </c>
      <c r="G34" s="7" t="s">
        <v>22</v>
      </c>
      <c r="H34" s="7" t="s">
        <v>22</v>
      </c>
      <c r="I34" s="7" t="s">
        <v>22</v>
      </c>
      <c r="J34" s="10" t="s">
        <v>23</v>
      </c>
      <c r="K34" s="10" t="s">
        <v>28</v>
      </c>
      <c r="L34" s="10" t="s">
        <v>23</v>
      </c>
      <c r="M34" s="10" t="s">
        <v>23</v>
      </c>
      <c r="N34" s="10" t="s">
        <v>23</v>
      </c>
    </row>
    <row r="35" spans="1:14">
      <c r="A35" s="2">
        <v>33</v>
      </c>
      <c r="B35" s="2" t="s">
        <v>462</v>
      </c>
      <c r="E35" s="7" t="s">
        <v>35</v>
      </c>
      <c r="F35" s="7" t="s">
        <v>27</v>
      </c>
      <c r="G35" s="7" t="s">
        <v>69</v>
      </c>
      <c r="H35" s="7" t="s">
        <v>35</v>
      </c>
      <c r="I35" s="7" t="s">
        <v>35</v>
      </c>
      <c r="J35" s="10" t="s">
        <v>23</v>
      </c>
      <c r="K35" s="10" t="s">
        <v>28</v>
      </c>
      <c r="L35" s="10" t="s">
        <v>23</v>
      </c>
      <c r="M35" s="10" t="s">
        <v>23</v>
      </c>
      <c r="N35" s="10" t="s">
        <v>23</v>
      </c>
    </row>
    <row r="36" spans="1:14">
      <c r="A36" s="2">
        <v>34</v>
      </c>
      <c r="B36" s="2" t="s">
        <v>463</v>
      </c>
      <c r="E36" s="7" t="s">
        <v>25</v>
      </c>
      <c r="F36" s="7" t="s">
        <v>69</v>
      </c>
      <c r="G36" s="7" t="s">
        <v>69</v>
      </c>
      <c r="H36" s="7" t="s">
        <v>69</v>
      </c>
      <c r="I36" s="7" t="s">
        <v>69</v>
      </c>
      <c r="J36" s="10" t="s">
        <v>26</v>
      </c>
      <c r="K36" s="10" t="s">
        <v>23</v>
      </c>
      <c r="L36" s="10" t="s">
        <v>23</v>
      </c>
      <c r="M36" s="10" t="s">
        <v>23</v>
      </c>
      <c r="N36" s="10" t="s">
        <v>23</v>
      </c>
    </row>
    <row r="37" spans="1:14">
      <c r="A37" s="2">
        <v>35</v>
      </c>
      <c r="B37" s="2" t="s">
        <v>464</v>
      </c>
      <c r="E37" s="7" t="s">
        <v>27</v>
      </c>
      <c r="F37" s="7" t="s">
        <v>29</v>
      </c>
      <c r="G37" s="7" t="s">
        <v>69</v>
      </c>
      <c r="H37" s="7" t="s">
        <v>69</v>
      </c>
      <c r="I37" s="7" t="s">
        <v>69</v>
      </c>
      <c r="J37" s="10" t="s">
        <v>28</v>
      </c>
      <c r="K37" s="10" t="s">
        <v>30</v>
      </c>
      <c r="L37" s="10" t="s">
        <v>23</v>
      </c>
      <c r="M37" s="10" t="s">
        <v>23</v>
      </c>
      <c r="N37" s="10" t="s">
        <v>23</v>
      </c>
    </row>
    <row r="38" spans="1:14">
      <c r="A38" s="2">
        <v>36</v>
      </c>
      <c r="B38" s="2" t="s">
        <v>465</v>
      </c>
      <c r="E38" s="7" t="s">
        <v>29</v>
      </c>
      <c r="F38" s="7" t="s">
        <v>25</v>
      </c>
      <c r="G38" s="7" t="s">
        <v>29</v>
      </c>
      <c r="H38" s="7" t="s">
        <v>95</v>
      </c>
      <c r="I38" s="7" t="s">
        <v>95</v>
      </c>
      <c r="J38" s="10" t="s">
        <v>30</v>
      </c>
      <c r="K38" s="10" t="s">
        <v>26</v>
      </c>
      <c r="L38" s="10" t="s">
        <v>30</v>
      </c>
      <c r="M38" s="10" t="s">
        <v>23</v>
      </c>
      <c r="N38" s="10" t="s">
        <v>23</v>
      </c>
    </row>
    <row r="39" spans="1:14">
      <c r="A39" s="2">
        <v>37</v>
      </c>
      <c r="B39" s="2" t="s">
        <v>466</v>
      </c>
      <c r="E39" s="7" t="s">
        <v>22</v>
      </c>
      <c r="F39" s="7" t="s">
        <v>22</v>
      </c>
      <c r="G39" s="7" t="s">
        <v>22</v>
      </c>
      <c r="H39" s="7" t="s">
        <v>22</v>
      </c>
      <c r="I39" s="7" t="s">
        <v>153</v>
      </c>
      <c r="J39" s="10" t="s">
        <v>23</v>
      </c>
      <c r="K39" s="10" t="s">
        <v>23</v>
      </c>
      <c r="L39" s="10" t="s">
        <v>23</v>
      </c>
      <c r="M39" s="10" t="s">
        <v>23</v>
      </c>
      <c r="N39" s="10" t="s">
        <v>23</v>
      </c>
    </row>
    <row r="40" spans="1:14">
      <c r="A40" s="2">
        <v>38</v>
      </c>
      <c r="B40" s="2" t="s">
        <v>467</v>
      </c>
      <c r="E40" s="7" t="s">
        <v>51</v>
      </c>
      <c r="F40" s="7" t="s">
        <v>29</v>
      </c>
      <c r="G40" s="7" t="s">
        <v>55</v>
      </c>
      <c r="H40" s="7" t="s">
        <v>59</v>
      </c>
      <c r="I40" s="7" t="s">
        <v>51</v>
      </c>
      <c r="J40" s="10" t="s">
        <v>23</v>
      </c>
      <c r="K40" s="10" t="s">
        <v>30</v>
      </c>
      <c r="L40" s="10" t="s">
        <v>23</v>
      </c>
      <c r="M40" s="10" t="s">
        <v>23</v>
      </c>
      <c r="N40" s="10" t="s">
        <v>23</v>
      </c>
    </row>
    <row r="41" spans="1:14">
      <c r="A41" s="2">
        <v>39</v>
      </c>
      <c r="B41" s="2" t="s">
        <v>468</v>
      </c>
      <c r="E41" s="7" t="s">
        <v>55</v>
      </c>
      <c r="F41" s="7" t="s">
        <v>55</v>
      </c>
      <c r="G41" s="7" t="s">
        <v>27</v>
      </c>
      <c r="H41" s="7" t="s">
        <v>55</v>
      </c>
      <c r="I41" s="7" t="s">
        <v>37</v>
      </c>
      <c r="J41" s="10" t="s">
        <v>23</v>
      </c>
      <c r="K41" s="10" t="s">
        <v>23</v>
      </c>
      <c r="L41" s="10" t="s">
        <v>28</v>
      </c>
      <c r="M41" s="10" t="s">
        <v>23</v>
      </c>
      <c r="N41" s="10" t="s">
        <v>23</v>
      </c>
    </row>
    <row r="42" spans="1:14">
      <c r="A42" s="2">
        <v>40</v>
      </c>
      <c r="B42" s="2" t="s">
        <v>469</v>
      </c>
      <c r="E42" s="7" t="s">
        <v>37</v>
      </c>
      <c r="F42" s="7" t="s">
        <v>22</v>
      </c>
      <c r="G42" s="7" t="s">
        <v>22</v>
      </c>
      <c r="H42" s="7" t="s">
        <v>22</v>
      </c>
      <c r="I42" s="7" t="s">
        <v>29</v>
      </c>
      <c r="J42" s="10" t="s">
        <v>23</v>
      </c>
      <c r="K42" s="10" t="s">
        <v>23</v>
      </c>
      <c r="L42" s="10" t="s">
        <v>23</v>
      </c>
      <c r="M42" s="10" t="s">
        <v>23</v>
      </c>
      <c r="N42" s="10" t="s">
        <v>30</v>
      </c>
    </row>
    <row r="43" spans="1:14">
      <c r="A43" s="2">
        <v>41</v>
      </c>
      <c r="B43" s="2" t="s">
        <v>470</v>
      </c>
      <c r="E43" s="7" t="s">
        <v>22</v>
      </c>
      <c r="F43" s="7" t="s">
        <v>22</v>
      </c>
      <c r="G43" s="7" t="s">
        <v>22</v>
      </c>
      <c r="H43" s="7" t="s">
        <v>29</v>
      </c>
      <c r="I43" s="7" t="s">
        <v>22</v>
      </c>
      <c r="J43" s="10" t="s">
        <v>23</v>
      </c>
      <c r="K43" s="10" t="s">
        <v>23</v>
      </c>
      <c r="L43" s="10" t="s">
        <v>23</v>
      </c>
      <c r="M43" s="10" t="s">
        <v>30</v>
      </c>
      <c r="N43" s="10" t="s">
        <v>23</v>
      </c>
    </row>
    <row r="44" spans="1:14">
      <c r="A44" s="2">
        <v>42</v>
      </c>
      <c r="B44" s="2" t="s">
        <v>471</v>
      </c>
      <c r="E44" s="7" t="s">
        <v>22</v>
      </c>
      <c r="F44" s="7" t="s">
        <v>22</v>
      </c>
      <c r="G44" s="7" t="s">
        <v>27</v>
      </c>
      <c r="H44" s="7" t="s">
        <v>29</v>
      </c>
      <c r="I44" s="7" t="s">
        <v>22</v>
      </c>
      <c r="J44" s="10" t="s">
        <v>23</v>
      </c>
      <c r="K44" s="10" t="s">
        <v>23</v>
      </c>
      <c r="L44" s="10" t="s">
        <v>28</v>
      </c>
      <c r="M44" s="10" t="s">
        <v>30</v>
      </c>
      <c r="N44" s="10" t="s">
        <v>23</v>
      </c>
    </row>
    <row r="45" spans="1:14">
      <c r="A45" s="2">
        <v>43</v>
      </c>
      <c r="B45" s="2" t="s">
        <v>472</v>
      </c>
      <c r="E45" s="7" t="s">
        <v>29</v>
      </c>
      <c r="F45" s="7" t="s">
        <v>29</v>
      </c>
      <c r="G45" s="7" t="s">
        <v>27</v>
      </c>
      <c r="H45" s="7" t="s">
        <v>29</v>
      </c>
      <c r="I45" s="7" t="s">
        <v>22</v>
      </c>
      <c r="J45" s="10" t="s">
        <v>30</v>
      </c>
      <c r="K45" s="10" t="s">
        <v>30</v>
      </c>
      <c r="L45" s="10" t="s">
        <v>28</v>
      </c>
      <c r="M45" s="10" t="s">
        <v>30</v>
      </c>
      <c r="N45" s="10" t="s">
        <v>23</v>
      </c>
    </row>
    <row r="46" spans="1:14">
      <c r="A46" s="2">
        <v>44</v>
      </c>
      <c r="B46" s="2" t="s">
        <v>473</v>
      </c>
      <c r="E46" s="7" t="s">
        <v>22</v>
      </c>
      <c r="F46" s="7" t="s">
        <v>22</v>
      </c>
      <c r="G46" s="7" t="s">
        <v>22</v>
      </c>
      <c r="H46" s="7" t="s">
        <v>51</v>
      </c>
      <c r="I46" s="7" t="s">
        <v>22</v>
      </c>
      <c r="J46" s="10" t="s">
        <v>23</v>
      </c>
      <c r="K46" s="10" t="s">
        <v>23</v>
      </c>
      <c r="L46" s="10" t="s">
        <v>23</v>
      </c>
      <c r="M46" s="10" t="s">
        <v>23</v>
      </c>
      <c r="N46" s="10" t="s">
        <v>23</v>
      </c>
    </row>
    <row r="47" spans="1:14">
      <c r="A47" s="2">
        <v>45</v>
      </c>
      <c r="B47" s="2" t="s">
        <v>474</v>
      </c>
      <c r="E47" s="7" t="s">
        <v>51</v>
      </c>
      <c r="F47" s="7" t="s">
        <v>29</v>
      </c>
      <c r="G47" s="7" t="s">
        <v>27</v>
      </c>
      <c r="H47" s="7" t="s">
        <v>35</v>
      </c>
      <c r="I47" s="7" t="s">
        <v>51</v>
      </c>
      <c r="J47" s="10" t="s">
        <v>23</v>
      </c>
      <c r="K47" s="10" t="s">
        <v>30</v>
      </c>
      <c r="L47" s="10" t="s">
        <v>28</v>
      </c>
      <c r="M47" s="10" t="s">
        <v>23</v>
      </c>
      <c r="N47" s="10" t="s">
        <v>23</v>
      </c>
    </row>
    <row r="48" spans="1:14">
      <c r="A48" s="2">
        <v>46</v>
      </c>
      <c r="B48" s="2" t="s">
        <v>475</v>
      </c>
      <c r="E48" s="7" t="s">
        <v>22</v>
      </c>
      <c r="F48" s="7" t="s">
        <v>29</v>
      </c>
      <c r="G48" s="7" t="s">
        <v>25</v>
      </c>
      <c r="H48" s="7" t="s">
        <v>29</v>
      </c>
      <c r="I48" s="7" t="s">
        <v>29</v>
      </c>
      <c r="J48" s="10" t="s">
        <v>23</v>
      </c>
      <c r="K48" s="10" t="s">
        <v>30</v>
      </c>
      <c r="L48" s="10" t="s">
        <v>26</v>
      </c>
      <c r="M48" s="10" t="s">
        <v>30</v>
      </c>
      <c r="N48" s="10" t="s">
        <v>30</v>
      </c>
    </row>
    <row r="49" spans="1:14">
      <c r="A49" s="2">
        <v>47</v>
      </c>
      <c r="B49" s="2" t="s">
        <v>476</v>
      </c>
      <c r="E49" s="7" t="s">
        <v>27</v>
      </c>
      <c r="F49" s="7" t="s">
        <v>187</v>
      </c>
      <c r="G49" s="7" t="s">
        <v>29</v>
      </c>
      <c r="H49" s="7" t="s">
        <v>29</v>
      </c>
      <c r="I49" s="7" t="s">
        <v>22</v>
      </c>
      <c r="J49" s="10" t="s">
        <v>28</v>
      </c>
      <c r="K49" s="10" t="s">
        <v>23</v>
      </c>
      <c r="L49" s="10" t="s">
        <v>30</v>
      </c>
      <c r="M49" s="10" t="s">
        <v>30</v>
      </c>
      <c r="N49" s="10" t="s">
        <v>23</v>
      </c>
    </row>
    <row r="50" spans="1:14">
      <c r="A50" s="2">
        <v>48</v>
      </c>
      <c r="B50" s="2" t="s">
        <v>477</v>
      </c>
      <c r="E50" s="7" t="s">
        <v>29</v>
      </c>
      <c r="F50" s="7" t="s">
        <v>29</v>
      </c>
      <c r="G50" s="7" t="s">
        <v>29</v>
      </c>
      <c r="H50" s="7" t="s">
        <v>27</v>
      </c>
      <c r="I50" s="7" t="s">
        <v>51</v>
      </c>
      <c r="J50" s="10" t="s">
        <v>30</v>
      </c>
      <c r="K50" s="10" t="s">
        <v>30</v>
      </c>
      <c r="L50" s="10" t="s">
        <v>30</v>
      </c>
      <c r="M50" s="10" t="s">
        <v>28</v>
      </c>
      <c r="N50" s="10" t="s">
        <v>23</v>
      </c>
    </row>
    <row r="51" spans="1:14">
      <c r="A51" s="2">
        <v>49</v>
      </c>
      <c r="B51" s="2" t="s">
        <v>478</v>
      </c>
      <c r="E51" s="7" t="s">
        <v>35</v>
      </c>
      <c r="F51" s="7" t="s">
        <v>51</v>
      </c>
      <c r="G51" s="7" t="s">
        <v>37</v>
      </c>
      <c r="H51" s="7" t="s">
        <v>27</v>
      </c>
      <c r="I51" s="7" t="s">
        <v>29</v>
      </c>
      <c r="J51" s="10" t="s">
        <v>23</v>
      </c>
      <c r="K51" s="10" t="s">
        <v>23</v>
      </c>
      <c r="L51" s="10" t="s">
        <v>23</v>
      </c>
      <c r="M51" s="10" t="s">
        <v>28</v>
      </c>
      <c r="N51" s="10" t="s">
        <v>30</v>
      </c>
    </row>
    <row r="52" spans="1:14">
      <c r="A52" s="2">
        <v>50</v>
      </c>
      <c r="B52" s="2" t="s">
        <v>479</v>
      </c>
      <c r="E52" s="7" t="s">
        <v>187</v>
      </c>
      <c r="F52" s="7" t="s">
        <v>29</v>
      </c>
      <c r="G52" s="7" t="s">
        <v>189</v>
      </c>
      <c r="H52" s="7" t="s">
        <v>187</v>
      </c>
      <c r="I52" s="7" t="s">
        <v>189</v>
      </c>
      <c r="J52" s="10" t="s">
        <v>23</v>
      </c>
      <c r="K52" s="10" t="s">
        <v>30</v>
      </c>
      <c r="L52" s="10" t="s">
        <v>23</v>
      </c>
      <c r="M52" s="10" t="s">
        <v>23</v>
      </c>
      <c r="N52" s="10" t="s">
        <v>23</v>
      </c>
    </row>
  </sheetData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workbookViewId="0"/>
  </sheetViews>
  <sheetFormatPr baseColWidth="10" defaultColWidth="8.83203125" defaultRowHeight="14" x14ac:dyDescent="0"/>
  <cols>
    <col min="1" max="1" width="2.83203125" style="2" customWidth="1"/>
    <col min="2" max="2" width="12.83203125" style="2" bestFit="1" customWidth="1"/>
    <col min="3" max="4" width="1.83203125" style="4" customWidth="1"/>
    <col min="5" max="9" width="8.5" style="7" customWidth="1"/>
    <col min="10" max="14" width="6.33203125" style="10" customWidth="1"/>
    <col min="15" max="19" width="5.6640625" style="13" customWidth="1"/>
  </cols>
  <sheetData>
    <row r="1" spans="1:19">
      <c r="E1" s="6" t="s">
        <v>4</v>
      </c>
      <c r="J1" s="9" t="s">
        <v>10</v>
      </c>
      <c r="O1" s="12" t="s">
        <v>16</v>
      </c>
    </row>
    <row r="2" spans="1:19">
      <c r="B2" s="3" t="s">
        <v>0</v>
      </c>
      <c r="C2" s="5" t="s">
        <v>1</v>
      </c>
      <c r="D2" s="5" t="s">
        <v>2</v>
      </c>
      <c r="E2" s="8" t="s">
        <v>3</v>
      </c>
      <c r="F2" s="8" t="s">
        <v>5</v>
      </c>
      <c r="G2" s="8" t="s">
        <v>6</v>
      </c>
      <c r="H2" s="8" t="s">
        <v>7</v>
      </c>
      <c r="I2" s="8" t="s">
        <v>8</v>
      </c>
      <c r="J2" s="11" t="s">
        <v>9</v>
      </c>
      <c r="K2" s="11" t="s">
        <v>11</v>
      </c>
      <c r="L2" s="11" t="s">
        <v>12</v>
      </c>
      <c r="M2" s="11" t="s">
        <v>13</v>
      </c>
      <c r="N2" s="11" t="s">
        <v>14</v>
      </c>
      <c r="O2" s="14" t="s">
        <v>15</v>
      </c>
      <c r="P2" s="14" t="s">
        <v>17</v>
      </c>
      <c r="Q2" s="14" t="s">
        <v>18</v>
      </c>
      <c r="R2" s="14" t="s">
        <v>19</v>
      </c>
      <c r="S2" s="14" t="s">
        <v>20</v>
      </c>
    </row>
    <row r="3" spans="1:19">
      <c r="A3" s="2">
        <v>1</v>
      </c>
      <c r="B3" s="2" t="s">
        <v>490</v>
      </c>
      <c r="E3" s="7" t="s">
        <v>29</v>
      </c>
      <c r="F3" s="7" t="s">
        <v>25</v>
      </c>
      <c r="G3" s="7" t="s">
        <v>35</v>
      </c>
      <c r="H3" s="7" t="s">
        <v>27</v>
      </c>
      <c r="I3" s="7" t="s">
        <v>29</v>
      </c>
      <c r="J3" s="10" t="s">
        <v>30</v>
      </c>
      <c r="K3" s="10" t="s">
        <v>26</v>
      </c>
      <c r="L3" s="10" t="s">
        <v>23</v>
      </c>
      <c r="M3" s="10" t="s">
        <v>28</v>
      </c>
      <c r="N3" s="10" t="s">
        <v>30</v>
      </c>
    </row>
    <row r="4" spans="1:19">
      <c r="A4" s="2">
        <v>2</v>
      </c>
      <c r="B4" s="2" t="s">
        <v>491</v>
      </c>
      <c r="E4" s="7" t="s">
        <v>31</v>
      </c>
      <c r="F4" s="7" t="s">
        <v>29</v>
      </c>
      <c r="G4" s="7" t="s">
        <v>29</v>
      </c>
      <c r="H4" s="7" t="s">
        <v>27</v>
      </c>
      <c r="I4" s="7" t="s">
        <v>27</v>
      </c>
      <c r="J4" s="10" t="s">
        <v>23</v>
      </c>
      <c r="K4" s="10" t="s">
        <v>30</v>
      </c>
      <c r="L4" s="10" t="s">
        <v>30</v>
      </c>
      <c r="M4" s="10" t="s">
        <v>28</v>
      </c>
      <c r="N4" s="10" t="s">
        <v>28</v>
      </c>
    </row>
    <row r="5" spans="1:19">
      <c r="A5" s="2">
        <v>3</v>
      </c>
      <c r="B5" s="2" t="s">
        <v>492</v>
      </c>
      <c r="E5" s="7" t="s">
        <v>29</v>
      </c>
      <c r="F5" s="7" t="s">
        <v>35</v>
      </c>
      <c r="G5" s="7" t="s">
        <v>35</v>
      </c>
      <c r="H5" s="7" t="s">
        <v>35</v>
      </c>
      <c r="I5" s="7" t="s">
        <v>51</v>
      </c>
      <c r="J5" s="10" t="s">
        <v>30</v>
      </c>
      <c r="K5" s="10" t="s">
        <v>23</v>
      </c>
      <c r="L5" s="10" t="s">
        <v>23</v>
      </c>
      <c r="M5" s="10" t="s">
        <v>23</v>
      </c>
      <c r="N5" s="10" t="s">
        <v>23</v>
      </c>
    </row>
    <row r="6" spans="1:19">
      <c r="A6" s="2">
        <v>4</v>
      </c>
      <c r="B6" s="2" t="s">
        <v>493</v>
      </c>
      <c r="E6" s="7" t="s">
        <v>31</v>
      </c>
      <c r="F6" s="7" t="s">
        <v>31</v>
      </c>
      <c r="G6" s="7" t="s">
        <v>22</v>
      </c>
      <c r="H6" s="7" t="s">
        <v>22</v>
      </c>
      <c r="I6" s="7" t="s">
        <v>22</v>
      </c>
      <c r="J6" s="10" t="s">
        <v>23</v>
      </c>
      <c r="K6" s="10" t="s">
        <v>23</v>
      </c>
      <c r="L6" s="10" t="s">
        <v>23</v>
      </c>
      <c r="M6" s="10" t="s">
        <v>23</v>
      </c>
      <c r="N6" s="10" t="s">
        <v>23</v>
      </c>
    </row>
    <row r="7" spans="1:19">
      <c r="A7" s="2">
        <v>5</v>
      </c>
      <c r="B7" s="2" t="s">
        <v>494</v>
      </c>
      <c r="E7" s="7" t="s">
        <v>69</v>
      </c>
      <c r="F7" s="7" t="s">
        <v>29</v>
      </c>
      <c r="G7" s="7" t="s">
        <v>29</v>
      </c>
      <c r="H7" s="7" t="s">
        <v>29</v>
      </c>
      <c r="I7" s="7" t="s">
        <v>59</v>
      </c>
      <c r="J7" s="10" t="s">
        <v>23</v>
      </c>
      <c r="K7" s="10" t="s">
        <v>30</v>
      </c>
      <c r="L7" s="10" t="s">
        <v>30</v>
      </c>
      <c r="M7" s="10" t="s">
        <v>30</v>
      </c>
      <c r="N7" s="10" t="s">
        <v>23</v>
      </c>
    </row>
    <row r="8" spans="1:19">
      <c r="A8" s="2">
        <v>6</v>
      </c>
      <c r="B8" s="2" t="s">
        <v>495</v>
      </c>
      <c r="E8" s="7" t="s">
        <v>25</v>
      </c>
      <c r="F8" s="7" t="s">
        <v>29</v>
      </c>
      <c r="G8" s="7" t="s">
        <v>29</v>
      </c>
      <c r="H8" s="7" t="s">
        <v>25</v>
      </c>
      <c r="I8" s="7" t="s">
        <v>27</v>
      </c>
      <c r="J8" s="10" t="s">
        <v>26</v>
      </c>
      <c r="K8" s="10" t="s">
        <v>30</v>
      </c>
      <c r="L8" s="10" t="s">
        <v>30</v>
      </c>
      <c r="M8" s="10" t="s">
        <v>26</v>
      </c>
      <c r="N8" s="10" t="s">
        <v>28</v>
      </c>
    </row>
    <row r="9" spans="1:19">
      <c r="A9" s="2">
        <v>7</v>
      </c>
      <c r="B9" s="2" t="s">
        <v>496</v>
      </c>
      <c r="E9" s="7" t="s">
        <v>166</v>
      </c>
      <c r="F9" s="7" t="s">
        <v>35</v>
      </c>
      <c r="G9" s="7" t="s">
        <v>29</v>
      </c>
      <c r="H9" s="7" t="s">
        <v>35</v>
      </c>
      <c r="I9" s="7" t="s">
        <v>35</v>
      </c>
      <c r="J9" s="10" t="s">
        <v>23</v>
      </c>
      <c r="K9" s="10" t="s">
        <v>23</v>
      </c>
      <c r="L9" s="10" t="s">
        <v>30</v>
      </c>
      <c r="M9" s="10" t="s">
        <v>23</v>
      </c>
      <c r="N9" s="10" t="s">
        <v>23</v>
      </c>
    </row>
    <row r="10" spans="1:19">
      <c r="A10" s="2">
        <v>8</v>
      </c>
      <c r="B10" s="2" t="s">
        <v>497</v>
      </c>
      <c r="E10" s="7" t="s">
        <v>29</v>
      </c>
      <c r="F10" s="7" t="s">
        <v>37</v>
      </c>
      <c r="G10" s="7" t="s">
        <v>27</v>
      </c>
      <c r="H10" s="7" t="s">
        <v>27</v>
      </c>
      <c r="I10" s="7" t="s">
        <v>27</v>
      </c>
      <c r="J10" s="10" t="s">
        <v>30</v>
      </c>
      <c r="K10" s="10" t="s">
        <v>23</v>
      </c>
      <c r="L10" s="10" t="s">
        <v>28</v>
      </c>
      <c r="M10" s="10" t="s">
        <v>28</v>
      </c>
      <c r="N10" s="10" t="s">
        <v>28</v>
      </c>
    </row>
    <row r="11" spans="1:19">
      <c r="A11" s="2">
        <v>9</v>
      </c>
      <c r="B11" s="2" t="s">
        <v>498</v>
      </c>
      <c r="E11" s="7" t="s">
        <v>27</v>
      </c>
      <c r="F11" s="7" t="s">
        <v>27</v>
      </c>
      <c r="G11" s="7" t="s">
        <v>35</v>
      </c>
      <c r="H11" s="7" t="s">
        <v>25</v>
      </c>
      <c r="I11" s="7" t="s">
        <v>35</v>
      </c>
      <c r="J11" s="10" t="s">
        <v>28</v>
      </c>
      <c r="K11" s="10" t="s">
        <v>28</v>
      </c>
      <c r="L11" s="10" t="s">
        <v>23</v>
      </c>
      <c r="M11" s="10" t="s">
        <v>26</v>
      </c>
      <c r="N11" s="10" t="s">
        <v>23</v>
      </c>
    </row>
    <row r="12" spans="1:19">
      <c r="A12" s="2">
        <v>10</v>
      </c>
      <c r="B12" s="2" t="s">
        <v>499</v>
      </c>
      <c r="E12" s="7" t="s">
        <v>29</v>
      </c>
      <c r="F12" s="7" t="s">
        <v>139</v>
      </c>
      <c r="G12" s="7" t="s">
        <v>69</v>
      </c>
      <c r="H12" s="7" t="s">
        <v>29</v>
      </c>
      <c r="I12" s="7" t="s">
        <v>27</v>
      </c>
      <c r="J12" s="10" t="s">
        <v>30</v>
      </c>
      <c r="K12" s="10" t="s">
        <v>23</v>
      </c>
      <c r="L12" s="10" t="s">
        <v>23</v>
      </c>
      <c r="M12" s="10" t="s">
        <v>30</v>
      </c>
      <c r="N12" s="10" t="s">
        <v>28</v>
      </c>
    </row>
    <row r="13" spans="1:19">
      <c r="A13" s="2">
        <v>11</v>
      </c>
      <c r="B13" s="2" t="s">
        <v>500</v>
      </c>
      <c r="E13" s="7" t="s">
        <v>35</v>
      </c>
      <c r="F13" s="7" t="s">
        <v>35</v>
      </c>
      <c r="G13" s="7" t="s">
        <v>35</v>
      </c>
      <c r="H13" s="7" t="s">
        <v>35</v>
      </c>
      <c r="I13" s="7" t="s">
        <v>35</v>
      </c>
      <c r="J13" s="10" t="s">
        <v>23</v>
      </c>
      <c r="K13" s="10" t="s">
        <v>23</v>
      </c>
      <c r="L13" s="10" t="s">
        <v>23</v>
      </c>
      <c r="M13" s="10" t="s">
        <v>23</v>
      </c>
      <c r="N13" s="10" t="s">
        <v>23</v>
      </c>
    </row>
    <row r="14" spans="1:19">
      <c r="A14" s="2">
        <v>12</v>
      </c>
      <c r="B14" s="2" t="s">
        <v>501</v>
      </c>
      <c r="E14" s="7" t="s">
        <v>35</v>
      </c>
      <c r="F14" s="7" t="s">
        <v>27</v>
      </c>
      <c r="G14" s="7" t="s">
        <v>22</v>
      </c>
      <c r="H14" s="7" t="s">
        <v>164</v>
      </c>
      <c r="I14" s="7" t="s">
        <v>27</v>
      </c>
      <c r="J14" s="10" t="s">
        <v>23</v>
      </c>
      <c r="K14" s="10" t="s">
        <v>28</v>
      </c>
      <c r="L14" s="10" t="s">
        <v>23</v>
      </c>
      <c r="M14" s="10" t="s">
        <v>23</v>
      </c>
      <c r="N14" s="10" t="s">
        <v>28</v>
      </c>
    </row>
    <row r="15" spans="1:19">
      <c r="A15" s="2">
        <v>13</v>
      </c>
      <c r="B15" s="2" t="s">
        <v>502</v>
      </c>
      <c r="E15" s="7" t="s">
        <v>35</v>
      </c>
      <c r="F15" s="7" t="s">
        <v>22</v>
      </c>
      <c r="G15" s="7" t="s">
        <v>22</v>
      </c>
      <c r="H15" s="7" t="s">
        <v>35</v>
      </c>
      <c r="I15" s="7" t="s">
        <v>22</v>
      </c>
      <c r="J15" s="10" t="s">
        <v>23</v>
      </c>
      <c r="K15" s="10" t="s">
        <v>23</v>
      </c>
      <c r="L15" s="10" t="s">
        <v>23</v>
      </c>
      <c r="M15" s="10" t="s">
        <v>23</v>
      </c>
      <c r="N15" s="10" t="s">
        <v>23</v>
      </c>
    </row>
    <row r="16" spans="1:19">
      <c r="A16" s="2">
        <v>14</v>
      </c>
      <c r="B16" s="2" t="s">
        <v>503</v>
      </c>
      <c r="E16" s="7" t="s">
        <v>29</v>
      </c>
      <c r="F16" s="7" t="s">
        <v>35</v>
      </c>
      <c r="G16" s="7" t="s">
        <v>22</v>
      </c>
      <c r="H16" s="7" t="s">
        <v>35</v>
      </c>
      <c r="I16" s="7" t="s">
        <v>35</v>
      </c>
      <c r="J16" s="10" t="s">
        <v>30</v>
      </c>
      <c r="K16" s="10" t="s">
        <v>23</v>
      </c>
      <c r="L16" s="10" t="s">
        <v>23</v>
      </c>
      <c r="M16" s="10" t="s">
        <v>23</v>
      </c>
      <c r="N16" s="10" t="s">
        <v>23</v>
      </c>
    </row>
    <row r="17" spans="1:14">
      <c r="A17" s="2">
        <v>15</v>
      </c>
      <c r="B17" s="2" t="s">
        <v>504</v>
      </c>
      <c r="E17" s="7" t="s">
        <v>35</v>
      </c>
      <c r="F17" s="7" t="s">
        <v>27</v>
      </c>
      <c r="G17" s="7" t="s">
        <v>35</v>
      </c>
      <c r="H17" s="7" t="s">
        <v>35</v>
      </c>
      <c r="I17" s="7" t="s">
        <v>29</v>
      </c>
      <c r="J17" s="10" t="s">
        <v>23</v>
      </c>
      <c r="K17" s="10" t="s">
        <v>28</v>
      </c>
      <c r="L17" s="10" t="s">
        <v>23</v>
      </c>
      <c r="M17" s="10" t="s">
        <v>23</v>
      </c>
      <c r="N17" s="10" t="s">
        <v>30</v>
      </c>
    </row>
    <row r="18" spans="1:14">
      <c r="A18" s="2">
        <v>16</v>
      </c>
      <c r="B18" s="2" t="s">
        <v>505</v>
      </c>
      <c r="E18" s="7" t="s">
        <v>27</v>
      </c>
      <c r="F18" s="7" t="s">
        <v>31</v>
      </c>
      <c r="G18" s="7" t="s">
        <v>122</v>
      </c>
      <c r="H18" s="7" t="s">
        <v>27</v>
      </c>
      <c r="I18" s="7" t="s">
        <v>27</v>
      </c>
      <c r="J18" s="10" t="s">
        <v>28</v>
      </c>
      <c r="K18" s="10" t="s">
        <v>23</v>
      </c>
      <c r="L18" s="10" t="s">
        <v>23</v>
      </c>
      <c r="M18" s="10" t="s">
        <v>28</v>
      </c>
      <c r="N18" s="10" t="s">
        <v>28</v>
      </c>
    </row>
    <row r="19" spans="1:14">
      <c r="A19" s="2">
        <v>17</v>
      </c>
      <c r="B19" s="2" t="s">
        <v>506</v>
      </c>
      <c r="E19" s="7" t="s">
        <v>22</v>
      </c>
      <c r="F19" s="7" t="s">
        <v>29</v>
      </c>
      <c r="G19" s="7" t="s">
        <v>22</v>
      </c>
      <c r="H19" s="7" t="s">
        <v>27</v>
      </c>
      <c r="I19" s="7" t="s">
        <v>27</v>
      </c>
      <c r="J19" s="10" t="s">
        <v>23</v>
      </c>
      <c r="K19" s="10" t="s">
        <v>30</v>
      </c>
      <c r="L19" s="10" t="s">
        <v>23</v>
      </c>
      <c r="M19" s="10" t="s">
        <v>28</v>
      </c>
      <c r="N19" s="10" t="s">
        <v>28</v>
      </c>
    </row>
    <row r="20" spans="1:14">
      <c r="A20" s="2">
        <v>18</v>
      </c>
      <c r="B20" s="2" t="s">
        <v>507</v>
      </c>
      <c r="E20" s="7" t="s">
        <v>22</v>
      </c>
      <c r="F20" s="7" t="s">
        <v>22</v>
      </c>
      <c r="G20" s="7" t="s">
        <v>22</v>
      </c>
      <c r="H20" s="7" t="s">
        <v>22</v>
      </c>
      <c r="I20" s="7" t="s">
        <v>22</v>
      </c>
      <c r="J20" s="10" t="s">
        <v>23</v>
      </c>
      <c r="K20" s="10" t="s">
        <v>23</v>
      </c>
      <c r="L20" s="10" t="s">
        <v>23</v>
      </c>
      <c r="M20" s="10" t="s">
        <v>23</v>
      </c>
      <c r="N20" s="10" t="s">
        <v>23</v>
      </c>
    </row>
    <row r="21" spans="1:14">
      <c r="A21" s="2">
        <v>19</v>
      </c>
      <c r="B21" s="2" t="s">
        <v>508</v>
      </c>
      <c r="E21" s="7" t="s">
        <v>31</v>
      </c>
      <c r="F21" s="7" t="s">
        <v>27</v>
      </c>
      <c r="G21" s="7" t="s">
        <v>31</v>
      </c>
      <c r="H21" s="7" t="s">
        <v>25</v>
      </c>
      <c r="I21" s="7" t="s">
        <v>31</v>
      </c>
      <c r="J21" s="10" t="s">
        <v>23</v>
      </c>
      <c r="K21" s="10" t="s">
        <v>28</v>
      </c>
      <c r="L21" s="10" t="s">
        <v>23</v>
      </c>
      <c r="M21" s="10" t="s">
        <v>26</v>
      </c>
      <c r="N21" s="10" t="s">
        <v>23</v>
      </c>
    </row>
    <row r="22" spans="1:14">
      <c r="A22" s="2">
        <v>20</v>
      </c>
      <c r="B22" s="2" t="s">
        <v>509</v>
      </c>
      <c r="E22" s="7" t="s">
        <v>29</v>
      </c>
      <c r="F22" s="7" t="s">
        <v>29</v>
      </c>
      <c r="G22" s="7" t="s">
        <v>37</v>
      </c>
      <c r="H22" s="7" t="s">
        <v>27</v>
      </c>
      <c r="I22" s="7" t="s">
        <v>27</v>
      </c>
      <c r="J22" s="10" t="s">
        <v>30</v>
      </c>
      <c r="K22" s="10" t="s">
        <v>30</v>
      </c>
      <c r="L22" s="10" t="s">
        <v>23</v>
      </c>
      <c r="M22" s="10" t="s">
        <v>28</v>
      </c>
      <c r="N22" s="10" t="s">
        <v>28</v>
      </c>
    </row>
    <row r="23" spans="1:14">
      <c r="A23" s="2">
        <v>21</v>
      </c>
      <c r="B23" s="2" t="s">
        <v>510</v>
      </c>
      <c r="E23" s="7" t="s">
        <v>69</v>
      </c>
      <c r="F23" s="7" t="s">
        <v>27</v>
      </c>
      <c r="G23" s="7" t="s">
        <v>27</v>
      </c>
      <c r="H23" s="7" t="s">
        <v>187</v>
      </c>
      <c r="I23" s="7" t="s">
        <v>69</v>
      </c>
      <c r="J23" s="10" t="s">
        <v>23</v>
      </c>
      <c r="K23" s="10" t="s">
        <v>28</v>
      </c>
      <c r="L23" s="10" t="s">
        <v>28</v>
      </c>
      <c r="M23" s="10" t="s">
        <v>23</v>
      </c>
      <c r="N23" s="10" t="s">
        <v>23</v>
      </c>
    </row>
    <row r="24" spans="1:14">
      <c r="A24" s="2">
        <v>22</v>
      </c>
      <c r="B24" s="2" t="s">
        <v>511</v>
      </c>
      <c r="E24" s="7" t="s">
        <v>89</v>
      </c>
      <c r="F24" s="7" t="s">
        <v>27</v>
      </c>
      <c r="G24" s="7" t="s">
        <v>29</v>
      </c>
      <c r="H24" s="7" t="s">
        <v>89</v>
      </c>
      <c r="I24" s="7" t="s">
        <v>187</v>
      </c>
      <c r="J24" s="10" t="s">
        <v>23</v>
      </c>
      <c r="K24" s="10" t="s">
        <v>28</v>
      </c>
      <c r="L24" s="10" t="s">
        <v>30</v>
      </c>
      <c r="M24" s="10" t="s">
        <v>23</v>
      </c>
      <c r="N24" s="10" t="s">
        <v>23</v>
      </c>
    </row>
    <row r="25" spans="1:14">
      <c r="A25" s="2">
        <v>23</v>
      </c>
      <c r="B25" s="2" t="s">
        <v>512</v>
      </c>
      <c r="E25" s="7" t="s">
        <v>29</v>
      </c>
      <c r="F25" s="7" t="s">
        <v>27</v>
      </c>
      <c r="G25" s="7" t="s">
        <v>139</v>
      </c>
      <c r="H25" s="7" t="s">
        <v>51</v>
      </c>
      <c r="I25" s="7" t="s">
        <v>27</v>
      </c>
      <c r="J25" s="10" t="s">
        <v>30</v>
      </c>
      <c r="K25" s="10" t="s">
        <v>28</v>
      </c>
      <c r="L25" s="10" t="s">
        <v>23</v>
      </c>
      <c r="M25" s="10" t="s">
        <v>23</v>
      </c>
      <c r="N25" s="10" t="s">
        <v>28</v>
      </c>
    </row>
    <row r="26" spans="1:14">
      <c r="A26" s="2">
        <v>24</v>
      </c>
      <c r="B26" s="2" t="s">
        <v>513</v>
      </c>
      <c r="E26" s="7" t="s">
        <v>27</v>
      </c>
      <c r="F26" s="7" t="s">
        <v>29</v>
      </c>
      <c r="G26" s="7" t="s">
        <v>25</v>
      </c>
      <c r="H26" s="7" t="s">
        <v>29</v>
      </c>
      <c r="I26" s="7" t="s">
        <v>29</v>
      </c>
      <c r="J26" s="10" t="s">
        <v>28</v>
      </c>
      <c r="K26" s="10" t="s">
        <v>30</v>
      </c>
      <c r="L26" s="10" t="s">
        <v>26</v>
      </c>
      <c r="M26" s="10" t="s">
        <v>30</v>
      </c>
      <c r="N26" s="10" t="s">
        <v>30</v>
      </c>
    </row>
    <row r="27" spans="1:14">
      <c r="A27" s="2">
        <v>25</v>
      </c>
      <c r="B27" s="2" t="s">
        <v>514</v>
      </c>
      <c r="E27" s="7" t="s">
        <v>35</v>
      </c>
      <c r="F27" s="7" t="s">
        <v>35</v>
      </c>
      <c r="G27" s="7" t="s">
        <v>35</v>
      </c>
      <c r="H27" s="7" t="s">
        <v>35</v>
      </c>
      <c r="I27" s="7" t="s">
        <v>29</v>
      </c>
      <c r="J27" s="10" t="s">
        <v>23</v>
      </c>
      <c r="K27" s="10" t="s">
        <v>23</v>
      </c>
      <c r="L27" s="10" t="s">
        <v>23</v>
      </c>
      <c r="M27" s="10" t="s">
        <v>23</v>
      </c>
      <c r="N27" s="10" t="s">
        <v>30</v>
      </c>
    </row>
    <row r="28" spans="1:14">
      <c r="A28" s="2">
        <v>26</v>
      </c>
      <c r="B28" s="2" t="s">
        <v>515</v>
      </c>
      <c r="E28" s="7" t="s">
        <v>35</v>
      </c>
      <c r="F28" s="7" t="s">
        <v>35</v>
      </c>
      <c r="G28" s="7" t="s">
        <v>35</v>
      </c>
      <c r="H28" s="7" t="s">
        <v>35</v>
      </c>
      <c r="I28" s="7" t="s">
        <v>29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30</v>
      </c>
    </row>
    <row r="29" spans="1:14">
      <c r="A29" s="2">
        <v>27</v>
      </c>
      <c r="B29" s="2" t="s">
        <v>516</v>
      </c>
      <c r="E29" s="7" t="s">
        <v>31</v>
      </c>
      <c r="F29" s="7" t="s">
        <v>27</v>
      </c>
      <c r="G29" s="7" t="s">
        <v>29</v>
      </c>
      <c r="H29" s="7" t="s">
        <v>29</v>
      </c>
      <c r="I29" s="7" t="s">
        <v>29</v>
      </c>
      <c r="J29" s="10" t="s">
        <v>23</v>
      </c>
      <c r="K29" s="10" t="s">
        <v>28</v>
      </c>
      <c r="L29" s="10" t="s">
        <v>30</v>
      </c>
      <c r="M29" s="10" t="s">
        <v>30</v>
      </c>
      <c r="N29" s="10" t="s">
        <v>30</v>
      </c>
    </row>
    <row r="30" spans="1:14">
      <c r="A30" s="2">
        <v>28</v>
      </c>
      <c r="B30" s="2" t="s">
        <v>517</v>
      </c>
      <c r="E30" s="7" t="s">
        <v>51</v>
      </c>
      <c r="F30" s="7" t="s">
        <v>89</v>
      </c>
      <c r="G30" s="7" t="s">
        <v>29</v>
      </c>
      <c r="H30" s="7" t="s">
        <v>51</v>
      </c>
      <c r="I30" s="7" t="s">
        <v>89</v>
      </c>
      <c r="J30" s="10" t="s">
        <v>23</v>
      </c>
      <c r="K30" s="10" t="s">
        <v>23</v>
      </c>
      <c r="L30" s="10" t="s">
        <v>30</v>
      </c>
      <c r="M30" s="10" t="s">
        <v>23</v>
      </c>
      <c r="N30" s="10" t="s">
        <v>23</v>
      </c>
    </row>
    <row r="31" spans="1:14">
      <c r="A31" s="2">
        <v>29</v>
      </c>
      <c r="B31" s="2" t="s">
        <v>518</v>
      </c>
      <c r="E31" s="7" t="s">
        <v>31</v>
      </c>
      <c r="F31" s="7" t="s">
        <v>29</v>
      </c>
      <c r="G31" s="7" t="s">
        <v>29</v>
      </c>
      <c r="H31" s="7" t="s">
        <v>29</v>
      </c>
      <c r="I31" s="7" t="s">
        <v>27</v>
      </c>
      <c r="J31" s="10" t="s">
        <v>23</v>
      </c>
      <c r="K31" s="10" t="s">
        <v>30</v>
      </c>
      <c r="L31" s="10" t="s">
        <v>30</v>
      </c>
      <c r="M31" s="10" t="s">
        <v>30</v>
      </c>
      <c r="N31" s="10" t="s">
        <v>28</v>
      </c>
    </row>
    <row r="32" spans="1:14">
      <c r="A32" s="2">
        <v>30</v>
      </c>
      <c r="B32" s="2" t="s">
        <v>519</v>
      </c>
      <c r="E32" s="7" t="s">
        <v>27</v>
      </c>
      <c r="F32" s="7" t="s">
        <v>25</v>
      </c>
      <c r="G32" s="7" t="s">
        <v>69</v>
      </c>
      <c r="H32" s="7" t="s">
        <v>69</v>
      </c>
      <c r="I32" s="7" t="s">
        <v>27</v>
      </c>
      <c r="J32" s="10" t="s">
        <v>28</v>
      </c>
      <c r="K32" s="10" t="s">
        <v>26</v>
      </c>
      <c r="L32" s="10" t="s">
        <v>23</v>
      </c>
      <c r="M32" s="10" t="s">
        <v>23</v>
      </c>
      <c r="N32" s="10" t="s">
        <v>28</v>
      </c>
    </row>
    <row r="33" spans="1:14">
      <c r="A33" s="2">
        <v>31</v>
      </c>
      <c r="B33" s="2" t="s">
        <v>520</v>
      </c>
      <c r="E33" s="7" t="s">
        <v>35</v>
      </c>
      <c r="F33" s="7" t="s">
        <v>35</v>
      </c>
      <c r="G33" s="7" t="s">
        <v>35</v>
      </c>
      <c r="H33" s="7" t="s">
        <v>35</v>
      </c>
      <c r="I33" s="7" t="s">
        <v>29</v>
      </c>
      <c r="J33" s="10" t="s">
        <v>23</v>
      </c>
      <c r="K33" s="10" t="s">
        <v>23</v>
      </c>
      <c r="L33" s="10" t="s">
        <v>23</v>
      </c>
      <c r="M33" s="10" t="s">
        <v>23</v>
      </c>
      <c r="N33" s="10" t="s">
        <v>30</v>
      </c>
    </row>
    <row r="34" spans="1:14">
      <c r="A34" s="2">
        <v>32</v>
      </c>
      <c r="B34" s="2" t="s">
        <v>521</v>
      </c>
      <c r="E34" s="7" t="s">
        <v>22</v>
      </c>
      <c r="F34" s="7" t="s">
        <v>22</v>
      </c>
      <c r="G34" s="7" t="s">
        <v>22</v>
      </c>
      <c r="H34" s="7" t="s">
        <v>22</v>
      </c>
      <c r="I34" s="7" t="s">
        <v>22</v>
      </c>
      <c r="J34" s="10" t="s">
        <v>23</v>
      </c>
      <c r="K34" s="10" t="s">
        <v>23</v>
      </c>
      <c r="L34" s="10" t="s">
        <v>23</v>
      </c>
      <c r="M34" s="10" t="s">
        <v>23</v>
      </c>
      <c r="N34" s="10" t="s">
        <v>23</v>
      </c>
    </row>
    <row r="35" spans="1:14">
      <c r="A35" s="2">
        <v>33</v>
      </c>
      <c r="B35" s="2" t="s">
        <v>522</v>
      </c>
      <c r="E35" s="7" t="s">
        <v>29</v>
      </c>
      <c r="F35" s="7" t="s">
        <v>29</v>
      </c>
      <c r="G35" s="7" t="s">
        <v>139</v>
      </c>
      <c r="H35" s="7" t="s">
        <v>139</v>
      </c>
      <c r="I35" s="7" t="s">
        <v>29</v>
      </c>
      <c r="J35" s="10" t="s">
        <v>30</v>
      </c>
      <c r="K35" s="10" t="s">
        <v>30</v>
      </c>
      <c r="L35" s="10" t="s">
        <v>23</v>
      </c>
      <c r="M35" s="10" t="s">
        <v>23</v>
      </c>
      <c r="N35" s="10" t="s">
        <v>30</v>
      </c>
    </row>
    <row r="36" spans="1:14">
      <c r="A36" s="2">
        <v>34</v>
      </c>
      <c r="B36" s="2" t="s">
        <v>523</v>
      </c>
      <c r="E36" s="7" t="s">
        <v>22</v>
      </c>
      <c r="F36" s="7" t="s">
        <v>29</v>
      </c>
      <c r="G36" s="7" t="s">
        <v>29</v>
      </c>
      <c r="H36" s="7" t="s">
        <v>22</v>
      </c>
      <c r="I36" s="7" t="s">
        <v>22</v>
      </c>
      <c r="J36" s="10" t="s">
        <v>23</v>
      </c>
      <c r="K36" s="10" t="s">
        <v>30</v>
      </c>
      <c r="L36" s="10" t="s">
        <v>30</v>
      </c>
      <c r="M36" s="10" t="s">
        <v>23</v>
      </c>
      <c r="N36" s="10" t="s">
        <v>23</v>
      </c>
    </row>
    <row r="37" spans="1:14">
      <c r="A37" s="2">
        <v>35</v>
      </c>
      <c r="B37" s="2" t="s">
        <v>524</v>
      </c>
      <c r="E37" s="7" t="s">
        <v>29</v>
      </c>
      <c r="F37" s="7" t="s">
        <v>35</v>
      </c>
      <c r="G37" s="7" t="s">
        <v>29</v>
      </c>
      <c r="H37" s="7" t="s">
        <v>29</v>
      </c>
      <c r="I37" s="7" t="s">
        <v>27</v>
      </c>
      <c r="J37" s="10" t="s">
        <v>30</v>
      </c>
      <c r="K37" s="10" t="s">
        <v>23</v>
      </c>
      <c r="L37" s="10" t="s">
        <v>30</v>
      </c>
      <c r="M37" s="10" t="s">
        <v>30</v>
      </c>
      <c r="N37" s="10" t="s">
        <v>28</v>
      </c>
    </row>
    <row r="38" spans="1:14">
      <c r="A38" s="2">
        <v>36</v>
      </c>
      <c r="B38" s="2" t="s">
        <v>525</v>
      </c>
      <c r="E38" s="7" t="s">
        <v>31</v>
      </c>
      <c r="F38" s="7" t="s">
        <v>29</v>
      </c>
      <c r="G38" s="7" t="s">
        <v>29</v>
      </c>
      <c r="H38" s="7" t="s">
        <v>29</v>
      </c>
      <c r="I38" s="7" t="s">
        <v>29</v>
      </c>
      <c r="J38" s="10" t="s">
        <v>23</v>
      </c>
      <c r="K38" s="10" t="s">
        <v>30</v>
      </c>
      <c r="L38" s="10" t="s">
        <v>30</v>
      </c>
      <c r="M38" s="10" t="s">
        <v>30</v>
      </c>
      <c r="N38" s="10" t="s">
        <v>30</v>
      </c>
    </row>
    <row r="39" spans="1:14">
      <c r="A39" s="2">
        <v>37</v>
      </c>
      <c r="B39" s="2" t="s">
        <v>526</v>
      </c>
      <c r="E39" s="7" t="s">
        <v>51</v>
      </c>
      <c r="F39" s="7" t="s">
        <v>29</v>
      </c>
      <c r="G39" s="7" t="s">
        <v>22</v>
      </c>
      <c r="H39" s="7" t="s">
        <v>35</v>
      </c>
      <c r="I39" s="7" t="s">
        <v>22</v>
      </c>
      <c r="J39" s="10" t="s">
        <v>23</v>
      </c>
      <c r="K39" s="10" t="s">
        <v>30</v>
      </c>
      <c r="L39" s="10" t="s">
        <v>23</v>
      </c>
      <c r="M39" s="10" t="s">
        <v>23</v>
      </c>
      <c r="N39" s="10" t="s">
        <v>23</v>
      </c>
    </row>
    <row r="40" spans="1:14">
      <c r="A40" s="2">
        <v>38</v>
      </c>
      <c r="B40" s="2" t="s">
        <v>527</v>
      </c>
      <c r="E40" s="7" t="s">
        <v>35</v>
      </c>
      <c r="F40" s="7" t="s">
        <v>35</v>
      </c>
      <c r="G40" s="7" t="s">
        <v>27</v>
      </c>
      <c r="H40" s="7" t="s">
        <v>27</v>
      </c>
      <c r="I40" s="7" t="s">
        <v>35</v>
      </c>
      <c r="J40" s="10" t="s">
        <v>23</v>
      </c>
      <c r="K40" s="10" t="s">
        <v>23</v>
      </c>
      <c r="L40" s="10" t="s">
        <v>28</v>
      </c>
      <c r="M40" s="10" t="s">
        <v>28</v>
      </c>
      <c r="N40" s="10" t="s">
        <v>23</v>
      </c>
    </row>
    <row r="41" spans="1:14">
      <c r="A41" s="2">
        <v>39</v>
      </c>
      <c r="B41" s="2" t="s">
        <v>528</v>
      </c>
      <c r="E41" s="7" t="s">
        <v>29</v>
      </c>
      <c r="F41" s="7" t="s">
        <v>35</v>
      </c>
      <c r="G41" s="7" t="s">
        <v>27</v>
      </c>
      <c r="H41" s="7" t="s">
        <v>31</v>
      </c>
      <c r="I41" s="7" t="s">
        <v>29</v>
      </c>
      <c r="J41" s="10" t="s">
        <v>30</v>
      </c>
      <c r="K41" s="10" t="s">
        <v>23</v>
      </c>
      <c r="L41" s="10" t="s">
        <v>28</v>
      </c>
      <c r="M41" s="10" t="s">
        <v>23</v>
      </c>
      <c r="N41" s="10" t="s">
        <v>30</v>
      </c>
    </row>
    <row r="42" spans="1:14">
      <c r="A42" s="2">
        <v>40</v>
      </c>
      <c r="B42" s="2" t="s">
        <v>529</v>
      </c>
      <c r="E42" s="7" t="s">
        <v>64</v>
      </c>
      <c r="F42" s="7" t="s">
        <v>64</v>
      </c>
      <c r="G42" s="7" t="s">
        <v>22</v>
      </c>
      <c r="H42" s="7" t="s">
        <v>51</v>
      </c>
      <c r="I42" s="7" t="s">
        <v>27</v>
      </c>
      <c r="J42" s="10" t="s">
        <v>23</v>
      </c>
      <c r="K42" s="10" t="s">
        <v>23</v>
      </c>
      <c r="L42" s="10" t="s">
        <v>23</v>
      </c>
      <c r="M42" s="10" t="s">
        <v>23</v>
      </c>
      <c r="N42" s="10" t="s">
        <v>28</v>
      </c>
    </row>
    <row r="43" spans="1:14">
      <c r="A43" s="2">
        <v>41</v>
      </c>
      <c r="B43" s="2" t="s">
        <v>530</v>
      </c>
      <c r="E43" s="7" t="s">
        <v>35</v>
      </c>
      <c r="F43" s="7" t="s">
        <v>35</v>
      </c>
      <c r="G43" s="7" t="s">
        <v>35</v>
      </c>
      <c r="H43" s="7" t="s">
        <v>35</v>
      </c>
      <c r="I43" s="7" t="s">
        <v>35</v>
      </c>
      <c r="J43" s="10" t="s">
        <v>23</v>
      </c>
      <c r="K43" s="10" t="s">
        <v>23</v>
      </c>
      <c r="L43" s="10" t="s">
        <v>23</v>
      </c>
      <c r="M43" s="10" t="s">
        <v>23</v>
      </c>
      <c r="N43" s="10" t="s">
        <v>23</v>
      </c>
    </row>
    <row r="44" spans="1:14">
      <c r="A44" s="2">
        <v>42</v>
      </c>
      <c r="B44" s="2" t="s">
        <v>531</v>
      </c>
      <c r="E44" s="7" t="s">
        <v>35</v>
      </c>
      <c r="F44" s="7" t="s">
        <v>35</v>
      </c>
      <c r="G44" s="7" t="s">
        <v>35</v>
      </c>
      <c r="H44" s="7" t="s">
        <v>35</v>
      </c>
      <c r="I44" s="7" t="s">
        <v>153</v>
      </c>
      <c r="J44" s="10" t="s">
        <v>23</v>
      </c>
      <c r="K44" s="10" t="s">
        <v>23</v>
      </c>
      <c r="L44" s="10" t="s">
        <v>23</v>
      </c>
      <c r="M44" s="10" t="s">
        <v>23</v>
      </c>
      <c r="N44" s="10" t="s">
        <v>23</v>
      </c>
    </row>
    <row r="45" spans="1:14">
      <c r="A45" s="2">
        <v>43</v>
      </c>
      <c r="B45" s="2" t="s">
        <v>532</v>
      </c>
      <c r="E45" s="7" t="s">
        <v>27</v>
      </c>
      <c r="F45" s="7" t="s">
        <v>29</v>
      </c>
      <c r="G45" s="7" t="s">
        <v>29</v>
      </c>
      <c r="H45" s="7" t="s">
        <v>95</v>
      </c>
      <c r="I45" s="7" t="s">
        <v>95</v>
      </c>
      <c r="J45" s="10" t="s">
        <v>28</v>
      </c>
      <c r="K45" s="10" t="s">
        <v>30</v>
      </c>
      <c r="L45" s="10" t="s">
        <v>30</v>
      </c>
      <c r="M45" s="10" t="s">
        <v>23</v>
      </c>
      <c r="N45" s="10" t="s">
        <v>23</v>
      </c>
    </row>
    <row r="46" spans="1:14">
      <c r="A46" s="2">
        <v>44</v>
      </c>
      <c r="B46" s="2" t="s">
        <v>533</v>
      </c>
      <c r="E46" s="7" t="s">
        <v>89</v>
      </c>
      <c r="F46" s="7" t="s">
        <v>27</v>
      </c>
      <c r="G46" s="7" t="s">
        <v>95</v>
      </c>
      <c r="H46" s="7" t="s">
        <v>35</v>
      </c>
      <c r="I46" s="7" t="s">
        <v>89</v>
      </c>
      <c r="J46" s="10" t="s">
        <v>23</v>
      </c>
      <c r="K46" s="10" t="s">
        <v>28</v>
      </c>
      <c r="L46" s="10" t="s">
        <v>23</v>
      </c>
      <c r="M46" s="10" t="s">
        <v>23</v>
      </c>
      <c r="N46" s="10" t="s">
        <v>23</v>
      </c>
    </row>
    <row r="47" spans="1:14">
      <c r="A47" s="2">
        <v>45</v>
      </c>
      <c r="B47" s="2" t="s">
        <v>534</v>
      </c>
      <c r="E47" s="7" t="s">
        <v>31</v>
      </c>
      <c r="F47" s="7" t="s">
        <v>29</v>
      </c>
      <c r="G47" s="7" t="s">
        <v>35</v>
      </c>
      <c r="H47" s="7" t="s">
        <v>89</v>
      </c>
      <c r="I47" s="7" t="s">
        <v>27</v>
      </c>
      <c r="J47" s="10" t="s">
        <v>23</v>
      </c>
      <c r="K47" s="10" t="s">
        <v>30</v>
      </c>
      <c r="L47" s="10" t="s">
        <v>23</v>
      </c>
      <c r="M47" s="10" t="s">
        <v>23</v>
      </c>
      <c r="N47" s="10" t="s">
        <v>28</v>
      </c>
    </row>
    <row r="48" spans="1:14">
      <c r="A48" s="2">
        <v>46</v>
      </c>
      <c r="B48" s="2" t="s">
        <v>535</v>
      </c>
      <c r="E48" s="7" t="s">
        <v>64</v>
      </c>
      <c r="F48" s="7" t="s">
        <v>64</v>
      </c>
      <c r="G48" s="7" t="s">
        <v>95</v>
      </c>
      <c r="H48" s="7" t="s">
        <v>27</v>
      </c>
      <c r="I48" s="7" t="s">
        <v>29</v>
      </c>
      <c r="J48" s="10" t="s">
        <v>23</v>
      </c>
      <c r="K48" s="10" t="s">
        <v>23</v>
      </c>
      <c r="L48" s="10" t="s">
        <v>23</v>
      </c>
      <c r="M48" s="10" t="s">
        <v>28</v>
      </c>
      <c r="N48" s="10" t="s">
        <v>30</v>
      </c>
    </row>
    <row r="49" spans="1:14">
      <c r="A49" s="2">
        <v>47</v>
      </c>
      <c r="B49" s="2" t="s">
        <v>536</v>
      </c>
      <c r="E49" s="7" t="s">
        <v>35</v>
      </c>
      <c r="F49" s="7" t="s">
        <v>69</v>
      </c>
      <c r="G49" s="7" t="s">
        <v>29</v>
      </c>
      <c r="H49" s="7" t="s">
        <v>29</v>
      </c>
      <c r="I49" s="7" t="s">
        <v>29</v>
      </c>
      <c r="J49" s="10" t="s">
        <v>23</v>
      </c>
      <c r="K49" s="10" t="s">
        <v>23</v>
      </c>
      <c r="L49" s="10" t="s">
        <v>30</v>
      </c>
      <c r="M49" s="10" t="s">
        <v>30</v>
      </c>
      <c r="N49" s="10" t="s">
        <v>30</v>
      </c>
    </row>
    <row r="50" spans="1:14">
      <c r="A50" s="2">
        <v>48</v>
      </c>
      <c r="B50" s="2" t="s">
        <v>537</v>
      </c>
      <c r="E50" s="7" t="s">
        <v>27</v>
      </c>
      <c r="F50" s="7" t="s">
        <v>29</v>
      </c>
      <c r="G50" s="7" t="s">
        <v>153</v>
      </c>
      <c r="H50" s="7" t="s">
        <v>153</v>
      </c>
      <c r="I50" s="7" t="s">
        <v>153</v>
      </c>
      <c r="J50" s="10" t="s">
        <v>28</v>
      </c>
      <c r="K50" s="10" t="s">
        <v>30</v>
      </c>
      <c r="L50" s="10" t="s">
        <v>23</v>
      </c>
      <c r="M50" s="10" t="s">
        <v>23</v>
      </c>
      <c r="N50" s="10" t="s">
        <v>23</v>
      </c>
    </row>
    <row r="51" spans="1:14">
      <c r="A51" s="2">
        <v>49</v>
      </c>
      <c r="B51" s="2" t="s">
        <v>538</v>
      </c>
      <c r="E51" s="7" t="s">
        <v>35</v>
      </c>
      <c r="F51" s="7" t="s">
        <v>22</v>
      </c>
      <c r="G51" s="7" t="s">
        <v>22</v>
      </c>
      <c r="H51" s="7" t="s">
        <v>147</v>
      </c>
      <c r="I51" s="7" t="s">
        <v>95</v>
      </c>
      <c r="J51" s="10" t="s">
        <v>23</v>
      </c>
      <c r="K51" s="10" t="s">
        <v>23</v>
      </c>
      <c r="L51" s="10" t="s">
        <v>23</v>
      </c>
      <c r="M51" s="10" t="s">
        <v>23</v>
      </c>
      <c r="N51" s="10" t="s">
        <v>23</v>
      </c>
    </row>
    <row r="52" spans="1:14">
      <c r="A52" s="2">
        <v>50</v>
      </c>
      <c r="B52" s="2" t="s">
        <v>539</v>
      </c>
      <c r="E52" s="7" t="s">
        <v>29</v>
      </c>
      <c r="F52" s="7" t="s">
        <v>95</v>
      </c>
      <c r="G52" s="7" t="s">
        <v>95</v>
      </c>
      <c r="H52" s="7" t="s">
        <v>29</v>
      </c>
      <c r="I52" s="7" t="s">
        <v>64</v>
      </c>
      <c r="J52" s="10" t="s">
        <v>30</v>
      </c>
      <c r="K52" s="10" t="s">
        <v>23</v>
      </c>
      <c r="L52" s="10" t="s">
        <v>23</v>
      </c>
      <c r="M52" s="10" t="s">
        <v>30</v>
      </c>
      <c r="N52" s="10" t="s">
        <v>23</v>
      </c>
    </row>
  </sheetData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workbookViewId="0"/>
  </sheetViews>
  <sheetFormatPr baseColWidth="10" defaultColWidth="8.83203125" defaultRowHeight="14" x14ac:dyDescent="0"/>
  <cols>
    <col min="1" max="1" width="2.83203125" style="2" customWidth="1"/>
    <col min="2" max="2" width="12.83203125" style="2" bestFit="1" customWidth="1"/>
    <col min="3" max="4" width="1.83203125" style="4" customWidth="1"/>
    <col min="5" max="9" width="8.5" style="7" customWidth="1"/>
    <col min="10" max="14" width="6.33203125" style="10" customWidth="1"/>
    <col min="15" max="19" width="5.6640625" style="13" customWidth="1"/>
  </cols>
  <sheetData>
    <row r="1" spans="1:19">
      <c r="E1" s="6" t="s">
        <v>4</v>
      </c>
      <c r="J1" s="9" t="s">
        <v>10</v>
      </c>
      <c r="O1" s="12" t="s">
        <v>16</v>
      </c>
    </row>
    <row r="2" spans="1:19">
      <c r="B2" s="3" t="s">
        <v>0</v>
      </c>
      <c r="C2" s="5" t="s">
        <v>1</v>
      </c>
      <c r="D2" s="5" t="s">
        <v>2</v>
      </c>
      <c r="E2" s="8" t="s">
        <v>3</v>
      </c>
      <c r="F2" s="8" t="s">
        <v>5</v>
      </c>
      <c r="G2" s="8" t="s">
        <v>6</v>
      </c>
      <c r="H2" s="8" t="s">
        <v>7</v>
      </c>
      <c r="I2" s="8" t="s">
        <v>8</v>
      </c>
      <c r="J2" s="11" t="s">
        <v>9</v>
      </c>
      <c r="K2" s="11" t="s">
        <v>11</v>
      </c>
      <c r="L2" s="11" t="s">
        <v>12</v>
      </c>
      <c r="M2" s="11" t="s">
        <v>13</v>
      </c>
      <c r="N2" s="11" t="s">
        <v>14</v>
      </c>
      <c r="O2" s="14" t="s">
        <v>15</v>
      </c>
      <c r="P2" s="14" t="s">
        <v>17</v>
      </c>
      <c r="Q2" s="14" t="s">
        <v>18</v>
      </c>
      <c r="R2" s="14" t="s">
        <v>19</v>
      </c>
      <c r="S2" s="14" t="s">
        <v>20</v>
      </c>
    </row>
    <row r="3" spans="1:19">
      <c r="A3" s="2">
        <v>1</v>
      </c>
      <c r="B3" s="2" t="s">
        <v>546</v>
      </c>
      <c r="E3" s="7" t="s">
        <v>41</v>
      </c>
      <c r="F3" s="7" t="s">
        <v>89</v>
      </c>
      <c r="G3" s="7" t="s">
        <v>29</v>
      </c>
      <c r="H3" s="7" t="s">
        <v>27</v>
      </c>
      <c r="I3" s="7" t="s">
        <v>27</v>
      </c>
      <c r="J3" s="10" t="s">
        <v>42</v>
      </c>
      <c r="K3" s="10" t="s">
        <v>23</v>
      </c>
      <c r="L3" s="10" t="s">
        <v>30</v>
      </c>
      <c r="M3" s="10" t="s">
        <v>28</v>
      </c>
      <c r="N3" s="10" t="s">
        <v>28</v>
      </c>
    </row>
    <row r="4" spans="1:19">
      <c r="A4" s="2">
        <v>2</v>
      </c>
      <c r="B4" s="2" t="s">
        <v>547</v>
      </c>
      <c r="E4" s="7" t="s">
        <v>22</v>
      </c>
      <c r="F4" s="7" t="s">
        <v>22</v>
      </c>
      <c r="G4" s="7" t="s">
        <v>51</v>
      </c>
      <c r="H4" s="7" t="s">
        <v>22</v>
      </c>
      <c r="I4" s="7" t="s">
        <v>41</v>
      </c>
      <c r="J4" s="10" t="s">
        <v>23</v>
      </c>
      <c r="K4" s="10" t="s">
        <v>23</v>
      </c>
      <c r="L4" s="10" t="s">
        <v>23</v>
      </c>
      <c r="M4" s="10" t="s">
        <v>23</v>
      </c>
      <c r="N4" s="10" t="s">
        <v>42</v>
      </c>
    </row>
    <row r="5" spans="1:19">
      <c r="A5" s="2">
        <v>3</v>
      </c>
      <c r="B5" s="2" t="s">
        <v>548</v>
      </c>
      <c r="E5" s="7" t="s">
        <v>22</v>
      </c>
      <c r="F5" s="7" t="s">
        <v>22</v>
      </c>
      <c r="G5" s="7" t="s">
        <v>29</v>
      </c>
      <c r="H5" s="7" t="s">
        <v>22</v>
      </c>
      <c r="I5" s="7" t="s">
        <v>22</v>
      </c>
      <c r="J5" s="10" t="s">
        <v>23</v>
      </c>
      <c r="K5" s="10" t="s">
        <v>23</v>
      </c>
      <c r="L5" s="10" t="s">
        <v>30</v>
      </c>
      <c r="M5" s="10" t="s">
        <v>23</v>
      </c>
      <c r="N5" s="10" t="s">
        <v>23</v>
      </c>
    </row>
    <row r="6" spans="1:19">
      <c r="A6" s="2">
        <v>4</v>
      </c>
      <c r="B6" s="2" t="s">
        <v>549</v>
      </c>
      <c r="E6" s="7" t="s">
        <v>33</v>
      </c>
      <c r="F6" s="7" t="s">
        <v>22</v>
      </c>
      <c r="G6" s="7" t="s">
        <v>27</v>
      </c>
      <c r="H6" s="7" t="s">
        <v>22</v>
      </c>
      <c r="I6" s="7" t="s">
        <v>22</v>
      </c>
      <c r="J6" s="10" t="s">
        <v>23</v>
      </c>
      <c r="K6" s="10" t="s">
        <v>23</v>
      </c>
      <c r="L6" s="10" t="s">
        <v>28</v>
      </c>
      <c r="M6" s="10" t="s">
        <v>23</v>
      </c>
      <c r="N6" s="10" t="s">
        <v>23</v>
      </c>
    </row>
    <row r="7" spans="1:19">
      <c r="A7" s="2">
        <v>5</v>
      </c>
      <c r="B7" s="2" t="s">
        <v>550</v>
      </c>
      <c r="E7" s="7" t="s">
        <v>29</v>
      </c>
      <c r="F7" s="7" t="s">
        <v>29</v>
      </c>
      <c r="G7" s="7" t="s">
        <v>33</v>
      </c>
      <c r="H7" s="7" t="s">
        <v>25</v>
      </c>
      <c r="I7" s="7" t="s">
        <v>25</v>
      </c>
      <c r="J7" s="10" t="s">
        <v>30</v>
      </c>
      <c r="K7" s="10" t="s">
        <v>30</v>
      </c>
      <c r="L7" s="10" t="s">
        <v>23</v>
      </c>
      <c r="M7" s="10" t="s">
        <v>26</v>
      </c>
      <c r="N7" s="10" t="s">
        <v>26</v>
      </c>
    </row>
    <row r="8" spans="1:19">
      <c r="A8" s="2">
        <v>6</v>
      </c>
      <c r="B8" s="2" t="s">
        <v>551</v>
      </c>
      <c r="E8" s="7" t="s">
        <v>29</v>
      </c>
      <c r="F8" s="7" t="s">
        <v>31</v>
      </c>
      <c r="G8" s="7" t="s">
        <v>29</v>
      </c>
      <c r="H8" s="7" t="s">
        <v>29</v>
      </c>
      <c r="I8" s="7" t="s">
        <v>29</v>
      </c>
      <c r="J8" s="10" t="s">
        <v>30</v>
      </c>
      <c r="K8" s="10" t="s">
        <v>23</v>
      </c>
      <c r="L8" s="10" t="s">
        <v>30</v>
      </c>
      <c r="M8" s="10" t="s">
        <v>30</v>
      </c>
      <c r="N8" s="10" t="s">
        <v>30</v>
      </c>
    </row>
    <row r="9" spans="1:19">
      <c r="A9" s="2">
        <v>7</v>
      </c>
      <c r="B9" s="2" t="s">
        <v>552</v>
      </c>
      <c r="E9" s="7" t="s">
        <v>22</v>
      </c>
      <c r="F9" s="7" t="s">
        <v>22</v>
      </c>
      <c r="G9" s="7" t="s">
        <v>29</v>
      </c>
      <c r="H9" s="7" t="s">
        <v>29</v>
      </c>
      <c r="I9" s="7" t="s">
        <v>29</v>
      </c>
      <c r="J9" s="10" t="s">
        <v>23</v>
      </c>
      <c r="K9" s="10" t="s">
        <v>23</v>
      </c>
      <c r="L9" s="10" t="s">
        <v>30</v>
      </c>
      <c r="M9" s="10" t="s">
        <v>30</v>
      </c>
      <c r="N9" s="10" t="s">
        <v>30</v>
      </c>
    </row>
    <row r="10" spans="1:19">
      <c r="A10" s="2">
        <v>8</v>
      </c>
      <c r="B10" s="2" t="s">
        <v>553</v>
      </c>
      <c r="E10" s="7" t="s">
        <v>51</v>
      </c>
      <c r="F10" s="7" t="s">
        <v>31</v>
      </c>
      <c r="G10" s="7" t="s">
        <v>38</v>
      </c>
      <c r="H10" s="7" t="s">
        <v>35</v>
      </c>
      <c r="I10" s="7" t="s">
        <v>29</v>
      </c>
      <c r="J10" s="10" t="s">
        <v>23</v>
      </c>
      <c r="K10" s="10" t="s">
        <v>23</v>
      </c>
      <c r="L10" s="10" t="s">
        <v>23</v>
      </c>
      <c r="M10" s="10" t="s">
        <v>23</v>
      </c>
      <c r="N10" s="10" t="s">
        <v>30</v>
      </c>
    </row>
    <row r="11" spans="1:19">
      <c r="A11" s="2">
        <v>9</v>
      </c>
      <c r="B11" s="2" t="s">
        <v>554</v>
      </c>
      <c r="E11" s="7" t="s">
        <v>29</v>
      </c>
      <c r="F11" s="7" t="s">
        <v>29</v>
      </c>
      <c r="G11" s="7" t="s">
        <v>25</v>
      </c>
      <c r="H11" s="7" t="s">
        <v>29</v>
      </c>
      <c r="I11" s="7" t="s">
        <v>27</v>
      </c>
      <c r="J11" s="10" t="s">
        <v>30</v>
      </c>
      <c r="K11" s="10" t="s">
        <v>30</v>
      </c>
      <c r="L11" s="10" t="s">
        <v>26</v>
      </c>
      <c r="M11" s="10" t="s">
        <v>30</v>
      </c>
      <c r="N11" s="10" t="s">
        <v>28</v>
      </c>
    </row>
    <row r="12" spans="1:19">
      <c r="A12" s="2">
        <v>10</v>
      </c>
      <c r="B12" s="2" t="s">
        <v>555</v>
      </c>
      <c r="E12" s="7" t="s">
        <v>35</v>
      </c>
      <c r="F12" s="7" t="s">
        <v>31</v>
      </c>
      <c r="G12" s="7" t="s">
        <v>31</v>
      </c>
      <c r="H12" s="7" t="s">
        <v>29</v>
      </c>
      <c r="I12" s="7" t="s">
        <v>31</v>
      </c>
      <c r="J12" s="10" t="s">
        <v>23</v>
      </c>
      <c r="K12" s="10" t="s">
        <v>23</v>
      </c>
      <c r="L12" s="10" t="s">
        <v>23</v>
      </c>
      <c r="M12" s="10" t="s">
        <v>30</v>
      </c>
      <c r="N12" s="10" t="s">
        <v>23</v>
      </c>
    </row>
    <row r="13" spans="1:19">
      <c r="A13" s="2">
        <v>11</v>
      </c>
      <c r="B13" s="2" t="s">
        <v>556</v>
      </c>
      <c r="E13" s="7" t="s">
        <v>41</v>
      </c>
      <c r="F13" s="7" t="s">
        <v>29</v>
      </c>
      <c r="G13" s="7" t="s">
        <v>147</v>
      </c>
      <c r="H13" s="7" t="s">
        <v>147</v>
      </c>
      <c r="I13" s="7" t="s">
        <v>69</v>
      </c>
      <c r="J13" s="10" t="s">
        <v>42</v>
      </c>
      <c r="K13" s="10" t="s">
        <v>30</v>
      </c>
      <c r="L13" s="10" t="s">
        <v>23</v>
      </c>
      <c r="M13" s="10" t="s">
        <v>23</v>
      </c>
      <c r="N13" s="10" t="s">
        <v>23</v>
      </c>
    </row>
    <row r="14" spans="1:19">
      <c r="A14" s="2">
        <v>12</v>
      </c>
      <c r="B14" s="2" t="s">
        <v>557</v>
      </c>
      <c r="E14" s="7" t="s">
        <v>27</v>
      </c>
      <c r="F14" s="7" t="s">
        <v>29</v>
      </c>
      <c r="G14" s="7" t="s">
        <v>31</v>
      </c>
      <c r="H14" s="7" t="s">
        <v>29</v>
      </c>
      <c r="I14" s="7" t="s">
        <v>29</v>
      </c>
      <c r="J14" s="10" t="s">
        <v>28</v>
      </c>
      <c r="K14" s="10" t="s">
        <v>30</v>
      </c>
      <c r="L14" s="10" t="s">
        <v>23</v>
      </c>
      <c r="M14" s="10" t="s">
        <v>30</v>
      </c>
      <c r="N14" s="10" t="s">
        <v>30</v>
      </c>
    </row>
    <row r="15" spans="1:19">
      <c r="A15" s="2">
        <v>13</v>
      </c>
      <c r="B15" s="2" t="s">
        <v>558</v>
      </c>
      <c r="E15" s="7" t="s">
        <v>22</v>
      </c>
      <c r="F15" s="7" t="s">
        <v>27</v>
      </c>
      <c r="G15" s="7" t="s">
        <v>22</v>
      </c>
      <c r="H15" s="7" t="s">
        <v>27</v>
      </c>
      <c r="I15" s="7" t="s">
        <v>29</v>
      </c>
      <c r="J15" s="10" t="s">
        <v>23</v>
      </c>
      <c r="K15" s="10" t="s">
        <v>28</v>
      </c>
      <c r="L15" s="10" t="s">
        <v>23</v>
      </c>
      <c r="M15" s="10" t="s">
        <v>28</v>
      </c>
      <c r="N15" s="10" t="s">
        <v>30</v>
      </c>
    </row>
    <row r="16" spans="1:19">
      <c r="A16" s="2">
        <v>14</v>
      </c>
      <c r="B16" s="2" t="s">
        <v>559</v>
      </c>
      <c r="E16" s="7" t="s">
        <v>27</v>
      </c>
      <c r="F16" s="7" t="s">
        <v>22</v>
      </c>
      <c r="G16" s="7" t="s">
        <v>25</v>
      </c>
      <c r="H16" s="7" t="s">
        <v>29</v>
      </c>
      <c r="I16" s="7" t="s">
        <v>22</v>
      </c>
      <c r="J16" s="10" t="s">
        <v>28</v>
      </c>
      <c r="K16" s="10" t="s">
        <v>23</v>
      </c>
      <c r="L16" s="10" t="s">
        <v>26</v>
      </c>
      <c r="M16" s="10" t="s">
        <v>30</v>
      </c>
      <c r="N16" s="10" t="s">
        <v>23</v>
      </c>
    </row>
    <row r="17" spans="1:14">
      <c r="A17" s="2">
        <v>15</v>
      </c>
      <c r="B17" s="2" t="s">
        <v>560</v>
      </c>
      <c r="E17" s="7" t="s">
        <v>22</v>
      </c>
      <c r="F17" s="7" t="s">
        <v>31</v>
      </c>
      <c r="G17" s="7" t="s">
        <v>27</v>
      </c>
      <c r="H17" s="7" t="s">
        <v>22</v>
      </c>
      <c r="I17" s="7" t="s">
        <v>27</v>
      </c>
      <c r="J17" s="10" t="s">
        <v>23</v>
      </c>
      <c r="K17" s="10" t="s">
        <v>23</v>
      </c>
      <c r="L17" s="10" t="s">
        <v>28</v>
      </c>
      <c r="M17" s="10" t="s">
        <v>23</v>
      </c>
      <c r="N17" s="10" t="s">
        <v>28</v>
      </c>
    </row>
    <row r="18" spans="1:14">
      <c r="A18" s="2">
        <v>16</v>
      </c>
      <c r="B18" s="2" t="s">
        <v>561</v>
      </c>
      <c r="E18" s="7" t="s">
        <v>31</v>
      </c>
      <c r="F18" s="7" t="s">
        <v>29</v>
      </c>
      <c r="G18" s="7" t="s">
        <v>29</v>
      </c>
      <c r="H18" s="7" t="s">
        <v>51</v>
      </c>
      <c r="I18" s="7" t="s">
        <v>29</v>
      </c>
      <c r="J18" s="10" t="s">
        <v>23</v>
      </c>
      <c r="K18" s="10" t="s">
        <v>30</v>
      </c>
      <c r="L18" s="10" t="s">
        <v>30</v>
      </c>
      <c r="M18" s="10" t="s">
        <v>23</v>
      </c>
      <c r="N18" s="10" t="s">
        <v>30</v>
      </c>
    </row>
    <row r="19" spans="1:14">
      <c r="A19" s="2">
        <v>17</v>
      </c>
      <c r="B19" s="2" t="s">
        <v>562</v>
      </c>
      <c r="E19" s="7" t="s">
        <v>27</v>
      </c>
      <c r="F19" s="7" t="s">
        <v>153</v>
      </c>
      <c r="G19" s="7" t="s">
        <v>27</v>
      </c>
      <c r="H19" s="7" t="s">
        <v>25</v>
      </c>
      <c r="I19" s="7" t="s">
        <v>35</v>
      </c>
      <c r="J19" s="10" t="s">
        <v>28</v>
      </c>
      <c r="K19" s="10" t="s">
        <v>23</v>
      </c>
      <c r="L19" s="10" t="s">
        <v>28</v>
      </c>
      <c r="M19" s="10" t="s">
        <v>26</v>
      </c>
      <c r="N19" s="10" t="s">
        <v>23</v>
      </c>
    </row>
    <row r="20" spans="1:14">
      <c r="A20" s="2">
        <v>18</v>
      </c>
      <c r="B20" s="2" t="s">
        <v>563</v>
      </c>
      <c r="E20" s="7" t="s">
        <v>157</v>
      </c>
      <c r="F20" s="7" t="s">
        <v>157</v>
      </c>
      <c r="G20" s="7" t="s">
        <v>157</v>
      </c>
      <c r="H20" s="7" t="s">
        <v>157</v>
      </c>
      <c r="I20" s="7" t="s">
        <v>157</v>
      </c>
      <c r="J20" s="10" t="s">
        <v>23</v>
      </c>
      <c r="K20" s="10" t="s">
        <v>23</v>
      </c>
      <c r="L20" s="10" t="s">
        <v>23</v>
      </c>
      <c r="M20" s="10" t="s">
        <v>23</v>
      </c>
      <c r="N20" s="10" t="s">
        <v>23</v>
      </c>
    </row>
    <row r="21" spans="1:14">
      <c r="A21" s="2">
        <v>19</v>
      </c>
      <c r="B21" s="2" t="s">
        <v>564</v>
      </c>
      <c r="E21" s="7" t="s">
        <v>29</v>
      </c>
      <c r="F21" s="7" t="s">
        <v>31</v>
      </c>
      <c r="G21" s="7" t="s">
        <v>27</v>
      </c>
      <c r="H21" s="7" t="s">
        <v>31</v>
      </c>
      <c r="I21" s="7" t="s">
        <v>31</v>
      </c>
      <c r="J21" s="10" t="s">
        <v>30</v>
      </c>
      <c r="K21" s="10" t="s">
        <v>23</v>
      </c>
      <c r="L21" s="10" t="s">
        <v>28</v>
      </c>
      <c r="M21" s="10" t="s">
        <v>23</v>
      </c>
      <c r="N21" s="10" t="s">
        <v>23</v>
      </c>
    </row>
    <row r="22" spans="1:14">
      <c r="A22" s="2">
        <v>20</v>
      </c>
      <c r="B22" s="2" t="s">
        <v>565</v>
      </c>
      <c r="E22" s="7" t="s">
        <v>29</v>
      </c>
      <c r="F22" s="7" t="s">
        <v>168</v>
      </c>
      <c r="G22" s="7" t="s">
        <v>29</v>
      </c>
      <c r="H22" s="7" t="s">
        <v>89</v>
      </c>
      <c r="I22" s="7" t="s">
        <v>95</v>
      </c>
      <c r="J22" s="10" t="s">
        <v>30</v>
      </c>
      <c r="K22" s="10" t="s">
        <v>23</v>
      </c>
      <c r="L22" s="10" t="s">
        <v>30</v>
      </c>
      <c r="M22" s="10" t="s">
        <v>23</v>
      </c>
      <c r="N22" s="10" t="s">
        <v>23</v>
      </c>
    </row>
    <row r="23" spans="1:14">
      <c r="A23" s="2">
        <v>21</v>
      </c>
      <c r="B23" s="2" t="s">
        <v>566</v>
      </c>
      <c r="E23" s="7" t="s">
        <v>31</v>
      </c>
      <c r="F23" s="7" t="s">
        <v>89</v>
      </c>
      <c r="G23" s="7" t="s">
        <v>89</v>
      </c>
      <c r="H23" s="7" t="s">
        <v>35</v>
      </c>
      <c r="I23" s="7" t="s">
        <v>27</v>
      </c>
      <c r="J23" s="10" t="s">
        <v>23</v>
      </c>
      <c r="K23" s="10" t="s">
        <v>23</v>
      </c>
      <c r="L23" s="10" t="s">
        <v>23</v>
      </c>
      <c r="M23" s="10" t="s">
        <v>23</v>
      </c>
      <c r="N23" s="10" t="s">
        <v>28</v>
      </c>
    </row>
    <row r="24" spans="1:14">
      <c r="A24" s="2">
        <v>22</v>
      </c>
      <c r="B24" s="2" t="s">
        <v>567</v>
      </c>
      <c r="E24" s="7" t="s">
        <v>29</v>
      </c>
      <c r="F24" s="7" t="s">
        <v>29</v>
      </c>
      <c r="G24" s="7" t="s">
        <v>31</v>
      </c>
      <c r="H24" s="7" t="s">
        <v>22</v>
      </c>
      <c r="I24" s="7" t="s">
        <v>27</v>
      </c>
      <c r="J24" s="10" t="s">
        <v>30</v>
      </c>
      <c r="K24" s="10" t="s">
        <v>30</v>
      </c>
      <c r="L24" s="10" t="s">
        <v>23</v>
      </c>
      <c r="M24" s="10" t="s">
        <v>23</v>
      </c>
      <c r="N24" s="10" t="s">
        <v>28</v>
      </c>
    </row>
    <row r="25" spans="1:14">
      <c r="A25" s="2">
        <v>23</v>
      </c>
      <c r="B25" s="2" t="s">
        <v>568</v>
      </c>
      <c r="E25" s="7" t="s">
        <v>22</v>
      </c>
      <c r="F25" s="7" t="s">
        <v>22</v>
      </c>
      <c r="G25" s="7" t="s">
        <v>22</v>
      </c>
      <c r="H25" s="7" t="s">
        <v>22</v>
      </c>
      <c r="I25" s="7" t="s">
        <v>22</v>
      </c>
      <c r="J25" s="10" t="s">
        <v>23</v>
      </c>
      <c r="K25" s="10" t="s">
        <v>23</v>
      </c>
      <c r="L25" s="10" t="s">
        <v>23</v>
      </c>
      <c r="M25" s="10" t="s">
        <v>23</v>
      </c>
      <c r="N25" s="10" t="s">
        <v>23</v>
      </c>
    </row>
    <row r="26" spans="1:14">
      <c r="A26" s="2">
        <v>24</v>
      </c>
      <c r="B26" s="2" t="s">
        <v>569</v>
      </c>
      <c r="E26" s="7" t="s">
        <v>35</v>
      </c>
      <c r="F26" s="7" t="s">
        <v>35</v>
      </c>
      <c r="G26" s="7" t="s">
        <v>35</v>
      </c>
      <c r="H26" s="7" t="s">
        <v>35</v>
      </c>
      <c r="I26" s="7" t="s">
        <v>29</v>
      </c>
      <c r="J26" s="10" t="s">
        <v>23</v>
      </c>
      <c r="K26" s="10" t="s">
        <v>23</v>
      </c>
      <c r="L26" s="10" t="s">
        <v>23</v>
      </c>
      <c r="M26" s="10" t="s">
        <v>23</v>
      </c>
      <c r="N26" s="10" t="s">
        <v>30</v>
      </c>
    </row>
    <row r="27" spans="1:14">
      <c r="A27" s="2">
        <v>25</v>
      </c>
      <c r="B27" s="2" t="s">
        <v>570</v>
      </c>
      <c r="E27" s="7" t="s">
        <v>29</v>
      </c>
      <c r="F27" s="7" t="s">
        <v>187</v>
      </c>
      <c r="G27" s="7" t="s">
        <v>29</v>
      </c>
      <c r="H27" s="7" t="s">
        <v>29</v>
      </c>
      <c r="I27" s="7" t="s">
        <v>29</v>
      </c>
      <c r="J27" s="10" t="s">
        <v>30</v>
      </c>
      <c r="K27" s="10" t="s">
        <v>23</v>
      </c>
      <c r="L27" s="10" t="s">
        <v>30</v>
      </c>
      <c r="M27" s="10" t="s">
        <v>30</v>
      </c>
      <c r="N27" s="10" t="s">
        <v>30</v>
      </c>
    </row>
    <row r="28" spans="1:14">
      <c r="A28" s="2">
        <v>26</v>
      </c>
      <c r="B28" s="2" t="s">
        <v>571</v>
      </c>
      <c r="E28" s="7" t="s">
        <v>29</v>
      </c>
      <c r="F28" s="7" t="s">
        <v>27</v>
      </c>
      <c r="G28" s="7" t="s">
        <v>27</v>
      </c>
      <c r="H28" s="7" t="s">
        <v>29</v>
      </c>
      <c r="I28" s="7" t="s">
        <v>139</v>
      </c>
      <c r="J28" s="10" t="s">
        <v>30</v>
      </c>
      <c r="K28" s="10" t="s">
        <v>28</v>
      </c>
      <c r="L28" s="10" t="s">
        <v>28</v>
      </c>
      <c r="M28" s="10" t="s">
        <v>30</v>
      </c>
      <c r="N28" s="10" t="s">
        <v>23</v>
      </c>
    </row>
    <row r="29" spans="1:14">
      <c r="A29" s="2">
        <v>27</v>
      </c>
      <c r="B29" s="2" t="s">
        <v>572</v>
      </c>
      <c r="E29" s="7" t="s">
        <v>51</v>
      </c>
      <c r="F29" s="7" t="s">
        <v>29</v>
      </c>
      <c r="G29" s="7" t="s">
        <v>51</v>
      </c>
      <c r="H29" s="7" t="s">
        <v>29</v>
      </c>
      <c r="I29" s="7" t="s">
        <v>27</v>
      </c>
      <c r="J29" s="10" t="s">
        <v>23</v>
      </c>
      <c r="K29" s="10" t="s">
        <v>30</v>
      </c>
      <c r="L29" s="10" t="s">
        <v>23</v>
      </c>
      <c r="M29" s="10" t="s">
        <v>30</v>
      </c>
      <c r="N29" s="10" t="s">
        <v>28</v>
      </c>
    </row>
    <row r="30" spans="1:14">
      <c r="A30" s="2">
        <v>28</v>
      </c>
      <c r="B30" s="2" t="s">
        <v>573</v>
      </c>
      <c r="E30" s="7" t="s">
        <v>69</v>
      </c>
      <c r="F30" s="7" t="s">
        <v>51</v>
      </c>
      <c r="G30" s="7" t="s">
        <v>51</v>
      </c>
      <c r="H30" s="7" t="s">
        <v>51</v>
      </c>
      <c r="I30" s="7" t="s">
        <v>69</v>
      </c>
      <c r="J30" s="10" t="s">
        <v>23</v>
      </c>
      <c r="K30" s="10" t="s">
        <v>23</v>
      </c>
      <c r="L30" s="10" t="s">
        <v>23</v>
      </c>
      <c r="M30" s="10" t="s">
        <v>23</v>
      </c>
      <c r="N30" s="10" t="s">
        <v>23</v>
      </c>
    </row>
    <row r="31" spans="1:14">
      <c r="A31" s="2">
        <v>29</v>
      </c>
      <c r="B31" s="2" t="s">
        <v>574</v>
      </c>
      <c r="E31" s="7" t="s">
        <v>69</v>
      </c>
      <c r="F31" s="7" t="s">
        <v>69</v>
      </c>
      <c r="G31" s="7" t="s">
        <v>95</v>
      </c>
      <c r="H31" s="7" t="s">
        <v>27</v>
      </c>
      <c r="I31" s="7" t="s">
        <v>29</v>
      </c>
      <c r="J31" s="10" t="s">
        <v>23</v>
      </c>
      <c r="K31" s="10" t="s">
        <v>23</v>
      </c>
      <c r="L31" s="10" t="s">
        <v>23</v>
      </c>
      <c r="M31" s="10" t="s">
        <v>28</v>
      </c>
      <c r="N31" s="10" t="s">
        <v>30</v>
      </c>
    </row>
    <row r="32" spans="1:14">
      <c r="A32" s="2">
        <v>30</v>
      </c>
      <c r="B32" s="2" t="s">
        <v>575</v>
      </c>
      <c r="E32" s="7" t="s">
        <v>22</v>
      </c>
      <c r="F32" s="7" t="s">
        <v>155</v>
      </c>
      <c r="G32" s="7" t="s">
        <v>22</v>
      </c>
      <c r="H32" s="7" t="s">
        <v>27</v>
      </c>
      <c r="I32" s="7" t="s">
        <v>22</v>
      </c>
      <c r="J32" s="10" t="s">
        <v>23</v>
      </c>
      <c r="K32" s="10" t="s">
        <v>23</v>
      </c>
      <c r="L32" s="10" t="s">
        <v>23</v>
      </c>
      <c r="M32" s="10" t="s">
        <v>28</v>
      </c>
      <c r="N32" s="10" t="s">
        <v>23</v>
      </c>
    </row>
    <row r="33" spans="1:14">
      <c r="A33" s="2">
        <v>31</v>
      </c>
      <c r="B33" s="2" t="s">
        <v>576</v>
      </c>
      <c r="E33" s="7" t="s">
        <v>27</v>
      </c>
      <c r="F33" s="7" t="s">
        <v>29</v>
      </c>
      <c r="G33" s="7" t="s">
        <v>27</v>
      </c>
      <c r="H33" s="7" t="s">
        <v>29</v>
      </c>
      <c r="I33" s="7" t="s">
        <v>29</v>
      </c>
      <c r="J33" s="10" t="s">
        <v>28</v>
      </c>
      <c r="K33" s="10" t="s">
        <v>30</v>
      </c>
      <c r="L33" s="10" t="s">
        <v>28</v>
      </c>
      <c r="M33" s="10" t="s">
        <v>30</v>
      </c>
      <c r="N33" s="10" t="s">
        <v>30</v>
      </c>
    </row>
    <row r="34" spans="1:14">
      <c r="A34" s="2">
        <v>32</v>
      </c>
      <c r="B34" s="2" t="s">
        <v>577</v>
      </c>
      <c r="E34" s="7" t="s">
        <v>22</v>
      </c>
      <c r="F34" s="7" t="s">
        <v>168</v>
      </c>
      <c r="G34" s="7" t="s">
        <v>168</v>
      </c>
      <c r="H34" s="7" t="s">
        <v>51</v>
      </c>
      <c r="I34" s="7" t="s">
        <v>51</v>
      </c>
      <c r="J34" s="10" t="s">
        <v>23</v>
      </c>
      <c r="K34" s="10" t="s">
        <v>23</v>
      </c>
      <c r="L34" s="10" t="s">
        <v>23</v>
      </c>
      <c r="M34" s="10" t="s">
        <v>23</v>
      </c>
      <c r="N34" s="10" t="s">
        <v>23</v>
      </c>
    </row>
    <row r="35" spans="1:14">
      <c r="A35" s="2">
        <v>33</v>
      </c>
      <c r="B35" s="2" t="s">
        <v>578</v>
      </c>
      <c r="E35" s="7" t="s">
        <v>22</v>
      </c>
      <c r="F35" s="7" t="s">
        <v>22</v>
      </c>
      <c r="G35" s="7" t="s">
        <v>22</v>
      </c>
      <c r="H35" s="7" t="s">
        <v>29</v>
      </c>
      <c r="I35" s="7" t="s">
        <v>27</v>
      </c>
      <c r="J35" s="10" t="s">
        <v>23</v>
      </c>
      <c r="K35" s="10" t="s">
        <v>23</v>
      </c>
      <c r="L35" s="10" t="s">
        <v>23</v>
      </c>
      <c r="M35" s="10" t="s">
        <v>30</v>
      </c>
      <c r="N35" s="10" t="s">
        <v>28</v>
      </c>
    </row>
    <row r="36" spans="1:14">
      <c r="A36" s="2">
        <v>34</v>
      </c>
      <c r="B36" s="2" t="s">
        <v>579</v>
      </c>
      <c r="E36" s="7" t="s">
        <v>153</v>
      </c>
      <c r="F36" s="7" t="s">
        <v>27</v>
      </c>
      <c r="G36" s="7" t="s">
        <v>153</v>
      </c>
      <c r="H36" s="7" t="s">
        <v>22</v>
      </c>
      <c r="I36" s="7" t="s">
        <v>147</v>
      </c>
      <c r="J36" s="10" t="s">
        <v>23</v>
      </c>
      <c r="K36" s="10" t="s">
        <v>28</v>
      </c>
      <c r="L36" s="10" t="s">
        <v>23</v>
      </c>
      <c r="M36" s="10" t="s">
        <v>23</v>
      </c>
      <c r="N36" s="10" t="s">
        <v>23</v>
      </c>
    </row>
    <row r="37" spans="1:14">
      <c r="A37" s="2">
        <v>35</v>
      </c>
      <c r="B37" s="2" t="s">
        <v>580</v>
      </c>
      <c r="E37" s="7" t="s">
        <v>22</v>
      </c>
      <c r="F37" s="7" t="s">
        <v>22</v>
      </c>
      <c r="G37" s="7" t="s">
        <v>22</v>
      </c>
      <c r="H37" s="7" t="s">
        <v>25</v>
      </c>
      <c r="I37" s="7" t="s">
        <v>22</v>
      </c>
      <c r="J37" s="10" t="s">
        <v>23</v>
      </c>
      <c r="K37" s="10" t="s">
        <v>23</v>
      </c>
      <c r="L37" s="10" t="s">
        <v>23</v>
      </c>
      <c r="M37" s="10" t="s">
        <v>26</v>
      </c>
      <c r="N37" s="10" t="s">
        <v>23</v>
      </c>
    </row>
    <row r="38" spans="1:14">
      <c r="A38" s="2">
        <v>36</v>
      </c>
      <c r="B38" s="2" t="s">
        <v>581</v>
      </c>
      <c r="E38" s="7" t="s">
        <v>22</v>
      </c>
      <c r="F38" s="7" t="s">
        <v>22</v>
      </c>
      <c r="G38" s="7" t="s">
        <v>59</v>
      </c>
      <c r="H38" s="7" t="s">
        <v>35</v>
      </c>
      <c r="I38" s="7" t="s">
        <v>22</v>
      </c>
      <c r="J38" s="10" t="s">
        <v>23</v>
      </c>
      <c r="K38" s="10" t="s">
        <v>23</v>
      </c>
      <c r="L38" s="10" t="s">
        <v>23</v>
      </c>
      <c r="M38" s="10" t="s">
        <v>23</v>
      </c>
      <c r="N38" s="10" t="s">
        <v>23</v>
      </c>
    </row>
    <row r="39" spans="1:14">
      <c r="A39" s="2">
        <v>37</v>
      </c>
      <c r="B39" s="2" t="s">
        <v>582</v>
      </c>
      <c r="E39" s="7" t="s">
        <v>69</v>
      </c>
      <c r="F39" s="7" t="s">
        <v>41</v>
      </c>
      <c r="G39" s="7" t="s">
        <v>29</v>
      </c>
      <c r="H39" s="7" t="s">
        <v>51</v>
      </c>
      <c r="I39" s="7" t="s">
        <v>29</v>
      </c>
      <c r="J39" s="10" t="s">
        <v>23</v>
      </c>
      <c r="K39" s="10" t="s">
        <v>42</v>
      </c>
      <c r="L39" s="10" t="s">
        <v>30</v>
      </c>
      <c r="M39" s="10" t="s">
        <v>23</v>
      </c>
      <c r="N39" s="10" t="s">
        <v>30</v>
      </c>
    </row>
    <row r="40" spans="1:14">
      <c r="A40" s="2">
        <v>38</v>
      </c>
      <c r="B40" s="2" t="s">
        <v>583</v>
      </c>
      <c r="E40" s="7" t="s">
        <v>51</v>
      </c>
      <c r="F40" s="7" t="s">
        <v>51</v>
      </c>
      <c r="G40" s="7" t="s">
        <v>31</v>
      </c>
      <c r="H40" s="7" t="s">
        <v>29</v>
      </c>
      <c r="I40" s="7" t="s">
        <v>51</v>
      </c>
      <c r="J40" s="10" t="s">
        <v>23</v>
      </c>
      <c r="K40" s="10" t="s">
        <v>23</v>
      </c>
      <c r="L40" s="10" t="s">
        <v>23</v>
      </c>
      <c r="M40" s="10" t="s">
        <v>30</v>
      </c>
      <c r="N40" s="10" t="s">
        <v>23</v>
      </c>
    </row>
    <row r="41" spans="1:14">
      <c r="A41" s="2">
        <v>39</v>
      </c>
      <c r="B41" s="2" t="s">
        <v>584</v>
      </c>
      <c r="E41" s="7" t="s">
        <v>139</v>
      </c>
      <c r="F41" s="7" t="s">
        <v>35</v>
      </c>
      <c r="G41" s="7" t="s">
        <v>27</v>
      </c>
      <c r="H41" s="7" t="s">
        <v>51</v>
      </c>
      <c r="I41" s="7" t="s">
        <v>29</v>
      </c>
      <c r="J41" s="10" t="s">
        <v>23</v>
      </c>
      <c r="K41" s="10" t="s">
        <v>23</v>
      </c>
      <c r="L41" s="10" t="s">
        <v>28</v>
      </c>
      <c r="M41" s="10" t="s">
        <v>23</v>
      </c>
      <c r="N41" s="10" t="s">
        <v>30</v>
      </c>
    </row>
    <row r="42" spans="1:14">
      <c r="A42" s="2">
        <v>40</v>
      </c>
      <c r="B42" s="2" t="s">
        <v>585</v>
      </c>
      <c r="E42" s="7" t="s">
        <v>22</v>
      </c>
      <c r="F42" s="7" t="s">
        <v>31</v>
      </c>
      <c r="G42" s="7" t="s">
        <v>207</v>
      </c>
      <c r="H42" s="7" t="s">
        <v>207</v>
      </c>
      <c r="I42" s="7" t="s">
        <v>207</v>
      </c>
      <c r="J42" s="10" t="s">
        <v>23</v>
      </c>
      <c r="K42" s="10" t="s">
        <v>23</v>
      </c>
      <c r="L42" s="10" t="s">
        <v>23</v>
      </c>
      <c r="M42" s="10" t="s">
        <v>23</v>
      </c>
      <c r="N42" s="10" t="s">
        <v>23</v>
      </c>
    </row>
    <row r="43" spans="1:14">
      <c r="A43" s="2">
        <v>41</v>
      </c>
      <c r="B43" s="2" t="s">
        <v>586</v>
      </c>
      <c r="E43" s="7" t="s">
        <v>22</v>
      </c>
      <c r="F43" s="7" t="s">
        <v>22</v>
      </c>
      <c r="G43" s="7" t="s">
        <v>22</v>
      </c>
      <c r="H43" s="7" t="s">
        <v>22</v>
      </c>
      <c r="I43" s="7" t="s">
        <v>22</v>
      </c>
      <c r="J43" s="10" t="s">
        <v>23</v>
      </c>
      <c r="K43" s="10" t="s">
        <v>23</v>
      </c>
      <c r="L43" s="10" t="s">
        <v>23</v>
      </c>
      <c r="M43" s="10" t="s">
        <v>23</v>
      </c>
      <c r="N43" s="10" t="s">
        <v>23</v>
      </c>
    </row>
    <row r="44" spans="1:14">
      <c r="A44" s="2">
        <v>42</v>
      </c>
      <c r="B44" s="2" t="s">
        <v>587</v>
      </c>
      <c r="E44" s="7" t="s">
        <v>22</v>
      </c>
      <c r="F44" s="7" t="s">
        <v>27</v>
      </c>
      <c r="G44" s="7" t="s">
        <v>27</v>
      </c>
      <c r="H44" s="7" t="s">
        <v>29</v>
      </c>
      <c r="I44" s="7" t="s">
        <v>27</v>
      </c>
      <c r="J44" s="10" t="s">
        <v>23</v>
      </c>
      <c r="K44" s="10" t="s">
        <v>28</v>
      </c>
      <c r="L44" s="10" t="s">
        <v>28</v>
      </c>
      <c r="M44" s="10" t="s">
        <v>30</v>
      </c>
      <c r="N44" s="10" t="s">
        <v>28</v>
      </c>
    </row>
    <row r="45" spans="1:14">
      <c r="A45" s="2">
        <v>43</v>
      </c>
      <c r="B45" s="2" t="s">
        <v>588</v>
      </c>
      <c r="E45" s="7" t="s">
        <v>31</v>
      </c>
      <c r="F45" s="7" t="s">
        <v>22</v>
      </c>
      <c r="G45" s="7" t="s">
        <v>27</v>
      </c>
      <c r="H45" s="7" t="s">
        <v>51</v>
      </c>
      <c r="I45" s="7" t="s">
        <v>22</v>
      </c>
      <c r="J45" s="10" t="s">
        <v>23</v>
      </c>
      <c r="K45" s="10" t="s">
        <v>23</v>
      </c>
      <c r="L45" s="10" t="s">
        <v>28</v>
      </c>
      <c r="M45" s="10" t="s">
        <v>23</v>
      </c>
      <c r="N45" s="10" t="s">
        <v>23</v>
      </c>
    </row>
    <row r="46" spans="1:14">
      <c r="A46" s="2">
        <v>44</v>
      </c>
      <c r="B46" s="2" t="s">
        <v>589</v>
      </c>
      <c r="E46" s="7" t="s">
        <v>22</v>
      </c>
      <c r="F46" s="7" t="s">
        <v>27</v>
      </c>
      <c r="G46" s="7" t="s">
        <v>35</v>
      </c>
      <c r="H46" s="7" t="s">
        <v>22</v>
      </c>
      <c r="I46" s="7" t="s">
        <v>22</v>
      </c>
      <c r="J46" s="10" t="s">
        <v>23</v>
      </c>
      <c r="K46" s="10" t="s">
        <v>28</v>
      </c>
      <c r="L46" s="10" t="s">
        <v>23</v>
      </c>
      <c r="M46" s="10" t="s">
        <v>23</v>
      </c>
      <c r="N46" s="10" t="s">
        <v>23</v>
      </c>
    </row>
    <row r="47" spans="1:14">
      <c r="A47" s="2">
        <v>45</v>
      </c>
      <c r="B47" s="2" t="s">
        <v>590</v>
      </c>
      <c r="E47" s="7" t="s">
        <v>35</v>
      </c>
      <c r="F47" s="7" t="s">
        <v>35</v>
      </c>
      <c r="G47" s="7" t="s">
        <v>35</v>
      </c>
      <c r="H47" s="7" t="s">
        <v>35</v>
      </c>
      <c r="I47" s="7" t="s">
        <v>27</v>
      </c>
      <c r="J47" s="10" t="s">
        <v>23</v>
      </c>
      <c r="K47" s="10" t="s">
        <v>23</v>
      </c>
      <c r="L47" s="10" t="s">
        <v>23</v>
      </c>
      <c r="M47" s="10" t="s">
        <v>23</v>
      </c>
      <c r="N47" s="10" t="s">
        <v>28</v>
      </c>
    </row>
    <row r="48" spans="1:14">
      <c r="A48" s="2">
        <v>46</v>
      </c>
      <c r="B48" s="2" t="s">
        <v>591</v>
      </c>
      <c r="E48" s="7" t="s">
        <v>29</v>
      </c>
      <c r="F48" s="7" t="s">
        <v>25</v>
      </c>
      <c r="G48" s="7" t="s">
        <v>22</v>
      </c>
      <c r="H48" s="7" t="s">
        <v>22</v>
      </c>
      <c r="I48" s="7" t="s">
        <v>51</v>
      </c>
      <c r="J48" s="10" t="s">
        <v>30</v>
      </c>
      <c r="K48" s="10" t="s">
        <v>26</v>
      </c>
      <c r="L48" s="10" t="s">
        <v>23</v>
      </c>
      <c r="M48" s="10" t="s">
        <v>23</v>
      </c>
      <c r="N48" s="10" t="s">
        <v>23</v>
      </c>
    </row>
    <row r="49" spans="1:14">
      <c r="A49" s="2">
        <v>47</v>
      </c>
      <c r="B49" s="2" t="s">
        <v>592</v>
      </c>
      <c r="E49" s="7" t="s">
        <v>29</v>
      </c>
      <c r="F49" s="7" t="s">
        <v>51</v>
      </c>
      <c r="G49" s="7" t="s">
        <v>22</v>
      </c>
      <c r="H49" s="7" t="s">
        <v>157</v>
      </c>
      <c r="I49" s="7" t="s">
        <v>22</v>
      </c>
      <c r="J49" s="10" t="s">
        <v>30</v>
      </c>
      <c r="K49" s="10" t="s">
        <v>23</v>
      </c>
      <c r="L49" s="10" t="s">
        <v>23</v>
      </c>
      <c r="M49" s="10" t="s">
        <v>23</v>
      </c>
      <c r="N49" s="10" t="s">
        <v>23</v>
      </c>
    </row>
    <row r="50" spans="1:14">
      <c r="A50" s="2">
        <v>48</v>
      </c>
      <c r="B50" s="2" t="s">
        <v>593</v>
      </c>
      <c r="E50" s="7" t="s">
        <v>27</v>
      </c>
      <c r="F50" s="7" t="s">
        <v>31</v>
      </c>
      <c r="G50" s="7" t="s">
        <v>35</v>
      </c>
      <c r="H50" s="7" t="s">
        <v>35</v>
      </c>
      <c r="I50" s="7" t="s">
        <v>35</v>
      </c>
      <c r="J50" s="10" t="s">
        <v>28</v>
      </c>
      <c r="K50" s="10" t="s">
        <v>23</v>
      </c>
      <c r="L50" s="10" t="s">
        <v>23</v>
      </c>
      <c r="M50" s="10" t="s">
        <v>23</v>
      </c>
      <c r="N50" s="10" t="s">
        <v>23</v>
      </c>
    </row>
    <row r="51" spans="1:14">
      <c r="A51" s="2">
        <v>49</v>
      </c>
      <c r="B51" s="2" t="s">
        <v>594</v>
      </c>
      <c r="E51" s="7" t="s">
        <v>27</v>
      </c>
      <c r="F51" s="7" t="s">
        <v>29</v>
      </c>
      <c r="G51" s="7" t="s">
        <v>35</v>
      </c>
      <c r="H51" s="7" t="s">
        <v>29</v>
      </c>
      <c r="I51" s="7" t="s">
        <v>51</v>
      </c>
      <c r="J51" s="10" t="s">
        <v>28</v>
      </c>
      <c r="K51" s="10" t="s">
        <v>30</v>
      </c>
      <c r="L51" s="10" t="s">
        <v>23</v>
      </c>
      <c r="M51" s="10" t="s">
        <v>30</v>
      </c>
      <c r="N51" s="10" t="s">
        <v>23</v>
      </c>
    </row>
    <row r="52" spans="1:14">
      <c r="A52" s="2">
        <v>50</v>
      </c>
      <c r="B52" s="2" t="s">
        <v>595</v>
      </c>
      <c r="E52" s="7" t="s">
        <v>89</v>
      </c>
      <c r="F52" s="7" t="s">
        <v>35</v>
      </c>
      <c r="G52" s="7" t="s">
        <v>27</v>
      </c>
      <c r="H52" s="7" t="s">
        <v>89</v>
      </c>
      <c r="I52" s="7" t="s">
        <v>29</v>
      </c>
      <c r="J52" s="10" t="s">
        <v>23</v>
      </c>
      <c r="K52" s="10" t="s">
        <v>23</v>
      </c>
      <c r="L52" s="10" t="s">
        <v>28</v>
      </c>
      <c r="M52" s="10" t="s">
        <v>23</v>
      </c>
      <c r="N52" s="10" t="s">
        <v>30</v>
      </c>
    </row>
  </sheetData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opLeftCell="A27" workbookViewId="0"/>
  </sheetViews>
  <sheetFormatPr baseColWidth="10" defaultColWidth="8.83203125" defaultRowHeight="14" x14ac:dyDescent="0"/>
  <cols>
    <col min="1" max="1" width="2.83203125" style="2" customWidth="1"/>
    <col min="2" max="2" width="12.83203125" style="2" bestFit="1" customWidth="1"/>
    <col min="3" max="4" width="1.83203125" style="4" customWidth="1"/>
    <col min="5" max="9" width="8.5" style="7" customWidth="1"/>
    <col min="10" max="14" width="6.33203125" style="10" customWidth="1"/>
    <col min="15" max="19" width="5.6640625" style="13" customWidth="1"/>
  </cols>
  <sheetData>
    <row r="1" spans="1:19">
      <c r="E1" s="6" t="s">
        <v>4</v>
      </c>
      <c r="J1" s="9" t="s">
        <v>10</v>
      </c>
      <c r="O1" s="12" t="s">
        <v>16</v>
      </c>
    </row>
    <row r="2" spans="1:19">
      <c r="B2" s="3" t="s">
        <v>0</v>
      </c>
      <c r="C2" s="5" t="s">
        <v>1</v>
      </c>
      <c r="D2" s="5" t="s">
        <v>2</v>
      </c>
      <c r="E2" s="8" t="s">
        <v>3</v>
      </c>
      <c r="F2" s="8" t="s">
        <v>5</v>
      </c>
      <c r="G2" s="8" t="s">
        <v>6</v>
      </c>
      <c r="H2" s="8" t="s">
        <v>7</v>
      </c>
      <c r="I2" s="8" t="s">
        <v>8</v>
      </c>
      <c r="J2" s="11" t="s">
        <v>9</v>
      </c>
      <c r="K2" s="11" t="s">
        <v>11</v>
      </c>
      <c r="L2" s="11" t="s">
        <v>12</v>
      </c>
      <c r="M2" s="11" t="s">
        <v>13</v>
      </c>
      <c r="N2" s="11" t="s">
        <v>14</v>
      </c>
      <c r="O2" s="14" t="s">
        <v>15</v>
      </c>
      <c r="P2" s="14" t="s">
        <v>17</v>
      </c>
      <c r="Q2" s="14" t="s">
        <v>18</v>
      </c>
      <c r="R2" s="14" t="s">
        <v>19</v>
      </c>
      <c r="S2" s="14" t="s">
        <v>20</v>
      </c>
    </row>
    <row r="3" spans="1:19">
      <c r="A3" s="2">
        <v>1</v>
      </c>
      <c r="B3" s="2" t="s">
        <v>598</v>
      </c>
      <c r="E3" s="7" t="s">
        <v>27</v>
      </c>
      <c r="F3" s="7" t="s">
        <v>27</v>
      </c>
      <c r="G3" s="7" t="s">
        <v>29</v>
      </c>
      <c r="H3" s="7" t="s">
        <v>35</v>
      </c>
      <c r="I3" s="7" t="s">
        <v>22</v>
      </c>
      <c r="J3" s="10" t="s">
        <v>28</v>
      </c>
      <c r="K3" s="10" t="s">
        <v>28</v>
      </c>
      <c r="L3" s="10" t="s">
        <v>30</v>
      </c>
      <c r="M3" s="10" t="s">
        <v>23</v>
      </c>
      <c r="N3" s="10" t="s">
        <v>23</v>
      </c>
    </row>
    <row r="4" spans="1:19">
      <c r="A4" s="2">
        <v>2</v>
      </c>
      <c r="B4" s="2" t="s">
        <v>599</v>
      </c>
      <c r="E4" s="7" t="s">
        <v>25</v>
      </c>
      <c r="F4" s="7" t="s">
        <v>38</v>
      </c>
      <c r="G4" s="7" t="s">
        <v>38</v>
      </c>
      <c r="H4" s="7" t="s">
        <v>38</v>
      </c>
      <c r="I4" s="7" t="s">
        <v>38</v>
      </c>
      <c r="J4" s="10" t="s">
        <v>26</v>
      </c>
      <c r="K4" s="10" t="s">
        <v>23</v>
      </c>
      <c r="L4" s="10" t="s">
        <v>23</v>
      </c>
      <c r="M4" s="10" t="s">
        <v>23</v>
      </c>
      <c r="N4" s="10" t="s">
        <v>23</v>
      </c>
    </row>
    <row r="5" spans="1:19">
      <c r="A5" s="2">
        <v>3</v>
      </c>
      <c r="B5" s="2" t="s">
        <v>600</v>
      </c>
      <c r="E5" s="7" t="s">
        <v>29</v>
      </c>
      <c r="F5" s="7" t="s">
        <v>29</v>
      </c>
      <c r="G5" s="7" t="s">
        <v>38</v>
      </c>
      <c r="H5" s="7" t="s">
        <v>31</v>
      </c>
      <c r="I5" s="7" t="s">
        <v>27</v>
      </c>
      <c r="J5" s="10" t="s">
        <v>30</v>
      </c>
      <c r="K5" s="10" t="s">
        <v>30</v>
      </c>
      <c r="L5" s="10" t="s">
        <v>23</v>
      </c>
      <c r="M5" s="10" t="s">
        <v>23</v>
      </c>
      <c r="N5" s="10" t="s">
        <v>28</v>
      </c>
    </row>
    <row r="6" spans="1:19">
      <c r="A6" s="2">
        <v>4</v>
      </c>
      <c r="B6" s="2" t="s">
        <v>601</v>
      </c>
      <c r="E6" s="7" t="s">
        <v>29</v>
      </c>
      <c r="F6" s="7" t="s">
        <v>51</v>
      </c>
      <c r="G6" s="7" t="s">
        <v>29</v>
      </c>
      <c r="H6" s="7" t="s">
        <v>35</v>
      </c>
      <c r="I6" s="7" t="s">
        <v>64</v>
      </c>
      <c r="J6" s="10" t="s">
        <v>30</v>
      </c>
      <c r="K6" s="10" t="s">
        <v>23</v>
      </c>
      <c r="L6" s="10" t="s">
        <v>30</v>
      </c>
      <c r="M6" s="10" t="s">
        <v>23</v>
      </c>
      <c r="N6" s="10" t="s">
        <v>23</v>
      </c>
    </row>
    <row r="7" spans="1:19">
      <c r="A7" s="2">
        <v>5</v>
      </c>
      <c r="B7" s="2" t="s">
        <v>602</v>
      </c>
      <c r="E7" s="7" t="s">
        <v>29</v>
      </c>
      <c r="F7" s="7" t="s">
        <v>38</v>
      </c>
      <c r="G7" s="7" t="s">
        <v>69</v>
      </c>
      <c r="H7" s="7" t="s">
        <v>29</v>
      </c>
      <c r="I7" s="7" t="s">
        <v>51</v>
      </c>
      <c r="J7" s="10" t="s">
        <v>30</v>
      </c>
      <c r="K7" s="10" t="s">
        <v>23</v>
      </c>
      <c r="L7" s="10" t="s">
        <v>23</v>
      </c>
      <c r="M7" s="10" t="s">
        <v>30</v>
      </c>
      <c r="N7" s="10" t="s">
        <v>23</v>
      </c>
    </row>
    <row r="8" spans="1:19">
      <c r="A8" s="2">
        <v>6</v>
      </c>
      <c r="B8" s="2" t="s">
        <v>603</v>
      </c>
      <c r="E8" s="7" t="s">
        <v>38</v>
      </c>
      <c r="F8" s="7" t="s">
        <v>69</v>
      </c>
      <c r="G8" s="7" t="s">
        <v>38</v>
      </c>
      <c r="H8" s="7" t="s">
        <v>64</v>
      </c>
      <c r="I8" s="7" t="s">
        <v>38</v>
      </c>
      <c r="J8" s="10" t="s">
        <v>23</v>
      </c>
      <c r="K8" s="10" t="s">
        <v>23</v>
      </c>
      <c r="L8" s="10" t="s">
        <v>23</v>
      </c>
      <c r="M8" s="10" t="s">
        <v>23</v>
      </c>
      <c r="N8" s="10" t="s">
        <v>23</v>
      </c>
    </row>
    <row r="9" spans="1:19">
      <c r="A9" s="2">
        <v>7</v>
      </c>
      <c r="B9" s="2" t="s">
        <v>604</v>
      </c>
      <c r="E9" s="7" t="s">
        <v>27</v>
      </c>
      <c r="F9" s="7" t="s">
        <v>51</v>
      </c>
      <c r="G9" s="7" t="s">
        <v>69</v>
      </c>
      <c r="H9" s="7" t="s">
        <v>69</v>
      </c>
      <c r="I9" s="7" t="s">
        <v>69</v>
      </c>
      <c r="J9" s="10" t="s">
        <v>28</v>
      </c>
      <c r="K9" s="10" t="s">
        <v>23</v>
      </c>
      <c r="L9" s="10" t="s">
        <v>23</v>
      </c>
      <c r="M9" s="10" t="s">
        <v>23</v>
      </c>
      <c r="N9" s="10" t="s">
        <v>23</v>
      </c>
    </row>
    <row r="10" spans="1:19">
      <c r="A10" s="2">
        <v>8</v>
      </c>
      <c r="B10" s="2" t="s">
        <v>605</v>
      </c>
      <c r="E10" s="7" t="s">
        <v>27</v>
      </c>
      <c r="F10" s="7" t="s">
        <v>27</v>
      </c>
      <c r="G10" s="7" t="s">
        <v>35</v>
      </c>
      <c r="H10" s="7" t="s">
        <v>31</v>
      </c>
      <c r="I10" s="7" t="s">
        <v>64</v>
      </c>
      <c r="J10" s="10" t="s">
        <v>28</v>
      </c>
      <c r="K10" s="10" t="s">
        <v>28</v>
      </c>
      <c r="L10" s="10" t="s">
        <v>23</v>
      </c>
      <c r="M10" s="10" t="s">
        <v>23</v>
      </c>
      <c r="N10" s="10" t="s">
        <v>23</v>
      </c>
    </row>
    <row r="11" spans="1:19">
      <c r="A11" s="2">
        <v>9</v>
      </c>
      <c r="B11" s="2" t="s">
        <v>606</v>
      </c>
      <c r="E11" s="7" t="s">
        <v>29</v>
      </c>
      <c r="F11" s="7" t="s">
        <v>51</v>
      </c>
      <c r="G11" s="7" t="s">
        <v>35</v>
      </c>
      <c r="H11" s="7" t="s">
        <v>29</v>
      </c>
      <c r="I11" s="7" t="s">
        <v>27</v>
      </c>
      <c r="J11" s="10" t="s">
        <v>30</v>
      </c>
      <c r="K11" s="10" t="s">
        <v>23</v>
      </c>
      <c r="L11" s="10" t="s">
        <v>23</v>
      </c>
      <c r="M11" s="10" t="s">
        <v>30</v>
      </c>
      <c r="N11" s="10" t="s">
        <v>28</v>
      </c>
    </row>
    <row r="12" spans="1:19">
      <c r="A12" s="2">
        <v>10</v>
      </c>
      <c r="B12" s="2" t="s">
        <v>607</v>
      </c>
      <c r="E12" s="7" t="s">
        <v>38</v>
      </c>
      <c r="F12" s="7" t="s">
        <v>29</v>
      </c>
      <c r="G12" s="7" t="s">
        <v>27</v>
      </c>
      <c r="H12" s="7" t="s">
        <v>27</v>
      </c>
      <c r="I12" s="7" t="s">
        <v>141</v>
      </c>
      <c r="J12" s="10" t="s">
        <v>23</v>
      </c>
      <c r="K12" s="10" t="s">
        <v>30</v>
      </c>
      <c r="L12" s="10" t="s">
        <v>28</v>
      </c>
      <c r="M12" s="10" t="s">
        <v>28</v>
      </c>
      <c r="N12" s="10" t="s">
        <v>23</v>
      </c>
    </row>
    <row r="13" spans="1:19">
      <c r="A13" s="2">
        <v>11</v>
      </c>
      <c r="B13" s="2" t="s">
        <v>608</v>
      </c>
      <c r="E13" s="7" t="s">
        <v>38</v>
      </c>
      <c r="F13" s="7" t="s">
        <v>29</v>
      </c>
      <c r="G13" s="7" t="s">
        <v>27</v>
      </c>
      <c r="H13" s="7" t="s">
        <v>27</v>
      </c>
      <c r="I13" s="7" t="s">
        <v>29</v>
      </c>
      <c r="J13" s="10" t="s">
        <v>23</v>
      </c>
      <c r="K13" s="10" t="s">
        <v>30</v>
      </c>
      <c r="L13" s="10" t="s">
        <v>28</v>
      </c>
      <c r="M13" s="10" t="s">
        <v>28</v>
      </c>
      <c r="N13" s="10" t="s">
        <v>30</v>
      </c>
    </row>
    <row r="14" spans="1:19">
      <c r="A14" s="2">
        <v>12</v>
      </c>
      <c r="B14" s="2" t="s">
        <v>609</v>
      </c>
      <c r="E14" s="7" t="s">
        <v>35</v>
      </c>
      <c r="F14" s="7" t="s">
        <v>27</v>
      </c>
      <c r="G14" s="7" t="s">
        <v>29</v>
      </c>
      <c r="H14" s="7" t="s">
        <v>35</v>
      </c>
      <c r="I14" s="7" t="s">
        <v>35</v>
      </c>
      <c r="J14" s="10" t="s">
        <v>23</v>
      </c>
      <c r="K14" s="10" t="s">
        <v>28</v>
      </c>
      <c r="L14" s="10" t="s">
        <v>30</v>
      </c>
      <c r="M14" s="10" t="s">
        <v>23</v>
      </c>
      <c r="N14" s="10" t="s">
        <v>23</v>
      </c>
    </row>
    <row r="15" spans="1:19">
      <c r="A15" s="2">
        <v>13</v>
      </c>
      <c r="B15" s="2" t="s">
        <v>610</v>
      </c>
      <c r="E15" s="7" t="s">
        <v>35</v>
      </c>
      <c r="F15" s="7" t="s">
        <v>35</v>
      </c>
      <c r="G15" s="7" t="s">
        <v>29</v>
      </c>
      <c r="H15" s="7" t="s">
        <v>35</v>
      </c>
      <c r="I15" s="7" t="s">
        <v>35</v>
      </c>
      <c r="J15" s="10" t="s">
        <v>23</v>
      </c>
      <c r="K15" s="10" t="s">
        <v>23</v>
      </c>
      <c r="L15" s="10" t="s">
        <v>30</v>
      </c>
      <c r="M15" s="10" t="s">
        <v>23</v>
      </c>
      <c r="N15" s="10" t="s">
        <v>23</v>
      </c>
    </row>
    <row r="16" spans="1:19">
      <c r="A16" s="2">
        <v>14</v>
      </c>
      <c r="B16" s="2" t="s">
        <v>611</v>
      </c>
      <c r="E16" s="7" t="s">
        <v>31</v>
      </c>
      <c r="F16" s="7" t="s">
        <v>27</v>
      </c>
      <c r="G16" s="7" t="s">
        <v>29</v>
      </c>
      <c r="H16" s="7" t="s">
        <v>29</v>
      </c>
      <c r="I16" s="7" t="s">
        <v>35</v>
      </c>
      <c r="J16" s="10" t="s">
        <v>23</v>
      </c>
      <c r="K16" s="10" t="s">
        <v>28</v>
      </c>
      <c r="L16" s="10" t="s">
        <v>30</v>
      </c>
      <c r="M16" s="10" t="s">
        <v>30</v>
      </c>
      <c r="N16" s="10" t="s">
        <v>23</v>
      </c>
    </row>
    <row r="17" spans="1:14">
      <c r="A17" s="2">
        <v>15</v>
      </c>
      <c r="B17" s="2" t="s">
        <v>612</v>
      </c>
      <c r="E17" s="7" t="s">
        <v>35</v>
      </c>
      <c r="F17" s="7" t="s">
        <v>27</v>
      </c>
      <c r="G17" s="7" t="s">
        <v>35</v>
      </c>
      <c r="H17" s="7" t="s">
        <v>35</v>
      </c>
      <c r="I17" s="7" t="s">
        <v>35</v>
      </c>
      <c r="J17" s="10" t="s">
        <v>23</v>
      </c>
      <c r="K17" s="10" t="s">
        <v>28</v>
      </c>
      <c r="L17" s="10" t="s">
        <v>23</v>
      </c>
      <c r="M17" s="10" t="s">
        <v>23</v>
      </c>
      <c r="N17" s="10" t="s">
        <v>23</v>
      </c>
    </row>
    <row r="18" spans="1:14">
      <c r="A18" s="2">
        <v>16</v>
      </c>
      <c r="B18" s="2" t="s">
        <v>613</v>
      </c>
      <c r="E18" s="7" t="s">
        <v>35</v>
      </c>
      <c r="F18" s="7" t="s">
        <v>35</v>
      </c>
      <c r="G18" s="7" t="s">
        <v>35</v>
      </c>
      <c r="H18" s="7" t="s">
        <v>29</v>
      </c>
      <c r="I18" s="7" t="s">
        <v>29</v>
      </c>
      <c r="J18" s="10" t="s">
        <v>23</v>
      </c>
      <c r="K18" s="10" t="s">
        <v>23</v>
      </c>
      <c r="L18" s="10" t="s">
        <v>23</v>
      </c>
      <c r="M18" s="10" t="s">
        <v>30</v>
      </c>
      <c r="N18" s="10" t="s">
        <v>30</v>
      </c>
    </row>
    <row r="19" spans="1:14">
      <c r="A19" s="2">
        <v>17</v>
      </c>
      <c r="B19" s="2" t="s">
        <v>614</v>
      </c>
      <c r="E19" s="7" t="s">
        <v>35</v>
      </c>
      <c r="F19" s="7" t="s">
        <v>27</v>
      </c>
      <c r="G19" s="7" t="s">
        <v>27</v>
      </c>
      <c r="H19" s="7" t="s">
        <v>38</v>
      </c>
      <c r="I19" s="7" t="s">
        <v>29</v>
      </c>
      <c r="J19" s="10" t="s">
        <v>23</v>
      </c>
      <c r="K19" s="10" t="s">
        <v>28</v>
      </c>
      <c r="L19" s="10" t="s">
        <v>28</v>
      </c>
      <c r="M19" s="10" t="s">
        <v>23</v>
      </c>
      <c r="N19" s="10" t="s">
        <v>30</v>
      </c>
    </row>
    <row r="20" spans="1:14">
      <c r="A20" s="2">
        <v>18</v>
      </c>
      <c r="B20" s="2" t="s">
        <v>615</v>
      </c>
      <c r="E20" s="7" t="s">
        <v>153</v>
      </c>
      <c r="F20" s="7" t="s">
        <v>27</v>
      </c>
      <c r="G20" s="7" t="s">
        <v>27</v>
      </c>
      <c r="H20" s="7" t="s">
        <v>153</v>
      </c>
      <c r="I20" s="7" t="s">
        <v>25</v>
      </c>
      <c r="J20" s="10" t="s">
        <v>23</v>
      </c>
      <c r="K20" s="10" t="s">
        <v>28</v>
      </c>
      <c r="L20" s="10" t="s">
        <v>28</v>
      </c>
      <c r="M20" s="10" t="s">
        <v>23</v>
      </c>
      <c r="N20" s="10" t="s">
        <v>26</v>
      </c>
    </row>
    <row r="21" spans="1:14">
      <c r="A21" s="2">
        <v>19</v>
      </c>
      <c r="B21" s="2" t="s">
        <v>616</v>
      </c>
      <c r="E21" s="7" t="s">
        <v>41</v>
      </c>
      <c r="F21" s="7" t="s">
        <v>153</v>
      </c>
      <c r="G21" s="7" t="s">
        <v>27</v>
      </c>
      <c r="H21" s="7" t="s">
        <v>38</v>
      </c>
      <c r="I21" s="7" t="s">
        <v>29</v>
      </c>
      <c r="J21" s="10" t="s">
        <v>42</v>
      </c>
      <c r="K21" s="10" t="s">
        <v>23</v>
      </c>
      <c r="L21" s="10" t="s">
        <v>28</v>
      </c>
      <c r="M21" s="10" t="s">
        <v>23</v>
      </c>
      <c r="N21" s="10" t="s">
        <v>30</v>
      </c>
    </row>
    <row r="22" spans="1:14">
      <c r="A22" s="2">
        <v>20</v>
      </c>
      <c r="B22" s="2" t="s">
        <v>617</v>
      </c>
      <c r="E22" s="7" t="s">
        <v>27</v>
      </c>
      <c r="F22" s="7" t="s">
        <v>27</v>
      </c>
      <c r="G22" s="7" t="s">
        <v>51</v>
      </c>
      <c r="H22" s="7" t="s">
        <v>35</v>
      </c>
      <c r="I22" s="7" t="s">
        <v>38</v>
      </c>
      <c r="J22" s="10" t="s">
        <v>28</v>
      </c>
      <c r="K22" s="10" t="s">
        <v>28</v>
      </c>
      <c r="L22" s="10" t="s">
        <v>23</v>
      </c>
      <c r="M22" s="10" t="s">
        <v>23</v>
      </c>
      <c r="N22" s="10" t="s">
        <v>23</v>
      </c>
    </row>
    <row r="23" spans="1:14">
      <c r="A23" s="2">
        <v>21</v>
      </c>
      <c r="B23" s="2" t="s">
        <v>618</v>
      </c>
      <c r="E23" s="7" t="s">
        <v>25</v>
      </c>
      <c r="F23" s="7" t="s">
        <v>38</v>
      </c>
      <c r="G23" s="7" t="s">
        <v>29</v>
      </c>
      <c r="H23" s="7" t="s">
        <v>25</v>
      </c>
      <c r="I23" s="7" t="s">
        <v>38</v>
      </c>
      <c r="J23" s="10" t="s">
        <v>26</v>
      </c>
      <c r="K23" s="10" t="s">
        <v>23</v>
      </c>
      <c r="L23" s="10" t="s">
        <v>30</v>
      </c>
      <c r="M23" s="10" t="s">
        <v>26</v>
      </c>
      <c r="N23" s="10" t="s">
        <v>23</v>
      </c>
    </row>
    <row r="24" spans="1:14">
      <c r="A24" s="2">
        <v>22</v>
      </c>
      <c r="B24" s="2" t="s">
        <v>619</v>
      </c>
      <c r="E24" s="7" t="s">
        <v>164</v>
      </c>
      <c r="F24" s="7" t="s">
        <v>38</v>
      </c>
      <c r="G24" s="7" t="s">
        <v>29</v>
      </c>
      <c r="H24" s="7" t="s">
        <v>29</v>
      </c>
      <c r="I24" s="7" t="s">
        <v>27</v>
      </c>
      <c r="J24" s="10" t="s">
        <v>23</v>
      </c>
      <c r="K24" s="10" t="s">
        <v>23</v>
      </c>
      <c r="L24" s="10" t="s">
        <v>30</v>
      </c>
      <c r="M24" s="10" t="s">
        <v>30</v>
      </c>
      <c r="N24" s="10" t="s">
        <v>28</v>
      </c>
    </row>
    <row r="25" spans="1:14">
      <c r="A25" s="2">
        <v>23</v>
      </c>
      <c r="B25" s="2" t="s">
        <v>620</v>
      </c>
      <c r="E25" s="7" t="s">
        <v>31</v>
      </c>
      <c r="F25" s="7" t="s">
        <v>29</v>
      </c>
      <c r="G25" s="7" t="s">
        <v>41</v>
      </c>
      <c r="H25" s="7" t="s">
        <v>27</v>
      </c>
      <c r="I25" s="7" t="s">
        <v>27</v>
      </c>
      <c r="J25" s="10" t="s">
        <v>23</v>
      </c>
      <c r="K25" s="10" t="s">
        <v>30</v>
      </c>
      <c r="L25" s="10" t="s">
        <v>42</v>
      </c>
      <c r="M25" s="10" t="s">
        <v>28</v>
      </c>
      <c r="N25" s="10" t="s">
        <v>28</v>
      </c>
    </row>
    <row r="26" spans="1:14">
      <c r="A26" s="2">
        <v>24</v>
      </c>
      <c r="B26" s="2" t="s">
        <v>621</v>
      </c>
      <c r="E26" s="7" t="s">
        <v>38</v>
      </c>
      <c r="F26" s="7" t="s">
        <v>38</v>
      </c>
      <c r="G26" s="7" t="s">
        <v>38</v>
      </c>
      <c r="H26" s="7" t="s">
        <v>38</v>
      </c>
      <c r="I26" s="7" t="s">
        <v>38</v>
      </c>
      <c r="J26" s="10" t="s">
        <v>23</v>
      </c>
      <c r="K26" s="10" t="s">
        <v>23</v>
      </c>
      <c r="L26" s="10" t="s">
        <v>23</v>
      </c>
      <c r="M26" s="10" t="s">
        <v>23</v>
      </c>
      <c r="N26" s="10" t="s">
        <v>23</v>
      </c>
    </row>
    <row r="27" spans="1:14">
      <c r="A27" s="2">
        <v>25</v>
      </c>
      <c r="B27" s="2" t="s">
        <v>622</v>
      </c>
      <c r="E27" s="7" t="s">
        <v>153</v>
      </c>
      <c r="F27" s="7" t="s">
        <v>27</v>
      </c>
      <c r="G27" s="7" t="s">
        <v>147</v>
      </c>
      <c r="H27" s="7" t="s">
        <v>38</v>
      </c>
      <c r="I27" s="7" t="s">
        <v>27</v>
      </c>
      <c r="J27" s="10" t="s">
        <v>23</v>
      </c>
      <c r="K27" s="10" t="s">
        <v>28</v>
      </c>
      <c r="L27" s="10" t="s">
        <v>23</v>
      </c>
      <c r="M27" s="10" t="s">
        <v>23</v>
      </c>
      <c r="N27" s="10" t="s">
        <v>28</v>
      </c>
    </row>
    <row r="28" spans="1:14">
      <c r="A28" s="2">
        <v>26</v>
      </c>
      <c r="B28" s="2" t="s">
        <v>623</v>
      </c>
      <c r="E28" s="7" t="s">
        <v>27</v>
      </c>
      <c r="F28" s="7" t="s">
        <v>29</v>
      </c>
      <c r="G28" s="7" t="s">
        <v>29</v>
      </c>
      <c r="H28" s="7" t="s">
        <v>38</v>
      </c>
      <c r="I28" s="7" t="s">
        <v>35</v>
      </c>
      <c r="J28" s="10" t="s">
        <v>28</v>
      </c>
      <c r="K28" s="10" t="s">
        <v>30</v>
      </c>
      <c r="L28" s="10" t="s">
        <v>30</v>
      </c>
      <c r="M28" s="10" t="s">
        <v>23</v>
      </c>
      <c r="N28" s="10" t="s">
        <v>23</v>
      </c>
    </row>
    <row r="29" spans="1:14">
      <c r="A29" s="2">
        <v>27</v>
      </c>
      <c r="B29" s="2" t="s">
        <v>624</v>
      </c>
      <c r="E29" s="7" t="s">
        <v>29</v>
      </c>
      <c r="F29" s="7" t="s">
        <v>51</v>
      </c>
      <c r="G29" s="7" t="s">
        <v>27</v>
      </c>
      <c r="H29" s="7" t="s">
        <v>29</v>
      </c>
      <c r="I29" s="7" t="s">
        <v>29</v>
      </c>
      <c r="J29" s="10" t="s">
        <v>30</v>
      </c>
      <c r="K29" s="10" t="s">
        <v>23</v>
      </c>
      <c r="L29" s="10" t="s">
        <v>28</v>
      </c>
      <c r="M29" s="10" t="s">
        <v>30</v>
      </c>
      <c r="N29" s="10" t="s">
        <v>30</v>
      </c>
    </row>
    <row r="30" spans="1:14">
      <c r="A30" s="2">
        <v>28</v>
      </c>
      <c r="B30" s="2" t="s">
        <v>625</v>
      </c>
      <c r="E30" s="7" t="s">
        <v>29</v>
      </c>
      <c r="F30" s="7" t="s">
        <v>29</v>
      </c>
      <c r="G30" s="7" t="s">
        <v>27</v>
      </c>
      <c r="H30" s="7" t="s">
        <v>29</v>
      </c>
      <c r="I30" s="7" t="s">
        <v>155</v>
      </c>
      <c r="J30" s="10" t="s">
        <v>30</v>
      </c>
      <c r="K30" s="10" t="s">
        <v>30</v>
      </c>
      <c r="L30" s="10" t="s">
        <v>28</v>
      </c>
      <c r="M30" s="10" t="s">
        <v>30</v>
      </c>
      <c r="N30" s="10" t="s">
        <v>23</v>
      </c>
    </row>
    <row r="31" spans="1:14">
      <c r="A31" s="2">
        <v>29</v>
      </c>
      <c r="B31" s="2" t="s">
        <v>626</v>
      </c>
      <c r="E31" s="7" t="s">
        <v>89</v>
      </c>
      <c r="F31" s="7" t="s">
        <v>89</v>
      </c>
      <c r="G31" s="7" t="s">
        <v>89</v>
      </c>
      <c r="H31" s="7" t="s">
        <v>29</v>
      </c>
      <c r="I31" s="7" t="s">
        <v>119</v>
      </c>
      <c r="J31" s="10" t="s">
        <v>23</v>
      </c>
      <c r="K31" s="10" t="s">
        <v>23</v>
      </c>
      <c r="L31" s="10" t="s">
        <v>23</v>
      </c>
      <c r="M31" s="10" t="s">
        <v>30</v>
      </c>
      <c r="N31" s="10" t="s">
        <v>23</v>
      </c>
    </row>
    <row r="32" spans="1:14">
      <c r="A32" s="2">
        <v>30</v>
      </c>
      <c r="B32" s="2" t="s">
        <v>627</v>
      </c>
      <c r="E32" s="7" t="s">
        <v>29</v>
      </c>
      <c r="F32" s="7" t="s">
        <v>41</v>
      </c>
      <c r="G32" s="7" t="s">
        <v>189</v>
      </c>
      <c r="H32" s="7" t="s">
        <v>38</v>
      </c>
      <c r="I32" s="7" t="s">
        <v>38</v>
      </c>
      <c r="J32" s="10" t="s">
        <v>30</v>
      </c>
      <c r="K32" s="10" t="s">
        <v>42</v>
      </c>
      <c r="L32" s="10" t="s">
        <v>23</v>
      </c>
      <c r="M32" s="10" t="s">
        <v>23</v>
      </c>
      <c r="N32" s="10" t="s">
        <v>23</v>
      </c>
    </row>
    <row r="33" spans="1:14">
      <c r="A33" s="2">
        <v>31</v>
      </c>
      <c r="B33" s="2" t="s">
        <v>628</v>
      </c>
      <c r="E33" s="7" t="s">
        <v>29</v>
      </c>
      <c r="F33" s="7" t="s">
        <v>38</v>
      </c>
      <c r="G33" s="7" t="s">
        <v>27</v>
      </c>
      <c r="H33" s="7" t="s">
        <v>38</v>
      </c>
      <c r="I33" s="7" t="s">
        <v>38</v>
      </c>
      <c r="J33" s="10" t="s">
        <v>30</v>
      </c>
      <c r="K33" s="10" t="s">
        <v>23</v>
      </c>
      <c r="L33" s="10" t="s">
        <v>28</v>
      </c>
      <c r="M33" s="10" t="s">
        <v>23</v>
      </c>
      <c r="N33" s="10" t="s">
        <v>23</v>
      </c>
    </row>
    <row r="34" spans="1:14">
      <c r="A34" s="2">
        <v>32</v>
      </c>
      <c r="B34" s="2" t="s">
        <v>629</v>
      </c>
      <c r="E34" s="7" t="s">
        <v>38</v>
      </c>
      <c r="F34" s="7" t="s">
        <v>27</v>
      </c>
      <c r="G34" s="7" t="s">
        <v>29</v>
      </c>
      <c r="H34" s="7" t="s">
        <v>38</v>
      </c>
      <c r="I34" s="7" t="s">
        <v>38</v>
      </c>
      <c r="J34" s="10" t="s">
        <v>23</v>
      </c>
      <c r="K34" s="10" t="s">
        <v>28</v>
      </c>
      <c r="L34" s="10" t="s">
        <v>30</v>
      </c>
      <c r="M34" s="10" t="s">
        <v>23</v>
      </c>
      <c r="N34" s="10" t="s">
        <v>23</v>
      </c>
    </row>
    <row r="35" spans="1:14">
      <c r="A35" s="2">
        <v>33</v>
      </c>
      <c r="B35" s="2" t="s">
        <v>630</v>
      </c>
      <c r="E35" s="7" t="s">
        <v>29</v>
      </c>
      <c r="F35" s="7" t="s">
        <v>29</v>
      </c>
      <c r="G35" s="7" t="s">
        <v>38</v>
      </c>
      <c r="H35" s="7" t="s">
        <v>38</v>
      </c>
      <c r="I35" s="7" t="s">
        <v>29</v>
      </c>
      <c r="J35" s="10" t="s">
        <v>30</v>
      </c>
      <c r="K35" s="10" t="s">
        <v>30</v>
      </c>
      <c r="L35" s="10" t="s">
        <v>23</v>
      </c>
      <c r="M35" s="10" t="s">
        <v>23</v>
      </c>
      <c r="N35" s="10" t="s">
        <v>30</v>
      </c>
    </row>
    <row r="36" spans="1:14">
      <c r="A36" s="2">
        <v>34</v>
      </c>
      <c r="B36" s="2" t="s">
        <v>631</v>
      </c>
      <c r="E36" s="7" t="s">
        <v>22</v>
      </c>
      <c r="F36" s="7" t="s">
        <v>22</v>
      </c>
      <c r="G36" s="7" t="s">
        <v>22</v>
      </c>
      <c r="H36" s="7" t="s">
        <v>22</v>
      </c>
      <c r="I36" s="7" t="s">
        <v>22</v>
      </c>
      <c r="J36" s="10" t="s">
        <v>23</v>
      </c>
      <c r="K36" s="10" t="s">
        <v>23</v>
      </c>
      <c r="L36" s="10" t="s">
        <v>23</v>
      </c>
      <c r="M36" s="10" t="s">
        <v>23</v>
      </c>
      <c r="N36" s="10" t="s">
        <v>23</v>
      </c>
    </row>
    <row r="37" spans="1:14">
      <c r="A37" s="2">
        <v>35</v>
      </c>
      <c r="B37" s="2" t="s">
        <v>632</v>
      </c>
      <c r="E37" s="7" t="s">
        <v>22</v>
      </c>
      <c r="F37" s="7" t="s">
        <v>22</v>
      </c>
      <c r="G37" s="7" t="s">
        <v>38</v>
      </c>
      <c r="H37" s="7" t="s">
        <v>22</v>
      </c>
      <c r="I37" s="7" t="s">
        <v>22</v>
      </c>
      <c r="J37" s="10" t="s">
        <v>23</v>
      </c>
      <c r="K37" s="10" t="s">
        <v>23</v>
      </c>
      <c r="L37" s="10" t="s">
        <v>23</v>
      </c>
      <c r="M37" s="10" t="s">
        <v>23</v>
      </c>
      <c r="N37" s="10" t="s">
        <v>23</v>
      </c>
    </row>
    <row r="38" spans="1:14">
      <c r="A38" s="2">
        <v>36</v>
      </c>
      <c r="B38" s="2" t="s">
        <v>633</v>
      </c>
      <c r="E38" s="7" t="s">
        <v>27</v>
      </c>
      <c r="F38" s="7" t="s">
        <v>38</v>
      </c>
      <c r="G38" s="7" t="s">
        <v>29</v>
      </c>
      <c r="H38" s="7" t="s">
        <v>29</v>
      </c>
      <c r="I38" s="7" t="s">
        <v>29</v>
      </c>
      <c r="J38" s="10" t="s">
        <v>28</v>
      </c>
      <c r="K38" s="10" t="s">
        <v>23</v>
      </c>
      <c r="L38" s="10" t="s">
        <v>30</v>
      </c>
      <c r="M38" s="10" t="s">
        <v>30</v>
      </c>
      <c r="N38" s="10" t="s">
        <v>30</v>
      </c>
    </row>
    <row r="39" spans="1:14">
      <c r="A39" s="2">
        <v>37</v>
      </c>
      <c r="B39" s="2" t="s">
        <v>634</v>
      </c>
      <c r="E39" s="7" t="s">
        <v>29</v>
      </c>
      <c r="F39" s="7" t="s">
        <v>29</v>
      </c>
      <c r="G39" s="7" t="s">
        <v>38</v>
      </c>
      <c r="H39" s="7" t="s">
        <v>27</v>
      </c>
      <c r="I39" s="7" t="s">
        <v>29</v>
      </c>
      <c r="J39" s="10" t="s">
        <v>30</v>
      </c>
      <c r="K39" s="10" t="s">
        <v>30</v>
      </c>
      <c r="L39" s="10" t="s">
        <v>23</v>
      </c>
      <c r="M39" s="10" t="s">
        <v>28</v>
      </c>
      <c r="N39" s="10" t="s">
        <v>30</v>
      </c>
    </row>
    <row r="40" spans="1:14">
      <c r="A40" s="2">
        <v>38</v>
      </c>
      <c r="B40" s="2" t="s">
        <v>635</v>
      </c>
      <c r="E40" s="7" t="s">
        <v>35</v>
      </c>
      <c r="F40" s="7" t="s">
        <v>25</v>
      </c>
      <c r="G40" s="7" t="s">
        <v>147</v>
      </c>
      <c r="H40" s="7" t="s">
        <v>157</v>
      </c>
      <c r="I40" s="7" t="s">
        <v>27</v>
      </c>
      <c r="J40" s="10" t="s">
        <v>23</v>
      </c>
      <c r="K40" s="10" t="s">
        <v>26</v>
      </c>
      <c r="L40" s="10" t="s">
        <v>23</v>
      </c>
      <c r="M40" s="10" t="s">
        <v>23</v>
      </c>
      <c r="N40" s="10" t="s">
        <v>28</v>
      </c>
    </row>
    <row r="41" spans="1:14">
      <c r="A41" s="2">
        <v>39</v>
      </c>
      <c r="B41" s="2" t="s">
        <v>636</v>
      </c>
      <c r="E41" s="7" t="s">
        <v>27</v>
      </c>
      <c r="F41" s="7" t="s">
        <v>27</v>
      </c>
      <c r="G41" s="7" t="s">
        <v>35</v>
      </c>
      <c r="H41" s="7" t="s">
        <v>29</v>
      </c>
      <c r="I41" s="7" t="s">
        <v>29</v>
      </c>
      <c r="J41" s="10" t="s">
        <v>28</v>
      </c>
      <c r="K41" s="10" t="s">
        <v>28</v>
      </c>
      <c r="L41" s="10" t="s">
        <v>23</v>
      </c>
      <c r="M41" s="10" t="s">
        <v>30</v>
      </c>
      <c r="N41" s="10" t="s">
        <v>30</v>
      </c>
    </row>
    <row r="42" spans="1:14">
      <c r="A42" s="2">
        <v>40</v>
      </c>
      <c r="B42" s="2" t="s">
        <v>637</v>
      </c>
      <c r="E42" s="7" t="s">
        <v>51</v>
      </c>
      <c r="F42" s="7" t="s">
        <v>29</v>
      </c>
      <c r="G42" s="7" t="s">
        <v>29</v>
      </c>
      <c r="H42" s="7" t="s">
        <v>29</v>
      </c>
      <c r="I42" s="7" t="s">
        <v>27</v>
      </c>
      <c r="J42" s="10" t="s">
        <v>23</v>
      </c>
      <c r="K42" s="10" t="s">
        <v>30</v>
      </c>
      <c r="L42" s="10" t="s">
        <v>30</v>
      </c>
      <c r="M42" s="10" t="s">
        <v>30</v>
      </c>
      <c r="N42" s="10" t="s">
        <v>28</v>
      </c>
    </row>
    <row r="43" spans="1:14">
      <c r="A43" s="2">
        <v>41</v>
      </c>
      <c r="B43" s="2" t="s">
        <v>638</v>
      </c>
      <c r="E43" s="7" t="s">
        <v>27</v>
      </c>
      <c r="F43" s="7" t="s">
        <v>29</v>
      </c>
      <c r="G43" s="7" t="s">
        <v>29</v>
      </c>
      <c r="H43" s="7" t="s">
        <v>31</v>
      </c>
      <c r="I43" s="7" t="s">
        <v>29</v>
      </c>
      <c r="J43" s="10" t="s">
        <v>28</v>
      </c>
      <c r="K43" s="10" t="s">
        <v>30</v>
      </c>
      <c r="L43" s="10" t="s">
        <v>30</v>
      </c>
      <c r="M43" s="10" t="s">
        <v>23</v>
      </c>
      <c r="N43" s="10" t="s">
        <v>30</v>
      </c>
    </row>
    <row r="44" spans="1:14">
      <c r="A44" s="2">
        <v>42</v>
      </c>
      <c r="B44" s="2" t="s">
        <v>639</v>
      </c>
      <c r="E44" s="7" t="s">
        <v>29</v>
      </c>
      <c r="F44" s="7" t="s">
        <v>29</v>
      </c>
      <c r="G44" s="7" t="s">
        <v>29</v>
      </c>
      <c r="H44" s="7" t="s">
        <v>29</v>
      </c>
      <c r="I44" s="7" t="s">
        <v>29</v>
      </c>
      <c r="J44" s="10" t="s">
        <v>30</v>
      </c>
      <c r="K44" s="10" t="s">
        <v>30</v>
      </c>
      <c r="L44" s="10" t="s">
        <v>30</v>
      </c>
      <c r="M44" s="10" t="s">
        <v>30</v>
      </c>
      <c r="N44" s="10" t="s">
        <v>30</v>
      </c>
    </row>
    <row r="45" spans="1:14">
      <c r="A45" s="2">
        <v>43</v>
      </c>
      <c r="B45" s="2" t="s">
        <v>640</v>
      </c>
      <c r="E45" s="7" t="s">
        <v>27</v>
      </c>
      <c r="F45" s="7" t="s">
        <v>29</v>
      </c>
      <c r="G45" s="7" t="s">
        <v>29</v>
      </c>
      <c r="H45" s="7" t="s">
        <v>29</v>
      </c>
      <c r="I45" s="7" t="s">
        <v>29</v>
      </c>
      <c r="J45" s="10" t="s">
        <v>28</v>
      </c>
      <c r="K45" s="10" t="s">
        <v>30</v>
      </c>
      <c r="L45" s="10" t="s">
        <v>30</v>
      </c>
      <c r="M45" s="10" t="s">
        <v>30</v>
      </c>
      <c r="N45" s="10" t="s">
        <v>30</v>
      </c>
    </row>
    <row r="46" spans="1:14">
      <c r="A46" s="2">
        <v>44</v>
      </c>
      <c r="B46" s="2" t="s">
        <v>641</v>
      </c>
      <c r="E46" s="7" t="s">
        <v>29</v>
      </c>
      <c r="F46" s="7" t="s">
        <v>29</v>
      </c>
      <c r="G46" s="7" t="s">
        <v>29</v>
      </c>
      <c r="H46" s="7" t="s">
        <v>29</v>
      </c>
      <c r="I46" s="7" t="s">
        <v>41</v>
      </c>
      <c r="J46" s="10" t="s">
        <v>30</v>
      </c>
      <c r="K46" s="10" t="s">
        <v>30</v>
      </c>
      <c r="L46" s="10" t="s">
        <v>30</v>
      </c>
      <c r="M46" s="10" t="s">
        <v>30</v>
      </c>
      <c r="N46" s="10" t="s">
        <v>42</v>
      </c>
    </row>
    <row r="47" spans="1:14">
      <c r="A47" s="2">
        <v>45</v>
      </c>
      <c r="B47" s="2" t="s">
        <v>642</v>
      </c>
      <c r="E47" s="7" t="s">
        <v>22</v>
      </c>
      <c r="F47" s="7" t="s">
        <v>29</v>
      </c>
      <c r="G47" s="7" t="s">
        <v>38</v>
      </c>
      <c r="H47" s="7" t="s">
        <v>38</v>
      </c>
      <c r="I47" s="7" t="s">
        <v>29</v>
      </c>
      <c r="J47" s="10" t="s">
        <v>23</v>
      </c>
      <c r="K47" s="10" t="s">
        <v>30</v>
      </c>
      <c r="L47" s="10" t="s">
        <v>23</v>
      </c>
      <c r="M47" s="10" t="s">
        <v>23</v>
      </c>
      <c r="N47" s="10" t="s">
        <v>30</v>
      </c>
    </row>
    <row r="48" spans="1:14">
      <c r="A48" s="2">
        <v>46</v>
      </c>
      <c r="B48" s="2" t="s">
        <v>643</v>
      </c>
      <c r="E48" s="7" t="s">
        <v>29</v>
      </c>
      <c r="F48" s="7" t="s">
        <v>31</v>
      </c>
      <c r="G48" s="7" t="s">
        <v>27</v>
      </c>
      <c r="H48" s="7" t="s">
        <v>27</v>
      </c>
      <c r="I48" s="7" t="s">
        <v>38</v>
      </c>
      <c r="J48" s="10" t="s">
        <v>30</v>
      </c>
      <c r="K48" s="10" t="s">
        <v>23</v>
      </c>
      <c r="L48" s="10" t="s">
        <v>28</v>
      </c>
      <c r="M48" s="10" t="s">
        <v>28</v>
      </c>
      <c r="N48" s="10" t="s">
        <v>23</v>
      </c>
    </row>
    <row r="49" spans="1:14">
      <c r="A49" s="2">
        <v>47</v>
      </c>
      <c r="B49" s="2" t="s">
        <v>644</v>
      </c>
      <c r="E49" s="7" t="s">
        <v>29</v>
      </c>
      <c r="F49" s="7" t="s">
        <v>31</v>
      </c>
      <c r="G49" s="7" t="s">
        <v>31</v>
      </c>
      <c r="H49" s="7" t="s">
        <v>31</v>
      </c>
      <c r="I49" s="7" t="s">
        <v>31</v>
      </c>
      <c r="J49" s="10" t="s">
        <v>30</v>
      </c>
      <c r="K49" s="10" t="s">
        <v>23</v>
      </c>
      <c r="L49" s="10" t="s">
        <v>23</v>
      </c>
      <c r="M49" s="10" t="s">
        <v>23</v>
      </c>
      <c r="N49" s="10" t="s">
        <v>23</v>
      </c>
    </row>
    <row r="50" spans="1:14">
      <c r="A50" s="2">
        <v>48</v>
      </c>
      <c r="B50" s="2" t="s">
        <v>645</v>
      </c>
      <c r="E50" s="7" t="s">
        <v>29</v>
      </c>
      <c r="F50" s="7" t="s">
        <v>31</v>
      </c>
      <c r="G50" s="7" t="s">
        <v>41</v>
      </c>
      <c r="H50" s="7" t="s">
        <v>29</v>
      </c>
      <c r="I50" s="7" t="s">
        <v>29</v>
      </c>
      <c r="J50" s="10" t="s">
        <v>30</v>
      </c>
      <c r="K50" s="10" t="s">
        <v>23</v>
      </c>
      <c r="L50" s="10" t="s">
        <v>42</v>
      </c>
      <c r="M50" s="10" t="s">
        <v>30</v>
      </c>
      <c r="N50" s="10" t="s">
        <v>30</v>
      </c>
    </row>
    <row r="51" spans="1:14">
      <c r="A51" s="2">
        <v>49</v>
      </c>
      <c r="B51" s="2" t="s">
        <v>646</v>
      </c>
      <c r="E51" s="7" t="s">
        <v>29</v>
      </c>
      <c r="F51" s="7" t="s">
        <v>27</v>
      </c>
      <c r="G51" s="7" t="s">
        <v>29</v>
      </c>
      <c r="H51" s="7" t="s">
        <v>41</v>
      </c>
      <c r="I51" s="7" t="s">
        <v>51</v>
      </c>
      <c r="J51" s="10" t="s">
        <v>30</v>
      </c>
      <c r="K51" s="10" t="s">
        <v>28</v>
      </c>
      <c r="L51" s="10" t="s">
        <v>30</v>
      </c>
      <c r="M51" s="10" t="s">
        <v>42</v>
      </c>
      <c r="N51" s="10" t="s">
        <v>23</v>
      </c>
    </row>
    <row r="52" spans="1:14">
      <c r="A52" s="2">
        <v>50</v>
      </c>
      <c r="B52" s="2" t="s">
        <v>647</v>
      </c>
      <c r="E52" s="7" t="s">
        <v>27</v>
      </c>
      <c r="F52" s="7" t="s">
        <v>27</v>
      </c>
      <c r="G52" s="7" t="s">
        <v>41</v>
      </c>
      <c r="H52" s="7" t="s">
        <v>41</v>
      </c>
      <c r="I52" s="7" t="s">
        <v>29</v>
      </c>
      <c r="J52" s="10" t="s">
        <v>28</v>
      </c>
      <c r="K52" s="10" t="s">
        <v>28</v>
      </c>
      <c r="L52" s="10" t="s">
        <v>42</v>
      </c>
      <c r="M52" s="10" t="s">
        <v>42</v>
      </c>
      <c r="N52" s="10" t="s">
        <v>30</v>
      </c>
    </row>
  </sheetData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51"/>
  <sheetViews>
    <sheetView workbookViewId="0">
      <selection activeCell="M7" sqref="M7"/>
    </sheetView>
  </sheetViews>
  <sheetFormatPr baseColWidth="10" defaultColWidth="8.83203125" defaultRowHeight="14" x14ac:dyDescent="0"/>
  <cols>
    <col min="1" max="1" width="2.83203125" bestFit="1" customWidth="1"/>
    <col min="2" max="2" width="12.83203125" bestFit="1" customWidth="1"/>
    <col min="3" max="4" width="1.83203125" bestFit="1" customWidth="1"/>
    <col min="5" max="5" width="3.33203125" style="17" bestFit="1" customWidth="1"/>
    <col min="6" max="6" width="5.33203125" bestFit="1" customWidth="1"/>
    <col min="7" max="8" width="3.33203125" bestFit="1" customWidth="1"/>
    <col min="9" max="10" width="4.33203125" bestFit="1" customWidth="1"/>
    <col min="11" max="11" width="3.33203125" bestFit="1" customWidth="1"/>
    <col min="12" max="12" width="4.33203125" bestFit="1" customWidth="1"/>
    <col min="13" max="13" width="3.33203125" bestFit="1" customWidth="1"/>
    <col min="14" max="15" width="4.33203125" bestFit="1" customWidth="1"/>
    <col min="16" max="16" width="3.33203125" bestFit="1" customWidth="1"/>
    <col min="17" max="17" width="3.33203125" style="17" bestFit="1" customWidth="1"/>
    <col min="18" max="18" width="3.33203125" style="10" bestFit="1" customWidth="1"/>
    <col min="19" max="19" width="3.33203125" bestFit="1" customWidth="1"/>
    <col min="20" max="20" width="4.33203125" bestFit="1" customWidth="1"/>
    <col min="21" max="22" width="3.33203125" bestFit="1" customWidth="1"/>
    <col min="23" max="23" width="5.33203125" bestFit="1" customWidth="1"/>
    <col min="24" max="27" width="3.33203125" bestFit="1" customWidth="1"/>
    <col min="28" max="28" width="4.33203125" bestFit="1" customWidth="1"/>
    <col min="29" max="29" width="3.33203125" bestFit="1" customWidth="1"/>
    <col min="30" max="30" width="4.33203125" bestFit="1" customWidth="1"/>
    <col min="31" max="32" width="3.33203125" bestFit="1" customWidth="1"/>
    <col min="33" max="33" width="4.33203125" bestFit="1" customWidth="1"/>
    <col min="34" max="35" width="3.33203125" bestFit="1" customWidth="1"/>
    <col min="36" max="36" width="4.33203125" bestFit="1" customWidth="1"/>
    <col min="37" max="37" width="3.33203125" bestFit="1" customWidth="1"/>
    <col min="38" max="38" width="4.33203125" bestFit="1" customWidth="1"/>
    <col min="39" max="44" width="3.33203125" bestFit="1" customWidth="1"/>
    <col min="45" max="45" width="4.33203125" bestFit="1" customWidth="1"/>
    <col min="46" max="46" width="3.33203125" bestFit="1" customWidth="1"/>
    <col min="47" max="48" width="4.33203125" bestFit="1" customWidth="1"/>
    <col min="49" max="51" width="3.33203125" bestFit="1" customWidth="1"/>
    <col min="52" max="52" width="4.33203125" bestFit="1" customWidth="1"/>
    <col min="53" max="55" width="3.33203125" bestFit="1" customWidth="1"/>
    <col min="56" max="56" width="4.33203125" bestFit="1" customWidth="1"/>
    <col min="57" max="59" width="3.33203125" bestFit="1" customWidth="1"/>
    <col min="60" max="60" width="4.33203125" bestFit="1" customWidth="1"/>
    <col min="61" max="65" width="3.33203125" bestFit="1" customWidth="1"/>
    <col min="66" max="66" width="4.33203125" bestFit="1" customWidth="1"/>
    <col min="67" max="71" width="3.33203125" bestFit="1" customWidth="1"/>
    <col min="72" max="72" width="4.33203125" bestFit="1" customWidth="1"/>
    <col min="73" max="74" width="3.33203125" bestFit="1" customWidth="1"/>
    <col min="75" max="75" width="3.33203125" style="10" bestFit="1" customWidth="1"/>
    <col min="76" max="87" width="3.33203125" bestFit="1" customWidth="1"/>
    <col min="88" max="88" width="3.33203125" style="10" bestFit="1" customWidth="1"/>
    <col min="89" max="109" width="3.33203125" bestFit="1" customWidth="1"/>
    <col min="110" max="110" width="3.33203125" style="10" bestFit="1" customWidth="1"/>
    <col min="111" max="111" width="3.33203125" bestFit="1" customWidth="1"/>
    <col min="112" max="112" width="4.33203125" bestFit="1" customWidth="1"/>
    <col min="113" max="113" width="3.33203125" bestFit="1" customWidth="1"/>
    <col min="114" max="114" width="3.33203125" style="10" bestFit="1" customWidth="1"/>
    <col min="115" max="115" width="4.33203125" bestFit="1" customWidth="1"/>
    <col min="116" max="116" width="3.33203125" style="10" bestFit="1" customWidth="1"/>
    <col min="117" max="117" width="3.33203125" bestFit="1" customWidth="1"/>
    <col min="118" max="118" width="3.33203125" style="10" bestFit="1" customWidth="1"/>
    <col min="119" max="119" width="4.33203125" bestFit="1" customWidth="1"/>
    <col min="120" max="120" width="3.33203125" style="10" bestFit="1" customWidth="1"/>
    <col min="121" max="121" width="3.33203125" bestFit="1" customWidth="1"/>
    <col min="122" max="122" width="3.33203125" style="10" bestFit="1" customWidth="1"/>
    <col min="123" max="123" width="4.33203125" bestFit="1" customWidth="1"/>
    <col min="124" max="124" width="3.33203125" style="10" bestFit="1" customWidth="1"/>
    <col min="125" max="125" width="4.33203125" bestFit="1" customWidth="1"/>
    <col min="126" max="127" width="3.33203125" bestFit="1" customWidth="1"/>
    <col min="128" max="128" width="3.33203125" style="17" bestFit="1" customWidth="1"/>
    <col min="129" max="129" width="3.33203125" bestFit="1" customWidth="1"/>
  </cols>
  <sheetData>
    <row r="1" spans="1:129" ht="59">
      <c r="F1" s="15" t="s">
        <v>23</v>
      </c>
      <c r="G1" s="15" t="s">
        <v>99</v>
      </c>
      <c r="H1" s="15" t="s">
        <v>101</v>
      </c>
      <c r="I1" s="15" t="s">
        <v>42</v>
      </c>
      <c r="J1" s="15" t="s">
        <v>30</v>
      </c>
      <c r="K1" s="15" t="s">
        <v>105</v>
      </c>
      <c r="L1" s="15" t="s">
        <v>26</v>
      </c>
      <c r="M1" s="15" t="s">
        <v>108</v>
      </c>
      <c r="N1" s="15" t="s">
        <v>28</v>
      </c>
      <c r="O1" s="15" t="s">
        <v>45</v>
      </c>
      <c r="S1" s="15" t="s">
        <v>114</v>
      </c>
      <c r="T1" s="15" t="s">
        <v>89</v>
      </c>
      <c r="U1" s="15" t="s">
        <v>117</v>
      </c>
      <c r="V1" s="15" t="s">
        <v>119</v>
      </c>
      <c r="W1" s="15" t="s">
        <v>22</v>
      </c>
      <c r="X1" s="15" t="s">
        <v>122</v>
      </c>
      <c r="Y1" s="15" t="s">
        <v>124</v>
      </c>
      <c r="Z1" s="15" t="s">
        <v>126</v>
      </c>
      <c r="AA1" s="15" t="s">
        <v>128</v>
      </c>
      <c r="AB1" s="15" t="s">
        <v>66</v>
      </c>
      <c r="AC1" s="15" t="s">
        <v>131</v>
      </c>
      <c r="AD1" s="15" t="s">
        <v>35</v>
      </c>
      <c r="AE1" s="15" t="s">
        <v>134</v>
      </c>
      <c r="AF1" s="15" t="s">
        <v>136</v>
      </c>
      <c r="AG1" s="15" t="s">
        <v>59</v>
      </c>
      <c r="AH1" s="15" t="s">
        <v>139</v>
      </c>
      <c r="AI1" s="15" t="s">
        <v>141</v>
      </c>
      <c r="AJ1" s="15" t="s">
        <v>37</v>
      </c>
      <c r="AK1" s="15" t="s">
        <v>144</v>
      </c>
      <c r="AL1" s="15" t="s">
        <v>64</v>
      </c>
      <c r="AM1" s="15" t="s">
        <v>147</v>
      </c>
      <c r="AN1" s="15" t="s">
        <v>149</v>
      </c>
      <c r="AO1" s="15" t="s">
        <v>151</v>
      </c>
      <c r="AP1" s="15" t="s">
        <v>153</v>
      </c>
      <c r="AQ1" s="15" t="s">
        <v>155</v>
      </c>
      <c r="AR1" s="15" t="s">
        <v>157</v>
      </c>
      <c r="AS1" s="15" t="s">
        <v>31</v>
      </c>
      <c r="AT1" s="15" t="s">
        <v>160</v>
      </c>
      <c r="AU1" s="15" t="s">
        <v>55</v>
      </c>
      <c r="AV1" s="15" t="s">
        <v>38</v>
      </c>
      <c r="AW1" s="15" t="s">
        <v>164</v>
      </c>
      <c r="AX1" s="15" t="s">
        <v>166</v>
      </c>
      <c r="AY1" s="15" t="s">
        <v>168</v>
      </c>
      <c r="AZ1" s="15" t="s">
        <v>72</v>
      </c>
      <c r="BA1" s="15" t="s">
        <v>171</v>
      </c>
      <c r="BB1" s="15" t="s">
        <v>173</v>
      </c>
      <c r="BC1" s="15" t="s">
        <v>175</v>
      </c>
      <c r="BD1" s="15" t="s">
        <v>33</v>
      </c>
      <c r="BE1" s="15" t="s">
        <v>178</v>
      </c>
      <c r="BF1" s="15" t="s">
        <v>180</v>
      </c>
      <c r="BG1" s="15" t="s">
        <v>182</v>
      </c>
      <c r="BH1" s="15" t="s">
        <v>69</v>
      </c>
      <c r="BI1" s="15" t="s">
        <v>185</v>
      </c>
      <c r="BJ1" s="15" t="s">
        <v>187</v>
      </c>
      <c r="BK1" s="15" t="s">
        <v>189</v>
      </c>
      <c r="BL1" s="15" t="s">
        <v>191</v>
      </c>
      <c r="BM1" s="15" t="s">
        <v>193</v>
      </c>
      <c r="BN1" s="15" t="s">
        <v>95</v>
      </c>
      <c r="BO1" s="15" t="s">
        <v>196</v>
      </c>
      <c r="BP1" s="15" t="s">
        <v>198</v>
      </c>
      <c r="BQ1" s="15" t="s">
        <v>200</v>
      </c>
      <c r="BR1" s="15" t="s">
        <v>202</v>
      </c>
      <c r="BS1" s="15" t="s">
        <v>204</v>
      </c>
      <c r="BT1" s="15" t="s">
        <v>51</v>
      </c>
      <c r="BU1" s="15" t="s">
        <v>207</v>
      </c>
      <c r="BV1" s="15" t="s">
        <v>209</v>
      </c>
      <c r="BX1" s="15" t="s">
        <v>211</v>
      </c>
      <c r="BY1" s="15" t="s">
        <v>213</v>
      </c>
      <c r="BZ1" s="15" t="s">
        <v>215</v>
      </c>
      <c r="CA1" s="15" t="s">
        <v>217</v>
      </c>
      <c r="CB1" s="15" t="s">
        <v>219</v>
      </c>
      <c r="CC1" s="15" t="s">
        <v>221</v>
      </c>
      <c r="CD1" s="15" t="s">
        <v>223</v>
      </c>
      <c r="CE1" s="15" t="s">
        <v>225</v>
      </c>
      <c r="CF1" s="15" t="s">
        <v>227</v>
      </c>
      <c r="CG1" s="15" t="s">
        <v>229</v>
      </c>
      <c r="CH1" s="15" t="s">
        <v>231</v>
      </c>
      <c r="CI1" s="15" t="s">
        <v>233</v>
      </c>
      <c r="CK1" s="15" t="s">
        <v>235</v>
      </c>
      <c r="CL1" s="15" t="s">
        <v>237</v>
      </c>
      <c r="CM1" s="15" t="s">
        <v>239</v>
      </c>
      <c r="CN1" s="15" t="s">
        <v>241</v>
      </c>
      <c r="CO1" s="15" t="s">
        <v>243</v>
      </c>
      <c r="CP1" s="15" t="s">
        <v>245</v>
      </c>
      <c r="CQ1" s="15" t="s">
        <v>247</v>
      </c>
      <c r="CR1" s="15" t="s">
        <v>249</v>
      </c>
      <c r="CS1" s="15" t="s">
        <v>251</v>
      </c>
      <c r="CT1" s="15" t="s">
        <v>253</v>
      </c>
      <c r="CU1" s="15" t="s">
        <v>255</v>
      </c>
      <c r="CV1" s="15" t="s">
        <v>257</v>
      </c>
      <c r="CW1" s="15" t="s">
        <v>259</v>
      </c>
      <c r="CX1" s="15" t="s">
        <v>261</v>
      </c>
      <c r="CY1" s="15" t="s">
        <v>263</v>
      </c>
      <c r="CZ1" s="15" t="s">
        <v>265</v>
      </c>
      <c r="DA1" s="15" t="s">
        <v>267</v>
      </c>
      <c r="DB1" s="15" t="s">
        <v>269</v>
      </c>
      <c r="DC1" s="15" t="s">
        <v>271</v>
      </c>
      <c r="DD1" s="15" t="s">
        <v>273</v>
      </c>
      <c r="DE1" s="15" t="s">
        <v>275</v>
      </c>
      <c r="DG1" s="15" t="s">
        <v>277</v>
      </c>
      <c r="DH1" s="15" t="s">
        <v>41</v>
      </c>
      <c r="DI1" s="15" t="s">
        <v>280</v>
      </c>
      <c r="DK1" s="15" t="s">
        <v>29</v>
      </c>
      <c r="DM1" s="15" t="s">
        <v>104</v>
      </c>
      <c r="DO1" s="15" t="s">
        <v>25</v>
      </c>
      <c r="DQ1" s="15" t="s">
        <v>285</v>
      </c>
      <c r="DS1" s="15" t="s">
        <v>27</v>
      </c>
      <c r="DU1" s="15" t="s">
        <v>288</v>
      </c>
      <c r="DV1" s="15" t="s">
        <v>290</v>
      </c>
      <c r="DW1" s="15" t="s">
        <v>292</v>
      </c>
      <c r="DY1" s="15" t="s">
        <v>295</v>
      </c>
    </row>
    <row r="2" spans="1:129" ht="215">
      <c r="B2" s="1" t="s">
        <v>0</v>
      </c>
      <c r="C2" s="1" t="s">
        <v>1</v>
      </c>
      <c r="D2" s="1" t="s">
        <v>2</v>
      </c>
      <c r="E2" s="16" t="s">
        <v>96</v>
      </c>
      <c r="F2" s="18" t="s">
        <v>97</v>
      </c>
      <c r="G2" s="19" t="s">
        <v>98</v>
      </c>
      <c r="H2" s="20" t="s">
        <v>100</v>
      </c>
      <c r="I2" s="21" t="s">
        <v>102</v>
      </c>
      <c r="J2" s="22" t="s">
        <v>103</v>
      </c>
      <c r="K2" s="23" t="s">
        <v>104</v>
      </c>
      <c r="L2" s="24" t="s">
        <v>106</v>
      </c>
      <c r="M2" s="25" t="s">
        <v>107</v>
      </c>
      <c r="N2" s="26" t="s">
        <v>109</v>
      </c>
      <c r="O2" s="27" t="s">
        <v>110</v>
      </c>
      <c r="P2" s="15" t="s">
        <v>111</v>
      </c>
      <c r="Q2" s="16" t="s">
        <v>112</v>
      </c>
      <c r="R2" s="28" t="s">
        <v>97</v>
      </c>
      <c r="S2" s="15" t="s">
        <v>113</v>
      </c>
      <c r="T2" s="15" t="s">
        <v>115</v>
      </c>
      <c r="U2" s="15" t="s">
        <v>116</v>
      </c>
      <c r="V2" s="15" t="s">
        <v>118</v>
      </c>
      <c r="W2" s="15" t="s">
        <v>120</v>
      </c>
      <c r="X2" s="15" t="s">
        <v>121</v>
      </c>
      <c r="Y2" s="15" t="s">
        <v>123</v>
      </c>
      <c r="Z2" s="15" t="s">
        <v>125</v>
      </c>
      <c r="AA2" s="15" t="s">
        <v>127</v>
      </c>
      <c r="AB2" s="15" t="s">
        <v>129</v>
      </c>
      <c r="AC2" s="15" t="s">
        <v>130</v>
      </c>
      <c r="AD2" s="15" t="s">
        <v>132</v>
      </c>
      <c r="AE2" s="15" t="s">
        <v>133</v>
      </c>
      <c r="AF2" s="15" t="s">
        <v>135</v>
      </c>
      <c r="AG2" s="15" t="s">
        <v>137</v>
      </c>
      <c r="AH2" s="15" t="s">
        <v>138</v>
      </c>
      <c r="AI2" s="15" t="s">
        <v>140</v>
      </c>
      <c r="AJ2" s="15" t="s">
        <v>142</v>
      </c>
      <c r="AK2" s="15" t="s">
        <v>143</v>
      </c>
      <c r="AL2" s="15" t="s">
        <v>145</v>
      </c>
      <c r="AM2" s="15" t="s">
        <v>146</v>
      </c>
      <c r="AN2" s="15" t="s">
        <v>148</v>
      </c>
      <c r="AO2" s="15" t="s">
        <v>150</v>
      </c>
      <c r="AP2" s="15" t="s">
        <v>152</v>
      </c>
      <c r="AQ2" s="15" t="s">
        <v>154</v>
      </c>
      <c r="AR2" s="15" t="s">
        <v>156</v>
      </c>
      <c r="AS2" s="15" t="s">
        <v>158</v>
      </c>
      <c r="AT2" s="15" t="s">
        <v>159</v>
      </c>
      <c r="AU2" s="15" t="s">
        <v>161</v>
      </c>
      <c r="AV2" s="15" t="s">
        <v>162</v>
      </c>
      <c r="AW2" s="15" t="s">
        <v>163</v>
      </c>
      <c r="AX2" s="15" t="s">
        <v>165</v>
      </c>
      <c r="AY2" s="15" t="s">
        <v>167</v>
      </c>
      <c r="AZ2" s="15" t="s">
        <v>169</v>
      </c>
      <c r="BA2" s="15" t="s">
        <v>170</v>
      </c>
      <c r="BB2" s="15" t="s">
        <v>172</v>
      </c>
      <c r="BC2" s="15" t="s">
        <v>174</v>
      </c>
      <c r="BD2" s="15" t="s">
        <v>176</v>
      </c>
      <c r="BE2" s="15" t="s">
        <v>177</v>
      </c>
      <c r="BF2" s="15" t="s">
        <v>179</v>
      </c>
      <c r="BG2" s="15" t="s">
        <v>181</v>
      </c>
      <c r="BH2" s="15" t="s">
        <v>183</v>
      </c>
      <c r="BI2" s="15" t="s">
        <v>184</v>
      </c>
      <c r="BJ2" s="15" t="s">
        <v>186</v>
      </c>
      <c r="BK2" s="15" t="s">
        <v>188</v>
      </c>
      <c r="BL2" s="15" t="s">
        <v>190</v>
      </c>
      <c r="BM2" s="15" t="s">
        <v>192</v>
      </c>
      <c r="BN2" s="15" t="s">
        <v>194</v>
      </c>
      <c r="BO2" s="15" t="s">
        <v>195</v>
      </c>
      <c r="BP2" s="15" t="s">
        <v>197</v>
      </c>
      <c r="BQ2" s="15" t="s">
        <v>199</v>
      </c>
      <c r="BR2" s="15" t="s">
        <v>201</v>
      </c>
      <c r="BS2" s="15" t="s">
        <v>203</v>
      </c>
      <c r="BT2" s="15" t="s">
        <v>205</v>
      </c>
      <c r="BU2" s="15" t="s">
        <v>206</v>
      </c>
      <c r="BV2" s="15" t="s">
        <v>208</v>
      </c>
      <c r="BW2" s="28" t="s">
        <v>98</v>
      </c>
      <c r="BX2" s="15" t="s">
        <v>210</v>
      </c>
      <c r="BY2" s="15" t="s">
        <v>212</v>
      </c>
      <c r="BZ2" s="15" t="s">
        <v>214</v>
      </c>
      <c r="CA2" s="15" t="s">
        <v>216</v>
      </c>
      <c r="CB2" s="15" t="s">
        <v>218</v>
      </c>
      <c r="CC2" s="15" t="s">
        <v>220</v>
      </c>
      <c r="CD2" s="15" t="s">
        <v>222</v>
      </c>
      <c r="CE2" s="15" t="s">
        <v>224</v>
      </c>
      <c r="CF2" s="15" t="s">
        <v>226</v>
      </c>
      <c r="CG2" s="15" t="s">
        <v>228</v>
      </c>
      <c r="CH2" s="15" t="s">
        <v>230</v>
      </c>
      <c r="CI2" s="15" t="s">
        <v>232</v>
      </c>
      <c r="CJ2" s="28" t="s">
        <v>100</v>
      </c>
      <c r="CK2" s="15" t="s">
        <v>234</v>
      </c>
      <c r="CL2" s="15" t="s">
        <v>236</v>
      </c>
      <c r="CM2" s="15" t="s">
        <v>238</v>
      </c>
      <c r="CN2" s="15" t="s">
        <v>240</v>
      </c>
      <c r="CO2" s="15" t="s">
        <v>242</v>
      </c>
      <c r="CP2" s="15" t="s">
        <v>244</v>
      </c>
      <c r="CQ2" s="15" t="s">
        <v>246</v>
      </c>
      <c r="CR2" s="15" t="s">
        <v>248</v>
      </c>
      <c r="CS2" s="15" t="s">
        <v>250</v>
      </c>
      <c r="CT2" s="15" t="s">
        <v>252</v>
      </c>
      <c r="CU2" s="15" t="s">
        <v>254</v>
      </c>
      <c r="CV2" s="15" t="s">
        <v>256</v>
      </c>
      <c r="CW2" s="15" t="s">
        <v>258</v>
      </c>
      <c r="CX2" s="15" t="s">
        <v>260</v>
      </c>
      <c r="CY2" s="15" t="s">
        <v>262</v>
      </c>
      <c r="CZ2" s="15" t="s">
        <v>264</v>
      </c>
      <c r="DA2" s="15" t="s">
        <v>266</v>
      </c>
      <c r="DB2" s="15" t="s">
        <v>268</v>
      </c>
      <c r="DC2" s="15" t="s">
        <v>270</v>
      </c>
      <c r="DD2" s="15" t="s">
        <v>272</v>
      </c>
      <c r="DE2" s="15" t="s">
        <v>274</v>
      </c>
      <c r="DF2" s="28" t="s">
        <v>102</v>
      </c>
      <c r="DG2" s="15" t="s">
        <v>276</v>
      </c>
      <c r="DH2" s="15" t="s">
        <v>278</v>
      </c>
      <c r="DI2" s="15" t="s">
        <v>279</v>
      </c>
      <c r="DJ2" s="28" t="s">
        <v>103</v>
      </c>
      <c r="DK2" s="15" t="s">
        <v>281</v>
      </c>
      <c r="DL2" s="28" t="s">
        <v>104</v>
      </c>
      <c r="DM2" s="15" t="s">
        <v>282</v>
      </c>
      <c r="DN2" s="28" t="s">
        <v>106</v>
      </c>
      <c r="DO2" s="15" t="s">
        <v>283</v>
      </c>
      <c r="DP2" s="28" t="s">
        <v>107</v>
      </c>
      <c r="DQ2" s="15" t="s">
        <v>284</v>
      </c>
      <c r="DR2" s="28" t="s">
        <v>109</v>
      </c>
      <c r="DS2" s="15" t="s">
        <v>286</v>
      </c>
      <c r="DT2" s="28" t="s">
        <v>110</v>
      </c>
      <c r="DU2" s="15" t="s">
        <v>287</v>
      </c>
      <c r="DV2" s="15" t="s">
        <v>289</v>
      </c>
      <c r="DW2" s="15" t="s">
        <v>291</v>
      </c>
      <c r="DX2" s="16" t="s">
        <v>293</v>
      </c>
      <c r="DY2" s="15" t="s">
        <v>294</v>
      </c>
    </row>
    <row r="3" spans="1:129">
      <c r="A3">
        <v>1</v>
      </c>
      <c r="B3" t="s">
        <v>21</v>
      </c>
      <c r="F3" s="29" t="e">
        <f>IF(P3=0,0,COUNTIF(#REF!,"C")*100/P3)</f>
        <v>#REF!</v>
      </c>
      <c r="G3" t="e">
        <f>IF(P3=0,0,COUNTIF(#REF!,"OI")*100/P3)</f>
        <v>#REF!</v>
      </c>
      <c r="H3" t="e">
        <f>IF(P3=0,0,COUNTIF(#REF!,"MA")*100/P3)</f>
        <v>#REF!</v>
      </c>
      <c r="I3" t="e">
        <f>IF(P3=0,0,COUNTIF(#REF!,"BCA")*100/P3)</f>
        <v>#REF!</v>
      </c>
      <c r="J3" t="e">
        <f>IF(P3=0,0,COUNTIF(#REF!,"CCA")*100/P3)</f>
        <v>#REF!</v>
      </c>
      <c r="K3" t="e">
        <f>IF(P3=0,0,COUNTIF(#REF!,"SD")*100/P3)</f>
        <v>#REF!</v>
      </c>
      <c r="L3" t="e">
        <f>IF(P3=0,0,COUNTIF(#REF!,"FCA")*100/P3)</f>
        <v>#REF!</v>
      </c>
      <c r="M3" t="e">
        <f>IF(P3=0,0,COUNTIF(#REF!,"CHRYS")*100/P3)</f>
        <v>#REF!</v>
      </c>
      <c r="N3" t="e">
        <f>IF(P3=0,0,COUNTIF(#REF!,"T")*100/P3)</f>
        <v>#REF!</v>
      </c>
      <c r="O3" t="e">
        <f>IF(P3=0,0,COUNTIF(#REF!,"TWS")*100/P3)</f>
        <v>#REF!</v>
      </c>
      <c r="P3" t="e">
        <f>5-COUNTIF(#REF!,"TWS")</f>
        <v>#REF!</v>
      </c>
      <c r="S3" t="e">
        <f>IF(P3=0,0,COUNTIF(#REF!,"ACAN")*100/P3)</f>
        <v>#REF!</v>
      </c>
      <c r="T3" t="e">
        <f>IF(P3=0,0,COUNTIF(#REF!,"ACROP")*100/P3)</f>
        <v>#REF!</v>
      </c>
      <c r="U3" t="e">
        <f>IF(P3=0,0,COUNTIF(#REF!,"ACROPARB")*100/P3)</f>
        <v>#REF!</v>
      </c>
      <c r="V3" t="e">
        <f>IF(P3=0,0,COUNTIF(#REF!,"ACROST")*100/P3)</f>
        <v>#REF!</v>
      </c>
      <c r="W3" s="29" t="e">
        <f>IF(P3=0,0,COUNTIF(#REF!,"ACROTBL")*100/P3)</f>
        <v>#REF!</v>
      </c>
      <c r="X3" t="e">
        <f>IF(P3=0,0,COUNTIF(#REF!,"ASTRP")*100/P3)</f>
        <v>#REF!</v>
      </c>
      <c r="Y3" t="e">
        <f>IF(P3=0,0,COUNTIF(#REF!,"CAUL")*100/P3)</f>
        <v>#REF!</v>
      </c>
      <c r="Z3" t="e">
        <f>IF(P3=0,0,COUNTIF(#REF!,"COSC")*100/P3)</f>
        <v>#REF!</v>
      </c>
      <c r="AA3" t="e">
        <f>IF(P3=0,0,COUNTIF(#REF!,"CTEN")*100/P3)</f>
        <v>#REF!</v>
      </c>
      <c r="AB3" t="e">
        <f>IF(P3=0,0,COUNTIF(#REF!,"CYPH")*100/P3)</f>
        <v>#REF!</v>
      </c>
      <c r="AC3" t="e">
        <f>IF(P3=0,0,COUNTIF(#REF!,"DIPLO")*100/P3)</f>
        <v>#REF!</v>
      </c>
      <c r="AD3" t="e">
        <f>IF(P3=0,0,COUNTIF(#REF!,"ECHPO")*100/P3)</f>
        <v>#REF!</v>
      </c>
      <c r="AE3" t="e">
        <f>IF(P3=0,0,COUNTIF(#REF!,"ECHPHY")*100/P3)</f>
        <v>#REF!</v>
      </c>
      <c r="AF3" t="e">
        <f>IF(P3=0,0,COUNTIF(#REF!,"EUPH")*100/P3)</f>
        <v>#REF!</v>
      </c>
      <c r="AG3" t="e">
        <f>IF(P3=0,0,COUNTIF(#REF!,"FAV")*100/P3)</f>
        <v>#REF!</v>
      </c>
      <c r="AH3" t="e">
        <f>IF(P3=0,0,COUNTIF(#REF!,"FAVT")*100/P3)</f>
        <v>#REF!</v>
      </c>
      <c r="AI3" t="e">
        <f>IF(P3=0,0,COUNTIF(#REF!,"FUNG")*100/P3)</f>
        <v>#REF!</v>
      </c>
      <c r="AJ3" t="e">
        <f>IF(P3=0,0,COUNTIF(#REF!,"GAL")*100/P3)</f>
        <v>#REF!</v>
      </c>
      <c r="AK3" t="e">
        <f>IF(P3=0,0,COUNTIF(#REF!,"GARD")*100/P3)</f>
        <v>#REF!</v>
      </c>
      <c r="AL3" t="e">
        <f>IF(P3=0,0,COUNTIF(#REF!,"GON")*100/P3)</f>
        <v>#REF!</v>
      </c>
      <c r="AM3" t="e">
        <f>IF(P3=0,0,COUNTIF(#REF!,"GONIO")*100/P3)</f>
        <v>#REF!</v>
      </c>
      <c r="AN3" t="e">
        <f>IF(P3=0,0,COUNTIF(#REF!,"HELIO")*100/P3)</f>
        <v>#REF!</v>
      </c>
      <c r="AO3" t="e">
        <f>IF(P3=0,0,COUNTIF(#REF!,"HERP")*100/P3)</f>
        <v>#REF!</v>
      </c>
      <c r="AP3" t="e">
        <f>IF(P3=0,0,COUNTIF(#REF!,"HYD")*100/P3)</f>
        <v>#REF!</v>
      </c>
      <c r="AQ3" t="e">
        <f>IF(P3=0,0,COUNTIF(#REF!,"ISOP")*100/P3)</f>
        <v>#REF!</v>
      </c>
      <c r="AR3" t="e">
        <f>IF(P3=0,0,COUNTIF(#REF!,"LEPT")*100/P3)</f>
        <v>#REF!</v>
      </c>
      <c r="AS3" t="e">
        <f>IF(P3=0,0,COUNTIF(#REF!,"LEPTOR")*100/P3)</f>
        <v>#REF!</v>
      </c>
      <c r="AT3" t="e">
        <f>IF(P3=0,0,COUNTIF(#REF!,"LEPTOS")*100/P3)</f>
        <v>#REF!</v>
      </c>
      <c r="AU3" t="e">
        <f>IF(P3=0,0,COUNTIF(#REF!,"LOBOPH")*100/P3)</f>
        <v>#REF!</v>
      </c>
      <c r="AV3" t="e">
        <f>IF(P3=0,0,COUNTIF(#REF!,"MERU")*100/P3)</f>
        <v>#REF!</v>
      </c>
      <c r="AW3" t="e">
        <f>IF(P3=0,0,COUNTIF(#REF!,"MILL")*100/P3)</f>
        <v>#REF!</v>
      </c>
      <c r="AX3" t="e">
        <f>IF(P3=0,0,COUNTIF(#REF!,"MONT")*100/P3)</f>
        <v>#REF!</v>
      </c>
      <c r="AY3" t="e">
        <f>IF(P3=0,0,COUNTIF(#REF!,"MONTI")*100/P3)</f>
        <v>#REF!</v>
      </c>
      <c r="AZ3" t="e">
        <f>IF(P3=0,0,COUNTIF(#REF!,"MYCED")*100/P3)</f>
        <v>#REF!</v>
      </c>
      <c r="BA3" t="e">
        <f>IF(P3=0,0,COUNTIF(#REF!,"OULO")*100/P3)</f>
        <v>#REF!</v>
      </c>
      <c r="BB3" t="e">
        <f>IF(P3=0,0,COUNTIF(#REF!,"OXYP")*100/P3)</f>
        <v>#REF!</v>
      </c>
      <c r="BC3" t="e">
        <f>IF(P3=0,0,COUNTIF(#REF!,"PLSIA")*100/P3)</f>
        <v>#REF!</v>
      </c>
      <c r="BD3" t="e">
        <f>IF(P3=0,0,COUNTIF(#REF!,"PACHY")*100/P3)</f>
        <v>#REF!</v>
      </c>
      <c r="BE3" t="e">
        <f>IF(P3=0,0,COUNTIF(#REF!,"PAV")*100/P3)</f>
        <v>#REF!</v>
      </c>
      <c r="BF3" t="e">
        <f>IF(P3=0,0,COUNTIF(#REF!,"PECT")*100/P3)</f>
        <v>#REF!</v>
      </c>
      <c r="BG3" t="e">
        <f>IF(P3=0,0,COUNTIF(#REF!,"PHYSO")*100/P3)</f>
        <v>#REF!</v>
      </c>
      <c r="BH3" t="e">
        <f>IF(P3=0,0,COUNTIF(#REF!,"PLAT")*100/P3)</f>
        <v>#REF!</v>
      </c>
      <c r="BI3" t="e">
        <f>IF(P3=0,0,COUNTIF(#REF!,"PLERO")*100/P3)</f>
        <v>#REF!</v>
      </c>
      <c r="BJ3" t="e">
        <f>IF(P3=0,0,COUNTIF(#REF!,"POC")*100/P3)</f>
        <v>#REF!</v>
      </c>
      <c r="BK3" t="e">
        <f>IF(P3=0,0,COUNTIF(#REF!,"POR")*100/P3)</f>
        <v>#REF!</v>
      </c>
      <c r="BL3" t="e">
        <f>IF(P3=0,0,COUNTIF(#REF!,"PORCYL")*100/P3)</f>
        <v>#REF!</v>
      </c>
      <c r="BM3" t="e">
        <f>IF(P3=0,0,COUNTIF(#REF!,"PORMAS")*100/P3)</f>
        <v>#REF!</v>
      </c>
      <c r="BN3" t="e">
        <f>IF(P3=0,0,COUNTIF(#REF!,"PORRUS")*100/P3)</f>
        <v>#REF!</v>
      </c>
      <c r="BO3" t="e">
        <f>IF(P3=0,0,COUNTIF(#REF!,"PSAM")*100/P3)</f>
        <v>#REF!</v>
      </c>
      <c r="BP3" t="e">
        <f>IF(P3=0,0,COUNTIF(#REF!,"SANDO")*100/P3)</f>
        <v>#REF!</v>
      </c>
      <c r="BQ3" t="e">
        <f>IF(P3=0,0,COUNTIF(#REF!,"SCAP")*100/P3)</f>
        <v>#REF!</v>
      </c>
      <c r="BR3" t="e">
        <f>IF(P3=0,0,COUNTIF(#REF!,"SERIA")*100/P3)</f>
        <v>#REF!</v>
      </c>
      <c r="BS3" t="e">
        <f>IF(P3=0,0,COUNTIF(#REF!,"STYLC")*100/P3)</f>
        <v>#REF!</v>
      </c>
      <c r="BT3" t="e">
        <f>IF(P3=0,0,COUNTIF(#REF!,"STYLO")*100/P3)</f>
        <v>#REF!</v>
      </c>
      <c r="BU3" t="e">
        <f>IF(P3=0,0,COUNTIF(#REF!,"SYMP")*100/P3)</f>
        <v>#REF!</v>
      </c>
      <c r="BV3" t="e">
        <f>IF(P3=0,0,COUNTIF(#REF!,"TURBIN")*100/P3)</f>
        <v>#REF!</v>
      </c>
      <c r="BX3" t="e">
        <f>IF(P3=0,0,COUNTIF(#REF!,"ANEM")*100/P3)</f>
        <v>#REF!</v>
      </c>
      <c r="BY3" t="e">
        <f>IF(P3=0,0,COUNTIF(#REF!,"ASC")*100/P3)</f>
        <v>#REF!</v>
      </c>
      <c r="BZ3" t="e">
        <f>IF(P3=0,0,COUNTIF(#REF!,"CUPS")*100/P3)</f>
        <v>#REF!</v>
      </c>
      <c r="CA3" t="e">
        <f>IF(P3=0,0,COUNTIF(#REF!,"DISCO")*100/P3)</f>
        <v>#REF!</v>
      </c>
      <c r="CB3" t="e">
        <f>IF(P3=0,0,COUNTIF(#REF!,"DYS")*100/P3)</f>
        <v>#REF!</v>
      </c>
      <c r="CC3" t="e">
        <f>IF(P3=0,0,COUNTIF(#REF!,"G")*100/P3)</f>
        <v>#REF!</v>
      </c>
      <c r="CD3" t="e">
        <f>IF(P3=0,0,COUNTIF(#REF!,"NoIDINV")*100/P3)</f>
        <v>#REF!</v>
      </c>
      <c r="CE3" t="e">
        <f>IF(P3=0,0,COUNTIF(#REF!,"OLV")*100/P3)</f>
        <v>#REF!</v>
      </c>
      <c r="CF3" t="e">
        <f>IF(P3=0,0,COUNTIF(#REF!,"SC")*100/P3)</f>
        <v>#REF!</v>
      </c>
      <c r="CG3" t="e">
        <f>IF(P3=0,0,COUNTIF(#REF!,"S")*100/P3)</f>
        <v>#REF!</v>
      </c>
      <c r="CH3" t="e">
        <f>IF(P3=0,0,COUNTIF(#REF!,"TERPS")*100/P3)</f>
        <v>#REF!</v>
      </c>
      <c r="CI3" t="e">
        <f>IF(P3=0,0,COUNTIF(#REF!,"Z")*100/P3)</f>
        <v>#REF!</v>
      </c>
      <c r="CK3" t="e">
        <f>IF(P3=0,0,COUNTIF(#REF!,"ASP")*100/P3)</f>
        <v>#REF!</v>
      </c>
      <c r="CL3" t="e">
        <f>IF(P3=0,0,COUNTIF(#REF!,"BG")*100/P3)</f>
        <v>#REF!</v>
      </c>
      <c r="CM3" t="e">
        <f>IF(P3=0,0,COUNTIF(#REF!,"Bood")*100/P3)</f>
        <v>#REF!</v>
      </c>
      <c r="CN3" t="e">
        <f>IF(P3=0,0,COUNTIF(#REF!,"BRYP")*100/P3)</f>
        <v>#REF!</v>
      </c>
      <c r="CO3" t="e">
        <f>IF(P3=0,0,COUNTIF(#REF!,"CLP")*100/P3)</f>
        <v>#REF!</v>
      </c>
      <c r="CP3" t="e">
        <f>IF(P3=0,0,COUNTIF(#REF!,"CHLDES")*100/P3)</f>
        <v>#REF!</v>
      </c>
      <c r="CQ3" t="e">
        <f>IF(P3=0,0,COUNTIF(#REF!,"DYCTY")*100/P3)</f>
        <v>#REF!</v>
      </c>
      <c r="CR3" t="e">
        <f>IF(P3=0,0,COUNTIF(#REF!,"DICT")*100/P3)</f>
        <v>#REF!</v>
      </c>
      <c r="CS3" t="e">
        <f>IF(P3=0,0,COUNTIF(#REF!,"GLXU")*100/P3)</f>
        <v>#REF!</v>
      </c>
      <c r="CT3" t="e">
        <f>IF(P3=0,0,COUNTIF(#REF!,"HALI")*100/P3)</f>
        <v>#REF!</v>
      </c>
      <c r="CU3" t="e">
        <f>IF(P3=0,0,COUNTIF(#REF!,"LIAG")*100/P3)</f>
        <v>#REF!</v>
      </c>
      <c r="CV3" t="e">
        <f>IF(P3=0,0,COUNTIF(#REF!,"LOBO")*100/P3)</f>
        <v>#REF!</v>
      </c>
      <c r="CW3" t="e">
        <f>IF(P3=0,0,COUNTIF(#REF!,"MAST")*100/P3)</f>
        <v>#REF!</v>
      </c>
      <c r="CX3" t="e">
        <f>IF(P3=0,0,COUNTIF(#REF!,"MICDTY")*100/P3)</f>
        <v>#REF!</v>
      </c>
      <c r="CY3" t="e">
        <f>IF(P3=0,0,COUNTIF(#REF!,"NEOM")*100/P3)</f>
        <v>#REF!</v>
      </c>
      <c r="CZ3" t="e">
        <f>IF(P3=0,0,COUNTIF(#REF!,"NOIDMAC")*100/P3)</f>
        <v>#REF!</v>
      </c>
      <c r="DA3" t="e">
        <f>IF(P3=0,0,COUNTIF(#REF!,"PAD")*100/P3)</f>
        <v>#REF!</v>
      </c>
      <c r="DB3" t="e">
        <f>IF(P3=0,0,COUNTIF(#REF!,"SARG")*100/P3)</f>
        <v>#REF!</v>
      </c>
      <c r="DC3" t="e">
        <f>IF(P3=0,0,COUNTIF(#REF!,"SCHIZ")*100/P3)</f>
        <v>#REF!</v>
      </c>
      <c r="DD3" t="e">
        <f>IF(P3=0,0,COUNTIF(#REF!,"TURB")*100/P3)</f>
        <v>#REF!</v>
      </c>
      <c r="DE3" t="e">
        <f>IF(P3=0,0,COUNTIF(#REF!,"TYDM")*100/P3)</f>
        <v>#REF!</v>
      </c>
      <c r="DG3" t="e">
        <f>IF(P3=0,0,COUNTIF(#REF!,"AMP")*100/P3)</f>
        <v>#REF!</v>
      </c>
      <c r="DH3" t="e">
        <f>IF(P3=0,0,COUNTIF(#REF!,"BCA1")*100/P3)</f>
        <v>#REF!</v>
      </c>
      <c r="DI3" t="e">
        <f>IF(P3=0,0,COUNTIF(#REF!,"JAN")*100/P3)</f>
        <v>#REF!</v>
      </c>
      <c r="DK3" t="e">
        <f>IF(P3=0,0,COUNTIF(#REF!,"CCA1")*100/P3)</f>
        <v>#REF!</v>
      </c>
      <c r="DM3" t="e">
        <f>IF(P3=0,0,COUNTIF(#REF!,"Sand")*100/P3)</f>
        <v>#REF!</v>
      </c>
      <c r="DO3" t="e">
        <f>IF(P3=0,0,COUNTIF(#REF!,"FCA1")*100/P3)</f>
        <v>#REF!</v>
      </c>
      <c r="DQ3" t="e">
        <f>IF(P3=0,0,COUNTIF(#REF!,"CHRYOBRN")*100/P3)</f>
        <v>#REF!</v>
      </c>
      <c r="DS3" t="e">
        <f>IF(P3=0,0,COUNTIF(#REF!,"TURF")*100/P3)</f>
        <v>#REF!</v>
      </c>
      <c r="DU3" t="e">
        <f>COUNTIF(#REF!,"Shadow")*100/5</f>
        <v>#REF!</v>
      </c>
      <c r="DV3" t="e">
        <f>COUNTIF(#REF!,"Tape")*100/5</f>
        <v>#REF!</v>
      </c>
      <c r="DW3" t="e">
        <f>COUNTIF(#REF!,"Wand")*100/5</f>
        <v>#REF!</v>
      </c>
      <c r="DY3" t="e">
        <f>IF(P3=0,0,COUNTIF(#REF!,"BC")*100/P3)</f>
        <v>#REF!</v>
      </c>
    </row>
    <row r="4" spans="1:129">
      <c r="A4">
        <v>2</v>
      </c>
      <c r="B4" t="s">
        <v>24</v>
      </c>
      <c r="F4" s="29" t="e">
        <f>IF(P4=0,0,COUNTIF(#REF!,"C")*100/P4)</f>
        <v>#REF!</v>
      </c>
      <c r="G4" t="e">
        <f>IF(P4=0,0,COUNTIF(#REF!,"OI")*100/P4)</f>
        <v>#REF!</v>
      </c>
      <c r="H4" t="e">
        <f>IF(P4=0,0,COUNTIF(#REF!,"MA")*100/P4)</f>
        <v>#REF!</v>
      </c>
      <c r="I4" t="e">
        <f>IF(P4=0,0,COUNTIF(#REF!,"BCA")*100/P4)</f>
        <v>#REF!</v>
      </c>
      <c r="J4" s="29" t="e">
        <f>IF(P4=0,0,COUNTIF(#REF!,"CCA")*100/P4)</f>
        <v>#REF!</v>
      </c>
      <c r="K4" t="e">
        <f>IF(P4=0,0,COUNTIF(#REF!,"SD")*100/P4)</f>
        <v>#REF!</v>
      </c>
      <c r="L4" s="29" t="e">
        <f>IF(P4=0,0,COUNTIF(#REF!,"FCA")*100/P4)</f>
        <v>#REF!</v>
      </c>
      <c r="M4" t="e">
        <f>IF(P4=0,0,COUNTIF(#REF!,"CHRYS")*100/P4)</f>
        <v>#REF!</v>
      </c>
      <c r="N4" s="29" t="e">
        <f>IF(P4=0,0,COUNTIF(#REF!,"T")*100/P4)</f>
        <v>#REF!</v>
      </c>
      <c r="O4" t="e">
        <f>IF(P4=0,0,COUNTIF(#REF!,"TWS")*100/P4)</f>
        <v>#REF!</v>
      </c>
      <c r="P4" t="e">
        <f>5-COUNTIF(#REF!,"TWS")</f>
        <v>#REF!</v>
      </c>
      <c r="S4" t="e">
        <f>IF(P4=0,0,COUNTIF(#REF!,"ACAN")*100/P4)</f>
        <v>#REF!</v>
      </c>
      <c r="T4" t="e">
        <f>IF(P4=0,0,COUNTIF(#REF!,"ACROP")*100/P4)</f>
        <v>#REF!</v>
      </c>
      <c r="U4" t="e">
        <f>IF(P4=0,0,COUNTIF(#REF!,"ACROPARB")*100/P4)</f>
        <v>#REF!</v>
      </c>
      <c r="V4" t="e">
        <f>IF(P4=0,0,COUNTIF(#REF!,"ACROST")*100/P4)</f>
        <v>#REF!</v>
      </c>
      <c r="W4" t="e">
        <f>IF(P4=0,0,COUNTIF(#REF!,"ACROTBL")*100/P4)</f>
        <v>#REF!</v>
      </c>
      <c r="X4" t="e">
        <f>IF(P4=0,0,COUNTIF(#REF!,"ASTRP")*100/P4)</f>
        <v>#REF!</v>
      </c>
      <c r="Y4" t="e">
        <f>IF(P4=0,0,COUNTIF(#REF!,"CAUL")*100/P4)</f>
        <v>#REF!</v>
      </c>
      <c r="Z4" t="e">
        <f>IF(P4=0,0,COUNTIF(#REF!,"COSC")*100/P4)</f>
        <v>#REF!</v>
      </c>
      <c r="AA4" t="e">
        <f>IF(P4=0,0,COUNTIF(#REF!,"CTEN")*100/P4)</f>
        <v>#REF!</v>
      </c>
      <c r="AB4" t="e">
        <f>IF(P4=0,0,COUNTIF(#REF!,"CYPH")*100/P4)</f>
        <v>#REF!</v>
      </c>
      <c r="AC4" t="e">
        <f>IF(P4=0,0,COUNTIF(#REF!,"DIPLO")*100/P4)</f>
        <v>#REF!</v>
      </c>
      <c r="AD4" t="e">
        <f>IF(P4=0,0,COUNTIF(#REF!,"ECHPO")*100/P4)</f>
        <v>#REF!</v>
      </c>
      <c r="AE4" t="e">
        <f>IF(P4=0,0,COUNTIF(#REF!,"ECHPHY")*100/P4)</f>
        <v>#REF!</v>
      </c>
      <c r="AF4" t="e">
        <f>IF(P4=0,0,COUNTIF(#REF!,"EUPH")*100/P4)</f>
        <v>#REF!</v>
      </c>
      <c r="AG4" t="e">
        <f>IF(P4=0,0,COUNTIF(#REF!,"FAV")*100/P4)</f>
        <v>#REF!</v>
      </c>
      <c r="AH4" t="e">
        <f>IF(P4=0,0,COUNTIF(#REF!,"FAVT")*100/P4)</f>
        <v>#REF!</v>
      </c>
      <c r="AI4" t="e">
        <f>IF(P4=0,0,COUNTIF(#REF!,"FUNG")*100/P4)</f>
        <v>#REF!</v>
      </c>
      <c r="AJ4" t="e">
        <f>IF(P4=0,0,COUNTIF(#REF!,"GAL")*100/P4)</f>
        <v>#REF!</v>
      </c>
      <c r="AK4" t="e">
        <f>IF(P4=0,0,COUNTIF(#REF!,"GARD")*100/P4)</f>
        <v>#REF!</v>
      </c>
      <c r="AL4" t="e">
        <f>IF(P4=0,0,COUNTIF(#REF!,"GON")*100/P4)</f>
        <v>#REF!</v>
      </c>
      <c r="AM4" t="e">
        <f>IF(P4=0,0,COUNTIF(#REF!,"GONIO")*100/P4)</f>
        <v>#REF!</v>
      </c>
      <c r="AN4" t="e">
        <f>IF(P4=0,0,COUNTIF(#REF!,"HELIO")*100/P4)</f>
        <v>#REF!</v>
      </c>
      <c r="AO4" t="e">
        <f>IF(P4=0,0,COUNTIF(#REF!,"HERP")*100/P4)</f>
        <v>#REF!</v>
      </c>
      <c r="AP4" t="e">
        <f>IF(P4=0,0,COUNTIF(#REF!,"HYD")*100/P4)</f>
        <v>#REF!</v>
      </c>
      <c r="AQ4" t="e">
        <f>IF(P4=0,0,COUNTIF(#REF!,"ISOP")*100/P4)</f>
        <v>#REF!</v>
      </c>
      <c r="AR4" t="e">
        <f>IF(P4=0,0,COUNTIF(#REF!,"LEPT")*100/P4)</f>
        <v>#REF!</v>
      </c>
      <c r="AS4" s="29" t="e">
        <f>IF(P4=0,0,COUNTIF(#REF!,"LEPTOR")*100/P4)</f>
        <v>#REF!</v>
      </c>
      <c r="AT4" t="e">
        <f>IF(P4=0,0,COUNTIF(#REF!,"LEPTOS")*100/P4)</f>
        <v>#REF!</v>
      </c>
      <c r="AU4" t="e">
        <f>IF(P4=0,0,COUNTIF(#REF!,"LOBOPH")*100/P4)</f>
        <v>#REF!</v>
      </c>
      <c r="AV4" t="e">
        <f>IF(P4=0,0,COUNTIF(#REF!,"MERU")*100/P4)</f>
        <v>#REF!</v>
      </c>
      <c r="AW4" t="e">
        <f>IF(P4=0,0,COUNTIF(#REF!,"MILL")*100/P4)</f>
        <v>#REF!</v>
      </c>
      <c r="AX4" t="e">
        <f>IF(P4=0,0,COUNTIF(#REF!,"MONT")*100/P4)</f>
        <v>#REF!</v>
      </c>
      <c r="AY4" t="e">
        <f>IF(P4=0,0,COUNTIF(#REF!,"MONTI")*100/P4)</f>
        <v>#REF!</v>
      </c>
      <c r="AZ4" t="e">
        <f>IF(P4=0,0,COUNTIF(#REF!,"MYCED")*100/P4)</f>
        <v>#REF!</v>
      </c>
      <c r="BA4" t="e">
        <f>IF(P4=0,0,COUNTIF(#REF!,"OULO")*100/P4)</f>
        <v>#REF!</v>
      </c>
      <c r="BB4" t="e">
        <f>IF(P4=0,0,COUNTIF(#REF!,"OXYP")*100/P4)</f>
        <v>#REF!</v>
      </c>
      <c r="BC4" t="e">
        <f>IF(P4=0,0,COUNTIF(#REF!,"PLSIA")*100/P4)</f>
        <v>#REF!</v>
      </c>
      <c r="BD4" t="e">
        <f>IF(P4=0,0,COUNTIF(#REF!,"PACHY")*100/P4)</f>
        <v>#REF!</v>
      </c>
      <c r="BE4" t="e">
        <f>IF(P4=0,0,COUNTIF(#REF!,"PAV")*100/P4)</f>
        <v>#REF!</v>
      </c>
      <c r="BF4" t="e">
        <f>IF(P4=0,0,COUNTIF(#REF!,"PECT")*100/P4)</f>
        <v>#REF!</v>
      </c>
      <c r="BG4" t="e">
        <f>IF(P4=0,0,COUNTIF(#REF!,"PHYSO")*100/P4)</f>
        <v>#REF!</v>
      </c>
      <c r="BH4" t="e">
        <f>IF(P4=0,0,COUNTIF(#REF!,"PLAT")*100/P4)</f>
        <v>#REF!</v>
      </c>
      <c r="BI4" t="e">
        <f>IF(P4=0,0,COUNTIF(#REF!,"PLERO")*100/P4)</f>
        <v>#REF!</v>
      </c>
      <c r="BJ4" t="e">
        <f>IF(P4=0,0,COUNTIF(#REF!,"POC")*100/P4)</f>
        <v>#REF!</v>
      </c>
      <c r="BK4" t="e">
        <f>IF(P4=0,0,COUNTIF(#REF!,"POR")*100/P4)</f>
        <v>#REF!</v>
      </c>
      <c r="BL4" t="e">
        <f>IF(P4=0,0,COUNTIF(#REF!,"PORCYL")*100/P4)</f>
        <v>#REF!</v>
      </c>
      <c r="BM4" t="e">
        <f>IF(P4=0,0,COUNTIF(#REF!,"PORMAS")*100/P4)</f>
        <v>#REF!</v>
      </c>
      <c r="BN4" t="e">
        <f>IF(P4=0,0,COUNTIF(#REF!,"PORRUS")*100/P4)</f>
        <v>#REF!</v>
      </c>
      <c r="BO4" t="e">
        <f>IF(P4=0,0,COUNTIF(#REF!,"PSAM")*100/P4)</f>
        <v>#REF!</v>
      </c>
      <c r="BP4" t="e">
        <f>IF(P4=0,0,COUNTIF(#REF!,"SANDO")*100/P4)</f>
        <v>#REF!</v>
      </c>
      <c r="BQ4" t="e">
        <f>IF(P4=0,0,COUNTIF(#REF!,"SCAP")*100/P4)</f>
        <v>#REF!</v>
      </c>
      <c r="BR4" t="e">
        <f>IF(P4=0,0,COUNTIF(#REF!,"SERIA")*100/P4)</f>
        <v>#REF!</v>
      </c>
      <c r="BS4" t="e">
        <f>IF(P4=0,0,COUNTIF(#REF!,"STYLC")*100/P4)</f>
        <v>#REF!</v>
      </c>
      <c r="BT4" t="e">
        <f>IF(P4=0,0,COUNTIF(#REF!,"STYLO")*100/P4)</f>
        <v>#REF!</v>
      </c>
      <c r="BU4" t="e">
        <f>IF(P4=0,0,COUNTIF(#REF!,"SYMP")*100/P4)</f>
        <v>#REF!</v>
      </c>
      <c r="BV4" t="e">
        <f>IF(P4=0,0,COUNTIF(#REF!,"TURBIN")*100/P4)</f>
        <v>#REF!</v>
      </c>
      <c r="BX4" t="e">
        <f>IF(P4=0,0,COUNTIF(#REF!,"ANEM")*100/P4)</f>
        <v>#REF!</v>
      </c>
      <c r="BY4" t="e">
        <f>IF(P4=0,0,COUNTIF(#REF!,"ASC")*100/P4)</f>
        <v>#REF!</v>
      </c>
      <c r="BZ4" t="e">
        <f>IF(P4=0,0,COUNTIF(#REF!,"CUPS")*100/P4)</f>
        <v>#REF!</v>
      </c>
      <c r="CA4" t="e">
        <f>IF(P4=0,0,COUNTIF(#REF!,"DISCO")*100/P4)</f>
        <v>#REF!</v>
      </c>
      <c r="CB4" t="e">
        <f>IF(P4=0,0,COUNTIF(#REF!,"DYS")*100/P4)</f>
        <v>#REF!</v>
      </c>
      <c r="CC4" t="e">
        <f>IF(P4=0,0,COUNTIF(#REF!,"G")*100/P4)</f>
        <v>#REF!</v>
      </c>
      <c r="CD4" t="e">
        <f>IF(P4=0,0,COUNTIF(#REF!,"NoIDINV")*100/P4)</f>
        <v>#REF!</v>
      </c>
      <c r="CE4" t="e">
        <f>IF(P4=0,0,COUNTIF(#REF!,"OLV")*100/P4)</f>
        <v>#REF!</v>
      </c>
      <c r="CF4" t="e">
        <f>IF(P4=0,0,COUNTIF(#REF!,"SC")*100/P4)</f>
        <v>#REF!</v>
      </c>
      <c r="CG4" t="e">
        <f>IF(P4=0,0,COUNTIF(#REF!,"S")*100/P4)</f>
        <v>#REF!</v>
      </c>
      <c r="CH4" t="e">
        <f>IF(P4=0,0,COUNTIF(#REF!,"TERPS")*100/P4)</f>
        <v>#REF!</v>
      </c>
      <c r="CI4" t="e">
        <f>IF(P4=0,0,COUNTIF(#REF!,"Z")*100/P4)</f>
        <v>#REF!</v>
      </c>
      <c r="CK4" t="e">
        <f>IF(P4=0,0,COUNTIF(#REF!,"ASP")*100/P4)</f>
        <v>#REF!</v>
      </c>
      <c r="CL4" t="e">
        <f>IF(P4=0,0,COUNTIF(#REF!,"BG")*100/P4)</f>
        <v>#REF!</v>
      </c>
      <c r="CM4" t="e">
        <f>IF(P4=0,0,COUNTIF(#REF!,"Bood")*100/P4)</f>
        <v>#REF!</v>
      </c>
      <c r="CN4" t="e">
        <f>IF(P4=0,0,COUNTIF(#REF!,"BRYP")*100/P4)</f>
        <v>#REF!</v>
      </c>
      <c r="CO4" t="e">
        <f>IF(P4=0,0,COUNTIF(#REF!,"CLP")*100/P4)</f>
        <v>#REF!</v>
      </c>
      <c r="CP4" t="e">
        <f>IF(P4=0,0,COUNTIF(#REF!,"CHLDES")*100/P4)</f>
        <v>#REF!</v>
      </c>
      <c r="CQ4" t="e">
        <f>IF(P4=0,0,COUNTIF(#REF!,"DYCTY")*100/P4)</f>
        <v>#REF!</v>
      </c>
      <c r="CR4" t="e">
        <f>IF(P4=0,0,COUNTIF(#REF!,"DICT")*100/P4)</f>
        <v>#REF!</v>
      </c>
      <c r="CS4" t="e">
        <f>IF(P4=0,0,COUNTIF(#REF!,"GLXU")*100/P4)</f>
        <v>#REF!</v>
      </c>
      <c r="CT4" t="e">
        <f>IF(P4=0,0,COUNTIF(#REF!,"HALI")*100/P4)</f>
        <v>#REF!</v>
      </c>
      <c r="CU4" t="e">
        <f>IF(P4=0,0,COUNTIF(#REF!,"LIAG")*100/P4)</f>
        <v>#REF!</v>
      </c>
      <c r="CV4" t="e">
        <f>IF(P4=0,0,COUNTIF(#REF!,"LOBO")*100/P4)</f>
        <v>#REF!</v>
      </c>
      <c r="CW4" t="e">
        <f>IF(P4=0,0,COUNTIF(#REF!,"MAST")*100/P4)</f>
        <v>#REF!</v>
      </c>
      <c r="CX4" t="e">
        <f>IF(P4=0,0,COUNTIF(#REF!,"MICDTY")*100/P4)</f>
        <v>#REF!</v>
      </c>
      <c r="CY4" t="e">
        <f>IF(P4=0,0,COUNTIF(#REF!,"NEOM")*100/P4)</f>
        <v>#REF!</v>
      </c>
      <c r="CZ4" t="e">
        <f>IF(P4=0,0,COUNTIF(#REF!,"NOIDMAC")*100/P4)</f>
        <v>#REF!</v>
      </c>
      <c r="DA4" t="e">
        <f>IF(P4=0,0,COUNTIF(#REF!,"PAD")*100/P4)</f>
        <v>#REF!</v>
      </c>
      <c r="DB4" t="e">
        <f>IF(P4=0,0,COUNTIF(#REF!,"SARG")*100/P4)</f>
        <v>#REF!</v>
      </c>
      <c r="DC4" t="e">
        <f>IF(P4=0,0,COUNTIF(#REF!,"SCHIZ")*100/P4)</f>
        <v>#REF!</v>
      </c>
      <c r="DD4" t="e">
        <f>IF(P4=0,0,COUNTIF(#REF!,"TURB")*100/P4)</f>
        <v>#REF!</v>
      </c>
      <c r="DE4" t="e">
        <f>IF(P4=0,0,COUNTIF(#REF!,"TYDM")*100/P4)</f>
        <v>#REF!</v>
      </c>
      <c r="DG4" t="e">
        <f>IF(P4=0,0,COUNTIF(#REF!,"AMP")*100/P4)</f>
        <v>#REF!</v>
      </c>
      <c r="DH4" t="e">
        <f>IF(P4=0,0,COUNTIF(#REF!,"BCA1")*100/P4)</f>
        <v>#REF!</v>
      </c>
      <c r="DI4" t="e">
        <f>IF(P4=0,0,COUNTIF(#REF!,"JAN")*100/P4)</f>
        <v>#REF!</v>
      </c>
      <c r="DK4" s="29" t="e">
        <f>IF(P4=0,0,COUNTIF(#REF!,"CCA1")*100/P4)</f>
        <v>#REF!</v>
      </c>
      <c r="DM4" t="e">
        <f>IF(P4=0,0,COUNTIF(#REF!,"Sand")*100/P4)</f>
        <v>#REF!</v>
      </c>
      <c r="DO4" s="29" t="e">
        <f>IF(P4=0,0,COUNTIF(#REF!,"FCA1")*100/P4)</f>
        <v>#REF!</v>
      </c>
      <c r="DQ4" t="e">
        <f>IF(P4=0,0,COUNTIF(#REF!,"CHRYOBRN")*100/P4)</f>
        <v>#REF!</v>
      </c>
      <c r="DS4" s="29" t="e">
        <f>IF(P4=0,0,COUNTIF(#REF!,"TURF")*100/P4)</f>
        <v>#REF!</v>
      </c>
      <c r="DU4" t="e">
        <f>COUNTIF(#REF!,"Shadow")*100/5</f>
        <v>#REF!</v>
      </c>
      <c r="DV4" t="e">
        <f>COUNTIF(#REF!,"Tape")*100/5</f>
        <v>#REF!</v>
      </c>
      <c r="DW4" t="e">
        <f>COUNTIF(#REF!,"Wand")*100/5</f>
        <v>#REF!</v>
      </c>
      <c r="DY4" t="e">
        <f>IF(P4=0,0,COUNTIF(#REF!,"BC")*100/P4)</f>
        <v>#REF!</v>
      </c>
    </row>
    <row r="5" spans="1:129">
      <c r="A5">
        <v>3</v>
      </c>
      <c r="B5" t="s">
        <v>32</v>
      </c>
      <c r="F5" s="29" t="e">
        <f>IF(P5=0,0,COUNTIF(#REF!,"C")*100/P5)</f>
        <v>#REF!</v>
      </c>
      <c r="G5" t="e">
        <f>IF(P5=0,0,COUNTIF(#REF!,"OI")*100/P5)</f>
        <v>#REF!</v>
      </c>
      <c r="H5" t="e">
        <f>IF(P5=0,0,COUNTIF(#REF!,"MA")*100/P5)</f>
        <v>#REF!</v>
      </c>
      <c r="I5" t="e">
        <f>IF(P5=0,0,COUNTIF(#REF!,"BCA")*100/P5)</f>
        <v>#REF!</v>
      </c>
      <c r="J5" t="e">
        <f>IF(P5=0,0,COUNTIF(#REF!,"CCA")*100/P5)</f>
        <v>#REF!</v>
      </c>
      <c r="K5" t="e">
        <f>IF(P5=0,0,COUNTIF(#REF!,"SD")*100/P5)</f>
        <v>#REF!</v>
      </c>
      <c r="L5" s="29" t="e">
        <f>IF(P5=0,0,COUNTIF(#REF!,"FCA")*100/P5)</f>
        <v>#REF!</v>
      </c>
      <c r="M5" t="e">
        <f>IF(P5=0,0,COUNTIF(#REF!,"CHRYS")*100/P5)</f>
        <v>#REF!</v>
      </c>
      <c r="N5" t="e">
        <f>IF(P5=0,0,COUNTIF(#REF!,"T")*100/P5)</f>
        <v>#REF!</v>
      </c>
      <c r="O5" t="e">
        <f>IF(P5=0,0,COUNTIF(#REF!,"TWS")*100/P5)</f>
        <v>#REF!</v>
      </c>
      <c r="P5" t="e">
        <f>5-COUNTIF(#REF!,"TWS")</f>
        <v>#REF!</v>
      </c>
      <c r="S5" t="e">
        <f>IF(P5=0,0,COUNTIF(#REF!,"ACAN")*100/P5)</f>
        <v>#REF!</v>
      </c>
      <c r="T5" t="e">
        <f>IF(P5=0,0,COUNTIF(#REF!,"ACROP")*100/P5)</f>
        <v>#REF!</v>
      </c>
      <c r="U5" t="e">
        <f>IF(P5=0,0,COUNTIF(#REF!,"ACROPARB")*100/P5)</f>
        <v>#REF!</v>
      </c>
      <c r="V5" t="e">
        <f>IF(P5=0,0,COUNTIF(#REF!,"ACROST")*100/P5)</f>
        <v>#REF!</v>
      </c>
      <c r="W5" t="e">
        <f>IF(P5=0,0,COUNTIF(#REF!,"ACROTBL")*100/P5)</f>
        <v>#REF!</v>
      </c>
      <c r="X5" t="e">
        <f>IF(P5=0,0,COUNTIF(#REF!,"ASTRP")*100/P5)</f>
        <v>#REF!</v>
      </c>
      <c r="Y5" t="e">
        <f>IF(P5=0,0,COUNTIF(#REF!,"CAUL")*100/P5)</f>
        <v>#REF!</v>
      </c>
      <c r="Z5" t="e">
        <f>IF(P5=0,0,COUNTIF(#REF!,"COSC")*100/P5)</f>
        <v>#REF!</v>
      </c>
      <c r="AA5" t="e">
        <f>IF(P5=0,0,COUNTIF(#REF!,"CTEN")*100/P5)</f>
        <v>#REF!</v>
      </c>
      <c r="AB5" t="e">
        <f>IF(P5=0,0,COUNTIF(#REF!,"CYPH")*100/P5)</f>
        <v>#REF!</v>
      </c>
      <c r="AC5" t="e">
        <f>IF(P5=0,0,COUNTIF(#REF!,"DIPLO")*100/P5)</f>
        <v>#REF!</v>
      </c>
      <c r="AD5" t="e">
        <f>IF(P5=0,0,COUNTIF(#REF!,"ECHPO")*100/P5)</f>
        <v>#REF!</v>
      </c>
      <c r="AE5" t="e">
        <f>IF(P5=0,0,COUNTIF(#REF!,"ECHPHY")*100/P5)</f>
        <v>#REF!</v>
      </c>
      <c r="AF5" t="e">
        <f>IF(P5=0,0,COUNTIF(#REF!,"EUPH")*100/P5)</f>
        <v>#REF!</v>
      </c>
      <c r="AG5" t="e">
        <f>IF(P5=0,0,COUNTIF(#REF!,"FAV")*100/P5)</f>
        <v>#REF!</v>
      </c>
      <c r="AH5" t="e">
        <f>IF(P5=0,0,COUNTIF(#REF!,"FAVT")*100/P5)</f>
        <v>#REF!</v>
      </c>
      <c r="AI5" t="e">
        <f>IF(P5=0,0,COUNTIF(#REF!,"FUNG")*100/P5)</f>
        <v>#REF!</v>
      </c>
      <c r="AJ5" t="e">
        <f>IF(P5=0,0,COUNTIF(#REF!,"GAL")*100/P5)</f>
        <v>#REF!</v>
      </c>
      <c r="AK5" t="e">
        <f>IF(P5=0,0,COUNTIF(#REF!,"GARD")*100/P5)</f>
        <v>#REF!</v>
      </c>
      <c r="AL5" t="e">
        <f>IF(P5=0,0,COUNTIF(#REF!,"GON")*100/P5)</f>
        <v>#REF!</v>
      </c>
      <c r="AM5" t="e">
        <f>IF(P5=0,0,COUNTIF(#REF!,"GONIO")*100/P5)</f>
        <v>#REF!</v>
      </c>
      <c r="AN5" t="e">
        <f>IF(P5=0,0,COUNTIF(#REF!,"HELIO")*100/P5)</f>
        <v>#REF!</v>
      </c>
      <c r="AO5" t="e">
        <f>IF(P5=0,0,COUNTIF(#REF!,"HERP")*100/P5)</f>
        <v>#REF!</v>
      </c>
      <c r="AP5" t="e">
        <f>IF(P5=0,0,COUNTIF(#REF!,"HYD")*100/P5)</f>
        <v>#REF!</v>
      </c>
      <c r="AQ5" t="e">
        <f>IF(P5=0,0,COUNTIF(#REF!,"ISOP")*100/P5)</f>
        <v>#REF!</v>
      </c>
      <c r="AR5" t="e">
        <f>IF(P5=0,0,COUNTIF(#REF!,"LEPT")*100/P5)</f>
        <v>#REF!</v>
      </c>
      <c r="AS5" t="e">
        <f>IF(P5=0,0,COUNTIF(#REF!,"LEPTOR")*100/P5)</f>
        <v>#REF!</v>
      </c>
      <c r="AT5" t="e">
        <f>IF(P5=0,0,COUNTIF(#REF!,"LEPTOS")*100/P5)</f>
        <v>#REF!</v>
      </c>
      <c r="AU5" t="e">
        <f>IF(P5=0,0,COUNTIF(#REF!,"LOBOPH")*100/P5)</f>
        <v>#REF!</v>
      </c>
      <c r="AV5" t="e">
        <f>IF(P5=0,0,COUNTIF(#REF!,"MERU")*100/P5)</f>
        <v>#REF!</v>
      </c>
      <c r="AW5" t="e">
        <f>IF(P5=0,0,COUNTIF(#REF!,"MILL")*100/P5)</f>
        <v>#REF!</v>
      </c>
      <c r="AX5" t="e">
        <f>IF(P5=0,0,COUNTIF(#REF!,"MONT")*100/P5)</f>
        <v>#REF!</v>
      </c>
      <c r="AY5" t="e">
        <f>IF(P5=0,0,COUNTIF(#REF!,"MONTI")*100/P5)</f>
        <v>#REF!</v>
      </c>
      <c r="AZ5" t="e">
        <f>IF(P5=0,0,COUNTIF(#REF!,"MYCED")*100/P5)</f>
        <v>#REF!</v>
      </c>
      <c r="BA5" t="e">
        <f>IF(P5=0,0,COUNTIF(#REF!,"OULO")*100/P5)</f>
        <v>#REF!</v>
      </c>
      <c r="BB5" t="e">
        <f>IF(P5=0,0,COUNTIF(#REF!,"OXYP")*100/P5)</f>
        <v>#REF!</v>
      </c>
      <c r="BC5" t="e">
        <f>IF(P5=0,0,COUNTIF(#REF!,"PLSIA")*100/P5)</f>
        <v>#REF!</v>
      </c>
      <c r="BD5" s="29" t="e">
        <f>IF(P5=0,0,COUNTIF(#REF!,"PACHY")*100/P5)</f>
        <v>#REF!</v>
      </c>
      <c r="BE5" t="e">
        <f>IF(P5=0,0,COUNTIF(#REF!,"PAV")*100/P5)</f>
        <v>#REF!</v>
      </c>
      <c r="BF5" t="e">
        <f>IF(P5=0,0,COUNTIF(#REF!,"PECT")*100/P5)</f>
        <v>#REF!</v>
      </c>
      <c r="BG5" t="e">
        <f>IF(P5=0,0,COUNTIF(#REF!,"PHYSO")*100/P5)</f>
        <v>#REF!</v>
      </c>
      <c r="BH5" t="e">
        <f>IF(P5=0,0,COUNTIF(#REF!,"PLAT")*100/P5)</f>
        <v>#REF!</v>
      </c>
      <c r="BI5" t="e">
        <f>IF(P5=0,0,COUNTIF(#REF!,"PLERO")*100/P5)</f>
        <v>#REF!</v>
      </c>
      <c r="BJ5" t="e">
        <f>IF(P5=0,0,COUNTIF(#REF!,"POC")*100/P5)</f>
        <v>#REF!</v>
      </c>
      <c r="BK5" t="e">
        <f>IF(P5=0,0,COUNTIF(#REF!,"POR")*100/P5)</f>
        <v>#REF!</v>
      </c>
      <c r="BL5" t="e">
        <f>IF(P5=0,0,COUNTIF(#REF!,"PORCYL")*100/P5)</f>
        <v>#REF!</v>
      </c>
      <c r="BM5" t="e">
        <f>IF(P5=0,0,COUNTIF(#REF!,"PORMAS")*100/P5)</f>
        <v>#REF!</v>
      </c>
      <c r="BN5" t="e">
        <f>IF(P5=0,0,COUNTIF(#REF!,"PORRUS")*100/P5)</f>
        <v>#REF!</v>
      </c>
      <c r="BO5" t="e">
        <f>IF(P5=0,0,COUNTIF(#REF!,"PSAM")*100/P5)</f>
        <v>#REF!</v>
      </c>
      <c r="BP5" t="e">
        <f>IF(P5=0,0,COUNTIF(#REF!,"SANDO")*100/P5)</f>
        <v>#REF!</v>
      </c>
      <c r="BQ5" t="e">
        <f>IF(P5=0,0,COUNTIF(#REF!,"SCAP")*100/P5)</f>
        <v>#REF!</v>
      </c>
      <c r="BR5" t="e">
        <f>IF(P5=0,0,COUNTIF(#REF!,"SERIA")*100/P5)</f>
        <v>#REF!</v>
      </c>
      <c r="BS5" t="e">
        <f>IF(P5=0,0,COUNTIF(#REF!,"STYLC")*100/P5)</f>
        <v>#REF!</v>
      </c>
      <c r="BT5" t="e">
        <f>IF(P5=0,0,COUNTIF(#REF!,"STYLO")*100/P5)</f>
        <v>#REF!</v>
      </c>
      <c r="BU5" t="e">
        <f>IF(P5=0,0,COUNTIF(#REF!,"SYMP")*100/P5)</f>
        <v>#REF!</v>
      </c>
      <c r="BV5" t="e">
        <f>IF(P5=0,0,COUNTIF(#REF!,"TURBIN")*100/P5)</f>
        <v>#REF!</v>
      </c>
      <c r="BX5" t="e">
        <f>IF(P5=0,0,COUNTIF(#REF!,"ANEM")*100/P5)</f>
        <v>#REF!</v>
      </c>
      <c r="BY5" t="e">
        <f>IF(P5=0,0,COUNTIF(#REF!,"ASC")*100/P5)</f>
        <v>#REF!</v>
      </c>
      <c r="BZ5" t="e">
        <f>IF(P5=0,0,COUNTIF(#REF!,"CUPS")*100/P5)</f>
        <v>#REF!</v>
      </c>
      <c r="CA5" t="e">
        <f>IF(P5=0,0,COUNTIF(#REF!,"DISCO")*100/P5)</f>
        <v>#REF!</v>
      </c>
      <c r="CB5" t="e">
        <f>IF(P5=0,0,COUNTIF(#REF!,"DYS")*100/P5)</f>
        <v>#REF!</v>
      </c>
      <c r="CC5" t="e">
        <f>IF(P5=0,0,COUNTIF(#REF!,"G")*100/P5)</f>
        <v>#REF!</v>
      </c>
      <c r="CD5" t="e">
        <f>IF(P5=0,0,COUNTIF(#REF!,"NoIDINV")*100/P5)</f>
        <v>#REF!</v>
      </c>
      <c r="CE5" t="e">
        <f>IF(P5=0,0,COUNTIF(#REF!,"OLV")*100/P5)</f>
        <v>#REF!</v>
      </c>
      <c r="CF5" t="e">
        <f>IF(P5=0,0,COUNTIF(#REF!,"SC")*100/P5)</f>
        <v>#REF!</v>
      </c>
      <c r="CG5" t="e">
        <f>IF(P5=0,0,COUNTIF(#REF!,"S")*100/P5)</f>
        <v>#REF!</v>
      </c>
      <c r="CH5" t="e">
        <f>IF(P5=0,0,COUNTIF(#REF!,"TERPS")*100/P5)</f>
        <v>#REF!</v>
      </c>
      <c r="CI5" t="e">
        <f>IF(P5=0,0,COUNTIF(#REF!,"Z")*100/P5)</f>
        <v>#REF!</v>
      </c>
      <c r="CK5" t="e">
        <f>IF(P5=0,0,COUNTIF(#REF!,"ASP")*100/P5)</f>
        <v>#REF!</v>
      </c>
      <c r="CL5" t="e">
        <f>IF(P5=0,0,COUNTIF(#REF!,"BG")*100/P5)</f>
        <v>#REF!</v>
      </c>
      <c r="CM5" t="e">
        <f>IF(P5=0,0,COUNTIF(#REF!,"Bood")*100/P5)</f>
        <v>#REF!</v>
      </c>
      <c r="CN5" t="e">
        <f>IF(P5=0,0,COUNTIF(#REF!,"BRYP")*100/P5)</f>
        <v>#REF!</v>
      </c>
      <c r="CO5" t="e">
        <f>IF(P5=0,0,COUNTIF(#REF!,"CLP")*100/P5)</f>
        <v>#REF!</v>
      </c>
      <c r="CP5" t="e">
        <f>IF(P5=0,0,COUNTIF(#REF!,"CHLDES")*100/P5)</f>
        <v>#REF!</v>
      </c>
      <c r="CQ5" t="e">
        <f>IF(P5=0,0,COUNTIF(#REF!,"DYCTY")*100/P5)</f>
        <v>#REF!</v>
      </c>
      <c r="CR5" t="e">
        <f>IF(P5=0,0,COUNTIF(#REF!,"DICT")*100/P5)</f>
        <v>#REF!</v>
      </c>
      <c r="CS5" t="e">
        <f>IF(P5=0,0,COUNTIF(#REF!,"GLXU")*100/P5)</f>
        <v>#REF!</v>
      </c>
      <c r="CT5" t="e">
        <f>IF(P5=0,0,COUNTIF(#REF!,"HALI")*100/P5)</f>
        <v>#REF!</v>
      </c>
      <c r="CU5" t="e">
        <f>IF(P5=0,0,COUNTIF(#REF!,"LIAG")*100/P5)</f>
        <v>#REF!</v>
      </c>
      <c r="CV5" t="e">
        <f>IF(P5=0,0,COUNTIF(#REF!,"LOBO")*100/P5)</f>
        <v>#REF!</v>
      </c>
      <c r="CW5" t="e">
        <f>IF(P5=0,0,COUNTIF(#REF!,"MAST")*100/P5)</f>
        <v>#REF!</v>
      </c>
      <c r="CX5" t="e">
        <f>IF(P5=0,0,COUNTIF(#REF!,"MICDTY")*100/P5)</f>
        <v>#REF!</v>
      </c>
      <c r="CY5" t="e">
        <f>IF(P5=0,0,COUNTIF(#REF!,"NEOM")*100/P5)</f>
        <v>#REF!</v>
      </c>
      <c r="CZ5" t="e">
        <f>IF(P5=0,0,COUNTIF(#REF!,"NOIDMAC")*100/P5)</f>
        <v>#REF!</v>
      </c>
      <c r="DA5" t="e">
        <f>IF(P5=0,0,COUNTIF(#REF!,"PAD")*100/P5)</f>
        <v>#REF!</v>
      </c>
      <c r="DB5" t="e">
        <f>IF(P5=0,0,COUNTIF(#REF!,"SARG")*100/P5)</f>
        <v>#REF!</v>
      </c>
      <c r="DC5" t="e">
        <f>IF(P5=0,0,COUNTIF(#REF!,"SCHIZ")*100/P5)</f>
        <v>#REF!</v>
      </c>
      <c r="DD5" t="e">
        <f>IF(P5=0,0,COUNTIF(#REF!,"TURB")*100/P5)</f>
        <v>#REF!</v>
      </c>
      <c r="DE5" t="e">
        <f>IF(P5=0,0,COUNTIF(#REF!,"TYDM")*100/P5)</f>
        <v>#REF!</v>
      </c>
      <c r="DG5" t="e">
        <f>IF(P5=0,0,COUNTIF(#REF!,"AMP")*100/P5)</f>
        <v>#REF!</v>
      </c>
      <c r="DH5" t="e">
        <f>IF(P5=0,0,COUNTIF(#REF!,"BCA1")*100/P5)</f>
        <v>#REF!</v>
      </c>
      <c r="DI5" t="e">
        <f>IF(P5=0,0,COUNTIF(#REF!,"JAN")*100/P5)</f>
        <v>#REF!</v>
      </c>
      <c r="DK5" t="e">
        <f>IF(P5=0,0,COUNTIF(#REF!,"CCA1")*100/P5)</f>
        <v>#REF!</v>
      </c>
      <c r="DM5" t="e">
        <f>IF(P5=0,0,COUNTIF(#REF!,"Sand")*100/P5)</f>
        <v>#REF!</v>
      </c>
      <c r="DO5" s="29" t="e">
        <f>IF(P5=0,0,COUNTIF(#REF!,"FCA1")*100/P5)</f>
        <v>#REF!</v>
      </c>
      <c r="DQ5" t="e">
        <f>IF(P5=0,0,COUNTIF(#REF!,"CHRYOBRN")*100/P5)</f>
        <v>#REF!</v>
      </c>
      <c r="DS5" t="e">
        <f>IF(P5=0,0,COUNTIF(#REF!,"TURF")*100/P5)</f>
        <v>#REF!</v>
      </c>
      <c r="DU5" t="e">
        <f>COUNTIF(#REF!,"Shadow")*100/5</f>
        <v>#REF!</v>
      </c>
      <c r="DV5" t="e">
        <f>COUNTIF(#REF!,"Tape")*100/5</f>
        <v>#REF!</v>
      </c>
      <c r="DW5" t="e">
        <f>COUNTIF(#REF!,"Wand")*100/5</f>
        <v>#REF!</v>
      </c>
      <c r="DY5" t="e">
        <f>IF(P5=0,0,COUNTIF(#REF!,"BC")*100/P5)</f>
        <v>#REF!</v>
      </c>
    </row>
    <row r="6" spans="1:129">
      <c r="A6">
        <v>4</v>
      </c>
      <c r="B6" t="s">
        <v>34</v>
      </c>
      <c r="F6" s="29" t="e">
        <f>IF(P6=0,0,COUNTIF(#REF!,"C")*100/P6)</f>
        <v>#REF!</v>
      </c>
      <c r="G6" t="e">
        <f>IF(P6=0,0,COUNTIF(#REF!,"OI")*100/P6)</f>
        <v>#REF!</v>
      </c>
      <c r="H6" t="e">
        <f>IF(P6=0,0,COUNTIF(#REF!,"MA")*100/P6)</f>
        <v>#REF!</v>
      </c>
      <c r="I6" t="e">
        <f>IF(P6=0,0,COUNTIF(#REF!,"BCA")*100/P6)</f>
        <v>#REF!</v>
      </c>
      <c r="J6" s="29" t="e">
        <f>IF(P6=0,0,COUNTIF(#REF!,"CCA")*100/P6)</f>
        <v>#REF!</v>
      </c>
      <c r="K6" t="e">
        <f>IF(P6=0,0,COUNTIF(#REF!,"SD")*100/P6)</f>
        <v>#REF!</v>
      </c>
      <c r="L6" t="e">
        <f>IF(P6=0,0,COUNTIF(#REF!,"FCA")*100/P6)</f>
        <v>#REF!</v>
      </c>
      <c r="M6" t="e">
        <f>IF(P6=0,0,COUNTIF(#REF!,"CHRYS")*100/P6)</f>
        <v>#REF!</v>
      </c>
      <c r="N6" s="29" t="e">
        <f>IF(P6=0,0,COUNTIF(#REF!,"T")*100/P6)</f>
        <v>#REF!</v>
      </c>
      <c r="O6" t="e">
        <f>IF(P6=0,0,COUNTIF(#REF!,"TWS")*100/P6)</f>
        <v>#REF!</v>
      </c>
      <c r="P6" t="e">
        <f>5-COUNTIF(#REF!,"TWS")</f>
        <v>#REF!</v>
      </c>
      <c r="S6" t="e">
        <f>IF(P6=0,0,COUNTIF(#REF!,"ACAN")*100/P6)</f>
        <v>#REF!</v>
      </c>
      <c r="T6" t="e">
        <f>IF(P6=0,0,COUNTIF(#REF!,"ACROP")*100/P6)</f>
        <v>#REF!</v>
      </c>
      <c r="U6" t="e">
        <f>IF(P6=0,0,COUNTIF(#REF!,"ACROPARB")*100/P6)</f>
        <v>#REF!</v>
      </c>
      <c r="V6" t="e">
        <f>IF(P6=0,0,COUNTIF(#REF!,"ACROST")*100/P6)</f>
        <v>#REF!</v>
      </c>
      <c r="W6" t="e">
        <f>IF(P6=0,0,COUNTIF(#REF!,"ACROTBL")*100/P6)</f>
        <v>#REF!</v>
      </c>
      <c r="X6" t="e">
        <f>IF(P6=0,0,COUNTIF(#REF!,"ASTRP")*100/P6)</f>
        <v>#REF!</v>
      </c>
      <c r="Y6" t="e">
        <f>IF(P6=0,0,COUNTIF(#REF!,"CAUL")*100/P6)</f>
        <v>#REF!</v>
      </c>
      <c r="Z6" t="e">
        <f>IF(P6=0,0,COUNTIF(#REF!,"COSC")*100/P6)</f>
        <v>#REF!</v>
      </c>
      <c r="AA6" t="e">
        <f>IF(P6=0,0,COUNTIF(#REF!,"CTEN")*100/P6)</f>
        <v>#REF!</v>
      </c>
      <c r="AB6" t="e">
        <f>IF(P6=0,0,COUNTIF(#REF!,"CYPH")*100/P6)</f>
        <v>#REF!</v>
      </c>
      <c r="AC6" t="e">
        <f>IF(P6=0,0,COUNTIF(#REF!,"DIPLO")*100/P6)</f>
        <v>#REF!</v>
      </c>
      <c r="AD6" s="29" t="e">
        <f>IF(P6=0,0,COUNTIF(#REF!,"ECHPO")*100/P6)</f>
        <v>#REF!</v>
      </c>
      <c r="AE6" t="e">
        <f>IF(P6=0,0,COUNTIF(#REF!,"ECHPHY")*100/P6)</f>
        <v>#REF!</v>
      </c>
      <c r="AF6" t="e">
        <f>IF(P6=0,0,COUNTIF(#REF!,"EUPH")*100/P6)</f>
        <v>#REF!</v>
      </c>
      <c r="AG6" t="e">
        <f>IF(P6=0,0,COUNTIF(#REF!,"FAV")*100/P6)</f>
        <v>#REF!</v>
      </c>
      <c r="AH6" t="e">
        <f>IF(P6=0,0,COUNTIF(#REF!,"FAVT")*100/P6)</f>
        <v>#REF!</v>
      </c>
      <c r="AI6" t="e">
        <f>IF(P6=0,0,COUNTIF(#REF!,"FUNG")*100/P6)</f>
        <v>#REF!</v>
      </c>
      <c r="AJ6" t="e">
        <f>IF(P6=0,0,COUNTIF(#REF!,"GAL")*100/P6)</f>
        <v>#REF!</v>
      </c>
      <c r="AK6" t="e">
        <f>IF(P6=0,0,COUNTIF(#REF!,"GARD")*100/P6)</f>
        <v>#REF!</v>
      </c>
      <c r="AL6" t="e">
        <f>IF(P6=0,0,COUNTIF(#REF!,"GON")*100/P6)</f>
        <v>#REF!</v>
      </c>
      <c r="AM6" t="e">
        <f>IF(P6=0,0,COUNTIF(#REF!,"GONIO")*100/P6)</f>
        <v>#REF!</v>
      </c>
      <c r="AN6" t="e">
        <f>IF(P6=0,0,COUNTIF(#REF!,"HELIO")*100/P6)</f>
        <v>#REF!</v>
      </c>
      <c r="AO6" t="e">
        <f>IF(P6=0,0,COUNTIF(#REF!,"HERP")*100/P6)</f>
        <v>#REF!</v>
      </c>
      <c r="AP6" t="e">
        <f>IF(P6=0,0,COUNTIF(#REF!,"HYD")*100/P6)</f>
        <v>#REF!</v>
      </c>
      <c r="AQ6" t="e">
        <f>IF(P6=0,0,COUNTIF(#REF!,"ISOP")*100/P6)</f>
        <v>#REF!</v>
      </c>
      <c r="AR6" t="e">
        <f>IF(P6=0,0,COUNTIF(#REF!,"LEPT")*100/P6)</f>
        <v>#REF!</v>
      </c>
      <c r="AS6" s="29" t="e">
        <f>IF(P6=0,0,COUNTIF(#REF!,"LEPTOR")*100/P6)</f>
        <v>#REF!</v>
      </c>
      <c r="AT6" t="e">
        <f>IF(P6=0,0,COUNTIF(#REF!,"LEPTOS")*100/P6)</f>
        <v>#REF!</v>
      </c>
      <c r="AU6" t="e">
        <f>IF(P6=0,0,COUNTIF(#REF!,"LOBOPH")*100/P6)</f>
        <v>#REF!</v>
      </c>
      <c r="AV6" t="e">
        <f>IF(P6=0,0,COUNTIF(#REF!,"MERU")*100/P6)</f>
        <v>#REF!</v>
      </c>
      <c r="AW6" t="e">
        <f>IF(P6=0,0,COUNTIF(#REF!,"MILL")*100/P6)</f>
        <v>#REF!</v>
      </c>
      <c r="AX6" t="e">
        <f>IF(P6=0,0,COUNTIF(#REF!,"MONT")*100/P6)</f>
        <v>#REF!</v>
      </c>
      <c r="AY6" t="e">
        <f>IF(P6=0,0,COUNTIF(#REF!,"MONTI")*100/P6)</f>
        <v>#REF!</v>
      </c>
      <c r="AZ6" t="e">
        <f>IF(P6=0,0,COUNTIF(#REF!,"MYCED")*100/P6)</f>
        <v>#REF!</v>
      </c>
      <c r="BA6" t="e">
        <f>IF(P6=0,0,COUNTIF(#REF!,"OULO")*100/P6)</f>
        <v>#REF!</v>
      </c>
      <c r="BB6" t="e">
        <f>IF(P6=0,0,COUNTIF(#REF!,"OXYP")*100/P6)</f>
        <v>#REF!</v>
      </c>
      <c r="BC6" t="e">
        <f>IF(P6=0,0,COUNTIF(#REF!,"PLSIA")*100/P6)</f>
        <v>#REF!</v>
      </c>
      <c r="BD6" t="e">
        <f>IF(P6=0,0,COUNTIF(#REF!,"PACHY")*100/P6)</f>
        <v>#REF!</v>
      </c>
      <c r="BE6" t="e">
        <f>IF(P6=0,0,COUNTIF(#REF!,"PAV")*100/P6)</f>
        <v>#REF!</v>
      </c>
      <c r="BF6" t="e">
        <f>IF(P6=0,0,COUNTIF(#REF!,"PECT")*100/P6)</f>
        <v>#REF!</v>
      </c>
      <c r="BG6" t="e">
        <f>IF(P6=0,0,COUNTIF(#REF!,"PHYSO")*100/P6)</f>
        <v>#REF!</v>
      </c>
      <c r="BH6" t="e">
        <f>IF(P6=0,0,COUNTIF(#REF!,"PLAT")*100/P6)</f>
        <v>#REF!</v>
      </c>
      <c r="BI6" t="e">
        <f>IF(P6=0,0,COUNTIF(#REF!,"PLERO")*100/P6)</f>
        <v>#REF!</v>
      </c>
      <c r="BJ6" t="e">
        <f>IF(P6=0,0,COUNTIF(#REF!,"POC")*100/P6)</f>
        <v>#REF!</v>
      </c>
      <c r="BK6" t="e">
        <f>IF(P6=0,0,COUNTIF(#REF!,"POR")*100/P6)</f>
        <v>#REF!</v>
      </c>
      <c r="BL6" t="e">
        <f>IF(P6=0,0,COUNTIF(#REF!,"PORCYL")*100/P6)</f>
        <v>#REF!</v>
      </c>
      <c r="BM6" t="e">
        <f>IF(P6=0,0,COUNTIF(#REF!,"PORMAS")*100/P6)</f>
        <v>#REF!</v>
      </c>
      <c r="BN6" t="e">
        <f>IF(P6=0,0,COUNTIF(#REF!,"PORRUS")*100/P6)</f>
        <v>#REF!</v>
      </c>
      <c r="BO6" t="e">
        <f>IF(P6=0,0,COUNTIF(#REF!,"PSAM")*100/P6)</f>
        <v>#REF!</v>
      </c>
      <c r="BP6" t="e">
        <f>IF(P6=0,0,COUNTIF(#REF!,"SANDO")*100/P6)</f>
        <v>#REF!</v>
      </c>
      <c r="BQ6" t="e">
        <f>IF(P6=0,0,COUNTIF(#REF!,"SCAP")*100/P6)</f>
        <v>#REF!</v>
      </c>
      <c r="BR6" t="e">
        <f>IF(P6=0,0,COUNTIF(#REF!,"SERIA")*100/P6)</f>
        <v>#REF!</v>
      </c>
      <c r="BS6" t="e">
        <f>IF(P6=0,0,COUNTIF(#REF!,"STYLC")*100/P6)</f>
        <v>#REF!</v>
      </c>
      <c r="BT6" t="e">
        <f>IF(P6=0,0,COUNTIF(#REF!,"STYLO")*100/P6)</f>
        <v>#REF!</v>
      </c>
      <c r="BU6" t="e">
        <f>IF(P6=0,0,COUNTIF(#REF!,"SYMP")*100/P6)</f>
        <v>#REF!</v>
      </c>
      <c r="BV6" t="e">
        <f>IF(P6=0,0,COUNTIF(#REF!,"TURBIN")*100/P6)</f>
        <v>#REF!</v>
      </c>
      <c r="BX6" t="e">
        <f>IF(P6=0,0,COUNTIF(#REF!,"ANEM")*100/P6)</f>
        <v>#REF!</v>
      </c>
      <c r="BY6" t="e">
        <f>IF(P6=0,0,COUNTIF(#REF!,"ASC")*100/P6)</f>
        <v>#REF!</v>
      </c>
      <c r="BZ6" t="e">
        <f>IF(P6=0,0,COUNTIF(#REF!,"CUPS")*100/P6)</f>
        <v>#REF!</v>
      </c>
      <c r="CA6" t="e">
        <f>IF(P6=0,0,COUNTIF(#REF!,"DISCO")*100/P6)</f>
        <v>#REF!</v>
      </c>
      <c r="CB6" t="e">
        <f>IF(P6=0,0,COUNTIF(#REF!,"DYS")*100/P6)</f>
        <v>#REF!</v>
      </c>
      <c r="CC6" t="e">
        <f>IF(P6=0,0,COUNTIF(#REF!,"G")*100/P6)</f>
        <v>#REF!</v>
      </c>
      <c r="CD6" t="e">
        <f>IF(P6=0,0,COUNTIF(#REF!,"NoIDINV")*100/P6)</f>
        <v>#REF!</v>
      </c>
      <c r="CE6" t="e">
        <f>IF(P6=0,0,COUNTIF(#REF!,"OLV")*100/P6)</f>
        <v>#REF!</v>
      </c>
      <c r="CF6" t="e">
        <f>IF(P6=0,0,COUNTIF(#REF!,"SC")*100/P6)</f>
        <v>#REF!</v>
      </c>
      <c r="CG6" t="e">
        <f>IF(P6=0,0,COUNTIF(#REF!,"S")*100/P6)</f>
        <v>#REF!</v>
      </c>
      <c r="CH6" t="e">
        <f>IF(P6=0,0,COUNTIF(#REF!,"TERPS")*100/P6)</f>
        <v>#REF!</v>
      </c>
      <c r="CI6" t="e">
        <f>IF(P6=0,0,COUNTIF(#REF!,"Z")*100/P6)</f>
        <v>#REF!</v>
      </c>
      <c r="CK6" t="e">
        <f>IF(P6=0,0,COUNTIF(#REF!,"ASP")*100/P6)</f>
        <v>#REF!</v>
      </c>
      <c r="CL6" t="e">
        <f>IF(P6=0,0,COUNTIF(#REF!,"BG")*100/P6)</f>
        <v>#REF!</v>
      </c>
      <c r="CM6" t="e">
        <f>IF(P6=0,0,COUNTIF(#REF!,"Bood")*100/P6)</f>
        <v>#REF!</v>
      </c>
      <c r="CN6" t="e">
        <f>IF(P6=0,0,COUNTIF(#REF!,"BRYP")*100/P6)</f>
        <v>#REF!</v>
      </c>
      <c r="CO6" t="e">
        <f>IF(P6=0,0,COUNTIF(#REF!,"CLP")*100/P6)</f>
        <v>#REF!</v>
      </c>
      <c r="CP6" t="e">
        <f>IF(P6=0,0,COUNTIF(#REF!,"CHLDES")*100/P6)</f>
        <v>#REF!</v>
      </c>
      <c r="CQ6" t="e">
        <f>IF(P6=0,0,COUNTIF(#REF!,"DYCTY")*100/P6)</f>
        <v>#REF!</v>
      </c>
      <c r="CR6" t="e">
        <f>IF(P6=0,0,COUNTIF(#REF!,"DICT")*100/P6)</f>
        <v>#REF!</v>
      </c>
      <c r="CS6" t="e">
        <f>IF(P6=0,0,COUNTIF(#REF!,"GLXU")*100/P6)</f>
        <v>#REF!</v>
      </c>
      <c r="CT6" t="e">
        <f>IF(P6=0,0,COUNTIF(#REF!,"HALI")*100/P6)</f>
        <v>#REF!</v>
      </c>
      <c r="CU6" t="e">
        <f>IF(P6=0,0,COUNTIF(#REF!,"LIAG")*100/P6)</f>
        <v>#REF!</v>
      </c>
      <c r="CV6" t="e">
        <f>IF(P6=0,0,COUNTIF(#REF!,"LOBO")*100/P6)</f>
        <v>#REF!</v>
      </c>
      <c r="CW6" t="e">
        <f>IF(P6=0,0,COUNTIF(#REF!,"MAST")*100/P6)</f>
        <v>#REF!</v>
      </c>
      <c r="CX6" t="e">
        <f>IF(P6=0,0,COUNTIF(#REF!,"MICDTY")*100/P6)</f>
        <v>#REF!</v>
      </c>
      <c r="CY6" t="e">
        <f>IF(P6=0,0,COUNTIF(#REF!,"NEOM")*100/P6)</f>
        <v>#REF!</v>
      </c>
      <c r="CZ6" t="e">
        <f>IF(P6=0,0,COUNTIF(#REF!,"NOIDMAC")*100/P6)</f>
        <v>#REF!</v>
      </c>
      <c r="DA6" t="e">
        <f>IF(P6=0,0,COUNTIF(#REF!,"PAD")*100/P6)</f>
        <v>#REF!</v>
      </c>
      <c r="DB6" t="e">
        <f>IF(P6=0,0,COUNTIF(#REF!,"SARG")*100/P6)</f>
        <v>#REF!</v>
      </c>
      <c r="DC6" t="e">
        <f>IF(P6=0,0,COUNTIF(#REF!,"SCHIZ")*100/P6)</f>
        <v>#REF!</v>
      </c>
      <c r="DD6" t="e">
        <f>IF(P6=0,0,COUNTIF(#REF!,"TURB")*100/P6)</f>
        <v>#REF!</v>
      </c>
      <c r="DE6" t="e">
        <f>IF(P6=0,0,COUNTIF(#REF!,"TYDM")*100/P6)</f>
        <v>#REF!</v>
      </c>
      <c r="DG6" t="e">
        <f>IF(P6=0,0,COUNTIF(#REF!,"AMP")*100/P6)</f>
        <v>#REF!</v>
      </c>
      <c r="DH6" t="e">
        <f>IF(P6=0,0,COUNTIF(#REF!,"BCA1")*100/P6)</f>
        <v>#REF!</v>
      </c>
      <c r="DI6" t="e">
        <f>IF(P6=0,0,COUNTIF(#REF!,"JAN")*100/P6)</f>
        <v>#REF!</v>
      </c>
      <c r="DK6" s="29" t="e">
        <f>IF(P6=0,0,COUNTIF(#REF!,"CCA1")*100/P6)</f>
        <v>#REF!</v>
      </c>
      <c r="DM6" t="e">
        <f>IF(P6=0,0,COUNTIF(#REF!,"Sand")*100/P6)</f>
        <v>#REF!</v>
      </c>
      <c r="DO6" t="e">
        <f>IF(P6=0,0,COUNTIF(#REF!,"FCA1")*100/P6)</f>
        <v>#REF!</v>
      </c>
      <c r="DQ6" t="e">
        <f>IF(P6=0,0,COUNTIF(#REF!,"CHRYOBRN")*100/P6)</f>
        <v>#REF!</v>
      </c>
      <c r="DS6" s="29" t="e">
        <f>IF(P6=0,0,COUNTIF(#REF!,"TURF")*100/P6)</f>
        <v>#REF!</v>
      </c>
      <c r="DU6" t="e">
        <f>COUNTIF(#REF!,"Shadow")*100/5</f>
        <v>#REF!</v>
      </c>
      <c r="DV6" t="e">
        <f>COUNTIF(#REF!,"Tape")*100/5</f>
        <v>#REF!</v>
      </c>
      <c r="DW6" t="e">
        <f>COUNTIF(#REF!,"Wand")*100/5</f>
        <v>#REF!</v>
      </c>
      <c r="DY6" t="e">
        <f>IF(P6=0,0,COUNTIF(#REF!,"BC")*100/P6)</f>
        <v>#REF!</v>
      </c>
    </row>
    <row r="7" spans="1:129">
      <c r="A7">
        <v>5</v>
      </c>
      <c r="B7" t="s">
        <v>36</v>
      </c>
      <c r="F7" s="29" t="e">
        <f>IF(P7=0,0,COUNTIF(#REF!,"C")*100/P7)</f>
        <v>#REF!</v>
      </c>
      <c r="G7" t="e">
        <f>IF(P7=0,0,COUNTIF(#REF!,"OI")*100/P7)</f>
        <v>#REF!</v>
      </c>
      <c r="H7" t="e">
        <f>IF(P7=0,0,COUNTIF(#REF!,"MA")*100/P7)</f>
        <v>#REF!</v>
      </c>
      <c r="I7" t="e">
        <f>IF(P7=0,0,COUNTIF(#REF!,"BCA")*100/P7)</f>
        <v>#REF!</v>
      </c>
      <c r="J7" t="e">
        <f>IF(P7=0,0,COUNTIF(#REF!,"CCA")*100/P7)</f>
        <v>#REF!</v>
      </c>
      <c r="K7" t="e">
        <f>IF(P7=0,0,COUNTIF(#REF!,"SD")*100/P7)</f>
        <v>#REF!</v>
      </c>
      <c r="L7" t="e">
        <f>IF(P7=0,0,COUNTIF(#REF!,"FCA")*100/P7)</f>
        <v>#REF!</v>
      </c>
      <c r="M7" t="e">
        <f>IF(P7=0,0,COUNTIF(#REF!,"CHRYS")*100/P7)</f>
        <v>#REF!</v>
      </c>
      <c r="N7" t="e">
        <f>IF(P7=0,0,COUNTIF(#REF!,"T")*100/P7)</f>
        <v>#REF!</v>
      </c>
      <c r="O7" t="e">
        <f>IF(P7=0,0,COUNTIF(#REF!,"TWS")*100/P7)</f>
        <v>#REF!</v>
      </c>
      <c r="P7" t="e">
        <f>5-COUNTIF(#REF!,"TWS")</f>
        <v>#REF!</v>
      </c>
      <c r="S7" t="e">
        <f>IF(P7=0,0,COUNTIF(#REF!,"ACAN")*100/P7)</f>
        <v>#REF!</v>
      </c>
      <c r="T7" t="e">
        <f>IF(P7=0,0,COUNTIF(#REF!,"ACROP")*100/P7)</f>
        <v>#REF!</v>
      </c>
      <c r="U7" t="e">
        <f>IF(P7=0,0,COUNTIF(#REF!,"ACROPARB")*100/P7)</f>
        <v>#REF!</v>
      </c>
      <c r="V7" t="e">
        <f>IF(P7=0,0,COUNTIF(#REF!,"ACROST")*100/P7)</f>
        <v>#REF!</v>
      </c>
      <c r="W7" t="e">
        <f>IF(P7=0,0,COUNTIF(#REF!,"ACROTBL")*100/P7)</f>
        <v>#REF!</v>
      </c>
      <c r="X7" t="e">
        <f>IF(P7=0,0,COUNTIF(#REF!,"ASTRP")*100/P7)</f>
        <v>#REF!</v>
      </c>
      <c r="Y7" t="e">
        <f>IF(P7=0,0,COUNTIF(#REF!,"CAUL")*100/P7)</f>
        <v>#REF!</v>
      </c>
      <c r="Z7" t="e">
        <f>IF(P7=0,0,COUNTIF(#REF!,"COSC")*100/P7)</f>
        <v>#REF!</v>
      </c>
      <c r="AA7" t="e">
        <f>IF(P7=0,0,COUNTIF(#REF!,"CTEN")*100/P7)</f>
        <v>#REF!</v>
      </c>
      <c r="AB7" t="e">
        <f>IF(P7=0,0,COUNTIF(#REF!,"CYPH")*100/P7)</f>
        <v>#REF!</v>
      </c>
      <c r="AC7" t="e">
        <f>IF(P7=0,0,COUNTIF(#REF!,"DIPLO")*100/P7)</f>
        <v>#REF!</v>
      </c>
      <c r="AD7" t="e">
        <f>IF(P7=0,0,COUNTIF(#REF!,"ECHPO")*100/P7)</f>
        <v>#REF!</v>
      </c>
      <c r="AE7" t="e">
        <f>IF(P7=0,0,COUNTIF(#REF!,"ECHPHY")*100/P7)</f>
        <v>#REF!</v>
      </c>
      <c r="AF7" t="e">
        <f>IF(P7=0,0,COUNTIF(#REF!,"EUPH")*100/P7)</f>
        <v>#REF!</v>
      </c>
      <c r="AG7" t="e">
        <f>IF(P7=0,0,COUNTIF(#REF!,"FAV")*100/P7)</f>
        <v>#REF!</v>
      </c>
      <c r="AH7" t="e">
        <f>IF(P7=0,0,COUNTIF(#REF!,"FAVT")*100/P7)</f>
        <v>#REF!</v>
      </c>
      <c r="AI7" t="e">
        <f>IF(P7=0,0,COUNTIF(#REF!,"FUNG")*100/P7)</f>
        <v>#REF!</v>
      </c>
      <c r="AJ7" s="29" t="e">
        <f>IF(P7=0,0,COUNTIF(#REF!,"GAL")*100/P7)</f>
        <v>#REF!</v>
      </c>
      <c r="AK7" t="e">
        <f>IF(P7=0,0,COUNTIF(#REF!,"GARD")*100/P7)</f>
        <v>#REF!</v>
      </c>
      <c r="AL7" t="e">
        <f>IF(P7=0,0,COUNTIF(#REF!,"GON")*100/P7)</f>
        <v>#REF!</v>
      </c>
      <c r="AM7" t="e">
        <f>IF(P7=0,0,COUNTIF(#REF!,"GONIO")*100/P7)</f>
        <v>#REF!</v>
      </c>
      <c r="AN7" t="e">
        <f>IF(P7=0,0,COUNTIF(#REF!,"HELIO")*100/P7)</f>
        <v>#REF!</v>
      </c>
      <c r="AO7" t="e">
        <f>IF(P7=0,0,COUNTIF(#REF!,"HERP")*100/P7)</f>
        <v>#REF!</v>
      </c>
      <c r="AP7" t="e">
        <f>IF(P7=0,0,COUNTIF(#REF!,"HYD")*100/P7)</f>
        <v>#REF!</v>
      </c>
      <c r="AQ7" t="e">
        <f>IF(P7=0,0,COUNTIF(#REF!,"ISOP")*100/P7)</f>
        <v>#REF!</v>
      </c>
      <c r="AR7" t="e">
        <f>IF(P7=0,0,COUNTIF(#REF!,"LEPT")*100/P7)</f>
        <v>#REF!</v>
      </c>
      <c r="AS7" t="e">
        <f>IF(P7=0,0,COUNTIF(#REF!,"LEPTOR")*100/P7)</f>
        <v>#REF!</v>
      </c>
      <c r="AT7" t="e">
        <f>IF(P7=0,0,COUNTIF(#REF!,"LEPTOS")*100/P7)</f>
        <v>#REF!</v>
      </c>
      <c r="AU7" t="e">
        <f>IF(P7=0,0,COUNTIF(#REF!,"LOBOPH")*100/P7)</f>
        <v>#REF!</v>
      </c>
      <c r="AV7" s="29" t="e">
        <f>IF(P7=0,0,COUNTIF(#REF!,"MERU")*100/P7)</f>
        <v>#REF!</v>
      </c>
      <c r="AW7" t="e">
        <f>IF(P7=0,0,COUNTIF(#REF!,"MILL")*100/P7)</f>
        <v>#REF!</v>
      </c>
      <c r="AX7" t="e">
        <f>IF(P7=0,0,COUNTIF(#REF!,"MONT")*100/P7)</f>
        <v>#REF!</v>
      </c>
      <c r="AY7" t="e">
        <f>IF(P7=0,0,COUNTIF(#REF!,"MONTI")*100/P7)</f>
        <v>#REF!</v>
      </c>
      <c r="AZ7" t="e">
        <f>IF(P7=0,0,COUNTIF(#REF!,"MYCED")*100/P7)</f>
        <v>#REF!</v>
      </c>
      <c r="BA7" t="e">
        <f>IF(P7=0,0,COUNTIF(#REF!,"OULO")*100/P7)</f>
        <v>#REF!</v>
      </c>
      <c r="BB7" t="e">
        <f>IF(P7=0,0,COUNTIF(#REF!,"OXYP")*100/P7)</f>
        <v>#REF!</v>
      </c>
      <c r="BC7" t="e">
        <f>IF(P7=0,0,COUNTIF(#REF!,"PLSIA")*100/P7)</f>
        <v>#REF!</v>
      </c>
      <c r="BD7" t="e">
        <f>IF(P7=0,0,COUNTIF(#REF!,"PACHY")*100/P7)</f>
        <v>#REF!</v>
      </c>
      <c r="BE7" t="e">
        <f>IF(P7=0,0,COUNTIF(#REF!,"PAV")*100/P7)</f>
        <v>#REF!</v>
      </c>
      <c r="BF7" t="e">
        <f>IF(P7=0,0,COUNTIF(#REF!,"PECT")*100/P7)</f>
        <v>#REF!</v>
      </c>
      <c r="BG7" t="e">
        <f>IF(P7=0,0,COUNTIF(#REF!,"PHYSO")*100/P7)</f>
        <v>#REF!</v>
      </c>
      <c r="BH7" t="e">
        <f>IF(P7=0,0,COUNTIF(#REF!,"PLAT")*100/P7)</f>
        <v>#REF!</v>
      </c>
      <c r="BI7" t="e">
        <f>IF(P7=0,0,COUNTIF(#REF!,"PLERO")*100/P7)</f>
        <v>#REF!</v>
      </c>
      <c r="BJ7" t="e">
        <f>IF(P7=0,0,COUNTIF(#REF!,"POC")*100/P7)</f>
        <v>#REF!</v>
      </c>
      <c r="BK7" t="e">
        <f>IF(P7=0,0,COUNTIF(#REF!,"POR")*100/P7)</f>
        <v>#REF!</v>
      </c>
      <c r="BL7" t="e">
        <f>IF(P7=0,0,COUNTIF(#REF!,"PORCYL")*100/P7)</f>
        <v>#REF!</v>
      </c>
      <c r="BM7" t="e">
        <f>IF(P7=0,0,COUNTIF(#REF!,"PORMAS")*100/P7)</f>
        <v>#REF!</v>
      </c>
      <c r="BN7" t="e">
        <f>IF(P7=0,0,COUNTIF(#REF!,"PORRUS")*100/P7)</f>
        <v>#REF!</v>
      </c>
      <c r="BO7" t="e">
        <f>IF(P7=0,0,COUNTIF(#REF!,"PSAM")*100/P7)</f>
        <v>#REF!</v>
      </c>
      <c r="BP7" t="e">
        <f>IF(P7=0,0,COUNTIF(#REF!,"SANDO")*100/P7)</f>
        <v>#REF!</v>
      </c>
      <c r="BQ7" t="e">
        <f>IF(P7=0,0,COUNTIF(#REF!,"SCAP")*100/P7)</f>
        <v>#REF!</v>
      </c>
      <c r="BR7" t="e">
        <f>IF(P7=0,0,COUNTIF(#REF!,"SERIA")*100/P7)</f>
        <v>#REF!</v>
      </c>
      <c r="BS7" t="e">
        <f>IF(P7=0,0,COUNTIF(#REF!,"STYLC")*100/P7)</f>
        <v>#REF!</v>
      </c>
      <c r="BT7" t="e">
        <f>IF(P7=0,0,COUNTIF(#REF!,"STYLO")*100/P7)</f>
        <v>#REF!</v>
      </c>
      <c r="BU7" t="e">
        <f>IF(P7=0,0,COUNTIF(#REF!,"SYMP")*100/P7)</f>
        <v>#REF!</v>
      </c>
      <c r="BV7" t="e">
        <f>IF(P7=0,0,COUNTIF(#REF!,"TURBIN")*100/P7)</f>
        <v>#REF!</v>
      </c>
      <c r="BX7" t="e">
        <f>IF(P7=0,0,COUNTIF(#REF!,"ANEM")*100/P7)</f>
        <v>#REF!</v>
      </c>
      <c r="BY7" t="e">
        <f>IF(P7=0,0,COUNTIF(#REF!,"ASC")*100/P7)</f>
        <v>#REF!</v>
      </c>
      <c r="BZ7" t="e">
        <f>IF(P7=0,0,COUNTIF(#REF!,"CUPS")*100/P7)</f>
        <v>#REF!</v>
      </c>
      <c r="CA7" t="e">
        <f>IF(P7=0,0,COUNTIF(#REF!,"DISCO")*100/P7)</f>
        <v>#REF!</v>
      </c>
      <c r="CB7" t="e">
        <f>IF(P7=0,0,COUNTIF(#REF!,"DYS")*100/P7)</f>
        <v>#REF!</v>
      </c>
      <c r="CC7" t="e">
        <f>IF(P7=0,0,COUNTIF(#REF!,"G")*100/P7)</f>
        <v>#REF!</v>
      </c>
      <c r="CD7" t="e">
        <f>IF(P7=0,0,COUNTIF(#REF!,"NoIDINV")*100/P7)</f>
        <v>#REF!</v>
      </c>
      <c r="CE7" t="e">
        <f>IF(P7=0,0,COUNTIF(#REF!,"OLV")*100/P7)</f>
        <v>#REF!</v>
      </c>
      <c r="CF7" t="e">
        <f>IF(P7=0,0,COUNTIF(#REF!,"SC")*100/P7)</f>
        <v>#REF!</v>
      </c>
      <c r="CG7" t="e">
        <f>IF(P7=0,0,COUNTIF(#REF!,"S")*100/P7)</f>
        <v>#REF!</v>
      </c>
      <c r="CH7" t="e">
        <f>IF(P7=0,0,COUNTIF(#REF!,"TERPS")*100/P7)</f>
        <v>#REF!</v>
      </c>
      <c r="CI7" t="e">
        <f>IF(P7=0,0,COUNTIF(#REF!,"Z")*100/P7)</f>
        <v>#REF!</v>
      </c>
      <c r="CK7" t="e">
        <f>IF(P7=0,0,COUNTIF(#REF!,"ASP")*100/P7)</f>
        <v>#REF!</v>
      </c>
      <c r="CL7" t="e">
        <f>IF(P7=0,0,COUNTIF(#REF!,"BG")*100/P7)</f>
        <v>#REF!</v>
      </c>
      <c r="CM7" t="e">
        <f>IF(P7=0,0,COUNTIF(#REF!,"Bood")*100/P7)</f>
        <v>#REF!</v>
      </c>
      <c r="CN7" t="e">
        <f>IF(P7=0,0,COUNTIF(#REF!,"BRYP")*100/P7)</f>
        <v>#REF!</v>
      </c>
      <c r="CO7" t="e">
        <f>IF(P7=0,0,COUNTIF(#REF!,"CLP")*100/P7)</f>
        <v>#REF!</v>
      </c>
      <c r="CP7" t="e">
        <f>IF(P7=0,0,COUNTIF(#REF!,"CHLDES")*100/P7)</f>
        <v>#REF!</v>
      </c>
      <c r="CQ7" t="e">
        <f>IF(P7=0,0,COUNTIF(#REF!,"DYCTY")*100/P7)</f>
        <v>#REF!</v>
      </c>
      <c r="CR7" t="e">
        <f>IF(P7=0,0,COUNTIF(#REF!,"DICT")*100/P7)</f>
        <v>#REF!</v>
      </c>
      <c r="CS7" t="e">
        <f>IF(P7=0,0,COUNTIF(#REF!,"GLXU")*100/P7)</f>
        <v>#REF!</v>
      </c>
      <c r="CT7" t="e">
        <f>IF(P7=0,0,COUNTIF(#REF!,"HALI")*100/P7)</f>
        <v>#REF!</v>
      </c>
      <c r="CU7" t="e">
        <f>IF(P7=0,0,COUNTIF(#REF!,"LIAG")*100/P7)</f>
        <v>#REF!</v>
      </c>
      <c r="CV7" t="e">
        <f>IF(P7=0,0,COUNTIF(#REF!,"LOBO")*100/P7)</f>
        <v>#REF!</v>
      </c>
      <c r="CW7" t="e">
        <f>IF(P7=0,0,COUNTIF(#REF!,"MAST")*100/P7)</f>
        <v>#REF!</v>
      </c>
      <c r="CX7" t="e">
        <f>IF(P7=0,0,COUNTIF(#REF!,"MICDTY")*100/P7)</f>
        <v>#REF!</v>
      </c>
      <c r="CY7" t="e">
        <f>IF(P7=0,0,COUNTIF(#REF!,"NEOM")*100/P7)</f>
        <v>#REF!</v>
      </c>
      <c r="CZ7" t="e">
        <f>IF(P7=0,0,COUNTIF(#REF!,"NOIDMAC")*100/P7)</f>
        <v>#REF!</v>
      </c>
      <c r="DA7" t="e">
        <f>IF(P7=0,0,COUNTIF(#REF!,"PAD")*100/P7)</f>
        <v>#REF!</v>
      </c>
      <c r="DB7" t="e">
        <f>IF(P7=0,0,COUNTIF(#REF!,"SARG")*100/P7)</f>
        <v>#REF!</v>
      </c>
      <c r="DC7" t="e">
        <f>IF(P7=0,0,COUNTIF(#REF!,"SCHIZ")*100/P7)</f>
        <v>#REF!</v>
      </c>
      <c r="DD7" t="e">
        <f>IF(P7=0,0,COUNTIF(#REF!,"TURB")*100/P7)</f>
        <v>#REF!</v>
      </c>
      <c r="DE7" t="e">
        <f>IF(P7=0,0,COUNTIF(#REF!,"TYDM")*100/P7)</f>
        <v>#REF!</v>
      </c>
      <c r="DG7" t="e">
        <f>IF(P7=0,0,COUNTIF(#REF!,"AMP")*100/P7)</f>
        <v>#REF!</v>
      </c>
      <c r="DH7" t="e">
        <f>IF(P7=0,0,COUNTIF(#REF!,"BCA1")*100/P7)</f>
        <v>#REF!</v>
      </c>
      <c r="DI7" t="e">
        <f>IF(P7=0,0,COUNTIF(#REF!,"JAN")*100/P7)</f>
        <v>#REF!</v>
      </c>
      <c r="DK7" t="e">
        <f>IF(P7=0,0,COUNTIF(#REF!,"CCA1")*100/P7)</f>
        <v>#REF!</v>
      </c>
      <c r="DM7" t="e">
        <f>IF(P7=0,0,COUNTIF(#REF!,"Sand")*100/P7)</f>
        <v>#REF!</v>
      </c>
      <c r="DO7" t="e">
        <f>IF(P7=0,0,COUNTIF(#REF!,"FCA1")*100/P7)</f>
        <v>#REF!</v>
      </c>
      <c r="DQ7" t="e">
        <f>IF(P7=0,0,COUNTIF(#REF!,"CHRYOBRN")*100/P7)</f>
        <v>#REF!</v>
      </c>
      <c r="DS7" t="e">
        <f>IF(P7=0,0,COUNTIF(#REF!,"TURF")*100/P7)</f>
        <v>#REF!</v>
      </c>
      <c r="DU7" t="e">
        <f>COUNTIF(#REF!,"Shadow")*100/5</f>
        <v>#REF!</v>
      </c>
      <c r="DV7" t="e">
        <f>COUNTIF(#REF!,"Tape")*100/5</f>
        <v>#REF!</v>
      </c>
      <c r="DW7" t="e">
        <f>COUNTIF(#REF!,"Wand")*100/5</f>
        <v>#REF!</v>
      </c>
      <c r="DY7" t="e">
        <f>IF(P7=0,0,COUNTIF(#REF!,"BC")*100/P7)</f>
        <v>#REF!</v>
      </c>
    </row>
    <row r="8" spans="1:129">
      <c r="A8">
        <v>6</v>
      </c>
      <c r="B8" t="s">
        <v>39</v>
      </c>
      <c r="F8" s="29" t="e">
        <f>IF(P8=0,0,COUNTIF(#REF!,"C")*100/P8)</f>
        <v>#REF!</v>
      </c>
      <c r="G8" t="e">
        <f>IF(P8=0,0,COUNTIF(#REF!,"OI")*100/P8)</f>
        <v>#REF!</v>
      </c>
      <c r="H8" t="e">
        <f>IF(P8=0,0,COUNTIF(#REF!,"MA")*100/P8)</f>
        <v>#REF!</v>
      </c>
      <c r="I8" t="e">
        <f>IF(P8=0,0,COUNTIF(#REF!,"BCA")*100/P8)</f>
        <v>#REF!</v>
      </c>
      <c r="J8" s="29" t="e">
        <f>IF(P8=0,0,COUNTIF(#REF!,"CCA")*100/P8)</f>
        <v>#REF!</v>
      </c>
      <c r="K8" t="e">
        <f>IF(P8=0,0,COUNTIF(#REF!,"SD")*100/P8)</f>
        <v>#REF!</v>
      </c>
      <c r="L8" t="e">
        <f>IF(P8=0,0,COUNTIF(#REF!,"FCA")*100/P8)</f>
        <v>#REF!</v>
      </c>
      <c r="M8" t="e">
        <f>IF(P8=0,0,COUNTIF(#REF!,"CHRYS")*100/P8)</f>
        <v>#REF!</v>
      </c>
      <c r="N8" t="e">
        <f>IF(P8=0,0,COUNTIF(#REF!,"T")*100/P8)</f>
        <v>#REF!</v>
      </c>
      <c r="O8" t="e">
        <f>IF(P8=0,0,COUNTIF(#REF!,"TWS")*100/P8)</f>
        <v>#REF!</v>
      </c>
      <c r="P8" t="e">
        <f>5-COUNTIF(#REF!,"TWS")</f>
        <v>#REF!</v>
      </c>
      <c r="S8" t="e">
        <f>IF(P8=0,0,COUNTIF(#REF!,"ACAN")*100/P8)</f>
        <v>#REF!</v>
      </c>
      <c r="T8" t="e">
        <f>IF(P8=0,0,COUNTIF(#REF!,"ACROP")*100/P8)</f>
        <v>#REF!</v>
      </c>
      <c r="U8" t="e">
        <f>IF(P8=0,0,COUNTIF(#REF!,"ACROPARB")*100/P8)</f>
        <v>#REF!</v>
      </c>
      <c r="V8" t="e">
        <f>IF(P8=0,0,COUNTIF(#REF!,"ACROST")*100/P8)</f>
        <v>#REF!</v>
      </c>
      <c r="W8" t="e">
        <f>IF(P8=0,0,COUNTIF(#REF!,"ACROTBL")*100/P8)</f>
        <v>#REF!</v>
      </c>
      <c r="X8" t="e">
        <f>IF(P8=0,0,COUNTIF(#REF!,"ASTRP")*100/P8)</f>
        <v>#REF!</v>
      </c>
      <c r="Y8" t="e">
        <f>IF(P8=0,0,COUNTIF(#REF!,"CAUL")*100/P8)</f>
        <v>#REF!</v>
      </c>
      <c r="Z8" t="e">
        <f>IF(P8=0,0,COUNTIF(#REF!,"COSC")*100/P8)</f>
        <v>#REF!</v>
      </c>
      <c r="AA8" t="e">
        <f>IF(P8=0,0,COUNTIF(#REF!,"CTEN")*100/P8)</f>
        <v>#REF!</v>
      </c>
      <c r="AB8" t="e">
        <f>IF(P8=0,0,COUNTIF(#REF!,"CYPH")*100/P8)</f>
        <v>#REF!</v>
      </c>
      <c r="AC8" t="e">
        <f>IF(P8=0,0,COUNTIF(#REF!,"DIPLO")*100/P8)</f>
        <v>#REF!</v>
      </c>
      <c r="AD8" s="29" t="e">
        <f>IF(P8=0,0,COUNTIF(#REF!,"ECHPO")*100/P8)</f>
        <v>#REF!</v>
      </c>
      <c r="AE8" t="e">
        <f>IF(P8=0,0,COUNTIF(#REF!,"ECHPHY")*100/P8)</f>
        <v>#REF!</v>
      </c>
      <c r="AF8" t="e">
        <f>IF(P8=0,0,COUNTIF(#REF!,"EUPH")*100/P8)</f>
        <v>#REF!</v>
      </c>
      <c r="AG8" t="e">
        <f>IF(P8=0,0,COUNTIF(#REF!,"FAV")*100/P8)</f>
        <v>#REF!</v>
      </c>
      <c r="AH8" t="e">
        <f>IF(P8=0,0,COUNTIF(#REF!,"FAVT")*100/P8)</f>
        <v>#REF!</v>
      </c>
      <c r="AI8" t="e">
        <f>IF(P8=0,0,COUNTIF(#REF!,"FUNG")*100/P8)</f>
        <v>#REF!</v>
      </c>
      <c r="AJ8" t="e">
        <f>IF(P8=0,0,COUNTIF(#REF!,"GAL")*100/P8)</f>
        <v>#REF!</v>
      </c>
      <c r="AK8" t="e">
        <f>IF(P8=0,0,COUNTIF(#REF!,"GARD")*100/P8)</f>
        <v>#REF!</v>
      </c>
      <c r="AL8" t="e">
        <f>IF(P8=0,0,COUNTIF(#REF!,"GON")*100/P8)</f>
        <v>#REF!</v>
      </c>
      <c r="AM8" t="e">
        <f>IF(P8=0,0,COUNTIF(#REF!,"GONIO")*100/P8)</f>
        <v>#REF!</v>
      </c>
      <c r="AN8" t="e">
        <f>IF(P8=0,0,COUNTIF(#REF!,"HELIO")*100/P8)</f>
        <v>#REF!</v>
      </c>
      <c r="AO8" t="e">
        <f>IF(P8=0,0,COUNTIF(#REF!,"HERP")*100/P8)</f>
        <v>#REF!</v>
      </c>
      <c r="AP8" t="e">
        <f>IF(P8=0,0,COUNTIF(#REF!,"HYD")*100/P8)</f>
        <v>#REF!</v>
      </c>
      <c r="AQ8" t="e">
        <f>IF(P8=0,0,COUNTIF(#REF!,"ISOP")*100/P8)</f>
        <v>#REF!</v>
      </c>
      <c r="AR8" t="e">
        <f>IF(P8=0,0,COUNTIF(#REF!,"LEPT")*100/P8)</f>
        <v>#REF!</v>
      </c>
      <c r="AS8" s="29" t="e">
        <f>IF(P8=0,0,COUNTIF(#REF!,"LEPTOR")*100/P8)</f>
        <v>#REF!</v>
      </c>
      <c r="AT8" t="e">
        <f>IF(P8=0,0,COUNTIF(#REF!,"LEPTOS")*100/P8)</f>
        <v>#REF!</v>
      </c>
      <c r="AU8" t="e">
        <f>IF(P8=0,0,COUNTIF(#REF!,"LOBOPH")*100/P8)</f>
        <v>#REF!</v>
      </c>
      <c r="AV8" t="e">
        <f>IF(P8=0,0,COUNTIF(#REF!,"MERU")*100/P8)</f>
        <v>#REF!</v>
      </c>
      <c r="AW8" t="e">
        <f>IF(P8=0,0,COUNTIF(#REF!,"MILL")*100/P8)</f>
        <v>#REF!</v>
      </c>
      <c r="AX8" t="e">
        <f>IF(P8=0,0,COUNTIF(#REF!,"MONT")*100/P8)</f>
        <v>#REF!</v>
      </c>
      <c r="AY8" t="e">
        <f>IF(P8=0,0,COUNTIF(#REF!,"MONTI")*100/P8)</f>
        <v>#REF!</v>
      </c>
      <c r="AZ8" t="e">
        <f>IF(P8=0,0,COUNTIF(#REF!,"MYCED")*100/P8)</f>
        <v>#REF!</v>
      </c>
      <c r="BA8" t="e">
        <f>IF(P8=0,0,COUNTIF(#REF!,"OULO")*100/P8)</f>
        <v>#REF!</v>
      </c>
      <c r="BB8" t="e">
        <f>IF(P8=0,0,COUNTIF(#REF!,"OXYP")*100/P8)</f>
        <v>#REF!</v>
      </c>
      <c r="BC8" t="e">
        <f>IF(P8=0,0,COUNTIF(#REF!,"PLSIA")*100/P8)</f>
        <v>#REF!</v>
      </c>
      <c r="BD8" t="e">
        <f>IF(P8=0,0,COUNTIF(#REF!,"PACHY")*100/P8)</f>
        <v>#REF!</v>
      </c>
      <c r="BE8" t="e">
        <f>IF(P8=0,0,COUNTIF(#REF!,"PAV")*100/P8)</f>
        <v>#REF!</v>
      </c>
      <c r="BF8" t="e">
        <f>IF(P8=0,0,COUNTIF(#REF!,"PECT")*100/P8)</f>
        <v>#REF!</v>
      </c>
      <c r="BG8" t="e">
        <f>IF(P8=0,0,COUNTIF(#REF!,"PHYSO")*100/P8)</f>
        <v>#REF!</v>
      </c>
      <c r="BH8" t="e">
        <f>IF(P8=0,0,COUNTIF(#REF!,"PLAT")*100/P8)</f>
        <v>#REF!</v>
      </c>
      <c r="BI8" t="e">
        <f>IF(P8=0,0,COUNTIF(#REF!,"PLERO")*100/P8)</f>
        <v>#REF!</v>
      </c>
      <c r="BJ8" t="e">
        <f>IF(P8=0,0,COUNTIF(#REF!,"POC")*100/P8)</f>
        <v>#REF!</v>
      </c>
      <c r="BK8" t="e">
        <f>IF(P8=0,0,COUNTIF(#REF!,"POR")*100/P8)</f>
        <v>#REF!</v>
      </c>
      <c r="BL8" t="e">
        <f>IF(P8=0,0,COUNTIF(#REF!,"PORCYL")*100/P8)</f>
        <v>#REF!</v>
      </c>
      <c r="BM8" t="e">
        <f>IF(P8=0,0,COUNTIF(#REF!,"PORMAS")*100/P8)</f>
        <v>#REF!</v>
      </c>
      <c r="BN8" t="e">
        <f>IF(P8=0,0,COUNTIF(#REF!,"PORRUS")*100/P8)</f>
        <v>#REF!</v>
      </c>
      <c r="BO8" t="e">
        <f>IF(P8=0,0,COUNTIF(#REF!,"PSAM")*100/P8)</f>
        <v>#REF!</v>
      </c>
      <c r="BP8" t="e">
        <f>IF(P8=0,0,COUNTIF(#REF!,"SANDO")*100/P8)</f>
        <v>#REF!</v>
      </c>
      <c r="BQ8" t="e">
        <f>IF(P8=0,0,COUNTIF(#REF!,"SCAP")*100/P8)</f>
        <v>#REF!</v>
      </c>
      <c r="BR8" t="e">
        <f>IF(P8=0,0,COUNTIF(#REF!,"SERIA")*100/P8)</f>
        <v>#REF!</v>
      </c>
      <c r="BS8" t="e">
        <f>IF(P8=0,0,COUNTIF(#REF!,"STYLC")*100/P8)</f>
        <v>#REF!</v>
      </c>
      <c r="BT8" t="e">
        <f>IF(P8=0,0,COUNTIF(#REF!,"STYLO")*100/P8)</f>
        <v>#REF!</v>
      </c>
      <c r="BU8" t="e">
        <f>IF(P8=0,0,COUNTIF(#REF!,"SYMP")*100/P8)</f>
        <v>#REF!</v>
      </c>
      <c r="BV8" t="e">
        <f>IF(P8=0,0,COUNTIF(#REF!,"TURBIN")*100/P8)</f>
        <v>#REF!</v>
      </c>
      <c r="BX8" t="e">
        <f>IF(P8=0,0,COUNTIF(#REF!,"ANEM")*100/P8)</f>
        <v>#REF!</v>
      </c>
      <c r="BY8" t="e">
        <f>IF(P8=0,0,COUNTIF(#REF!,"ASC")*100/P8)</f>
        <v>#REF!</v>
      </c>
      <c r="BZ8" t="e">
        <f>IF(P8=0,0,COUNTIF(#REF!,"CUPS")*100/P8)</f>
        <v>#REF!</v>
      </c>
      <c r="CA8" t="e">
        <f>IF(P8=0,0,COUNTIF(#REF!,"DISCO")*100/P8)</f>
        <v>#REF!</v>
      </c>
      <c r="CB8" t="e">
        <f>IF(P8=0,0,COUNTIF(#REF!,"DYS")*100/P8)</f>
        <v>#REF!</v>
      </c>
      <c r="CC8" t="e">
        <f>IF(P8=0,0,COUNTIF(#REF!,"G")*100/P8)</f>
        <v>#REF!</v>
      </c>
      <c r="CD8" t="e">
        <f>IF(P8=0,0,COUNTIF(#REF!,"NoIDINV")*100/P8)</f>
        <v>#REF!</v>
      </c>
      <c r="CE8" t="e">
        <f>IF(P8=0,0,COUNTIF(#REF!,"OLV")*100/P8)</f>
        <v>#REF!</v>
      </c>
      <c r="CF8" t="e">
        <f>IF(P8=0,0,COUNTIF(#REF!,"SC")*100/P8)</f>
        <v>#REF!</v>
      </c>
      <c r="CG8" t="e">
        <f>IF(P8=0,0,COUNTIF(#REF!,"S")*100/P8)</f>
        <v>#REF!</v>
      </c>
      <c r="CH8" t="e">
        <f>IF(P8=0,0,COUNTIF(#REF!,"TERPS")*100/P8)</f>
        <v>#REF!</v>
      </c>
      <c r="CI8" t="e">
        <f>IF(P8=0,0,COUNTIF(#REF!,"Z")*100/P8)</f>
        <v>#REF!</v>
      </c>
      <c r="CK8" t="e">
        <f>IF(P8=0,0,COUNTIF(#REF!,"ASP")*100/P8)</f>
        <v>#REF!</v>
      </c>
      <c r="CL8" t="e">
        <f>IF(P8=0,0,COUNTIF(#REF!,"BG")*100/P8)</f>
        <v>#REF!</v>
      </c>
      <c r="CM8" t="e">
        <f>IF(P8=0,0,COUNTIF(#REF!,"Bood")*100/P8)</f>
        <v>#REF!</v>
      </c>
      <c r="CN8" t="e">
        <f>IF(P8=0,0,COUNTIF(#REF!,"BRYP")*100/P8)</f>
        <v>#REF!</v>
      </c>
      <c r="CO8" t="e">
        <f>IF(P8=0,0,COUNTIF(#REF!,"CLP")*100/P8)</f>
        <v>#REF!</v>
      </c>
      <c r="CP8" t="e">
        <f>IF(P8=0,0,COUNTIF(#REF!,"CHLDES")*100/P8)</f>
        <v>#REF!</v>
      </c>
      <c r="CQ8" t="e">
        <f>IF(P8=0,0,COUNTIF(#REF!,"DYCTY")*100/P8)</f>
        <v>#REF!</v>
      </c>
      <c r="CR8" t="e">
        <f>IF(P8=0,0,COUNTIF(#REF!,"DICT")*100/P8)</f>
        <v>#REF!</v>
      </c>
      <c r="CS8" t="e">
        <f>IF(P8=0,0,COUNTIF(#REF!,"GLXU")*100/P8)</f>
        <v>#REF!</v>
      </c>
      <c r="CT8" t="e">
        <f>IF(P8=0,0,COUNTIF(#REF!,"HALI")*100/P8)</f>
        <v>#REF!</v>
      </c>
      <c r="CU8" t="e">
        <f>IF(P8=0,0,COUNTIF(#REF!,"LIAG")*100/P8)</f>
        <v>#REF!</v>
      </c>
      <c r="CV8" t="e">
        <f>IF(P8=0,0,COUNTIF(#REF!,"LOBO")*100/P8)</f>
        <v>#REF!</v>
      </c>
      <c r="CW8" t="e">
        <f>IF(P8=0,0,COUNTIF(#REF!,"MAST")*100/P8)</f>
        <v>#REF!</v>
      </c>
      <c r="CX8" t="e">
        <f>IF(P8=0,0,COUNTIF(#REF!,"MICDTY")*100/P8)</f>
        <v>#REF!</v>
      </c>
      <c r="CY8" t="e">
        <f>IF(P8=0,0,COUNTIF(#REF!,"NEOM")*100/P8)</f>
        <v>#REF!</v>
      </c>
      <c r="CZ8" t="e">
        <f>IF(P8=0,0,COUNTIF(#REF!,"NOIDMAC")*100/P8)</f>
        <v>#REF!</v>
      </c>
      <c r="DA8" t="e">
        <f>IF(P8=0,0,COUNTIF(#REF!,"PAD")*100/P8)</f>
        <v>#REF!</v>
      </c>
      <c r="DB8" t="e">
        <f>IF(P8=0,0,COUNTIF(#REF!,"SARG")*100/P8)</f>
        <v>#REF!</v>
      </c>
      <c r="DC8" t="e">
        <f>IF(P8=0,0,COUNTIF(#REF!,"SCHIZ")*100/P8)</f>
        <v>#REF!</v>
      </c>
      <c r="DD8" t="e">
        <f>IF(P8=0,0,COUNTIF(#REF!,"TURB")*100/P8)</f>
        <v>#REF!</v>
      </c>
      <c r="DE8" t="e">
        <f>IF(P8=0,0,COUNTIF(#REF!,"TYDM")*100/P8)</f>
        <v>#REF!</v>
      </c>
      <c r="DG8" t="e">
        <f>IF(P8=0,0,COUNTIF(#REF!,"AMP")*100/P8)</f>
        <v>#REF!</v>
      </c>
      <c r="DH8" t="e">
        <f>IF(P8=0,0,COUNTIF(#REF!,"BCA1")*100/P8)</f>
        <v>#REF!</v>
      </c>
      <c r="DI8" t="e">
        <f>IF(P8=0,0,COUNTIF(#REF!,"JAN")*100/P8)</f>
        <v>#REF!</v>
      </c>
      <c r="DK8" s="29" t="e">
        <f>IF(P8=0,0,COUNTIF(#REF!,"CCA1")*100/P8)</f>
        <v>#REF!</v>
      </c>
      <c r="DM8" t="e">
        <f>IF(P8=0,0,COUNTIF(#REF!,"Sand")*100/P8)</f>
        <v>#REF!</v>
      </c>
      <c r="DO8" t="e">
        <f>IF(P8=0,0,COUNTIF(#REF!,"FCA1")*100/P8)</f>
        <v>#REF!</v>
      </c>
      <c r="DQ8" t="e">
        <f>IF(P8=0,0,COUNTIF(#REF!,"CHRYOBRN")*100/P8)</f>
        <v>#REF!</v>
      </c>
      <c r="DS8" t="e">
        <f>IF(P8=0,0,COUNTIF(#REF!,"TURF")*100/P8)</f>
        <v>#REF!</v>
      </c>
      <c r="DU8" t="e">
        <f>COUNTIF(#REF!,"Shadow")*100/5</f>
        <v>#REF!</v>
      </c>
      <c r="DV8" t="e">
        <f>COUNTIF(#REF!,"Tape")*100/5</f>
        <v>#REF!</v>
      </c>
      <c r="DW8" t="e">
        <f>COUNTIF(#REF!,"Wand")*100/5</f>
        <v>#REF!</v>
      </c>
      <c r="DY8" t="e">
        <f>IF(P8=0,0,COUNTIF(#REF!,"BC")*100/P8)</f>
        <v>#REF!</v>
      </c>
    </row>
    <row r="9" spans="1:129">
      <c r="A9">
        <v>7</v>
      </c>
      <c r="B9" t="s">
        <v>40</v>
      </c>
      <c r="F9" s="29" t="e">
        <f>IF(P9=0,0,COUNTIF(#REF!,"C")*100/P9)</f>
        <v>#REF!</v>
      </c>
      <c r="G9" t="e">
        <f>IF(P9=0,0,COUNTIF(#REF!,"OI")*100/P9)</f>
        <v>#REF!</v>
      </c>
      <c r="H9" t="e">
        <f>IF(P9=0,0,COUNTIF(#REF!,"MA")*100/P9)</f>
        <v>#REF!</v>
      </c>
      <c r="I9" s="29" t="e">
        <f>IF(P9=0,0,COUNTIF(#REF!,"BCA")*100/P9)</f>
        <v>#REF!</v>
      </c>
      <c r="J9" s="29" t="e">
        <f>IF(P9=0,0,COUNTIF(#REF!,"CCA")*100/P9)</f>
        <v>#REF!</v>
      </c>
      <c r="K9" t="e">
        <f>IF(P9=0,0,COUNTIF(#REF!,"SD")*100/P9)</f>
        <v>#REF!</v>
      </c>
      <c r="L9" t="e">
        <f>IF(P9=0,0,COUNTIF(#REF!,"FCA")*100/P9)</f>
        <v>#REF!</v>
      </c>
      <c r="M9" t="e">
        <f>IF(P9=0,0,COUNTIF(#REF!,"CHRYS")*100/P9)</f>
        <v>#REF!</v>
      </c>
      <c r="N9" s="29" t="e">
        <f>IF(P9=0,0,COUNTIF(#REF!,"T")*100/P9)</f>
        <v>#REF!</v>
      </c>
      <c r="O9" t="e">
        <f>IF(P9=0,0,COUNTIF(#REF!,"TWS")*100/P9)</f>
        <v>#REF!</v>
      </c>
      <c r="P9" t="e">
        <f>5-COUNTIF(#REF!,"TWS")</f>
        <v>#REF!</v>
      </c>
      <c r="S9" t="e">
        <f>IF(P9=0,0,COUNTIF(#REF!,"ACAN")*100/P9)</f>
        <v>#REF!</v>
      </c>
      <c r="T9" t="e">
        <f>IF(P9=0,0,COUNTIF(#REF!,"ACROP")*100/P9)</f>
        <v>#REF!</v>
      </c>
      <c r="U9" t="e">
        <f>IF(P9=0,0,COUNTIF(#REF!,"ACROPARB")*100/P9)</f>
        <v>#REF!</v>
      </c>
      <c r="V9" t="e">
        <f>IF(P9=0,0,COUNTIF(#REF!,"ACROST")*100/P9)</f>
        <v>#REF!</v>
      </c>
      <c r="W9" t="e">
        <f>IF(P9=0,0,COUNTIF(#REF!,"ACROTBL")*100/P9)</f>
        <v>#REF!</v>
      </c>
      <c r="X9" t="e">
        <f>IF(P9=0,0,COUNTIF(#REF!,"ASTRP")*100/P9)</f>
        <v>#REF!</v>
      </c>
      <c r="Y9" t="e">
        <f>IF(P9=0,0,COUNTIF(#REF!,"CAUL")*100/P9)</f>
        <v>#REF!</v>
      </c>
      <c r="Z9" t="e">
        <f>IF(P9=0,0,COUNTIF(#REF!,"COSC")*100/P9)</f>
        <v>#REF!</v>
      </c>
      <c r="AA9" t="e">
        <f>IF(P9=0,0,COUNTIF(#REF!,"CTEN")*100/P9)</f>
        <v>#REF!</v>
      </c>
      <c r="AB9" t="e">
        <f>IF(P9=0,0,COUNTIF(#REF!,"CYPH")*100/P9)</f>
        <v>#REF!</v>
      </c>
      <c r="AC9" t="e">
        <f>IF(P9=0,0,COUNTIF(#REF!,"DIPLO")*100/P9)</f>
        <v>#REF!</v>
      </c>
      <c r="AD9" s="29" t="e">
        <f>IF(P9=0,0,COUNTIF(#REF!,"ECHPO")*100/P9)</f>
        <v>#REF!</v>
      </c>
      <c r="AE9" t="e">
        <f>IF(P9=0,0,COUNTIF(#REF!,"ECHPHY")*100/P9)</f>
        <v>#REF!</v>
      </c>
      <c r="AF9" t="e">
        <f>IF(P9=0,0,COUNTIF(#REF!,"EUPH")*100/P9)</f>
        <v>#REF!</v>
      </c>
      <c r="AG9" t="e">
        <f>IF(P9=0,0,COUNTIF(#REF!,"FAV")*100/P9)</f>
        <v>#REF!</v>
      </c>
      <c r="AH9" t="e">
        <f>IF(P9=0,0,COUNTIF(#REF!,"FAVT")*100/P9)</f>
        <v>#REF!</v>
      </c>
      <c r="AI9" t="e">
        <f>IF(P9=0,0,COUNTIF(#REF!,"FUNG")*100/P9)</f>
        <v>#REF!</v>
      </c>
      <c r="AJ9" t="e">
        <f>IF(P9=0,0,COUNTIF(#REF!,"GAL")*100/P9)</f>
        <v>#REF!</v>
      </c>
      <c r="AK9" t="e">
        <f>IF(P9=0,0,COUNTIF(#REF!,"GARD")*100/P9)</f>
        <v>#REF!</v>
      </c>
      <c r="AL9" t="e">
        <f>IF(P9=0,0,COUNTIF(#REF!,"GON")*100/P9)</f>
        <v>#REF!</v>
      </c>
      <c r="AM9" t="e">
        <f>IF(P9=0,0,COUNTIF(#REF!,"GONIO")*100/P9)</f>
        <v>#REF!</v>
      </c>
      <c r="AN9" t="e">
        <f>IF(P9=0,0,COUNTIF(#REF!,"HELIO")*100/P9)</f>
        <v>#REF!</v>
      </c>
      <c r="AO9" t="e">
        <f>IF(P9=0,0,COUNTIF(#REF!,"HERP")*100/P9)</f>
        <v>#REF!</v>
      </c>
      <c r="AP9" t="e">
        <f>IF(P9=0,0,COUNTIF(#REF!,"HYD")*100/P9)</f>
        <v>#REF!</v>
      </c>
      <c r="AQ9" t="e">
        <f>IF(P9=0,0,COUNTIF(#REF!,"ISOP")*100/P9)</f>
        <v>#REF!</v>
      </c>
      <c r="AR9" t="e">
        <f>IF(P9=0,0,COUNTIF(#REF!,"LEPT")*100/P9)</f>
        <v>#REF!</v>
      </c>
      <c r="AS9" t="e">
        <f>IF(P9=0,0,COUNTIF(#REF!,"LEPTOR")*100/P9)</f>
        <v>#REF!</v>
      </c>
      <c r="AT9" t="e">
        <f>IF(P9=0,0,COUNTIF(#REF!,"LEPTOS")*100/P9)</f>
        <v>#REF!</v>
      </c>
      <c r="AU9" t="e">
        <f>IF(P9=0,0,COUNTIF(#REF!,"LOBOPH")*100/P9)</f>
        <v>#REF!</v>
      </c>
      <c r="AV9" t="e">
        <f>IF(P9=0,0,COUNTIF(#REF!,"MERU")*100/P9)</f>
        <v>#REF!</v>
      </c>
      <c r="AW9" t="e">
        <f>IF(P9=0,0,COUNTIF(#REF!,"MILL")*100/P9)</f>
        <v>#REF!</v>
      </c>
      <c r="AX9" t="e">
        <f>IF(P9=0,0,COUNTIF(#REF!,"MONT")*100/P9)</f>
        <v>#REF!</v>
      </c>
      <c r="AY9" t="e">
        <f>IF(P9=0,0,COUNTIF(#REF!,"MONTI")*100/P9)</f>
        <v>#REF!</v>
      </c>
      <c r="AZ9" t="e">
        <f>IF(P9=0,0,COUNTIF(#REF!,"MYCED")*100/P9)</f>
        <v>#REF!</v>
      </c>
      <c r="BA9" t="e">
        <f>IF(P9=0,0,COUNTIF(#REF!,"OULO")*100/P9)</f>
        <v>#REF!</v>
      </c>
      <c r="BB9" t="e">
        <f>IF(P9=0,0,COUNTIF(#REF!,"OXYP")*100/P9)</f>
        <v>#REF!</v>
      </c>
      <c r="BC9" t="e">
        <f>IF(P9=0,0,COUNTIF(#REF!,"PLSIA")*100/P9)</f>
        <v>#REF!</v>
      </c>
      <c r="BD9" t="e">
        <f>IF(P9=0,0,COUNTIF(#REF!,"PACHY")*100/P9)</f>
        <v>#REF!</v>
      </c>
      <c r="BE9" t="e">
        <f>IF(P9=0,0,COUNTIF(#REF!,"PAV")*100/P9)</f>
        <v>#REF!</v>
      </c>
      <c r="BF9" t="e">
        <f>IF(P9=0,0,COUNTIF(#REF!,"PECT")*100/P9)</f>
        <v>#REF!</v>
      </c>
      <c r="BG9" t="e">
        <f>IF(P9=0,0,COUNTIF(#REF!,"PHYSO")*100/P9)</f>
        <v>#REF!</v>
      </c>
      <c r="BH9" t="e">
        <f>IF(P9=0,0,COUNTIF(#REF!,"PLAT")*100/P9)</f>
        <v>#REF!</v>
      </c>
      <c r="BI9" t="e">
        <f>IF(P9=0,0,COUNTIF(#REF!,"PLERO")*100/P9)</f>
        <v>#REF!</v>
      </c>
      <c r="BJ9" t="e">
        <f>IF(P9=0,0,COUNTIF(#REF!,"POC")*100/P9)</f>
        <v>#REF!</v>
      </c>
      <c r="BK9" t="e">
        <f>IF(P9=0,0,COUNTIF(#REF!,"POR")*100/P9)</f>
        <v>#REF!</v>
      </c>
      <c r="BL9" t="e">
        <f>IF(P9=0,0,COUNTIF(#REF!,"PORCYL")*100/P9)</f>
        <v>#REF!</v>
      </c>
      <c r="BM9" t="e">
        <f>IF(P9=0,0,COUNTIF(#REF!,"PORMAS")*100/P9)</f>
        <v>#REF!</v>
      </c>
      <c r="BN9" t="e">
        <f>IF(P9=0,0,COUNTIF(#REF!,"PORRUS")*100/P9)</f>
        <v>#REF!</v>
      </c>
      <c r="BO9" t="e">
        <f>IF(P9=0,0,COUNTIF(#REF!,"PSAM")*100/P9)</f>
        <v>#REF!</v>
      </c>
      <c r="BP9" t="e">
        <f>IF(P9=0,0,COUNTIF(#REF!,"SANDO")*100/P9)</f>
        <v>#REF!</v>
      </c>
      <c r="BQ9" t="e">
        <f>IF(P9=0,0,COUNTIF(#REF!,"SCAP")*100/P9)</f>
        <v>#REF!</v>
      </c>
      <c r="BR9" t="e">
        <f>IF(P9=0,0,COUNTIF(#REF!,"SERIA")*100/P9)</f>
        <v>#REF!</v>
      </c>
      <c r="BS9" t="e">
        <f>IF(P9=0,0,COUNTIF(#REF!,"STYLC")*100/P9)</f>
        <v>#REF!</v>
      </c>
      <c r="BT9" t="e">
        <f>IF(P9=0,0,COUNTIF(#REF!,"STYLO")*100/P9)</f>
        <v>#REF!</v>
      </c>
      <c r="BU9" t="e">
        <f>IF(P9=0,0,COUNTIF(#REF!,"SYMP")*100/P9)</f>
        <v>#REF!</v>
      </c>
      <c r="BV9" t="e">
        <f>IF(P9=0,0,COUNTIF(#REF!,"TURBIN")*100/P9)</f>
        <v>#REF!</v>
      </c>
      <c r="BX9" t="e">
        <f>IF(P9=0,0,COUNTIF(#REF!,"ANEM")*100/P9)</f>
        <v>#REF!</v>
      </c>
      <c r="BY9" t="e">
        <f>IF(P9=0,0,COUNTIF(#REF!,"ASC")*100/P9)</f>
        <v>#REF!</v>
      </c>
      <c r="BZ9" t="e">
        <f>IF(P9=0,0,COUNTIF(#REF!,"CUPS")*100/P9)</f>
        <v>#REF!</v>
      </c>
      <c r="CA9" t="e">
        <f>IF(P9=0,0,COUNTIF(#REF!,"DISCO")*100/P9)</f>
        <v>#REF!</v>
      </c>
      <c r="CB9" t="e">
        <f>IF(P9=0,0,COUNTIF(#REF!,"DYS")*100/P9)</f>
        <v>#REF!</v>
      </c>
      <c r="CC9" t="e">
        <f>IF(P9=0,0,COUNTIF(#REF!,"G")*100/P9)</f>
        <v>#REF!</v>
      </c>
      <c r="CD9" t="e">
        <f>IF(P9=0,0,COUNTIF(#REF!,"NoIDINV")*100/P9)</f>
        <v>#REF!</v>
      </c>
      <c r="CE9" t="e">
        <f>IF(P9=0,0,COUNTIF(#REF!,"OLV")*100/P9)</f>
        <v>#REF!</v>
      </c>
      <c r="CF9" t="e">
        <f>IF(P9=0,0,COUNTIF(#REF!,"SC")*100/P9)</f>
        <v>#REF!</v>
      </c>
      <c r="CG9" t="e">
        <f>IF(P9=0,0,COUNTIF(#REF!,"S")*100/P9)</f>
        <v>#REF!</v>
      </c>
      <c r="CH9" t="e">
        <f>IF(P9=0,0,COUNTIF(#REF!,"TERPS")*100/P9)</f>
        <v>#REF!</v>
      </c>
      <c r="CI9" t="e">
        <f>IF(P9=0,0,COUNTIF(#REF!,"Z")*100/P9)</f>
        <v>#REF!</v>
      </c>
      <c r="CK9" t="e">
        <f>IF(P9=0,0,COUNTIF(#REF!,"ASP")*100/P9)</f>
        <v>#REF!</v>
      </c>
      <c r="CL9" t="e">
        <f>IF(P9=0,0,COUNTIF(#REF!,"BG")*100/P9)</f>
        <v>#REF!</v>
      </c>
      <c r="CM9" t="e">
        <f>IF(P9=0,0,COUNTIF(#REF!,"Bood")*100/P9)</f>
        <v>#REF!</v>
      </c>
      <c r="CN9" t="e">
        <f>IF(P9=0,0,COUNTIF(#REF!,"BRYP")*100/P9)</f>
        <v>#REF!</v>
      </c>
      <c r="CO9" t="e">
        <f>IF(P9=0,0,COUNTIF(#REF!,"CLP")*100/P9)</f>
        <v>#REF!</v>
      </c>
      <c r="CP9" t="e">
        <f>IF(P9=0,0,COUNTIF(#REF!,"CHLDES")*100/P9)</f>
        <v>#REF!</v>
      </c>
      <c r="CQ9" t="e">
        <f>IF(P9=0,0,COUNTIF(#REF!,"DYCTY")*100/P9)</f>
        <v>#REF!</v>
      </c>
      <c r="CR9" t="e">
        <f>IF(P9=0,0,COUNTIF(#REF!,"DICT")*100/P9)</f>
        <v>#REF!</v>
      </c>
      <c r="CS9" t="e">
        <f>IF(P9=0,0,COUNTIF(#REF!,"GLXU")*100/P9)</f>
        <v>#REF!</v>
      </c>
      <c r="CT9" t="e">
        <f>IF(P9=0,0,COUNTIF(#REF!,"HALI")*100/P9)</f>
        <v>#REF!</v>
      </c>
      <c r="CU9" t="e">
        <f>IF(P9=0,0,COUNTIF(#REF!,"LIAG")*100/P9)</f>
        <v>#REF!</v>
      </c>
      <c r="CV9" t="e">
        <f>IF(P9=0,0,COUNTIF(#REF!,"LOBO")*100/P9)</f>
        <v>#REF!</v>
      </c>
      <c r="CW9" t="e">
        <f>IF(P9=0,0,COUNTIF(#REF!,"MAST")*100/P9)</f>
        <v>#REF!</v>
      </c>
      <c r="CX9" t="e">
        <f>IF(P9=0,0,COUNTIF(#REF!,"MICDTY")*100/P9)</f>
        <v>#REF!</v>
      </c>
      <c r="CY9" t="e">
        <f>IF(P9=0,0,COUNTIF(#REF!,"NEOM")*100/P9)</f>
        <v>#REF!</v>
      </c>
      <c r="CZ9" t="e">
        <f>IF(P9=0,0,COUNTIF(#REF!,"NOIDMAC")*100/P9)</f>
        <v>#REF!</v>
      </c>
      <c r="DA9" t="e">
        <f>IF(P9=0,0,COUNTIF(#REF!,"PAD")*100/P9)</f>
        <v>#REF!</v>
      </c>
      <c r="DB9" t="e">
        <f>IF(P9=0,0,COUNTIF(#REF!,"SARG")*100/P9)</f>
        <v>#REF!</v>
      </c>
      <c r="DC9" t="e">
        <f>IF(P9=0,0,COUNTIF(#REF!,"SCHIZ")*100/P9)</f>
        <v>#REF!</v>
      </c>
      <c r="DD9" t="e">
        <f>IF(P9=0,0,COUNTIF(#REF!,"TURB")*100/P9)</f>
        <v>#REF!</v>
      </c>
      <c r="DE9" t="e">
        <f>IF(P9=0,0,COUNTIF(#REF!,"TYDM")*100/P9)</f>
        <v>#REF!</v>
      </c>
      <c r="DG9" t="e">
        <f>IF(P9=0,0,COUNTIF(#REF!,"AMP")*100/P9)</f>
        <v>#REF!</v>
      </c>
      <c r="DH9" s="29" t="e">
        <f>IF(P9=0,0,COUNTIF(#REF!,"BCA1")*100/P9)</f>
        <v>#REF!</v>
      </c>
      <c r="DI9" t="e">
        <f>IF(P9=0,0,COUNTIF(#REF!,"JAN")*100/P9)</f>
        <v>#REF!</v>
      </c>
      <c r="DK9" s="29" t="e">
        <f>IF(P9=0,0,COUNTIF(#REF!,"CCA1")*100/P9)</f>
        <v>#REF!</v>
      </c>
      <c r="DM9" t="e">
        <f>IF(P9=0,0,COUNTIF(#REF!,"Sand")*100/P9)</f>
        <v>#REF!</v>
      </c>
      <c r="DO9" t="e">
        <f>IF(P9=0,0,COUNTIF(#REF!,"FCA1")*100/P9)</f>
        <v>#REF!</v>
      </c>
      <c r="DQ9" t="e">
        <f>IF(P9=0,0,COUNTIF(#REF!,"CHRYOBRN")*100/P9)</f>
        <v>#REF!</v>
      </c>
      <c r="DS9" s="29" t="e">
        <f>IF(P9=0,0,COUNTIF(#REF!,"TURF")*100/P9)</f>
        <v>#REF!</v>
      </c>
      <c r="DU9" t="e">
        <f>COUNTIF(#REF!,"Shadow")*100/5</f>
        <v>#REF!</v>
      </c>
      <c r="DV9" t="e">
        <f>COUNTIF(#REF!,"Tape")*100/5</f>
        <v>#REF!</v>
      </c>
      <c r="DW9" t="e">
        <f>COUNTIF(#REF!,"Wand")*100/5</f>
        <v>#REF!</v>
      </c>
      <c r="DY9" t="e">
        <f>IF(P9=0,0,COUNTIF(#REF!,"BC")*100/P9)</f>
        <v>#REF!</v>
      </c>
    </row>
    <row r="10" spans="1:129">
      <c r="A10">
        <v>8</v>
      </c>
      <c r="B10" t="s">
        <v>43</v>
      </c>
      <c r="F10" s="29" t="e">
        <f>IF(P10=0,0,COUNTIF(#REF!,"C")*100/P10)</f>
        <v>#REF!</v>
      </c>
      <c r="G10" t="e">
        <f>IF(P10=0,0,COUNTIF(#REF!,"OI")*100/P10)</f>
        <v>#REF!</v>
      </c>
      <c r="H10" t="e">
        <f>IF(P10=0,0,COUNTIF(#REF!,"MA")*100/P10)</f>
        <v>#REF!</v>
      </c>
      <c r="I10" t="e">
        <f>IF(P10=0,0,COUNTIF(#REF!,"BCA")*100/P10)</f>
        <v>#REF!</v>
      </c>
      <c r="J10" s="29" t="e">
        <f>IF(P10=0,0,COUNTIF(#REF!,"CCA")*100/P10)</f>
        <v>#REF!</v>
      </c>
      <c r="K10" t="e">
        <f>IF(P10=0,0,COUNTIF(#REF!,"SD")*100/P10)</f>
        <v>#REF!</v>
      </c>
      <c r="L10" t="e">
        <f>IF(P10=0,0,COUNTIF(#REF!,"FCA")*100/P10)</f>
        <v>#REF!</v>
      </c>
      <c r="M10" t="e">
        <f>IF(P10=0,0,COUNTIF(#REF!,"CHRYS")*100/P10)</f>
        <v>#REF!</v>
      </c>
      <c r="N10" s="29" t="e">
        <f>IF(P10=0,0,COUNTIF(#REF!,"T")*100/P10)</f>
        <v>#REF!</v>
      </c>
      <c r="O10" s="29" t="e">
        <f>IF(P10=0,0,COUNTIF(#REF!,"TWS")*100/P10)</f>
        <v>#REF!</v>
      </c>
      <c r="P10" t="e">
        <f>5-COUNTIF(#REF!,"TWS")</f>
        <v>#REF!</v>
      </c>
      <c r="S10" t="e">
        <f>IF(P10=0,0,COUNTIF(#REF!,"ACAN")*100/P10)</f>
        <v>#REF!</v>
      </c>
      <c r="T10" t="e">
        <f>IF(P10=0,0,COUNTIF(#REF!,"ACROP")*100/P10)</f>
        <v>#REF!</v>
      </c>
      <c r="U10" t="e">
        <f>IF(P10=0,0,COUNTIF(#REF!,"ACROPARB")*100/P10)</f>
        <v>#REF!</v>
      </c>
      <c r="V10" t="e">
        <f>IF(P10=0,0,COUNTIF(#REF!,"ACROST")*100/P10)</f>
        <v>#REF!</v>
      </c>
      <c r="W10" t="e">
        <f>IF(P10=0,0,COUNTIF(#REF!,"ACROTBL")*100/P10)</f>
        <v>#REF!</v>
      </c>
      <c r="X10" t="e">
        <f>IF(P10=0,0,COUNTIF(#REF!,"ASTRP")*100/P10)</f>
        <v>#REF!</v>
      </c>
      <c r="Y10" t="e">
        <f>IF(P10=0,0,COUNTIF(#REF!,"CAUL")*100/P10)</f>
        <v>#REF!</v>
      </c>
      <c r="Z10" t="e">
        <f>IF(P10=0,0,COUNTIF(#REF!,"COSC")*100/P10)</f>
        <v>#REF!</v>
      </c>
      <c r="AA10" t="e">
        <f>IF(P10=0,0,COUNTIF(#REF!,"CTEN")*100/P10)</f>
        <v>#REF!</v>
      </c>
      <c r="AB10" t="e">
        <f>IF(P10=0,0,COUNTIF(#REF!,"CYPH")*100/P10)</f>
        <v>#REF!</v>
      </c>
      <c r="AC10" t="e">
        <f>IF(P10=0,0,COUNTIF(#REF!,"DIPLO")*100/P10)</f>
        <v>#REF!</v>
      </c>
      <c r="AD10" s="29" t="e">
        <f>IF(P10=0,0,COUNTIF(#REF!,"ECHPO")*100/P10)</f>
        <v>#REF!</v>
      </c>
      <c r="AE10" t="e">
        <f>IF(P10=0,0,COUNTIF(#REF!,"ECHPHY")*100/P10)</f>
        <v>#REF!</v>
      </c>
      <c r="AF10" t="e">
        <f>IF(P10=0,0,COUNTIF(#REF!,"EUPH")*100/P10)</f>
        <v>#REF!</v>
      </c>
      <c r="AG10" t="e">
        <f>IF(P10=0,0,COUNTIF(#REF!,"FAV")*100/P10)</f>
        <v>#REF!</v>
      </c>
      <c r="AH10" t="e">
        <f>IF(P10=0,0,COUNTIF(#REF!,"FAVT")*100/P10)</f>
        <v>#REF!</v>
      </c>
      <c r="AI10" t="e">
        <f>IF(P10=0,0,COUNTIF(#REF!,"FUNG")*100/P10)</f>
        <v>#REF!</v>
      </c>
      <c r="AJ10" t="e">
        <f>IF(P10=0,0,COUNTIF(#REF!,"GAL")*100/P10)</f>
        <v>#REF!</v>
      </c>
      <c r="AK10" t="e">
        <f>IF(P10=0,0,COUNTIF(#REF!,"GARD")*100/P10)</f>
        <v>#REF!</v>
      </c>
      <c r="AL10" t="e">
        <f>IF(P10=0,0,COUNTIF(#REF!,"GON")*100/P10)</f>
        <v>#REF!</v>
      </c>
      <c r="AM10" t="e">
        <f>IF(P10=0,0,COUNTIF(#REF!,"GONIO")*100/P10)</f>
        <v>#REF!</v>
      </c>
      <c r="AN10" t="e">
        <f>IF(P10=0,0,COUNTIF(#REF!,"HELIO")*100/P10)</f>
        <v>#REF!</v>
      </c>
      <c r="AO10" t="e">
        <f>IF(P10=0,0,COUNTIF(#REF!,"HERP")*100/P10)</f>
        <v>#REF!</v>
      </c>
      <c r="AP10" t="e">
        <f>IF(P10=0,0,COUNTIF(#REF!,"HYD")*100/P10)</f>
        <v>#REF!</v>
      </c>
      <c r="AQ10" t="e">
        <f>IF(P10=0,0,COUNTIF(#REF!,"ISOP")*100/P10)</f>
        <v>#REF!</v>
      </c>
      <c r="AR10" t="e">
        <f>IF(P10=0,0,COUNTIF(#REF!,"LEPT")*100/P10)</f>
        <v>#REF!</v>
      </c>
      <c r="AS10" t="e">
        <f>IF(P10=0,0,COUNTIF(#REF!,"LEPTOR")*100/P10)</f>
        <v>#REF!</v>
      </c>
      <c r="AT10" t="e">
        <f>IF(P10=0,0,COUNTIF(#REF!,"LEPTOS")*100/P10)</f>
        <v>#REF!</v>
      </c>
      <c r="AU10" t="e">
        <f>IF(P10=0,0,COUNTIF(#REF!,"LOBOPH")*100/P10)</f>
        <v>#REF!</v>
      </c>
      <c r="AV10" t="e">
        <f>IF(P10=0,0,COUNTIF(#REF!,"MERU")*100/P10)</f>
        <v>#REF!</v>
      </c>
      <c r="AW10" t="e">
        <f>IF(P10=0,0,COUNTIF(#REF!,"MILL")*100/P10)</f>
        <v>#REF!</v>
      </c>
      <c r="AX10" t="e">
        <f>IF(P10=0,0,COUNTIF(#REF!,"MONT")*100/P10)</f>
        <v>#REF!</v>
      </c>
      <c r="AY10" t="e">
        <f>IF(P10=0,0,COUNTIF(#REF!,"MONTI")*100/P10)</f>
        <v>#REF!</v>
      </c>
      <c r="AZ10" t="e">
        <f>IF(P10=0,0,COUNTIF(#REF!,"MYCED")*100/P10)</f>
        <v>#REF!</v>
      </c>
      <c r="BA10" t="e">
        <f>IF(P10=0,0,COUNTIF(#REF!,"OULO")*100/P10)</f>
        <v>#REF!</v>
      </c>
      <c r="BB10" t="e">
        <f>IF(P10=0,0,COUNTIF(#REF!,"OXYP")*100/P10)</f>
        <v>#REF!</v>
      </c>
      <c r="BC10" t="e">
        <f>IF(P10=0,0,COUNTIF(#REF!,"PLSIA")*100/P10)</f>
        <v>#REF!</v>
      </c>
      <c r="BD10" t="e">
        <f>IF(P10=0,0,COUNTIF(#REF!,"PACHY")*100/P10)</f>
        <v>#REF!</v>
      </c>
      <c r="BE10" t="e">
        <f>IF(P10=0,0,COUNTIF(#REF!,"PAV")*100/P10)</f>
        <v>#REF!</v>
      </c>
      <c r="BF10" t="e">
        <f>IF(P10=0,0,COUNTIF(#REF!,"PECT")*100/P10)</f>
        <v>#REF!</v>
      </c>
      <c r="BG10" t="e">
        <f>IF(P10=0,0,COUNTIF(#REF!,"PHYSO")*100/P10)</f>
        <v>#REF!</v>
      </c>
      <c r="BH10" t="e">
        <f>IF(P10=0,0,COUNTIF(#REF!,"PLAT")*100/P10)</f>
        <v>#REF!</v>
      </c>
      <c r="BI10" t="e">
        <f>IF(P10=0,0,COUNTIF(#REF!,"PLERO")*100/P10)</f>
        <v>#REF!</v>
      </c>
      <c r="BJ10" t="e">
        <f>IF(P10=0,0,COUNTIF(#REF!,"POC")*100/P10)</f>
        <v>#REF!</v>
      </c>
      <c r="BK10" t="e">
        <f>IF(P10=0,0,COUNTIF(#REF!,"POR")*100/P10)</f>
        <v>#REF!</v>
      </c>
      <c r="BL10" t="e">
        <f>IF(P10=0,0,COUNTIF(#REF!,"PORCYL")*100/P10)</f>
        <v>#REF!</v>
      </c>
      <c r="BM10" t="e">
        <f>IF(P10=0,0,COUNTIF(#REF!,"PORMAS")*100/P10)</f>
        <v>#REF!</v>
      </c>
      <c r="BN10" t="e">
        <f>IF(P10=0,0,COUNTIF(#REF!,"PORRUS")*100/P10)</f>
        <v>#REF!</v>
      </c>
      <c r="BO10" t="e">
        <f>IF(P10=0,0,COUNTIF(#REF!,"PSAM")*100/P10)</f>
        <v>#REF!</v>
      </c>
      <c r="BP10" t="e">
        <f>IF(P10=0,0,COUNTIF(#REF!,"SANDO")*100/P10)</f>
        <v>#REF!</v>
      </c>
      <c r="BQ10" t="e">
        <f>IF(P10=0,0,COUNTIF(#REF!,"SCAP")*100/P10)</f>
        <v>#REF!</v>
      </c>
      <c r="BR10" t="e">
        <f>IF(P10=0,0,COUNTIF(#REF!,"SERIA")*100/P10)</f>
        <v>#REF!</v>
      </c>
      <c r="BS10" t="e">
        <f>IF(P10=0,0,COUNTIF(#REF!,"STYLC")*100/P10)</f>
        <v>#REF!</v>
      </c>
      <c r="BT10" t="e">
        <f>IF(P10=0,0,COUNTIF(#REF!,"STYLO")*100/P10)</f>
        <v>#REF!</v>
      </c>
      <c r="BU10" t="e">
        <f>IF(P10=0,0,COUNTIF(#REF!,"SYMP")*100/P10)</f>
        <v>#REF!</v>
      </c>
      <c r="BV10" t="e">
        <f>IF(P10=0,0,COUNTIF(#REF!,"TURBIN")*100/P10)</f>
        <v>#REF!</v>
      </c>
      <c r="BX10" t="e">
        <f>IF(P10=0,0,COUNTIF(#REF!,"ANEM")*100/P10)</f>
        <v>#REF!</v>
      </c>
      <c r="BY10" t="e">
        <f>IF(P10=0,0,COUNTIF(#REF!,"ASC")*100/P10)</f>
        <v>#REF!</v>
      </c>
      <c r="BZ10" t="e">
        <f>IF(P10=0,0,COUNTIF(#REF!,"CUPS")*100/P10)</f>
        <v>#REF!</v>
      </c>
      <c r="CA10" t="e">
        <f>IF(P10=0,0,COUNTIF(#REF!,"DISCO")*100/P10)</f>
        <v>#REF!</v>
      </c>
      <c r="CB10" t="e">
        <f>IF(P10=0,0,COUNTIF(#REF!,"DYS")*100/P10)</f>
        <v>#REF!</v>
      </c>
      <c r="CC10" t="e">
        <f>IF(P10=0,0,COUNTIF(#REF!,"G")*100/P10)</f>
        <v>#REF!</v>
      </c>
      <c r="CD10" t="e">
        <f>IF(P10=0,0,COUNTIF(#REF!,"NoIDINV")*100/P10)</f>
        <v>#REF!</v>
      </c>
      <c r="CE10" t="e">
        <f>IF(P10=0,0,COUNTIF(#REF!,"OLV")*100/P10)</f>
        <v>#REF!</v>
      </c>
      <c r="CF10" t="e">
        <f>IF(P10=0,0,COUNTIF(#REF!,"SC")*100/P10)</f>
        <v>#REF!</v>
      </c>
      <c r="CG10" t="e">
        <f>IF(P10=0,0,COUNTIF(#REF!,"S")*100/P10)</f>
        <v>#REF!</v>
      </c>
      <c r="CH10" t="e">
        <f>IF(P10=0,0,COUNTIF(#REF!,"TERPS")*100/P10)</f>
        <v>#REF!</v>
      </c>
      <c r="CI10" t="e">
        <f>IF(P10=0,0,COUNTIF(#REF!,"Z")*100/P10)</f>
        <v>#REF!</v>
      </c>
      <c r="CK10" t="e">
        <f>IF(P10=0,0,COUNTIF(#REF!,"ASP")*100/P10)</f>
        <v>#REF!</v>
      </c>
      <c r="CL10" t="e">
        <f>IF(P10=0,0,COUNTIF(#REF!,"BG")*100/P10)</f>
        <v>#REF!</v>
      </c>
      <c r="CM10" t="e">
        <f>IF(P10=0,0,COUNTIF(#REF!,"Bood")*100/P10)</f>
        <v>#REF!</v>
      </c>
      <c r="CN10" t="e">
        <f>IF(P10=0,0,COUNTIF(#REF!,"BRYP")*100/P10)</f>
        <v>#REF!</v>
      </c>
      <c r="CO10" t="e">
        <f>IF(P10=0,0,COUNTIF(#REF!,"CLP")*100/P10)</f>
        <v>#REF!</v>
      </c>
      <c r="CP10" t="e">
        <f>IF(P10=0,0,COUNTIF(#REF!,"CHLDES")*100/P10)</f>
        <v>#REF!</v>
      </c>
      <c r="CQ10" t="e">
        <f>IF(P10=0,0,COUNTIF(#REF!,"DYCTY")*100/P10)</f>
        <v>#REF!</v>
      </c>
      <c r="CR10" t="e">
        <f>IF(P10=0,0,COUNTIF(#REF!,"DICT")*100/P10)</f>
        <v>#REF!</v>
      </c>
      <c r="CS10" t="e">
        <f>IF(P10=0,0,COUNTIF(#REF!,"GLXU")*100/P10)</f>
        <v>#REF!</v>
      </c>
      <c r="CT10" t="e">
        <f>IF(P10=0,0,COUNTIF(#REF!,"HALI")*100/P10)</f>
        <v>#REF!</v>
      </c>
      <c r="CU10" t="e">
        <f>IF(P10=0,0,COUNTIF(#REF!,"LIAG")*100/P10)</f>
        <v>#REF!</v>
      </c>
      <c r="CV10" t="e">
        <f>IF(P10=0,0,COUNTIF(#REF!,"LOBO")*100/P10)</f>
        <v>#REF!</v>
      </c>
      <c r="CW10" t="e">
        <f>IF(P10=0,0,COUNTIF(#REF!,"MAST")*100/P10)</f>
        <v>#REF!</v>
      </c>
      <c r="CX10" t="e">
        <f>IF(P10=0,0,COUNTIF(#REF!,"MICDTY")*100/P10)</f>
        <v>#REF!</v>
      </c>
      <c r="CY10" t="e">
        <f>IF(P10=0,0,COUNTIF(#REF!,"NEOM")*100/P10)</f>
        <v>#REF!</v>
      </c>
      <c r="CZ10" t="e">
        <f>IF(P10=0,0,COUNTIF(#REF!,"NOIDMAC")*100/P10)</f>
        <v>#REF!</v>
      </c>
      <c r="DA10" t="e">
        <f>IF(P10=0,0,COUNTIF(#REF!,"PAD")*100/P10)</f>
        <v>#REF!</v>
      </c>
      <c r="DB10" t="e">
        <f>IF(P10=0,0,COUNTIF(#REF!,"SARG")*100/P10)</f>
        <v>#REF!</v>
      </c>
      <c r="DC10" t="e">
        <f>IF(P10=0,0,COUNTIF(#REF!,"SCHIZ")*100/P10)</f>
        <v>#REF!</v>
      </c>
      <c r="DD10" t="e">
        <f>IF(P10=0,0,COUNTIF(#REF!,"TURB")*100/P10)</f>
        <v>#REF!</v>
      </c>
      <c r="DE10" t="e">
        <f>IF(P10=0,0,COUNTIF(#REF!,"TYDM")*100/P10)</f>
        <v>#REF!</v>
      </c>
      <c r="DG10" t="e">
        <f>IF(P10=0,0,COUNTIF(#REF!,"AMP")*100/P10)</f>
        <v>#REF!</v>
      </c>
      <c r="DH10" t="e">
        <f>IF(P10=0,0,COUNTIF(#REF!,"BCA1")*100/P10)</f>
        <v>#REF!</v>
      </c>
      <c r="DI10" t="e">
        <f>IF(P10=0,0,COUNTIF(#REF!,"JAN")*100/P10)</f>
        <v>#REF!</v>
      </c>
      <c r="DK10" s="29" t="e">
        <f>IF(P10=0,0,COUNTIF(#REF!,"CCA1")*100/P10)</f>
        <v>#REF!</v>
      </c>
      <c r="DM10" t="e">
        <f>IF(P10=0,0,COUNTIF(#REF!,"Sand")*100/P10)</f>
        <v>#REF!</v>
      </c>
      <c r="DO10" t="e">
        <f>IF(P10=0,0,COUNTIF(#REF!,"FCA1")*100/P10)</f>
        <v>#REF!</v>
      </c>
      <c r="DQ10" t="e">
        <f>IF(P10=0,0,COUNTIF(#REF!,"CHRYOBRN")*100/P10)</f>
        <v>#REF!</v>
      </c>
      <c r="DS10" s="29" t="e">
        <f>IF(P10=0,0,COUNTIF(#REF!,"TURF")*100/P10)</f>
        <v>#REF!</v>
      </c>
      <c r="DU10" s="29" t="e">
        <f>COUNTIF(#REF!,"Shadow")*100/5</f>
        <v>#REF!</v>
      </c>
      <c r="DV10" t="e">
        <f>COUNTIF(#REF!,"Tape")*100/5</f>
        <v>#REF!</v>
      </c>
      <c r="DW10" t="e">
        <f>COUNTIF(#REF!,"Wand")*100/5</f>
        <v>#REF!</v>
      </c>
      <c r="DY10" t="e">
        <f>IF(P10=0,0,COUNTIF(#REF!,"BC")*100/P10)</f>
        <v>#REF!</v>
      </c>
    </row>
    <row r="11" spans="1:129">
      <c r="A11">
        <v>9</v>
      </c>
      <c r="B11" t="s">
        <v>46</v>
      </c>
      <c r="F11" s="29" t="e">
        <f>IF(P11=0,0,COUNTIF(#REF!,"C")*100/P11)</f>
        <v>#REF!</v>
      </c>
      <c r="G11" t="e">
        <f>IF(P11=0,0,COUNTIF(#REF!,"OI")*100/P11)</f>
        <v>#REF!</v>
      </c>
      <c r="H11" t="e">
        <f>IF(P11=0,0,COUNTIF(#REF!,"MA")*100/P11)</f>
        <v>#REF!</v>
      </c>
      <c r="I11" t="e">
        <f>IF(P11=0,0,COUNTIF(#REF!,"BCA")*100/P11)</f>
        <v>#REF!</v>
      </c>
      <c r="J11" s="29" t="e">
        <f>IF(P11=0,0,COUNTIF(#REF!,"CCA")*100/P11)</f>
        <v>#REF!</v>
      </c>
      <c r="K11" t="e">
        <f>IF(P11=0,0,COUNTIF(#REF!,"SD")*100/P11)</f>
        <v>#REF!</v>
      </c>
      <c r="L11" t="e">
        <f>IF(P11=0,0,COUNTIF(#REF!,"FCA")*100/P11)</f>
        <v>#REF!</v>
      </c>
      <c r="M11" t="e">
        <f>IF(P11=0,0,COUNTIF(#REF!,"CHRYS")*100/P11)</f>
        <v>#REF!</v>
      </c>
      <c r="N11" t="e">
        <f>IF(P11=0,0,COUNTIF(#REF!,"T")*100/P11)</f>
        <v>#REF!</v>
      </c>
      <c r="O11" t="e">
        <f>IF(P11=0,0,COUNTIF(#REF!,"TWS")*100/P11)</f>
        <v>#REF!</v>
      </c>
      <c r="P11" t="e">
        <f>5-COUNTIF(#REF!,"TWS")</f>
        <v>#REF!</v>
      </c>
      <c r="S11" t="e">
        <f>IF(P11=0,0,COUNTIF(#REF!,"ACAN")*100/P11)</f>
        <v>#REF!</v>
      </c>
      <c r="T11" t="e">
        <f>IF(P11=0,0,COUNTIF(#REF!,"ACROP")*100/P11)</f>
        <v>#REF!</v>
      </c>
      <c r="U11" t="e">
        <f>IF(P11=0,0,COUNTIF(#REF!,"ACROPARB")*100/P11)</f>
        <v>#REF!</v>
      </c>
      <c r="V11" t="e">
        <f>IF(P11=0,0,COUNTIF(#REF!,"ACROST")*100/P11)</f>
        <v>#REF!</v>
      </c>
      <c r="W11" s="29" t="e">
        <f>IF(P11=0,0,COUNTIF(#REF!,"ACROTBL")*100/P11)</f>
        <v>#REF!</v>
      </c>
      <c r="X11" t="e">
        <f>IF(P11=0,0,COUNTIF(#REF!,"ASTRP")*100/P11)</f>
        <v>#REF!</v>
      </c>
      <c r="Y11" t="e">
        <f>IF(P11=0,0,COUNTIF(#REF!,"CAUL")*100/P11)</f>
        <v>#REF!</v>
      </c>
      <c r="Z11" t="e">
        <f>IF(P11=0,0,COUNTIF(#REF!,"COSC")*100/P11)</f>
        <v>#REF!</v>
      </c>
      <c r="AA11" t="e">
        <f>IF(P11=0,0,COUNTIF(#REF!,"CTEN")*100/P11)</f>
        <v>#REF!</v>
      </c>
      <c r="AB11" t="e">
        <f>IF(P11=0,0,COUNTIF(#REF!,"CYPH")*100/P11)</f>
        <v>#REF!</v>
      </c>
      <c r="AC11" t="e">
        <f>IF(P11=0,0,COUNTIF(#REF!,"DIPLO")*100/P11)</f>
        <v>#REF!</v>
      </c>
      <c r="AD11" t="e">
        <f>IF(P11=0,0,COUNTIF(#REF!,"ECHPO")*100/P11)</f>
        <v>#REF!</v>
      </c>
      <c r="AE11" t="e">
        <f>IF(P11=0,0,COUNTIF(#REF!,"ECHPHY")*100/P11)</f>
        <v>#REF!</v>
      </c>
      <c r="AF11" t="e">
        <f>IF(P11=0,0,COUNTIF(#REF!,"EUPH")*100/P11)</f>
        <v>#REF!</v>
      </c>
      <c r="AG11" t="e">
        <f>IF(P11=0,0,COUNTIF(#REF!,"FAV")*100/P11)</f>
        <v>#REF!</v>
      </c>
      <c r="AH11" t="e">
        <f>IF(P11=0,0,COUNTIF(#REF!,"FAVT")*100/P11)</f>
        <v>#REF!</v>
      </c>
      <c r="AI11" t="e">
        <f>IF(P11=0,0,COUNTIF(#REF!,"FUNG")*100/P11)</f>
        <v>#REF!</v>
      </c>
      <c r="AJ11" t="e">
        <f>IF(P11=0,0,COUNTIF(#REF!,"GAL")*100/P11)</f>
        <v>#REF!</v>
      </c>
      <c r="AK11" t="e">
        <f>IF(P11=0,0,COUNTIF(#REF!,"GARD")*100/P11)</f>
        <v>#REF!</v>
      </c>
      <c r="AL11" t="e">
        <f>IF(P11=0,0,COUNTIF(#REF!,"GON")*100/P11)</f>
        <v>#REF!</v>
      </c>
      <c r="AM11" t="e">
        <f>IF(P11=0,0,COUNTIF(#REF!,"GONIO")*100/P11)</f>
        <v>#REF!</v>
      </c>
      <c r="AN11" t="e">
        <f>IF(P11=0,0,COUNTIF(#REF!,"HELIO")*100/P11)</f>
        <v>#REF!</v>
      </c>
      <c r="AO11" t="e">
        <f>IF(P11=0,0,COUNTIF(#REF!,"HERP")*100/P11)</f>
        <v>#REF!</v>
      </c>
      <c r="AP11" t="e">
        <f>IF(P11=0,0,COUNTIF(#REF!,"HYD")*100/P11)</f>
        <v>#REF!</v>
      </c>
      <c r="AQ11" t="e">
        <f>IF(P11=0,0,COUNTIF(#REF!,"ISOP")*100/P11)</f>
        <v>#REF!</v>
      </c>
      <c r="AR11" t="e">
        <f>IF(P11=0,0,COUNTIF(#REF!,"LEPT")*100/P11)</f>
        <v>#REF!</v>
      </c>
      <c r="AS11" t="e">
        <f>IF(P11=0,0,COUNTIF(#REF!,"LEPTOR")*100/P11)</f>
        <v>#REF!</v>
      </c>
      <c r="AT11" t="e">
        <f>IF(P11=0,0,COUNTIF(#REF!,"LEPTOS")*100/P11)</f>
        <v>#REF!</v>
      </c>
      <c r="AU11" t="e">
        <f>IF(P11=0,0,COUNTIF(#REF!,"LOBOPH")*100/P11)</f>
        <v>#REF!</v>
      </c>
      <c r="AV11" t="e">
        <f>IF(P11=0,0,COUNTIF(#REF!,"MERU")*100/P11)</f>
        <v>#REF!</v>
      </c>
      <c r="AW11" t="e">
        <f>IF(P11=0,0,COUNTIF(#REF!,"MILL")*100/P11)</f>
        <v>#REF!</v>
      </c>
      <c r="AX11" t="e">
        <f>IF(P11=0,0,COUNTIF(#REF!,"MONT")*100/P11)</f>
        <v>#REF!</v>
      </c>
      <c r="AY11" t="e">
        <f>IF(P11=0,0,COUNTIF(#REF!,"MONTI")*100/P11)</f>
        <v>#REF!</v>
      </c>
      <c r="AZ11" t="e">
        <f>IF(P11=0,0,COUNTIF(#REF!,"MYCED")*100/P11)</f>
        <v>#REF!</v>
      </c>
      <c r="BA11" t="e">
        <f>IF(P11=0,0,COUNTIF(#REF!,"OULO")*100/P11)</f>
        <v>#REF!</v>
      </c>
      <c r="BB11" t="e">
        <f>IF(P11=0,0,COUNTIF(#REF!,"OXYP")*100/P11)</f>
        <v>#REF!</v>
      </c>
      <c r="BC11" t="e">
        <f>IF(P11=0,0,COUNTIF(#REF!,"PLSIA")*100/P11)</f>
        <v>#REF!</v>
      </c>
      <c r="BD11" t="e">
        <f>IF(P11=0,0,COUNTIF(#REF!,"PACHY")*100/P11)</f>
        <v>#REF!</v>
      </c>
      <c r="BE11" t="e">
        <f>IF(P11=0,0,COUNTIF(#REF!,"PAV")*100/P11)</f>
        <v>#REF!</v>
      </c>
      <c r="BF11" t="e">
        <f>IF(P11=0,0,COUNTIF(#REF!,"PECT")*100/P11)</f>
        <v>#REF!</v>
      </c>
      <c r="BG11" t="e">
        <f>IF(P11=0,0,COUNTIF(#REF!,"PHYSO")*100/P11)</f>
        <v>#REF!</v>
      </c>
      <c r="BH11" t="e">
        <f>IF(P11=0,0,COUNTIF(#REF!,"PLAT")*100/P11)</f>
        <v>#REF!</v>
      </c>
      <c r="BI11" t="e">
        <f>IF(P11=0,0,COUNTIF(#REF!,"PLERO")*100/P11)</f>
        <v>#REF!</v>
      </c>
      <c r="BJ11" t="e">
        <f>IF(P11=0,0,COUNTIF(#REF!,"POC")*100/P11)</f>
        <v>#REF!</v>
      </c>
      <c r="BK11" t="e">
        <f>IF(P11=0,0,COUNTIF(#REF!,"POR")*100/P11)</f>
        <v>#REF!</v>
      </c>
      <c r="BL11" t="e">
        <f>IF(P11=0,0,COUNTIF(#REF!,"PORCYL")*100/P11)</f>
        <v>#REF!</v>
      </c>
      <c r="BM11" t="e">
        <f>IF(P11=0,0,COUNTIF(#REF!,"PORMAS")*100/P11)</f>
        <v>#REF!</v>
      </c>
      <c r="BN11" t="e">
        <f>IF(P11=0,0,COUNTIF(#REF!,"PORRUS")*100/P11)</f>
        <v>#REF!</v>
      </c>
      <c r="BO11" t="e">
        <f>IF(P11=0,0,COUNTIF(#REF!,"PSAM")*100/P11)</f>
        <v>#REF!</v>
      </c>
      <c r="BP11" t="e">
        <f>IF(P11=0,0,COUNTIF(#REF!,"SANDO")*100/P11)</f>
        <v>#REF!</v>
      </c>
      <c r="BQ11" t="e">
        <f>IF(P11=0,0,COUNTIF(#REF!,"SCAP")*100/P11)</f>
        <v>#REF!</v>
      </c>
      <c r="BR11" t="e">
        <f>IF(P11=0,0,COUNTIF(#REF!,"SERIA")*100/P11)</f>
        <v>#REF!</v>
      </c>
      <c r="BS11" t="e">
        <f>IF(P11=0,0,COUNTIF(#REF!,"STYLC")*100/P11)</f>
        <v>#REF!</v>
      </c>
      <c r="BT11" t="e">
        <f>IF(P11=0,0,COUNTIF(#REF!,"STYLO")*100/P11)</f>
        <v>#REF!</v>
      </c>
      <c r="BU11" t="e">
        <f>IF(P11=0,0,COUNTIF(#REF!,"SYMP")*100/P11)</f>
        <v>#REF!</v>
      </c>
      <c r="BV11" t="e">
        <f>IF(P11=0,0,COUNTIF(#REF!,"TURBIN")*100/P11)</f>
        <v>#REF!</v>
      </c>
      <c r="BX11" t="e">
        <f>IF(P11=0,0,COUNTIF(#REF!,"ANEM")*100/P11)</f>
        <v>#REF!</v>
      </c>
      <c r="BY11" t="e">
        <f>IF(P11=0,0,COUNTIF(#REF!,"ASC")*100/P11)</f>
        <v>#REF!</v>
      </c>
      <c r="BZ11" t="e">
        <f>IF(P11=0,0,COUNTIF(#REF!,"CUPS")*100/P11)</f>
        <v>#REF!</v>
      </c>
      <c r="CA11" t="e">
        <f>IF(P11=0,0,COUNTIF(#REF!,"DISCO")*100/P11)</f>
        <v>#REF!</v>
      </c>
      <c r="CB11" t="e">
        <f>IF(P11=0,0,COUNTIF(#REF!,"DYS")*100/P11)</f>
        <v>#REF!</v>
      </c>
      <c r="CC11" t="e">
        <f>IF(P11=0,0,COUNTIF(#REF!,"G")*100/P11)</f>
        <v>#REF!</v>
      </c>
      <c r="CD11" t="e">
        <f>IF(P11=0,0,COUNTIF(#REF!,"NoIDINV")*100/P11)</f>
        <v>#REF!</v>
      </c>
      <c r="CE11" t="e">
        <f>IF(P11=0,0,COUNTIF(#REF!,"OLV")*100/P11)</f>
        <v>#REF!</v>
      </c>
      <c r="CF11" t="e">
        <f>IF(P11=0,0,COUNTIF(#REF!,"SC")*100/P11)</f>
        <v>#REF!</v>
      </c>
      <c r="CG11" t="e">
        <f>IF(P11=0,0,COUNTIF(#REF!,"S")*100/P11)</f>
        <v>#REF!</v>
      </c>
      <c r="CH11" t="e">
        <f>IF(P11=0,0,COUNTIF(#REF!,"TERPS")*100/P11)</f>
        <v>#REF!</v>
      </c>
      <c r="CI11" t="e">
        <f>IF(P11=0,0,COUNTIF(#REF!,"Z")*100/P11)</f>
        <v>#REF!</v>
      </c>
      <c r="CK11" t="e">
        <f>IF(P11=0,0,COUNTIF(#REF!,"ASP")*100/P11)</f>
        <v>#REF!</v>
      </c>
      <c r="CL11" t="e">
        <f>IF(P11=0,0,COUNTIF(#REF!,"BG")*100/P11)</f>
        <v>#REF!</v>
      </c>
      <c r="CM11" t="e">
        <f>IF(P11=0,0,COUNTIF(#REF!,"Bood")*100/P11)</f>
        <v>#REF!</v>
      </c>
      <c r="CN11" t="e">
        <f>IF(P11=0,0,COUNTIF(#REF!,"BRYP")*100/P11)</f>
        <v>#REF!</v>
      </c>
      <c r="CO11" t="e">
        <f>IF(P11=0,0,COUNTIF(#REF!,"CLP")*100/P11)</f>
        <v>#REF!</v>
      </c>
      <c r="CP11" t="e">
        <f>IF(P11=0,0,COUNTIF(#REF!,"CHLDES")*100/P11)</f>
        <v>#REF!</v>
      </c>
      <c r="CQ11" t="e">
        <f>IF(P11=0,0,COUNTIF(#REF!,"DYCTY")*100/P11)</f>
        <v>#REF!</v>
      </c>
      <c r="CR11" t="e">
        <f>IF(P11=0,0,COUNTIF(#REF!,"DICT")*100/P11)</f>
        <v>#REF!</v>
      </c>
      <c r="CS11" t="e">
        <f>IF(P11=0,0,COUNTIF(#REF!,"GLXU")*100/P11)</f>
        <v>#REF!</v>
      </c>
      <c r="CT11" t="e">
        <f>IF(P11=0,0,COUNTIF(#REF!,"HALI")*100/P11)</f>
        <v>#REF!</v>
      </c>
      <c r="CU11" t="e">
        <f>IF(P11=0,0,COUNTIF(#REF!,"LIAG")*100/P11)</f>
        <v>#REF!</v>
      </c>
      <c r="CV11" t="e">
        <f>IF(P11=0,0,COUNTIF(#REF!,"LOBO")*100/P11)</f>
        <v>#REF!</v>
      </c>
      <c r="CW11" t="e">
        <f>IF(P11=0,0,COUNTIF(#REF!,"MAST")*100/P11)</f>
        <v>#REF!</v>
      </c>
      <c r="CX11" t="e">
        <f>IF(P11=0,0,COUNTIF(#REF!,"MICDTY")*100/P11)</f>
        <v>#REF!</v>
      </c>
      <c r="CY11" t="e">
        <f>IF(P11=0,0,COUNTIF(#REF!,"NEOM")*100/P11)</f>
        <v>#REF!</v>
      </c>
      <c r="CZ11" t="e">
        <f>IF(P11=0,0,COUNTIF(#REF!,"NOIDMAC")*100/P11)</f>
        <v>#REF!</v>
      </c>
      <c r="DA11" t="e">
        <f>IF(P11=0,0,COUNTIF(#REF!,"PAD")*100/P11)</f>
        <v>#REF!</v>
      </c>
      <c r="DB11" t="e">
        <f>IF(P11=0,0,COUNTIF(#REF!,"SARG")*100/P11)</f>
        <v>#REF!</v>
      </c>
      <c r="DC11" t="e">
        <f>IF(P11=0,0,COUNTIF(#REF!,"SCHIZ")*100/P11)</f>
        <v>#REF!</v>
      </c>
      <c r="DD11" t="e">
        <f>IF(P11=0,0,COUNTIF(#REF!,"TURB")*100/P11)</f>
        <v>#REF!</v>
      </c>
      <c r="DE11" t="e">
        <f>IF(P11=0,0,COUNTIF(#REF!,"TYDM")*100/P11)</f>
        <v>#REF!</v>
      </c>
      <c r="DG11" t="e">
        <f>IF(P11=0,0,COUNTIF(#REF!,"AMP")*100/P11)</f>
        <v>#REF!</v>
      </c>
      <c r="DH11" t="e">
        <f>IF(P11=0,0,COUNTIF(#REF!,"BCA1")*100/P11)</f>
        <v>#REF!</v>
      </c>
      <c r="DI11" t="e">
        <f>IF(P11=0,0,COUNTIF(#REF!,"JAN")*100/P11)</f>
        <v>#REF!</v>
      </c>
      <c r="DK11" s="29" t="e">
        <f>IF(P11=0,0,COUNTIF(#REF!,"CCA1")*100/P11)</f>
        <v>#REF!</v>
      </c>
      <c r="DM11" t="e">
        <f>IF(P11=0,0,COUNTIF(#REF!,"Sand")*100/P11)</f>
        <v>#REF!</v>
      </c>
      <c r="DO11" t="e">
        <f>IF(P11=0,0,COUNTIF(#REF!,"FCA1")*100/P11)</f>
        <v>#REF!</v>
      </c>
      <c r="DQ11" t="e">
        <f>IF(P11=0,0,COUNTIF(#REF!,"CHRYOBRN")*100/P11)</f>
        <v>#REF!</v>
      </c>
      <c r="DS11" t="e">
        <f>IF(P11=0,0,COUNTIF(#REF!,"TURF")*100/P11)</f>
        <v>#REF!</v>
      </c>
      <c r="DU11" t="e">
        <f>COUNTIF(#REF!,"Shadow")*100/5</f>
        <v>#REF!</v>
      </c>
      <c r="DV11" t="e">
        <f>COUNTIF(#REF!,"Tape")*100/5</f>
        <v>#REF!</v>
      </c>
      <c r="DW11" t="e">
        <f>COUNTIF(#REF!,"Wand")*100/5</f>
        <v>#REF!</v>
      </c>
      <c r="DY11" t="e">
        <f>IF(P11=0,0,COUNTIF(#REF!,"BC")*100/P11)</f>
        <v>#REF!</v>
      </c>
    </row>
    <row r="12" spans="1:129">
      <c r="A12">
        <v>10</v>
      </c>
      <c r="B12" t="s">
        <v>47</v>
      </c>
      <c r="F12" s="29" t="e">
        <f>IF(P12=0,0,COUNTIF(#REF!,"C")*100/P12)</f>
        <v>#REF!</v>
      </c>
      <c r="G12" t="e">
        <f>IF(P12=0,0,COUNTIF(#REF!,"OI")*100/P12)</f>
        <v>#REF!</v>
      </c>
      <c r="H12" t="e">
        <f>IF(P12=0,0,COUNTIF(#REF!,"MA")*100/P12)</f>
        <v>#REF!</v>
      </c>
      <c r="I12" t="e">
        <f>IF(P12=0,0,COUNTIF(#REF!,"BCA")*100/P12)</f>
        <v>#REF!</v>
      </c>
      <c r="J12" s="29" t="e">
        <f>IF(P12=0,0,COUNTIF(#REF!,"CCA")*100/P12)</f>
        <v>#REF!</v>
      </c>
      <c r="K12" t="e">
        <f>IF(P12=0,0,COUNTIF(#REF!,"SD")*100/P12)</f>
        <v>#REF!</v>
      </c>
      <c r="L12" t="e">
        <f>IF(P12=0,0,COUNTIF(#REF!,"FCA")*100/P12)</f>
        <v>#REF!</v>
      </c>
      <c r="M12" t="e">
        <f>IF(P12=0,0,COUNTIF(#REF!,"CHRYS")*100/P12)</f>
        <v>#REF!</v>
      </c>
      <c r="N12" s="29" t="e">
        <f>IF(P12=0,0,COUNTIF(#REF!,"T")*100/P12)</f>
        <v>#REF!</v>
      </c>
      <c r="O12" t="e">
        <f>IF(P12=0,0,COUNTIF(#REF!,"TWS")*100/P12)</f>
        <v>#REF!</v>
      </c>
      <c r="P12" t="e">
        <f>5-COUNTIF(#REF!,"TWS")</f>
        <v>#REF!</v>
      </c>
      <c r="S12" t="e">
        <f>IF(P12=0,0,COUNTIF(#REF!,"ACAN")*100/P12)</f>
        <v>#REF!</v>
      </c>
      <c r="T12" t="e">
        <f>IF(P12=0,0,COUNTIF(#REF!,"ACROP")*100/P12)</f>
        <v>#REF!</v>
      </c>
      <c r="U12" t="e">
        <f>IF(P12=0,0,COUNTIF(#REF!,"ACROPARB")*100/P12)</f>
        <v>#REF!</v>
      </c>
      <c r="V12" t="e">
        <f>IF(P12=0,0,COUNTIF(#REF!,"ACROST")*100/P12)</f>
        <v>#REF!</v>
      </c>
      <c r="W12" t="e">
        <f>IF(P12=0,0,COUNTIF(#REF!,"ACROTBL")*100/P12)</f>
        <v>#REF!</v>
      </c>
      <c r="X12" t="e">
        <f>IF(P12=0,0,COUNTIF(#REF!,"ASTRP")*100/P12)</f>
        <v>#REF!</v>
      </c>
      <c r="Y12" t="e">
        <f>IF(P12=0,0,COUNTIF(#REF!,"CAUL")*100/P12)</f>
        <v>#REF!</v>
      </c>
      <c r="Z12" t="e">
        <f>IF(P12=0,0,COUNTIF(#REF!,"COSC")*100/P12)</f>
        <v>#REF!</v>
      </c>
      <c r="AA12" t="e">
        <f>IF(P12=0,0,COUNTIF(#REF!,"CTEN")*100/P12)</f>
        <v>#REF!</v>
      </c>
      <c r="AB12" t="e">
        <f>IF(P12=0,0,COUNTIF(#REF!,"CYPH")*100/P12)</f>
        <v>#REF!</v>
      </c>
      <c r="AC12" t="e">
        <f>IF(P12=0,0,COUNTIF(#REF!,"DIPLO")*100/P12)</f>
        <v>#REF!</v>
      </c>
      <c r="AD12" s="29" t="e">
        <f>IF(P12=0,0,COUNTIF(#REF!,"ECHPO")*100/P12)</f>
        <v>#REF!</v>
      </c>
      <c r="AE12" t="e">
        <f>IF(P12=0,0,COUNTIF(#REF!,"ECHPHY")*100/P12)</f>
        <v>#REF!</v>
      </c>
      <c r="AF12" t="e">
        <f>IF(P12=0,0,COUNTIF(#REF!,"EUPH")*100/P12)</f>
        <v>#REF!</v>
      </c>
      <c r="AG12" t="e">
        <f>IF(P12=0,0,COUNTIF(#REF!,"FAV")*100/P12)</f>
        <v>#REF!</v>
      </c>
      <c r="AH12" t="e">
        <f>IF(P12=0,0,COUNTIF(#REF!,"FAVT")*100/P12)</f>
        <v>#REF!</v>
      </c>
      <c r="AI12" t="e">
        <f>IF(P12=0,0,COUNTIF(#REF!,"FUNG")*100/P12)</f>
        <v>#REF!</v>
      </c>
      <c r="AJ12" t="e">
        <f>IF(P12=0,0,COUNTIF(#REF!,"GAL")*100/P12)</f>
        <v>#REF!</v>
      </c>
      <c r="AK12" t="e">
        <f>IF(P12=0,0,COUNTIF(#REF!,"GARD")*100/P12)</f>
        <v>#REF!</v>
      </c>
      <c r="AL12" t="e">
        <f>IF(P12=0,0,COUNTIF(#REF!,"GON")*100/P12)</f>
        <v>#REF!</v>
      </c>
      <c r="AM12" t="e">
        <f>IF(P12=0,0,COUNTIF(#REF!,"GONIO")*100/P12)</f>
        <v>#REF!</v>
      </c>
      <c r="AN12" t="e">
        <f>IF(P12=0,0,COUNTIF(#REF!,"HELIO")*100/P12)</f>
        <v>#REF!</v>
      </c>
      <c r="AO12" t="e">
        <f>IF(P12=0,0,COUNTIF(#REF!,"HERP")*100/P12)</f>
        <v>#REF!</v>
      </c>
      <c r="AP12" t="e">
        <f>IF(P12=0,0,COUNTIF(#REF!,"HYD")*100/P12)</f>
        <v>#REF!</v>
      </c>
      <c r="AQ12" t="e">
        <f>IF(P12=0,0,COUNTIF(#REF!,"ISOP")*100/P12)</f>
        <v>#REF!</v>
      </c>
      <c r="AR12" t="e">
        <f>IF(P12=0,0,COUNTIF(#REF!,"LEPT")*100/P12)</f>
        <v>#REF!</v>
      </c>
      <c r="AS12" t="e">
        <f>IF(P12=0,0,COUNTIF(#REF!,"LEPTOR")*100/P12)</f>
        <v>#REF!</v>
      </c>
      <c r="AT12" t="e">
        <f>IF(P12=0,0,COUNTIF(#REF!,"LEPTOS")*100/P12)</f>
        <v>#REF!</v>
      </c>
      <c r="AU12" t="e">
        <f>IF(P12=0,0,COUNTIF(#REF!,"LOBOPH")*100/P12)</f>
        <v>#REF!</v>
      </c>
      <c r="AV12" t="e">
        <f>IF(P12=0,0,COUNTIF(#REF!,"MERU")*100/P12)</f>
        <v>#REF!</v>
      </c>
      <c r="AW12" t="e">
        <f>IF(P12=0,0,COUNTIF(#REF!,"MILL")*100/P12)</f>
        <v>#REF!</v>
      </c>
      <c r="AX12" t="e">
        <f>IF(P12=0,0,COUNTIF(#REF!,"MONT")*100/P12)</f>
        <v>#REF!</v>
      </c>
      <c r="AY12" t="e">
        <f>IF(P12=0,0,COUNTIF(#REF!,"MONTI")*100/P12)</f>
        <v>#REF!</v>
      </c>
      <c r="AZ12" t="e">
        <f>IF(P12=0,0,COUNTIF(#REF!,"MYCED")*100/P12)</f>
        <v>#REF!</v>
      </c>
      <c r="BA12" t="e">
        <f>IF(P12=0,0,COUNTIF(#REF!,"OULO")*100/P12)</f>
        <v>#REF!</v>
      </c>
      <c r="BB12" t="e">
        <f>IF(P12=0,0,COUNTIF(#REF!,"OXYP")*100/P12)</f>
        <v>#REF!</v>
      </c>
      <c r="BC12" t="e">
        <f>IF(P12=0,0,COUNTIF(#REF!,"PLSIA")*100/P12)</f>
        <v>#REF!</v>
      </c>
      <c r="BD12" t="e">
        <f>IF(P12=0,0,COUNTIF(#REF!,"PACHY")*100/P12)</f>
        <v>#REF!</v>
      </c>
      <c r="BE12" t="e">
        <f>IF(P12=0,0,COUNTIF(#REF!,"PAV")*100/P12)</f>
        <v>#REF!</v>
      </c>
      <c r="BF12" t="e">
        <f>IF(P12=0,0,COUNTIF(#REF!,"PECT")*100/P12)</f>
        <v>#REF!</v>
      </c>
      <c r="BG12" t="e">
        <f>IF(P12=0,0,COUNTIF(#REF!,"PHYSO")*100/P12)</f>
        <v>#REF!</v>
      </c>
      <c r="BH12" t="e">
        <f>IF(P12=0,0,COUNTIF(#REF!,"PLAT")*100/P12)</f>
        <v>#REF!</v>
      </c>
      <c r="BI12" t="e">
        <f>IF(P12=0,0,COUNTIF(#REF!,"PLERO")*100/P12)</f>
        <v>#REF!</v>
      </c>
      <c r="BJ12" t="e">
        <f>IF(P12=0,0,COUNTIF(#REF!,"POC")*100/P12)</f>
        <v>#REF!</v>
      </c>
      <c r="BK12" t="e">
        <f>IF(P12=0,0,COUNTIF(#REF!,"POR")*100/P12)</f>
        <v>#REF!</v>
      </c>
      <c r="BL12" t="e">
        <f>IF(P12=0,0,COUNTIF(#REF!,"PORCYL")*100/P12)</f>
        <v>#REF!</v>
      </c>
      <c r="BM12" t="e">
        <f>IF(P12=0,0,COUNTIF(#REF!,"PORMAS")*100/P12)</f>
        <v>#REF!</v>
      </c>
      <c r="BN12" t="e">
        <f>IF(P12=0,0,COUNTIF(#REF!,"PORRUS")*100/P12)</f>
        <v>#REF!</v>
      </c>
      <c r="BO12" t="e">
        <f>IF(P12=0,0,COUNTIF(#REF!,"PSAM")*100/P12)</f>
        <v>#REF!</v>
      </c>
      <c r="BP12" t="e">
        <f>IF(P12=0,0,COUNTIF(#REF!,"SANDO")*100/P12)</f>
        <v>#REF!</v>
      </c>
      <c r="BQ12" t="e">
        <f>IF(P12=0,0,COUNTIF(#REF!,"SCAP")*100/P12)</f>
        <v>#REF!</v>
      </c>
      <c r="BR12" t="e">
        <f>IF(P12=0,0,COUNTIF(#REF!,"SERIA")*100/P12)</f>
        <v>#REF!</v>
      </c>
      <c r="BS12" t="e">
        <f>IF(P12=0,0,COUNTIF(#REF!,"STYLC")*100/P12)</f>
        <v>#REF!</v>
      </c>
      <c r="BT12" t="e">
        <f>IF(P12=0,0,COUNTIF(#REF!,"STYLO")*100/P12)</f>
        <v>#REF!</v>
      </c>
      <c r="BU12" t="e">
        <f>IF(P12=0,0,COUNTIF(#REF!,"SYMP")*100/P12)</f>
        <v>#REF!</v>
      </c>
      <c r="BV12" t="e">
        <f>IF(P12=0,0,COUNTIF(#REF!,"TURBIN")*100/P12)</f>
        <v>#REF!</v>
      </c>
      <c r="BX12" t="e">
        <f>IF(P12=0,0,COUNTIF(#REF!,"ANEM")*100/P12)</f>
        <v>#REF!</v>
      </c>
      <c r="BY12" t="e">
        <f>IF(P12=0,0,COUNTIF(#REF!,"ASC")*100/P12)</f>
        <v>#REF!</v>
      </c>
      <c r="BZ12" t="e">
        <f>IF(P12=0,0,COUNTIF(#REF!,"CUPS")*100/P12)</f>
        <v>#REF!</v>
      </c>
      <c r="CA12" t="e">
        <f>IF(P12=0,0,COUNTIF(#REF!,"DISCO")*100/P12)</f>
        <v>#REF!</v>
      </c>
      <c r="CB12" t="e">
        <f>IF(P12=0,0,COUNTIF(#REF!,"DYS")*100/P12)</f>
        <v>#REF!</v>
      </c>
      <c r="CC12" t="e">
        <f>IF(P12=0,0,COUNTIF(#REF!,"G")*100/P12)</f>
        <v>#REF!</v>
      </c>
      <c r="CD12" t="e">
        <f>IF(P12=0,0,COUNTIF(#REF!,"NoIDINV")*100/P12)</f>
        <v>#REF!</v>
      </c>
      <c r="CE12" t="e">
        <f>IF(P12=0,0,COUNTIF(#REF!,"OLV")*100/P12)</f>
        <v>#REF!</v>
      </c>
      <c r="CF12" t="e">
        <f>IF(P12=0,0,COUNTIF(#REF!,"SC")*100/P12)</f>
        <v>#REF!</v>
      </c>
      <c r="CG12" t="e">
        <f>IF(P12=0,0,COUNTIF(#REF!,"S")*100/P12)</f>
        <v>#REF!</v>
      </c>
      <c r="CH12" t="e">
        <f>IF(P12=0,0,COUNTIF(#REF!,"TERPS")*100/P12)</f>
        <v>#REF!</v>
      </c>
      <c r="CI12" t="e">
        <f>IF(P12=0,0,COUNTIF(#REF!,"Z")*100/P12)</f>
        <v>#REF!</v>
      </c>
      <c r="CK12" t="e">
        <f>IF(P12=0,0,COUNTIF(#REF!,"ASP")*100/P12)</f>
        <v>#REF!</v>
      </c>
      <c r="CL12" t="e">
        <f>IF(P12=0,0,COUNTIF(#REF!,"BG")*100/P12)</f>
        <v>#REF!</v>
      </c>
      <c r="CM12" t="e">
        <f>IF(P12=0,0,COUNTIF(#REF!,"Bood")*100/P12)</f>
        <v>#REF!</v>
      </c>
      <c r="CN12" t="e">
        <f>IF(P12=0,0,COUNTIF(#REF!,"BRYP")*100/P12)</f>
        <v>#REF!</v>
      </c>
      <c r="CO12" t="e">
        <f>IF(P12=0,0,COUNTIF(#REF!,"CLP")*100/P12)</f>
        <v>#REF!</v>
      </c>
      <c r="CP12" t="e">
        <f>IF(P12=0,0,COUNTIF(#REF!,"CHLDES")*100/P12)</f>
        <v>#REF!</v>
      </c>
      <c r="CQ12" t="e">
        <f>IF(P12=0,0,COUNTIF(#REF!,"DYCTY")*100/P12)</f>
        <v>#REF!</v>
      </c>
      <c r="CR12" t="e">
        <f>IF(P12=0,0,COUNTIF(#REF!,"DICT")*100/P12)</f>
        <v>#REF!</v>
      </c>
      <c r="CS12" t="e">
        <f>IF(P12=0,0,COUNTIF(#REF!,"GLXU")*100/P12)</f>
        <v>#REF!</v>
      </c>
      <c r="CT12" t="e">
        <f>IF(P12=0,0,COUNTIF(#REF!,"HALI")*100/P12)</f>
        <v>#REF!</v>
      </c>
      <c r="CU12" t="e">
        <f>IF(P12=0,0,COUNTIF(#REF!,"LIAG")*100/P12)</f>
        <v>#REF!</v>
      </c>
      <c r="CV12" t="e">
        <f>IF(P12=0,0,COUNTIF(#REF!,"LOBO")*100/P12)</f>
        <v>#REF!</v>
      </c>
      <c r="CW12" t="e">
        <f>IF(P12=0,0,COUNTIF(#REF!,"MAST")*100/P12)</f>
        <v>#REF!</v>
      </c>
      <c r="CX12" t="e">
        <f>IF(P12=0,0,COUNTIF(#REF!,"MICDTY")*100/P12)</f>
        <v>#REF!</v>
      </c>
      <c r="CY12" t="e">
        <f>IF(P12=0,0,COUNTIF(#REF!,"NEOM")*100/P12)</f>
        <v>#REF!</v>
      </c>
      <c r="CZ12" t="e">
        <f>IF(P12=0,0,COUNTIF(#REF!,"NOIDMAC")*100/P12)</f>
        <v>#REF!</v>
      </c>
      <c r="DA12" t="e">
        <f>IF(P12=0,0,COUNTIF(#REF!,"PAD")*100/P12)</f>
        <v>#REF!</v>
      </c>
      <c r="DB12" t="e">
        <f>IF(P12=0,0,COUNTIF(#REF!,"SARG")*100/P12)</f>
        <v>#REF!</v>
      </c>
      <c r="DC12" t="e">
        <f>IF(P12=0,0,COUNTIF(#REF!,"SCHIZ")*100/P12)</f>
        <v>#REF!</v>
      </c>
      <c r="DD12" t="e">
        <f>IF(P12=0,0,COUNTIF(#REF!,"TURB")*100/P12)</f>
        <v>#REF!</v>
      </c>
      <c r="DE12" t="e">
        <f>IF(P12=0,0,COUNTIF(#REF!,"TYDM")*100/P12)</f>
        <v>#REF!</v>
      </c>
      <c r="DG12" t="e">
        <f>IF(P12=0,0,COUNTIF(#REF!,"AMP")*100/P12)</f>
        <v>#REF!</v>
      </c>
      <c r="DH12" t="e">
        <f>IF(P12=0,0,COUNTIF(#REF!,"BCA1")*100/P12)</f>
        <v>#REF!</v>
      </c>
      <c r="DI12" t="e">
        <f>IF(P12=0,0,COUNTIF(#REF!,"JAN")*100/P12)</f>
        <v>#REF!</v>
      </c>
      <c r="DK12" s="29" t="e">
        <f>IF(P12=0,0,COUNTIF(#REF!,"CCA1")*100/P12)</f>
        <v>#REF!</v>
      </c>
      <c r="DM12" t="e">
        <f>IF(P12=0,0,COUNTIF(#REF!,"Sand")*100/P12)</f>
        <v>#REF!</v>
      </c>
      <c r="DO12" t="e">
        <f>IF(P12=0,0,COUNTIF(#REF!,"FCA1")*100/P12)</f>
        <v>#REF!</v>
      </c>
      <c r="DQ12" t="e">
        <f>IF(P12=0,0,COUNTIF(#REF!,"CHRYOBRN")*100/P12)</f>
        <v>#REF!</v>
      </c>
      <c r="DS12" s="29" t="e">
        <f>IF(P12=0,0,COUNTIF(#REF!,"TURF")*100/P12)</f>
        <v>#REF!</v>
      </c>
      <c r="DU12" t="e">
        <f>COUNTIF(#REF!,"Shadow")*100/5</f>
        <v>#REF!</v>
      </c>
      <c r="DV12" t="e">
        <f>COUNTIF(#REF!,"Tape")*100/5</f>
        <v>#REF!</v>
      </c>
      <c r="DW12" t="e">
        <f>COUNTIF(#REF!,"Wand")*100/5</f>
        <v>#REF!</v>
      </c>
      <c r="DY12" t="e">
        <f>IF(P12=0,0,COUNTIF(#REF!,"BC")*100/P12)</f>
        <v>#REF!</v>
      </c>
    </row>
    <row r="13" spans="1:129">
      <c r="A13">
        <v>11</v>
      </c>
      <c r="B13" t="s">
        <v>48</v>
      </c>
      <c r="F13" s="29" t="e">
        <f>IF(P13=0,0,COUNTIF(#REF!,"C")*100/P13)</f>
        <v>#REF!</v>
      </c>
      <c r="G13" t="e">
        <f>IF(P13=0,0,COUNTIF(#REF!,"OI")*100/P13)</f>
        <v>#REF!</v>
      </c>
      <c r="H13" t="e">
        <f>IF(P13=0,0,COUNTIF(#REF!,"MA")*100/P13)</f>
        <v>#REF!</v>
      </c>
      <c r="I13" t="e">
        <f>IF(P13=0,0,COUNTIF(#REF!,"BCA")*100/P13)</f>
        <v>#REF!</v>
      </c>
      <c r="J13" s="29" t="e">
        <f>IF(P13=0,0,COUNTIF(#REF!,"CCA")*100/P13)</f>
        <v>#REF!</v>
      </c>
      <c r="K13" t="e">
        <f>IF(P13=0,0,COUNTIF(#REF!,"SD")*100/P13)</f>
        <v>#REF!</v>
      </c>
      <c r="L13" t="e">
        <f>IF(P13=0,0,COUNTIF(#REF!,"FCA")*100/P13)</f>
        <v>#REF!</v>
      </c>
      <c r="M13" t="e">
        <f>IF(P13=0,0,COUNTIF(#REF!,"CHRYS")*100/P13)</f>
        <v>#REF!</v>
      </c>
      <c r="N13" s="29" t="e">
        <f>IF(P13=0,0,COUNTIF(#REF!,"T")*100/P13)</f>
        <v>#REF!</v>
      </c>
      <c r="O13" t="e">
        <f>IF(P13=0,0,COUNTIF(#REF!,"TWS")*100/P13)</f>
        <v>#REF!</v>
      </c>
      <c r="P13" t="e">
        <f>5-COUNTIF(#REF!,"TWS")</f>
        <v>#REF!</v>
      </c>
      <c r="S13" t="e">
        <f>IF(P13=0,0,COUNTIF(#REF!,"ACAN")*100/P13)</f>
        <v>#REF!</v>
      </c>
      <c r="T13" t="e">
        <f>IF(P13=0,0,COUNTIF(#REF!,"ACROP")*100/P13)</f>
        <v>#REF!</v>
      </c>
      <c r="U13" t="e">
        <f>IF(P13=0,0,COUNTIF(#REF!,"ACROPARB")*100/P13)</f>
        <v>#REF!</v>
      </c>
      <c r="V13" t="e">
        <f>IF(P13=0,0,COUNTIF(#REF!,"ACROST")*100/P13)</f>
        <v>#REF!</v>
      </c>
      <c r="W13" t="e">
        <f>IF(P13=0,0,COUNTIF(#REF!,"ACROTBL")*100/P13)</f>
        <v>#REF!</v>
      </c>
      <c r="X13" t="e">
        <f>IF(P13=0,0,COUNTIF(#REF!,"ASTRP")*100/P13)</f>
        <v>#REF!</v>
      </c>
      <c r="Y13" t="e">
        <f>IF(P13=0,0,COUNTIF(#REF!,"CAUL")*100/P13)</f>
        <v>#REF!</v>
      </c>
      <c r="Z13" t="e">
        <f>IF(P13=0,0,COUNTIF(#REF!,"COSC")*100/P13)</f>
        <v>#REF!</v>
      </c>
      <c r="AA13" t="e">
        <f>IF(P13=0,0,COUNTIF(#REF!,"CTEN")*100/P13)</f>
        <v>#REF!</v>
      </c>
      <c r="AB13" t="e">
        <f>IF(P13=0,0,COUNTIF(#REF!,"CYPH")*100/P13)</f>
        <v>#REF!</v>
      </c>
      <c r="AC13" t="e">
        <f>IF(P13=0,0,COUNTIF(#REF!,"DIPLO")*100/P13)</f>
        <v>#REF!</v>
      </c>
      <c r="AD13" t="e">
        <f>IF(P13=0,0,COUNTIF(#REF!,"ECHPO")*100/P13)</f>
        <v>#REF!</v>
      </c>
      <c r="AE13" t="e">
        <f>IF(P13=0,0,COUNTIF(#REF!,"ECHPHY")*100/P13)</f>
        <v>#REF!</v>
      </c>
      <c r="AF13" t="e">
        <f>IF(P13=0,0,COUNTIF(#REF!,"EUPH")*100/P13)</f>
        <v>#REF!</v>
      </c>
      <c r="AG13" t="e">
        <f>IF(P13=0,0,COUNTIF(#REF!,"FAV")*100/P13)</f>
        <v>#REF!</v>
      </c>
      <c r="AH13" t="e">
        <f>IF(P13=0,0,COUNTIF(#REF!,"FAVT")*100/P13)</f>
        <v>#REF!</v>
      </c>
      <c r="AI13" t="e">
        <f>IF(P13=0,0,COUNTIF(#REF!,"FUNG")*100/P13)</f>
        <v>#REF!</v>
      </c>
      <c r="AJ13" t="e">
        <f>IF(P13=0,0,COUNTIF(#REF!,"GAL")*100/P13)</f>
        <v>#REF!</v>
      </c>
      <c r="AK13" t="e">
        <f>IF(P13=0,0,COUNTIF(#REF!,"GARD")*100/P13)</f>
        <v>#REF!</v>
      </c>
      <c r="AL13" t="e">
        <f>IF(P13=0,0,COUNTIF(#REF!,"GON")*100/P13)</f>
        <v>#REF!</v>
      </c>
      <c r="AM13" t="e">
        <f>IF(P13=0,0,COUNTIF(#REF!,"GONIO")*100/P13)</f>
        <v>#REF!</v>
      </c>
      <c r="AN13" t="e">
        <f>IF(P13=0,0,COUNTIF(#REF!,"HELIO")*100/P13)</f>
        <v>#REF!</v>
      </c>
      <c r="AO13" t="e">
        <f>IF(P13=0,0,COUNTIF(#REF!,"HERP")*100/P13)</f>
        <v>#REF!</v>
      </c>
      <c r="AP13" t="e">
        <f>IF(P13=0,0,COUNTIF(#REF!,"HYD")*100/P13)</f>
        <v>#REF!</v>
      </c>
      <c r="AQ13" t="e">
        <f>IF(P13=0,0,COUNTIF(#REF!,"ISOP")*100/P13)</f>
        <v>#REF!</v>
      </c>
      <c r="AR13" t="e">
        <f>IF(P13=0,0,COUNTIF(#REF!,"LEPT")*100/P13)</f>
        <v>#REF!</v>
      </c>
      <c r="AS13" s="29" t="e">
        <f>IF(P13=0,0,COUNTIF(#REF!,"LEPTOR")*100/P13)</f>
        <v>#REF!</v>
      </c>
      <c r="AT13" t="e">
        <f>IF(P13=0,0,COUNTIF(#REF!,"LEPTOS")*100/P13)</f>
        <v>#REF!</v>
      </c>
      <c r="AU13" t="e">
        <f>IF(P13=0,0,COUNTIF(#REF!,"LOBOPH")*100/P13)</f>
        <v>#REF!</v>
      </c>
      <c r="AV13" t="e">
        <f>IF(P13=0,0,COUNTIF(#REF!,"MERU")*100/P13)</f>
        <v>#REF!</v>
      </c>
      <c r="AW13" t="e">
        <f>IF(P13=0,0,COUNTIF(#REF!,"MILL")*100/P13)</f>
        <v>#REF!</v>
      </c>
      <c r="AX13" t="e">
        <f>IF(P13=0,0,COUNTIF(#REF!,"MONT")*100/P13)</f>
        <v>#REF!</v>
      </c>
      <c r="AY13" t="e">
        <f>IF(P13=0,0,COUNTIF(#REF!,"MONTI")*100/P13)</f>
        <v>#REF!</v>
      </c>
      <c r="AZ13" t="e">
        <f>IF(P13=0,0,COUNTIF(#REF!,"MYCED")*100/P13)</f>
        <v>#REF!</v>
      </c>
      <c r="BA13" t="e">
        <f>IF(P13=0,0,COUNTIF(#REF!,"OULO")*100/P13)</f>
        <v>#REF!</v>
      </c>
      <c r="BB13" t="e">
        <f>IF(P13=0,0,COUNTIF(#REF!,"OXYP")*100/P13)</f>
        <v>#REF!</v>
      </c>
      <c r="BC13" t="e">
        <f>IF(P13=0,0,COUNTIF(#REF!,"PLSIA")*100/P13)</f>
        <v>#REF!</v>
      </c>
      <c r="BD13" t="e">
        <f>IF(P13=0,0,COUNTIF(#REF!,"PACHY")*100/P13)</f>
        <v>#REF!</v>
      </c>
      <c r="BE13" t="e">
        <f>IF(P13=0,0,COUNTIF(#REF!,"PAV")*100/P13)</f>
        <v>#REF!</v>
      </c>
      <c r="BF13" t="e">
        <f>IF(P13=0,0,COUNTIF(#REF!,"PECT")*100/P13)</f>
        <v>#REF!</v>
      </c>
      <c r="BG13" t="e">
        <f>IF(P13=0,0,COUNTIF(#REF!,"PHYSO")*100/P13)</f>
        <v>#REF!</v>
      </c>
      <c r="BH13" t="e">
        <f>IF(P13=0,0,COUNTIF(#REF!,"PLAT")*100/P13)</f>
        <v>#REF!</v>
      </c>
      <c r="BI13" t="e">
        <f>IF(P13=0,0,COUNTIF(#REF!,"PLERO")*100/P13)</f>
        <v>#REF!</v>
      </c>
      <c r="BJ13" t="e">
        <f>IF(P13=0,0,COUNTIF(#REF!,"POC")*100/P13)</f>
        <v>#REF!</v>
      </c>
      <c r="BK13" t="e">
        <f>IF(P13=0,0,COUNTIF(#REF!,"POR")*100/P13)</f>
        <v>#REF!</v>
      </c>
      <c r="BL13" t="e">
        <f>IF(P13=0,0,COUNTIF(#REF!,"PORCYL")*100/P13)</f>
        <v>#REF!</v>
      </c>
      <c r="BM13" t="e">
        <f>IF(P13=0,0,COUNTIF(#REF!,"PORMAS")*100/P13)</f>
        <v>#REF!</v>
      </c>
      <c r="BN13" t="e">
        <f>IF(P13=0,0,COUNTIF(#REF!,"PORRUS")*100/P13)</f>
        <v>#REF!</v>
      </c>
      <c r="BO13" t="e">
        <f>IF(P13=0,0,COUNTIF(#REF!,"PSAM")*100/P13)</f>
        <v>#REF!</v>
      </c>
      <c r="BP13" t="e">
        <f>IF(P13=0,0,COUNTIF(#REF!,"SANDO")*100/P13)</f>
        <v>#REF!</v>
      </c>
      <c r="BQ13" t="e">
        <f>IF(P13=0,0,COUNTIF(#REF!,"SCAP")*100/P13)</f>
        <v>#REF!</v>
      </c>
      <c r="BR13" t="e">
        <f>IF(P13=0,0,COUNTIF(#REF!,"SERIA")*100/P13)</f>
        <v>#REF!</v>
      </c>
      <c r="BS13" t="e">
        <f>IF(P13=0,0,COUNTIF(#REF!,"STYLC")*100/P13)</f>
        <v>#REF!</v>
      </c>
      <c r="BT13" t="e">
        <f>IF(P13=0,0,COUNTIF(#REF!,"STYLO")*100/P13)</f>
        <v>#REF!</v>
      </c>
      <c r="BU13" t="e">
        <f>IF(P13=0,0,COUNTIF(#REF!,"SYMP")*100/P13)</f>
        <v>#REF!</v>
      </c>
      <c r="BV13" t="e">
        <f>IF(P13=0,0,COUNTIF(#REF!,"TURBIN")*100/P13)</f>
        <v>#REF!</v>
      </c>
      <c r="BX13" t="e">
        <f>IF(P13=0,0,COUNTIF(#REF!,"ANEM")*100/P13)</f>
        <v>#REF!</v>
      </c>
      <c r="BY13" t="e">
        <f>IF(P13=0,0,COUNTIF(#REF!,"ASC")*100/P13)</f>
        <v>#REF!</v>
      </c>
      <c r="BZ13" t="e">
        <f>IF(P13=0,0,COUNTIF(#REF!,"CUPS")*100/P13)</f>
        <v>#REF!</v>
      </c>
      <c r="CA13" t="e">
        <f>IF(P13=0,0,COUNTIF(#REF!,"DISCO")*100/P13)</f>
        <v>#REF!</v>
      </c>
      <c r="CB13" t="e">
        <f>IF(P13=0,0,COUNTIF(#REF!,"DYS")*100/P13)</f>
        <v>#REF!</v>
      </c>
      <c r="CC13" t="e">
        <f>IF(P13=0,0,COUNTIF(#REF!,"G")*100/P13)</f>
        <v>#REF!</v>
      </c>
      <c r="CD13" t="e">
        <f>IF(P13=0,0,COUNTIF(#REF!,"NoIDINV")*100/P13)</f>
        <v>#REF!</v>
      </c>
      <c r="CE13" t="e">
        <f>IF(P13=0,0,COUNTIF(#REF!,"OLV")*100/P13)</f>
        <v>#REF!</v>
      </c>
      <c r="CF13" t="e">
        <f>IF(P13=0,0,COUNTIF(#REF!,"SC")*100/P13)</f>
        <v>#REF!</v>
      </c>
      <c r="CG13" t="e">
        <f>IF(P13=0,0,COUNTIF(#REF!,"S")*100/P13)</f>
        <v>#REF!</v>
      </c>
      <c r="CH13" t="e">
        <f>IF(P13=0,0,COUNTIF(#REF!,"TERPS")*100/P13)</f>
        <v>#REF!</v>
      </c>
      <c r="CI13" t="e">
        <f>IF(P13=0,0,COUNTIF(#REF!,"Z")*100/P13)</f>
        <v>#REF!</v>
      </c>
      <c r="CK13" t="e">
        <f>IF(P13=0,0,COUNTIF(#REF!,"ASP")*100/P13)</f>
        <v>#REF!</v>
      </c>
      <c r="CL13" t="e">
        <f>IF(P13=0,0,COUNTIF(#REF!,"BG")*100/P13)</f>
        <v>#REF!</v>
      </c>
      <c r="CM13" t="e">
        <f>IF(P13=0,0,COUNTIF(#REF!,"Bood")*100/P13)</f>
        <v>#REF!</v>
      </c>
      <c r="CN13" t="e">
        <f>IF(P13=0,0,COUNTIF(#REF!,"BRYP")*100/P13)</f>
        <v>#REF!</v>
      </c>
      <c r="CO13" t="e">
        <f>IF(P13=0,0,COUNTIF(#REF!,"CLP")*100/P13)</f>
        <v>#REF!</v>
      </c>
      <c r="CP13" t="e">
        <f>IF(P13=0,0,COUNTIF(#REF!,"CHLDES")*100/P13)</f>
        <v>#REF!</v>
      </c>
      <c r="CQ13" t="e">
        <f>IF(P13=0,0,COUNTIF(#REF!,"DYCTY")*100/P13)</f>
        <v>#REF!</v>
      </c>
      <c r="CR13" t="e">
        <f>IF(P13=0,0,COUNTIF(#REF!,"DICT")*100/P13)</f>
        <v>#REF!</v>
      </c>
      <c r="CS13" t="e">
        <f>IF(P13=0,0,COUNTIF(#REF!,"GLXU")*100/P13)</f>
        <v>#REF!</v>
      </c>
      <c r="CT13" t="e">
        <f>IF(P13=0,0,COUNTIF(#REF!,"HALI")*100/P13)</f>
        <v>#REF!</v>
      </c>
      <c r="CU13" t="e">
        <f>IF(P13=0,0,COUNTIF(#REF!,"LIAG")*100/P13)</f>
        <v>#REF!</v>
      </c>
      <c r="CV13" t="e">
        <f>IF(P13=0,0,COUNTIF(#REF!,"LOBO")*100/P13)</f>
        <v>#REF!</v>
      </c>
      <c r="CW13" t="e">
        <f>IF(P13=0,0,COUNTIF(#REF!,"MAST")*100/P13)</f>
        <v>#REF!</v>
      </c>
      <c r="CX13" t="e">
        <f>IF(P13=0,0,COUNTIF(#REF!,"MICDTY")*100/P13)</f>
        <v>#REF!</v>
      </c>
      <c r="CY13" t="e">
        <f>IF(P13=0,0,COUNTIF(#REF!,"NEOM")*100/P13)</f>
        <v>#REF!</v>
      </c>
      <c r="CZ13" t="e">
        <f>IF(P13=0,0,COUNTIF(#REF!,"NOIDMAC")*100/P13)</f>
        <v>#REF!</v>
      </c>
      <c r="DA13" t="e">
        <f>IF(P13=0,0,COUNTIF(#REF!,"PAD")*100/P13)</f>
        <v>#REF!</v>
      </c>
      <c r="DB13" t="e">
        <f>IF(P13=0,0,COUNTIF(#REF!,"SARG")*100/P13)</f>
        <v>#REF!</v>
      </c>
      <c r="DC13" t="e">
        <f>IF(P13=0,0,COUNTIF(#REF!,"SCHIZ")*100/P13)</f>
        <v>#REF!</v>
      </c>
      <c r="DD13" t="e">
        <f>IF(P13=0,0,COUNTIF(#REF!,"TURB")*100/P13)</f>
        <v>#REF!</v>
      </c>
      <c r="DE13" t="e">
        <f>IF(P13=0,0,COUNTIF(#REF!,"TYDM")*100/P13)</f>
        <v>#REF!</v>
      </c>
      <c r="DG13" t="e">
        <f>IF(P13=0,0,COUNTIF(#REF!,"AMP")*100/P13)</f>
        <v>#REF!</v>
      </c>
      <c r="DH13" t="e">
        <f>IF(P13=0,0,COUNTIF(#REF!,"BCA1")*100/P13)</f>
        <v>#REF!</v>
      </c>
      <c r="DI13" t="e">
        <f>IF(P13=0,0,COUNTIF(#REF!,"JAN")*100/P13)</f>
        <v>#REF!</v>
      </c>
      <c r="DK13" s="29" t="e">
        <f>IF(P13=0,0,COUNTIF(#REF!,"CCA1")*100/P13)</f>
        <v>#REF!</v>
      </c>
      <c r="DM13" t="e">
        <f>IF(P13=0,0,COUNTIF(#REF!,"Sand")*100/P13)</f>
        <v>#REF!</v>
      </c>
      <c r="DO13" t="e">
        <f>IF(P13=0,0,COUNTIF(#REF!,"FCA1")*100/P13)</f>
        <v>#REF!</v>
      </c>
      <c r="DQ13" t="e">
        <f>IF(P13=0,0,COUNTIF(#REF!,"CHRYOBRN")*100/P13)</f>
        <v>#REF!</v>
      </c>
      <c r="DS13" s="29" t="e">
        <f>IF(P13=0,0,COUNTIF(#REF!,"TURF")*100/P13)</f>
        <v>#REF!</v>
      </c>
      <c r="DU13" t="e">
        <f>COUNTIF(#REF!,"Shadow")*100/5</f>
        <v>#REF!</v>
      </c>
      <c r="DV13" t="e">
        <f>COUNTIF(#REF!,"Tape")*100/5</f>
        <v>#REF!</v>
      </c>
      <c r="DW13" t="e">
        <f>COUNTIF(#REF!,"Wand")*100/5</f>
        <v>#REF!</v>
      </c>
      <c r="DY13" t="e">
        <f>IF(P13=0,0,COUNTIF(#REF!,"BC")*100/P13)</f>
        <v>#REF!</v>
      </c>
    </row>
    <row r="14" spans="1:129">
      <c r="A14">
        <v>12</v>
      </c>
      <c r="B14" t="s">
        <v>49</v>
      </c>
      <c r="F14" s="29" t="e">
        <f>IF(P14=0,0,COUNTIF(#REF!,"C")*100/P14)</f>
        <v>#REF!</v>
      </c>
      <c r="G14" t="e">
        <f>IF(P14=0,0,COUNTIF(#REF!,"OI")*100/P14)</f>
        <v>#REF!</v>
      </c>
      <c r="H14" t="e">
        <f>IF(P14=0,0,COUNTIF(#REF!,"MA")*100/P14)</f>
        <v>#REF!</v>
      </c>
      <c r="I14" t="e">
        <f>IF(P14=0,0,COUNTIF(#REF!,"BCA")*100/P14)</f>
        <v>#REF!</v>
      </c>
      <c r="J14" s="29" t="e">
        <f>IF(P14=0,0,COUNTIF(#REF!,"CCA")*100/P14)</f>
        <v>#REF!</v>
      </c>
      <c r="K14" t="e">
        <f>IF(P14=0,0,COUNTIF(#REF!,"SD")*100/P14)</f>
        <v>#REF!</v>
      </c>
      <c r="L14" s="29" t="e">
        <f>IF(P14=0,0,COUNTIF(#REF!,"FCA")*100/P14)</f>
        <v>#REF!</v>
      </c>
      <c r="M14" t="e">
        <f>IF(P14=0,0,COUNTIF(#REF!,"CHRYS")*100/P14)</f>
        <v>#REF!</v>
      </c>
      <c r="N14" s="29" t="e">
        <f>IF(P14=0,0,COUNTIF(#REF!,"T")*100/P14)</f>
        <v>#REF!</v>
      </c>
      <c r="O14" t="e">
        <f>IF(P14=0,0,COUNTIF(#REF!,"TWS")*100/P14)</f>
        <v>#REF!</v>
      </c>
      <c r="P14" t="e">
        <f>5-COUNTIF(#REF!,"TWS")</f>
        <v>#REF!</v>
      </c>
      <c r="S14" t="e">
        <f>IF(P14=0,0,COUNTIF(#REF!,"ACAN")*100/P14)</f>
        <v>#REF!</v>
      </c>
      <c r="T14" t="e">
        <f>IF(P14=0,0,COUNTIF(#REF!,"ACROP")*100/P14)</f>
        <v>#REF!</v>
      </c>
      <c r="U14" t="e">
        <f>IF(P14=0,0,COUNTIF(#REF!,"ACROPARB")*100/P14)</f>
        <v>#REF!</v>
      </c>
      <c r="V14" t="e">
        <f>IF(P14=0,0,COUNTIF(#REF!,"ACROST")*100/P14)</f>
        <v>#REF!</v>
      </c>
      <c r="W14" t="e">
        <f>IF(P14=0,0,COUNTIF(#REF!,"ACROTBL")*100/P14)</f>
        <v>#REF!</v>
      </c>
      <c r="X14" t="e">
        <f>IF(P14=0,0,COUNTIF(#REF!,"ASTRP")*100/P14)</f>
        <v>#REF!</v>
      </c>
      <c r="Y14" t="e">
        <f>IF(P14=0,0,COUNTIF(#REF!,"CAUL")*100/P14)</f>
        <v>#REF!</v>
      </c>
      <c r="Z14" t="e">
        <f>IF(P14=0,0,COUNTIF(#REF!,"COSC")*100/P14)</f>
        <v>#REF!</v>
      </c>
      <c r="AA14" t="e">
        <f>IF(P14=0,0,COUNTIF(#REF!,"CTEN")*100/P14)</f>
        <v>#REF!</v>
      </c>
      <c r="AB14" t="e">
        <f>IF(P14=0,0,COUNTIF(#REF!,"CYPH")*100/P14)</f>
        <v>#REF!</v>
      </c>
      <c r="AC14" t="e">
        <f>IF(P14=0,0,COUNTIF(#REF!,"DIPLO")*100/P14)</f>
        <v>#REF!</v>
      </c>
      <c r="AD14" s="29" t="e">
        <f>IF(P14=0,0,COUNTIF(#REF!,"ECHPO")*100/P14)</f>
        <v>#REF!</v>
      </c>
      <c r="AE14" t="e">
        <f>IF(P14=0,0,COUNTIF(#REF!,"ECHPHY")*100/P14)</f>
        <v>#REF!</v>
      </c>
      <c r="AF14" t="e">
        <f>IF(P14=0,0,COUNTIF(#REF!,"EUPH")*100/P14)</f>
        <v>#REF!</v>
      </c>
      <c r="AG14" t="e">
        <f>IF(P14=0,0,COUNTIF(#REF!,"FAV")*100/P14)</f>
        <v>#REF!</v>
      </c>
      <c r="AH14" t="e">
        <f>IF(P14=0,0,COUNTIF(#REF!,"FAVT")*100/P14)</f>
        <v>#REF!</v>
      </c>
      <c r="AI14" t="e">
        <f>IF(P14=0,0,COUNTIF(#REF!,"FUNG")*100/P14)</f>
        <v>#REF!</v>
      </c>
      <c r="AJ14" t="e">
        <f>IF(P14=0,0,COUNTIF(#REF!,"GAL")*100/P14)</f>
        <v>#REF!</v>
      </c>
      <c r="AK14" t="e">
        <f>IF(P14=0,0,COUNTIF(#REF!,"GARD")*100/P14)</f>
        <v>#REF!</v>
      </c>
      <c r="AL14" t="e">
        <f>IF(P14=0,0,COUNTIF(#REF!,"GON")*100/P14)</f>
        <v>#REF!</v>
      </c>
      <c r="AM14" t="e">
        <f>IF(P14=0,0,COUNTIF(#REF!,"GONIO")*100/P14)</f>
        <v>#REF!</v>
      </c>
      <c r="AN14" t="e">
        <f>IF(P14=0,0,COUNTIF(#REF!,"HELIO")*100/P14)</f>
        <v>#REF!</v>
      </c>
      <c r="AO14" t="e">
        <f>IF(P14=0,0,COUNTIF(#REF!,"HERP")*100/P14)</f>
        <v>#REF!</v>
      </c>
      <c r="AP14" t="e">
        <f>IF(P14=0,0,COUNTIF(#REF!,"HYD")*100/P14)</f>
        <v>#REF!</v>
      </c>
      <c r="AQ14" t="e">
        <f>IF(P14=0,0,COUNTIF(#REF!,"ISOP")*100/P14)</f>
        <v>#REF!</v>
      </c>
      <c r="AR14" t="e">
        <f>IF(P14=0,0,COUNTIF(#REF!,"LEPT")*100/P14)</f>
        <v>#REF!</v>
      </c>
      <c r="AS14" s="29" t="e">
        <f>IF(P14=0,0,COUNTIF(#REF!,"LEPTOR")*100/P14)</f>
        <v>#REF!</v>
      </c>
      <c r="AT14" t="e">
        <f>IF(P14=0,0,COUNTIF(#REF!,"LEPTOS")*100/P14)</f>
        <v>#REF!</v>
      </c>
      <c r="AU14" t="e">
        <f>IF(P14=0,0,COUNTIF(#REF!,"LOBOPH")*100/P14)</f>
        <v>#REF!</v>
      </c>
      <c r="AV14" t="e">
        <f>IF(P14=0,0,COUNTIF(#REF!,"MERU")*100/P14)</f>
        <v>#REF!</v>
      </c>
      <c r="AW14" t="e">
        <f>IF(P14=0,0,COUNTIF(#REF!,"MILL")*100/P14)</f>
        <v>#REF!</v>
      </c>
      <c r="AX14" t="e">
        <f>IF(P14=0,0,COUNTIF(#REF!,"MONT")*100/P14)</f>
        <v>#REF!</v>
      </c>
      <c r="AY14" t="e">
        <f>IF(P14=0,0,COUNTIF(#REF!,"MONTI")*100/P14)</f>
        <v>#REF!</v>
      </c>
      <c r="AZ14" t="e">
        <f>IF(P14=0,0,COUNTIF(#REF!,"MYCED")*100/P14)</f>
        <v>#REF!</v>
      </c>
      <c r="BA14" t="e">
        <f>IF(P14=0,0,COUNTIF(#REF!,"OULO")*100/P14)</f>
        <v>#REF!</v>
      </c>
      <c r="BB14" t="e">
        <f>IF(P14=0,0,COUNTIF(#REF!,"OXYP")*100/P14)</f>
        <v>#REF!</v>
      </c>
      <c r="BC14" t="e">
        <f>IF(P14=0,0,COUNTIF(#REF!,"PLSIA")*100/P14)</f>
        <v>#REF!</v>
      </c>
      <c r="BD14" t="e">
        <f>IF(P14=0,0,COUNTIF(#REF!,"PACHY")*100/P14)</f>
        <v>#REF!</v>
      </c>
      <c r="BE14" t="e">
        <f>IF(P14=0,0,COUNTIF(#REF!,"PAV")*100/P14)</f>
        <v>#REF!</v>
      </c>
      <c r="BF14" t="e">
        <f>IF(P14=0,0,COUNTIF(#REF!,"PECT")*100/P14)</f>
        <v>#REF!</v>
      </c>
      <c r="BG14" t="e">
        <f>IF(P14=0,0,COUNTIF(#REF!,"PHYSO")*100/P14)</f>
        <v>#REF!</v>
      </c>
      <c r="BH14" t="e">
        <f>IF(P14=0,0,COUNTIF(#REF!,"PLAT")*100/P14)</f>
        <v>#REF!</v>
      </c>
      <c r="BI14" t="e">
        <f>IF(P14=0,0,COUNTIF(#REF!,"PLERO")*100/P14)</f>
        <v>#REF!</v>
      </c>
      <c r="BJ14" t="e">
        <f>IF(P14=0,0,COUNTIF(#REF!,"POC")*100/P14)</f>
        <v>#REF!</v>
      </c>
      <c r="BK14" t="e">
        <f>IF(P14=0,0,COUNTIF(#REF!,"POR")*100/P14)</f>
        <v>#REF!</v>
      </c>
      <c r="BL14" t="e">
        <f>IF(P14=0,0,COUNTIF(#REF!,"PORCYL")*100/P14)</f>
        <v>#REF!</v>
      </c>
      <c r="BM14" t="e">
        <f>IF(P14=0,0,COUNTIF(#REF!,"PORMAS")*100/P14)</f>
        <v>#REF!</v>
      </c>
      <c r="BN14" t="e">
        <f>IF(P14=0,0,COUNTIF(#REF!,"PORRUS")*100/P14)</f>
        <v>#REF!</v>
      </c>
      <c r="BO14" t="e">
        <f>IF(P14=0,0,COUNTIF(#REF!,"PSAM")*100/P14)</f>
        <v>#REF!</v>
      </c>
      <c r="BP14" t="e">
        <f>IF(P14=0,0,COUNTIF(#REF!,"SANDO")*100/P14)</f>
        <v>#REF!</v>
      </c>
      <c r="BQ14" t="e">
        <f>IF(P14=0,0,COUNTIF(#REF!,"SCAP")*100/P14)</f>
        <v>#REF!</v>
      </c>
      <c r="BR14" t="e">
        <f>IF(P14=0,0,COUNTIF(#REF!,"SERIA")*100/P14)</f>
        <v>#REF!</v>
      </c>
      <c r="BS14" t="e">
        <f>IF(P14=0,0,COUNTIF(#REF!,"STYLC")*100/P14)</f>
        <v>#REF!</v>
      </c>
      <c r="BT14" t="e">
        <f>IF(P14=0,0,COUNTIF(#REF!,"STYLO")*100/P14)</f>
        <v>#REF!</v>
      </c>
      <c r="BU14" t="e">
        <f>IF(P14=0,0,COUNTIF(#REF!,"SYMP")*100/P14)</f>
        <v>#REF!</v>
      </c>
      <c r="BV14" t="e">
        <f>IF(P14=0,0,COUNTIF(#REF!,"TURBIN")*100/P14)</f>
        <v>#REF!</v>
      </c>
      <c r="BX14" t="e">
        <f>IF(P14=0,0,COUNTIF(#REF!,"ANEM")*100/P14)</f>
        <v>#REF!</v>
      </c>
      <c r="BY14" t="e">
        <f>IF(P14=0,0,COUNTIF(#REF!,"ASC")*100/P14)</f>
        <v>#REF!</v>
      </c>
      <c r="BZ14" t="e">
        <f>IF(P14=0,0,COUNTIF(#REF!,"CUPS")*100/P14)</f>
        <v>#REF!</v>
      </c>
      <c r="CA14" t="e">
        <f>IF(P14=0,0,COUNTIF(#REF!,"DISCO")*100/P14)</f>
        <v>#REF!</v>
      </c>
      <c r="CB14" t="e">
        <f>IF(P14=0,0,COUNTIF(#REF!,"DYS")*100/P14)</f>
        <v>#REF!</v>
      </c>
      <c r="CC14" t="e">
        <f>IF(P14=0,0,COUNTIF(#REF!,"G")*100/P14)</f>
        <v>#REF!</v>
      </c>
      <c r="CD14" t="e">
        <f>IF(P14=0,0,COUNTIF(#REF!,"NoIDINV")*100/P14)</f>
        <v>#REF!</v>
      </c>
      <c r="CE14" t="e">
        <f>IF(P14=0,0,COUNTIF(#REF!,"OLV")*100/P14)</f>
        <v>#REF!</v>
      </c>
      <c r="CF14" t="e">
        <f>IF(P14=0,0,COUNTIF(#REF!,"SC")*100/P14)</f>
        <v>#REF!</v>
      </c>
      <c r="CG14" t="e">
        <f>IF(P14=0,0,COUNTIF(#REF!,"S")*100/P14)</f>
        <v>#REF!</v>
      </c>
      <c r="CH14" t="e">
        <f>IF(P14=0,0,COUNTIF(#REF!,"TERPS")*100/P14)</f>
        <v>#REF!</v>
      </c>
      <c r="CI14" t="e">
        <f>IF(P14=0,0,COUNTIF(#REF!,"Z")*100/P14)</f>
        <v>#REF!</v>
      </c>
      <c r="CK14" t="e">
        <f>IF(P14=0,0,COUNTIF(#REF!,"ASP")*100/P14)</f>
        <v>#REF!</v>
      </c>
      <c r="CL14" t="e">
        <f>IF(P14=0,0,COUNTIF(#REF!,"BG")*100/P14)</f>
        <v>#REF!</v>
      </c>
      <c r="CM14" t="e">
        <f>IF(P14=0,0,COUNTIF(#REF!,"Bood")*100/P14)</f>
        <v>#REF!</v>
      </c>
      <c r="CN14" t="e">
        <f>IF(P14=0,0,COUNTIF(#REF!,"BRYP")*100/P14)</f>
        <v>#REF!</v>
      </c>
      <c r="CO14" t="e">
        <f>IF(P14=0,0,COUNTIF(#REF!,"CLP")*100/P14)</f>
        <v>#REF!</v>
      </c>
      <c r="CP14" t="e">
        <f>IF(P14=0,0,COUNTIF(#REF!,"CHLDES")*100/P14)</f>
        <v>#REF!</v>
      </c>
      <c r="CQ14" t="e">
        <f>IF(P14=0,0,COUNTIF(#REF!,"DYCTY")*100/P14)</f>
        <v>#REF!</v>
      </c>
      <c r="CR14" t="e">
        <f>IF(P14=0,0,COUNTIF(#REF!,"DICT")*100/P14)</f>
        <v>#REF!</v>
      </c>
      <c r="CS14" t="e">
        <f>IF(P14=0,0,COUNTIF(#REF!,"GLXU")*100/P14)</f>
        <v>#REF!</v>
      </c>
      <c r="CT14" t="e">
        <f>IF(P14=0,0,COUNTIF(#REF!,"HALI")*100/P14)</f>
        <v>#REF!</v>
      </c>
      <c r="CU14" t="e">
        <f>IF(P14=0,0,COUNTIF(#REF!,"LIAG")*100/P14)</f>
        <v>#REF!</v>
      </c>
      <c r="CV14" t="e">
        <f>IF(P14=0,0,COUNTIF(#REF!,"LOBO")*100/P14)</f>
        <v>#REF!</v>
      </c>
      <c r="CW14" t="e">
        <f>IF(P14=0,0,COUNTIF(#REF!,"MAST")*100/P14)</f>
        <v>#REF!</v>
      </c>
      <c r="CX14" t="e">
        <f>IF(P14=0,0,COUNTIF(#REF!,"MICDTY")*100/P14)</f>
        <v>#REF!</v>
      </c>
      <c r="CY14" t="e">
        <f>IF(P14=0,0,COUNTIF(#REF!,"NEOM")*100/P14)</f>
        <v>#REF!</v>
      </c>
      <c r="CZ14" t="e">
        <f>IF(P14=0,0,COUNTIF(#REF!,"NOIDMAC")*100/P14)</f>
        <v>#REF!</v>
      </c>
      <c r="DA14" t="e">
        <f>IF(P14=0,0,COUNTIF(#REF!,"PAD")*100/P14)</f>
        <v>#REF!</v>
      </c>
      <c r="DB14" t="e">
        <f>IF(P14=0,0,COUNTIF(#REF!,"SARG")*100/P14)</f>
        <v>#REF!</v>
      </c>
      <c r="DC14" t="e">
        <f>IF(P14=0,0,COUNTIF(#REF!,"SCHIZ")*100/P14)</f>
        <v>#REF!</v>
      </c>
      <c r="DD14" t="e">
        <f>IF(P14=0,0,COUNTIF(#REF!,"TURB")*100/P14)</f>
        <v>#REF!</v>
      </c>
      <c r="DE14" t="e">
        <f>IF(P14=0,0,COUNTIF(#REF!,"TYDM")*100/P14)</f>
        <v>#REF!</v>
      </c>
      <c r="DG14" t="e">
        <f>IF(P14=0,0,COUNTIF(#REF!,"AMP")*100/P14)</f>
        <v>#REF!</v>
      </c>
      <c r="DH14" t="e">
        <f>IF(P14=0,0,COUNTIF(#REF!,"BCA1")*100/P14)</f>
        <v>#REF!</v>
      </c>
      <c r="DI14" t="e">
        <f>IF(P14=0,0,COUNTIF(#REF!,"JAN")*100/P14)</f>
        <v>#REF!</v>
      </c>
      <c r="DK14" s="29" t="e">
        <f>IF(P14=0,0,COUNTIF(#REF!,"CCA1")*100/P14)</f>
        <v>#REF!</v>
      </c>
      <c r="DM14" t="e">
        <f>IF(P14=0,0,COUNTIF(#REF!,"Sand")*100/P14)</f>
        <v>#REF!</v>
      </c>
      <c r="DO14" s="29" t="e">
        <f>IF(P14=0,0,COUNTIF(#REF!,"FCA1")*100/P14)</f>
        <v>#REF!</v>
      </c>
      <c r="DQ14" t="e">
        <f>IF(P14=0,0,COUNTIF(#REF!,"CHRYOBRN")*100/P14)</f>
        <v>#REF!</v>
      </c>
      <c r="DS14" s="29" t="e">
        <f>IF(P14=0,0,COUNTIF(#REF!,"TURF")*100/P14)</f>
        <v>#REF!</v>
      </c>
      <c r="DU14" t="e">
        <f>COUNTIF(#REF!,"Shadow")*100/5</f>
        <v>#REF!</v>
      </c>
      <c r="DV14" t="e">
        <f>COUNTIF(#REF!,"Tape")*100/5</f>
        <v>#REF!</v>
      </c>
      <c r="DW14" t="e">
        <f>COUNTIF(#REF!,"Wand")*100/5</f>
        <v>#REF!</v>
      </c>
      <c r="DY14" t="e">
        <f>IF(P14=0,0,COUNTIF(#REF!,"BC")*100/P14)</f>
        <v>#REF!</v>
      </c>
    </row>
    <row r="15" spans="1:129">
      <c r="A15">
        <v>13</v>
      </c>
      <c r="B15" t="s">
        <v>50</v>
      </c>
      <c r="F15" s="29" t="e">
        <f>IF(P15=0,0,COUNTIF(#REF!,"C")*100/P15)</f>
        <v>#REF!</v>
      </c>
      <c r="G15" t="e">
        <f>IF(P15=0,0,COUNTIF(#REF!,"OI")*100/P15)</f>
        <v>#REF!</v>
      </c>
      <c r="H15" t="e">
        <f>IF(P15=0,0,COUNTIF(#REF!,"MA")*100/P15)</f>
        <v>#REF!</v>
      </c>
      <c r="I15" t="e">
        <f>IF(P15=0,0,COUNTIF(#REF!,"BCA")*100/P15)</f>
        <v>#REF!</v>
      </c>
      <c r="J15" t="e">
        <f>IF(P15=0,0,COUNTIF(#REF!,"CCA")*100/P15)</f>
        <v>#REF!</v>
      </c>
      <c r="K15" t="e">
        <f>IF(P15=0,0,COUNTIF(#REF!,"SD")*100/P15)</f>
        <v>#REF!</v>
      </c>
      <c r="L15" s="29" t="e">
        <f>IF(P15=0,0,COUNTIF(#REF!,"FCA")*100/P15)</f>
        <v>#REF!</v>
      </c>
      <c r="M15" t="e">
        <f>IF(P15=0,0,COUNTIF(#REF!,"CHRYS")*100/P15)</f>
        <v>#REF!</v>
      </c>
      <c r="N15" s="29" t="e">
        <f>IF(P15=0,0,COUNTIF(#REF!,"T")*100/P15)</f>
        <v>#REF!</v>
      </c>
      <c r="O15" t="e">
        <f>IF(P15=0,0,COUNTIF(#REF!,"TWS")*100/P15)</f>
        <v>#REF!</v>
      </c>
      <c r="P15" t="e">
        <f>5-COUNTIF(#REF!,"TWS")</f>
        <v>#REF!</v>
      </c>
      <c r="S15" t="e">
        <f>IF(P15=0,0,COUNTIF(#REF!,"ACAN")*100/P15)</f>
        <v>#REF!</v>
      </c>
      <c r="T15" t="e">
        <f>IF(P15=0,0,COUNTIF(#REF!,"ACROP")*100/P15)</f>
        <v>#REF!</v>
      </c>
      <c r="U15" t="e">
        <f>IF(P15=0,0,COUNTIF(#REF!,"ACROPARB")*100/P15)</f>
        <v>#REF!</v>
      </c>
      <c r="V15" t="e">
        <f>IF(P15=0,0,COUNTIF(#REF!,"ACROST")*100/P15)</f>
        <v>#REF!</v>
      </c>
      <c r="W15" t="e">
        <f>IF(P15=0,0,COUNTIF(#REF!,"ACROTBL")*100/P15)</f>
        <v>#REF!</v>
      </c>
      <c r="X15" t="e">
        <f>IF(P15=0,0,COUNTIF(#REF!,"ASTRP")*100/P15)</f>
        <v>#REF!</v>
      </c>
      <c r="Y15" t="e">
        <f>IF(P15=0,0,COUNTIF(#REF!,"CAUL")*100/P15)</f>
        <v>#REF!</v>
      </c>
      <c r="Z15" t="e">
        <f>IF(P15=0,0,COUNTIF(#REF!,"COSC")*100/P15)</f>
        <v>#REF!</v>
      </c>
      <c r="AA15" t="e">
        <f>IF(P15=0,0,COUNTIF(#REF!,"CTEN")*100/P15)</f>
        <v>#REF!</v>
      </c>
      <c r="AB15" t="e">
        <f>IF(P15=0,0,COUNTIF(#REF!,"CYPH")*100/P15)</f>
        <v>#REF!</v>
      </c>
      <c r="AC15" t="e">
        <f>IF(P15=0,0,COUNTIF(#REF!,"DIPLO")*100/P15)</f>
        <v>#REF!</v>
      </c>
      <c r="AD15" t="e">
        <f>IF(P15=0,0,COUNTIF(#REF!,"ECHPO")*100/P15)</f>
        <v>#REF!</v>
      </c>
      <c r="AE15" t="e">
        <f>IF(P15=0,0,COUNTIF(#REF!,"ECHPHY")*100/P15)</f>
        <v>#REF!</v>
      </c>
      <c r="AF15" t="e">
        <f>IF(P15=0,0,COUNTIF(#REF!,"EUPH")*100/P15)</f>
        <v>#REF!</v>
      </c>
      <c r="AG15" t="e">
        <f>IF(P15=0,0,COUNTIF(#REF!,"FAV")*100/P15)</f>
        <v>#REF!</v>
      </c>
      <c r="AH15" t="e">
        <f>IF(P15=0,0,COUNTIF(#REF!,"FAVT")*100/P15)</f>
        <v>#REF!</v>
      </c>
      <c r="AI15" t="e">
        <f>IF(P15=0,0,COUNTIF(#REF!,"FUNG")*100/P15)</f>
        <v>#REF!</v>
      </c>
      <c r="AJ15" t="e">
        <f>IF(P15=0,0,COUNTIF(#REF!,"GAL")*100/P15)</f>
        <v>#REF!</v>
      </c>
      <c r="AK15" t="e">
        <f>IF(P15=0,0,COUNTIF(#REF!,"GARD")*100/P15)</f>
        <v>#REF!</v>
      </c>
      <c r="AL15" t="e">
        <f>IF(P15=0,0,COUNTIF(#REF!,"GON")*100/P15)</f>
        <v>#REF!</v>
      </c>
      <c r="AM15" t="e">
        <f>IF(P15=0,0,COUNTIF(#REF!,"GONIO")*100/P15)</f>
        <v>#REF!</v>
      </c>
      <c r="AN15" t="e">
        <f>IF(P15=0,0,COUNTIF(#REF!,"HELIO")*100/P15)</f>
        <v>#REF!</v>
      </c>
      <c r="AO15" t="e">
        <f>IF(P15=0,0,COUNTIF(#REF!,"HERP")*100/P15)</f>
        <v>#REF!</v>
      </c>
      <c r="AP15" t="e">
        <f>IF(P15=0,0,COUNTIF(#REF!,"HYD")*100/P15)</f>
        <v>#REF!</v>
      </c>
      <c r="AQ15" t="e">
        <f>IF(P15=0,0,COUNTIF(#REF!,"ISOP")*100/P15)</f>
        <v>#REF!</v>
      </c>
      <c r="AR15" t="e">
        <f>IF(P15=0,0,COUNTIF(#REF!,"LEPT")*100/P15)</f>
        <v>#REF!</v>
      </c>
      <c r="AS15" t="e">
        <f>IF(P15=0,0,COUNTIF(#REF!,"LEPTOR")*100/P15)</f>
        <v>#REF!</v>
      </c>
      <c r="AT15" t="e">
        <f>IF(P15=0,0,COUNTIF(#REF!,"LEPTOS")*100/P15)</f>
        <v>#REF!</v>
      </c>
      <c r="AU15" t="e">
        <f>IF(P15=0,0,COUNTIF(#REF!,"LOBOPH")*100/P15)</f>
        <v>#REF!</v>
      </c>
      <c r="AV15" t="e">
        <f>IF(P15=0,0,COUNTIF(#REF!,"MERU")*100/P15)</f>
        <v>#REF!</v>
      </c>
      <c r="AW15" t="e">
        <f>IF(P15=0,0,COUNTIF(#REF!,"MILL")*100/P15)</f>
        <v>#REF!</v>
      </c>
      <c r="AX15" t="e">
        <f>IF(P15=0,0,COUNTIF(#REF!,"MONT")*100/P15)</f>
        <v>#REF!</v>
      </c>
      <c r="AY15" t="e">
        <f>IF(P15=0,0,COUNTIF(#REF!,"MONTI")*100/P15)</f>
        <v>#REF!</v>
      </c>
      <c r="AZ15" t="e">
        <f>IF(P15=0,0,COUNTIF(#REF!,"MYCED")*100/P15)</f>
        <v>#REF!</v>
      </c>
      <c r="BA15" t="e">
        <f>IF(P15=0,0,COUNTIF(#REF!,"OULO")*100/P15)</f>
        <v>#REF!</v>
      </c>
      <c r="BB15" t="e">
        <f>IF(P15=0,0,COUNTIF(#REF!,"OXYP")*100/P15)</f>
        <v>#REF!</v>
      </c>
      <c r="BC15" t="e">
        <f>IF(P15=0,0,COUNTIF(#REF!,"PLSIA")*100/P15)</f>
        <v>#REF!</v>
      </c>
      <c r="BD15" t="e">
        <f>IF(P15=0,0,COUNTIF(#REF!,"PACHY")*100/P15)</f>
        <v>#REF!</v>
      </c>
      <c r="BE15" t="e">
        <f>IF(P15=0,0,COUNTIF(#REF!,"PAV")*100/P15)</f>
        <v>#REF!</v>
      </c>
      <c r="BF15" t="e">
        <f>IF(P15=0,0,COUNTIF(#REF!,"PECT")*100/P15)</f>
        <v>#REF!</v>
      </c>
      <c r="BG15" t="e">
        <f>IF(P15=0,0,COUNTIF(#REF!,"PHYSO")*100/P15)</f>
        <v>#REF!</v>
      </c>
      <c r="BH15" t="e">
        <f>IF(P15=0,0,COUNTIF(#REF!,"PLAT")*100/P15)</f>
        <v>#REF!</v>
      </c>
      <c r="BI15" t="e">
        <f>IF(P15=0,0,COUNTIF(#REF!,"PLERO")*100/P15)</f>
        <v>#REF!</v>
      </c>
      <c r="BJ15" t="e">
        <f>IF(P15=0,0,COUNTIF(#REF!,"POC")*100/P15)</f>
        <v>#REF!</v>
      </c>
      <c r="BK15" t="e">
        <f>IF(P15=0,0,COUNTIF(#REF!,"POR")*100/P15)</f>
        <v>#REF!</v>
      </c>
      <c r="BL15" t="e">
        <f>IF(P15=0,0,COUNTIF(#REF!,"PORCYL")*100/P15)</f>
        <v>#REF!</v>
      </c>
      <c r="BM15" t="e">
        <f>IF(P15=0,0,COUNTIF(#REF!,"PORMAS")*100/P15)</f>
        <v>#REF!</v>
      </c>
      <c r="BN15" t="e">
        <f>IF(P15=0,0,COUNTIF(#REF!,"PORRUS")*100/P15)</f>
        <v>#REF!</v>
      </c>
      <c r="BO15" t="e">
        <f>IF(P15=0,0,COUNTIF(#REF!,"PSAM")*100/P15)</f>
        <v>#REF!</v>
      </c>
      <c r="BP15" t="e">
        <f>IF(P15=0,0,COUNTIF(#REF!,"SANDO")*100/P15)</f>
        <v>#REF!</v>
      </c>
      <c r="BQ15" t="e">
        <f>IF(P15=0,0,COUNTIF(#REF!,"SCAP")*100/P15)</f>
        <v>#REF!</v>
      </c>
      <c r="BR15" t="e">
        <f>IF(P15=0,0,COUNTIF(#REF!,"SERIA")*100/P15)</f>
        <v>#REF!</v>
      </c>
      <c r="BS15" t="e">
        <f>IF(P15=0,0,COUNTIF(#REF!,"STYLC")*100/P15)</f>
        <v>#REF!</v>
      </c>
      <c r="BT15" s="29" t="e">
        <f>IF(P15=0,0,COUNTIF(#REF!,"STYLO")*100/P15)</f>
        <v>#REF!</v>
      </c>
      <c r="BU15" t="e">
        <f>IF(P15=0,0,COUNTIF(#REF!,"SYMP")*100/P15)</f>
        <v>#REF!</v>
      </c>
      <c r="BV15" t="e">
        <f>IF(P15=0,0,COUNTIF(#REF!,"TURBIN")*100/P15)</f>
        <v>#REF!</v>
      </c>
      <c r="BX15" t="e">
        <f>IF(P15=0,0,COUNTIF(#REF!,"ANEM")*100/P15)</f>
        <v>#REF!</v>
      </c>
      <c r="BY15" t="e">
        <f>IF(P15=0,0,COUNTIF(#REF!,"ASC")*100/P15)</f>
        <v>#REF!</v>
      </c>
      <c r="BZ15" t="e">
        <f>IF(P15=0,0,COUNTIF(#REF!,"CUPS")*100/P15)</f>
        <v>#REF!</v>
      </c>
      <c r="CA15" t="e">
        <f>IF(P15=0,0,COUNTIF(#REF!,"DISCO")*100/P15)</f>
        <v>#REF!</v>
      </c>
      <c r="CB15" t="e">
        <f>IF(P15=0,0,COUNTIF(#REF!,"DYS")*100/P15)</f>
        <v>#REF!</v>
      </c>
      <c r="CC15" t="e">
        <f>IF(P15=0,0,COUNTIF(#REF!,"G")*100/P15)</f>
        <v>#REF!</v>
      </c>
      <c r="CD15" t="e">
        <f>IF(P15=0,0,COUNTIF(#REF!,"NoIDINV")*100/P15)</f>
        <v>#REF!</v>
      </c>
      <c r="CE15" t="e">
        <f>IF(P15=0,0,COUNTIF(#REF!,"OLV")*100/P15)</f>
        <v>#REF!</v>
      </c>
      <c r="CF15" t="e">
        <f>IF(P15=0,0,COUNTIF(#REF!,"SC")*100/P15)</f>
        <v>#REF!</v>
      </c>
      <c r="CG15" t="e">
        <f>IF(P15=0,0,COUNTIF(#REF!,"S")*100/P15)</f>
        <v>#REF!</v>
      </c>
      <c r="CH15" t="e">
        <f>IF(P15=0,0,COUNTIF(#REF!,"TERPS")*100/P15)</f>
        <v>#REF!</v>
      </c>
      <c r="CI15" t="e">
        <f>IF(P15=0,0,COUNTIF(#REF!,"Z")*100/P15)</f>
        <v>#REF!</v>
      </c>
      <c r="CK15" t="e">
        <f>IF(P15=0,0,COUNTIF(#REF!,"ASP")*100/P15)</f>
        <v>#REF!</v>
      </c>
      <c r="CL15" t="e">
        <f>IF(P15=0,0,COUNTIF(#REF!,"BG")*100/P15)</f>
        <v>#REF!</v>
      </c>
      <c r="CM15" t="e">
        <f>IF(P15=0,0,COUNTIF(#REF!,"Bood")*100/P15)</f>
        <v>#REF!</v>
      </c>
      <c r="CN15" t="e">
        <f>IF(P15=0,0,COUNTIF(#REF!,"BRYP")*100/P15)</f>
        <v>#REF!</v>
      </c>
      <c r="CO15" t="e">
        <f>IF(P15=0,0,COUNTIF(#REF!,"CLP")*100/P15)</f>
        <v>#REF!</v>
      </c>
      <c r="CP15" t="e">
        <f>IF(P15=0,0,COUNTIF(#REF!,"CHLDES")*100/P15)</f>
        <v>#REF!</v>
      </c>
      <c r="CQ15" t="e">
        <f>IF(P15=0,0,COUNTIF(#REF!,"DYCTY")*100/P15)</f>
        <v>#REF!</v>
      </c>
      <c r="CR15" t="e">
        <f>IF(P15=0,0,COUNTIF(#REF!,"DICT")*100/P15)</f>
        <v>#REF!</v>
      </c>
      <c r="CS15" t="e">
        <f>IF(P15=0,0,COUNTIF(#REF!,"GLXU")*100/P15)</f>
        <v>#REF!</v>
      </c>
      <c r="CT15" t="e">
        <f>IF(P15=0,0,COUNTIF(#REF!,"HALI")*100/P15)</f>
        <v>#REF!</v>
      </c>
      <c r="CU15" t="e">
        <f>IF(P15=0,0,COUNTIF(#REF!,"LIAG")*100/P15)</f>
        <v>#REF!</v>
      </c>
      <c r="CV15" t="e">
        <f>IF(P15=0,0,COUNTIF(#REF!,"LOBO")*100/P15)</f>
        <v>#REF!</v>
      </c>
      <c r="CW15" t="e">
        <f>IF(P15=0,0,COUNTIF(#REF!,"MAST")*100/P15)</f>
        <v>#REF!</v>
      </c>
      <c r="CX15" t="e">
        <f>IF(P15=0,0,COUNTIF(#REF!,"MICDTY")*100/P15)</f>
        <v>#REF!</v>
      </c>
      <c r="CY15" t="e">
        <f>IF(P15=0,0,COUNTIF(#REF!,"NEOM")*100/P15)</f>
        <v>#REF!</v>
      </c>
      <c r="CZ15" t="e">
        <f>IF(P15=0,0,COUNTIF(#REF!,"NOIDMAC")*100/P15)</f>
        <v>#REF!</v>
      </c>
      <c r="DA15" t="e">
        <f>IF(P15=0,0,COUNTIF(#REF!,"PAD")*100/P15)</f>
        <v>#REF!</v>
      </c>
      <c r="DB15" t="e">
        <f>IF(P15=0,0,COUNTIF(#REF!,"SARG")*100/P15)</f>
        <v>#REF!</v>
      </c>
      <c r="DC15" t="e">
        <f>IF(P15=0,0,COUNTIF(#REF!,"SCHIZ")*100/P15)</f>
        <v>#REF!</v>
      </c>
      <c r="DD15" t="e">
        <f>IF(P15=0,0,COUNTIF(#REF!,"TURB")*100/P15)</f>
        <v>#REF!</v>
      </c>
      <c r="DE15" t="e">
        <f>IF(P15=0,0,COUNTIF(#REF!,"TYDM")*100/P15)</f>
        <v>#REF!</v>
      </c>
      <c r="DG15" t="e">
        <f>IF(P15=0,0,COUNTIF(#REF!,"AMP")*100/P15)</f>
        <v>#REF!</v>
      </c>
      <c r="DH15" t="e">
        <f>IF(P15=0,0,COUNTIF(#REF!,"BCA1")*100/P15)</f>
        <v>#REF!</v>
      </c>
      <c r="DI15" t="e">
        <f>IF(P15=0,0,COUNTIF(#REF!,"JAN")*100/P15)</f>
        <v>#REF!</v>
      </c>
      <c r="DK15" t="e">
        <f>IF(P15=0,0,COUNTIF(#REF!,"CCA1")*100/P15)</f>
        <v>#REF!</v>
      </c>
      <c r="DM15" t="e">
        <f>IF(P15=0,0,COUNTIF(#REF!,"Sand")*100/P15)</f>
        <v>#REF!</v>
      </c>
      <c r="DO15" s="29" t="e">
        <f>IF(P15=0,0,COUNTIF(#REF!,"FCA1")*100/P15)</f>
        <v>#REF!</v>
      </c>
      <c r="DQ15" t="e">
        <f>IF(P15=0,0,COUNTIF(#REF!,"CHRYOBRN")*100/P15)</f>
        <v>#REF!</v>
      </c>
      <c r="DS15" s="29" t="e">
        <f>IF(P15=0,0,COUNTIF(#REF!,"TURF")*100/P15)</f>
        <v>#REF!</v>
      </c>
      <c r="DU15" t="e">
        <f>COUNTIF(#REF!,"Shadow")*100/5</f>
        <v>#REF!</v>
      </c>
      <c r="DV15" t="e">
        <f>COUNTIF(#REF!,"Tape")*100/5</f>
        <v>#REF!</v>
      </c>
      <c r="DW15" t="e">
        <f>COUNTIF(#REF!,"Wand")*100/5</f>
        <v>#REF!</v>
      </c>
      <c r="DY15" t="e">
        <f>IF(P15=0,0,COUNTIF(#REF!,"BC")*100/P15)</f>
        <v>#REF!</v>
      </c>
    </row>
    <row r="16" spans="1:129">
      <c r="A16">
        <v>14</v>
      </c>
      <c r="B16" t="s">
        <v>52</v>
      </c>
      <c r="F16" s="29" t="e">
        <f>IF(P16=0,0,COUNTIF(#REF!,"C")*100/P16)</f>
        <v>#REF!</v>
      </c>
      <c r="G16" t="e">
        <f>IF(P16=0,0,COUNTIF(#REF!,"OI")*100/P16)</f>
        <v>#REF!</v>
      </c>
      <c r="H16" t="e">
        <f>IF(P16=0,0,COUNTIF(#REF!,"MA")*100/P16)</f>
        <v>#REF!</v>
      </c>
      <c r="I16" t="e">
        <f>IF(P16=0,0,COUNTIF(#REF!,"BCA")*100/P16)</f>
        <v>#REF!</v>
      </c>
      <c r="J16" t="e">
        <f>IF(P16=0,0,COUNTIF(#REF!,"CCA")*100/P16)</f>
        <v>#REF!</v>
      </c>
      <c r="K16" t="e">
        <f>IF(P16=0,0,COUNTIF(#REF!,"SD")*100/P16)</f>
        <v>#REF!</v>
      </c>
      <c r="L16" t="e">
        <f>IF(P16=0,0,COUNTIF(#REF!,"FCA")*100/P16)</f>
        <v>#REF!</v>
      </c>
      <c r="M16" t="e">
        <f>IF(P16=0,0,COUNTIF(#REF!,"CHRYS")*100/P16)</f>
        <v>#REF!</v>
      </c>
      <c r="N16" s="29" t="e">
        <f>IF(P16=0,0,COUNTIF(#REF!,"T")*100/P16)</f>
        <v>#REF!</v>
      </c>
      <c r="O16" t="e">
        <f>IF(P16=0,0,COUNTIF(#REF!,"TWS")*100/P16)</f>
        <v>#REF!</v>
      </c>
      <c r="P16" t="e">
        <f>5-COUNTIF(#REF!,"TWS")</f>
        <v>#REF!</v>
      </c>
      <c r="S16" t="e">
        <f>IF(P16=0,0,COUNTIF(#REF!,"ACAN")*100/P16)</f>
        <v>#REF!</v>
      </c>
      <c r="T16" t="e">
        <f>IF(P16=0,0,COUNTIF(#REF!,"ACROP")*100/P16)</f>
        <v>#REF!</v>
      </c>
      <c r="U16" t="e">
        <f>IF(P16=0,0,COUNTIF(#REF!,"ACROPARB")*100/P16)</f>
        <v>#REF!</v>
      </c>
      <c r="V16" t="e">
        <f>IF(P16=0,0,COUNTIF(#REF!,"ACROST")*100/P16)</f>
        <v>#REF!</v>
      </c>
      <c r="W16" t="e">
        <f>IF(P16=0,0,COUNTIF(#REF!,"ACROTBL")*100/P16)</f>
        <v>#REF!</v>
      </c>
      <c r="X16" t="e">
        <f>IF(P16=0,0,COUNTIF(#REF!,"ASTRP")*100/P16)</f>
        <v>#REF!</v>
      </c>
      <c r="Y16" t="e">
        <f>IF(P16=0,0,COUNTIF(#REF!,"CAUL")*100/P16)</f>
        <v>#REF!</v>
      </c>
      <c r="Z16" t="e">
        <f>IF(P16=0,0,COUNTIF(#REF!,"COSC")*100/P16)</f>
        <v>#REF!</v>
      </c>
      <c r="AA16" t="e">
        <f>IF(P16=0,0,COUNTIF(#REF!,"CTEN")*100/P16)</f>
        <v>#REF!</v>
      </c>
      <c r="AB16" t="e">
        <f>IF(P16=0,0,COUNTIF(#REF!,"CYPH")*100/P16)</f>
        <v>#REF!</v>
      </c>
      <c r="AC16" t="e">
        <f>IF(P16=0,0,COUNTIF(#REF!,"DIPLO")*100/P16)</f>
        <v>#REF!</v>
      </c>
      <c r="AD16" s="29" t="e">
        <f>IF(P16=0,0,COUNTIF(#REF!,"ECHPO")*100/P16)</f>
        <v>#REF!</v>
      </c>
      <c r="AE16" t="e">
        <f>IF(P16=0,0,COUNTIF(#REF!,"ECHPHY")*100/P16)</f>
        <v>#REF!</v>
      </c>
      <c r="AF16" t="e">
        <f>IF(P16=0,0,COUNTIF(#REF!,"EUPH")*100/P16)</f>
        <v>#REF!</v>
      </c>
      <c r="AG16" t="e">
        <f>IF(P16=0,0,COUNTIF(#REF!,"FAV")*100/P16)</f>
        <v>#REF!</v>
      </c>
      <c r="AH16" t="e">
        <f>IF(P16=0,0,COUNTIF(#REF!,"FAVT")*100/P16)</f>
        <v>#REF!</v>
      </c>
      <c r="AI16" t="e">
        <f>IF(P16=0,0,COUNTIF(#REF!,"FUNG")*100/P16)</f>
        <v>#REF!</v>
      </c>
      <c r="AJ16" t="e">
        <f>IF(P16=0,0,COUNTIF(#REF!,"GAL")*100/P16)</f>
        <v>#REF!</v>
      </c>
      <c r="AK16" t="e">
        <f>IF(P16=0,0,COUNTIF(#REF!,"GARD")*100/P16)</f>
        <v>#REF!</v>
      </c>
      <c r="AL16" t="e">
        <f>IF(P16=0,0,COUNTIF(#REF!,"GON")*100/P16)</f>
        <v>#REF!</v>
      </c>
      <c r="AM16" t="e">
        <f>IF(P16=0,0,COUNTIF(#REF!,"GONIO")*100/P16)</f>
        <v>#REF!</v>
      </c>
      <c r="AN16" t="e">
        <f>IF(P16=0,0,COUNTIF(#REF!,"HELIO")*100/P16)</f>
        <v>#REF!</v>
      </c>
      <c r="AO16" t="e">
        <f>IF(P16=0,0,COUNTIF(#REF!,"HERP")*100/P16)</f>
        <v>#REF!</v>
      </c>
      <c r="AP16" t="e">
        <f>IF(P16=0,0,COUNTIF(#REF!,"HYD")*100/P16)</f>
        <v>#REF!</v>
      </c>
      <c r="AQ16" t="e">
        <f>IF(P16=0,0,COUNTIF(#REF!,"ISOP")*100/P16)</f>
        <v>#REF!</v>
      </c>
      <c r="AR16" t="e">
        <f>IF(P16=0,0,COUNTIF(#REF!,"LEPT")*100/P16)</f>
        <v>#REF!</v>
      </c>
      <c r="AS16" t="e">
        <f>IF(P16=0,0,COUNTIF(#REF!,"LEPTOR")*100/P16)</f>
        <v>#REF!</v>
      </c>
      <c r="AT16" t="e">
        <f>IF(P16=0,0,COUNTIF(#REF!,"LEPTOS")*100/P16)</f>
        <v>#REF!</v>
      </c>
      <c r="AU16" t="e">
        <f>IF(P16=0,0,COUNTIF(#REF!,"LOBOPH")*100/P16)</f>
        <v>#REF!</v>
      </c>
      <c r="AV16" t="e">
        <f>IF(P16=0,0,COUNTIF(#REF!,"MERU")*100/P16)</f>
        <v>#REF!</v>
      </c>
      <c r="AW16" t="e">
        <f>IF(P16=0,0,COUNTIF(#REF!,"MILL")*100/P16)</f>
        <v>#REF!</v>
      </c>
      <c r="AX16" t="e">
        <f>IF(P16=0,0,COUNTIF(#REF!,"MONT")*100/P16)</f>
        <v>#REF!</v>
      </c>
      <c r="AY16" t="e">
        <f>IF(P16=0,0,COUNTIF(#REF!,"MONTI")*100/P16)</f>
        <v>#REF!</v>
      </c>
      <c r="AZ16" t="e">
        <f>IF(P16=0,0,COUNTIF(#REF!,"MYCED")*100/P16)</f>
        <v>#REF!</v>
      </c>
      <c r="BA16" t="e">
        <f>IF(P16=0,0,COUNTIF(#REF!,"OULO")*100/P16)</f>
        <v>#REF!</v>
      </c>
      <c r="BB16" t="e">
        <f>IF(P16=0,0,COUNTIF(#REF!,"OXYP")*100/P16)</f>
        <v>#REF!</v>
      </c>
      <c r="BC16" t="e">
        <f>IF(P16=0,0,COUNTIF(#REF!,"PLSIA")*100/P16)</f>
        <v>#REF!</v>
      </c>
      <c r="BD16" t="e">
        <f>IF(P16=0,0,COUNTIF(#REF!,"PACHY")*100/P16)</f>
        <v>#REF!</v>
      </c>
      <c r="BE16" t="e">
        <f>IF(P16=0,0,COUNTIF(#REF!,"PAV")*100/P16)</f>
        <v>#REF!</v>
      </c>
      <c r="BF16" t="e">
        <f>IF(P16=0,0,COUNTIF(#REF!,"PECT")*100/P16)</f>
        <v>#REF!</v>
      </c>
      <c r="BG16" t="e">
        <f>IF(P16=0,0,COUNTIF(#REF!,"PHYSO")*100/P16)</f>
        <v>#REF!</v>
      </c>
      <c r="BH16" t="e">
        <f>IF(P16=0,0,COUNTIF(#REF!,"PLAT")*100/P16)</f>
        <v>#REF!</v>
      </c>
      <c r="BI16" t="e">
        <f>IF(P16=0,0,COUNTIF(#REF!,"PLERO")*100/P16)</f>
        <v>#REF!</v>
      </c>
      <c r="BJ16" t="e">
        <f>IF(P16=0,0,COUNTIF(#REF!,"POC")*100/P16)</f>
        <v>#REF!</v>
      </c>
      <c r="BK16" t="e">
        <f>IF(P16=0,0,COUNTIF(#REF!,"POR")*100/P16)</f>
        <v>#REF!</v>
      </c>
      <c r="BL16" t="e">
        <f>IF(P16=0,0,COUNTIF(#REF!,"PORCYL")*100/P16)</f>
        <v>#REF!</v>
      </c>
      <c r="BM16" t="e">
        <f>IF(P16=0,0,COUNTIF(#REF!,"PORMAS")*100/P16)</f>
        <v>#REF!</v>
      </c>
      <c r="BN16" t="e">
        <f>IF(P16=0,0,COUNTIF(#REF!,"PORRUS")*100/P16)</f>
        <v>#REF!</v>
      </c>
      <c r="BO16" t="e">
        <f>IF(P16=0,0,COUNTIF(#REF!,"PSAM")*100/P16)</f>
        <v>#REF!</v>
      </c>
      <c r="BP16" t="e">
        <f>IF(P16=0,0,COUNTIF(#REF!,"SANDO")*100/P16)</f>
        <v>#REF!</v>
      </c>
      <c r="BQ16" t="e">
        <f>IF(P16=0,0,COUNTIF(#REF!,"SCAP")*100/P16)</f>
        <v>#REF!</v>
      </c>
      <c r="BR16" t="e">
        <f>IF(P16=0,0,COUNTIF(#REF!,"SERIA")*100/P16)</f>
        <v>#REF!</v>
      </c>
      <c r="BS16" t="e">
        <f>IF(P16=0,0,COUNTIF(#REF!,"STYLC")*100/P16)</f>
        <v>#REF!</v>
      </c>
      <c r="BT16" t="e">
        <f>IF(P16=0,0,COUNTIF(#REF!,"STYLO")*100/P16)</f>
        <v>#REF!</v>
      </c>
      <c r="BU16" t="e">
        <f>IF(P16=0,0,COUNTIF(#REF!,"SYMP")*100/P16)</f>
        <v>#REF!</v>
      </c>
      <c r="BV16" t="e">
        <f>IF(P16=0,0,COUNTIF(#REF!,"TURBIN")*100/P16)</f>
        <v>#REF!</v>
      </c>
      <c r="BX16" t="e">
        <f>IF(P16=0,0,COUNTIF(#REF!,"ANEM")*100/P16)</f>
        <v>#REF!</v>
      </c>
      <c r="BY16" t="e">
        <f>IF(P16=0,0,COUNTIF(#REF!,"ASC")*100/P16)</f>
        <v>#REF!</v>
      </c>
      <c r="BZ16" t="e">
        <f>IF(P16=0,0,COUNTIF(#REF!,"CUPS")*100/P16)</f>
        <v>#REF!</v>
      </c>
      <c r="CA16" t="e">
        <f>IF(P16=0,0,COUNTIF(#REF!,"DISCO")*100/P16)</f>
        <v>#REF!</v>
      </c>
      <c r="CB16" t="e">
        <f>IF(P16=0,0,COUNTIF(#REF!,"DYS")*100/P16)</f>
        <v>#REF!</v>
      </c>
      <c r="CC16" t="e">
        <f>IF(P16=0,0,COUNTIF(#REF!,"G")*100/P16)</f>
        <v>#REF!</v>
      </c>
      <c r="CD16" t="e">
        <f>IF(P16=0,0,COUNTIF(#REF!,"NoIDINV")*100/P16)</f>
        <v>#REF!</v>
      </c>
      <c r="CE16" t="e">
        <f>IF(P16=0,0,COUNTIF(#REF!,"OLV")*100/P16)</f>
        <v>#REF!</v>
      </c>
      <c r="CF16" t="e">
        <f>IF(P16=0,0,COUNTIF(#REF!,"SC")*100/P16)</f>
        <v>#REF!</v>
      </c>
      <c r="CG16" t="e">
        <f>IF(P16=0,0,COUNTIF(#REF!,"S")*100/P16)</f>
        <v>#REF!</v>
      </c>
      <c r="CH16" t="e">
        <f>IF(P16=0,0,COUNTIF(#REF!,"TERPS")*100/P16)</f>
        <v>#REF!</v>
      </c>
      <c r="CI16" t="e">
        <f>IF(P16=0,0,COUNTIF(#REF!,"Z")*100/P16)</f>
        <v>#REF!</v>
      </c>
      <c r="CK16" t="e">
        <f>IF(P16=0,0,COUNTIF(#REF!,"ASP")*100/P16)</f>
        <v>#REF!</v>
      </c>
      <c r="CL16" t="e">
        <f>IF(P16=0,0,COUNTIF(#REF!,"BG")*100/P16)</f>
        <v>#REF!</v>
      </c>
      <c r="CM16" t="e">
        <f>IF(P16=0,0,COUNTIF(#REF!,"Bood")*100/P16)</f>
        <v>#REF!</v>
      </c>
      <c r="CN16" t="e">
        <f>IF(P16=0,0,COUNTIF(#REF!,"BRYP")*100/P16)</f>
        <v>#REF!</v>
      </c>
      <c r="CO16" t="e">
        <f>IF(P16=0,0,COUNTIF(#REF!,"CLP")*100/P16)</f>
        <v>#REF!</v>
      </c>
      <c r="CP16" t="e">
        <f>IF(P16=0,0,COUNTIF(#REF!,"CHLDES")*100/P16)</f>
        <v>#REF!</v>
      </c>
      <c r="CQ16" t="e">
        <f>IF(P16=0,0,COUNTIF(#REF!,"DYCTY")*100/P16)</f>
        <v>#REF!</v>
      </c>
      <c r="CR16" t="e">
        <f>IF(P16=0,0,COUNTIF(#REF!,"DICT")*100/P16)</f>
        <v>#REF!</v>
      </c>
      <c r="CS16" t="e">
        <f>IF(P16=0,0,COUNTIF(#REF!,"GLXU")*100/P16)</f>
        <v>#REF!</v>
      </c>
      <c r="CT16" t="e">
        <f>IF(P16=0,0,COUNTIF(#REF!,"HALI")*100/P16)</f>
        <v>#REF!</v>
      </c>
      <c r="CU16" t="e">
        <f>IF(P16=0,0,COUNTIF(#REF!,"LIAG")*100/P16)</f>
        <v>#REF!</v>
      </c>
      <c r="CV16" t="e">
        <f>IF(P16=0,0,COUNTIF(#REF!,"LOBO")*100/P16)</f>
        <v>#REF!</v>
      </c>
      <c r="CW16" t="e">
        <f>IF(P16=0,0,COUNTIF(#REF!,"MAST")*100/P16)</f>
        <v>#REF!</v>
      </c>
      <c r="CX16" t="e">
        <f>IF(P16=0,0,COUNTIF(#REF!,"MICDTY")*100/P16)</f>
        <v>#REF!</v>
      </c>
      <c r="CY16" t="e">
        <f>IF(P16=0,0,COUNTIF(#REF!,"NEOM")*100/P16)</f>
        <v>#REF!</v>
      </c>
      <c r="CZ16" t="e">
        <f>IF(P16=0,0,COUNTIF(#REF!,"NOIDMAC")*100/P16)</f>
        <v>#REF!</v>
      </c>
      <c r="DA16" t="e">
        <f>IF(P16=0,0,COUNTIF(#REF!,"PAD")*100/P16)</f>
        <v>#REF!</v>
      </c>
      <c r="DB16" t="e">
        <f>IF(P16=0,0,COUNTIF(#REF!,"SARG")*100/P16)</f>
        <v>#REF!</v>
      </c>
      <c r="DC16" t="e">
        <f>IF(P16=0,0,COUNTIF(#REF!,"SCHIZ")*100/P16)</f>
        <v>#REF!</v>
      </c>
      <c r="DD16" t="e">
        <f>IF(P16=0,0,COUNTIF(#REF!,"TURB")*100/P16)</f>
        <v>#REF!</v>
      </c>
      <c r="DE16" t="e">
        <f>IF(P16=0,0,COUNTIF(#REF!,"TYDM")*100/P16)</f>
        <v>#REF!</v>
      </c>
      <c r="DG16" t="e">
        <f>IF(P16=0,0,COUNTIF(#REF!,"AMP")*100/P16)</f>
        <v>#REF!</v>
      </c>
      <c r="DH16" t="e">
        <f>IF(P16=0,0,COUNTIF(#REF!,"BCA1")*100/P16)</f>
        <v>#REF!</v>
      </c>
      <c r="DI16" t="e">
        <f>IF(P16=0,0,COUNTIF(#REF!,"JAN")*100/P16)</f>
        <v>#REF!</v>
      </c>
      <c r="DK16" t="e">
        <f>IF(P16=0,0,COUNTIF(#REF!,"CCA1")*100/P16)</f>
        <v>#REF!</v>
      </c>
      <c r="DM16" t="e">
        <f>IF(P16=0,0,COUNTIF(#REF!,"Sand")*100/P16)</f>
        <v>#REF!</v>
      </c>
      <c r="DO16" t="e">
        <f>IF(P16=0,0,COUNTIF(#REF!,"FCA1")*100/P16)</f>
        <v>#REF!</v>
      </c>
      <c r="DQ16" t="e">
        <f>IF(P16=0,0,COUNTIF(#REF!,"CHRYOBRN")*100/P16)</f>
        <v>#REF!</v>
      </c>
      <c r="DS16" s="29" t="e">
        <f>IF(P16=0,0,COUNTIF(#REF!,"TURF")*100/P16)</f>
        <v>#REF!</v>
      </c>
      <c r="DU16" t="e">
        <f>COUNTIF(#REF!,"Shadow")*100/5</f>
        <v>#REF!</v>
      </c>
      <c r="DV16" t="e">
        <f>COUNTIF(#REF!,"Tape")*100/5</f>
        <v>#REF!</v>
      </c>
      <c r="DW16" t="e">
        <f>COUNTIF(#REF!,"Wand")*100/5</f>
        <v>#REF!</v>
      </c>
      <c r="DY16" t="e">
        <f>IF(P16=0,0,COUNTIF(#REF!,"BC")*100/P16)</f>
        <v>#REF!</v>
      </c>
    </row>
    <row r="17" spans="1:129">
      <c r="A17">
        <v>15</v>
      </c>
      <c r="B17" t="s">
        <v>53</v>
      </c>
      <c r="F17" s="29" t="e">
        <f>IF(P17=0,0,COUNTIF(#REF!,"C")*100/P17)</f>
        <v>#REF!</v>
      </c>
      <c r="G17" t="e">
        <f>IF(P17=0,0,COUNTIF(#REF!,"OI")*100/P17)</f>
        <v>#REF!</v>
      </c>
      <c r="H17" t="e">
        <f>IF(P17=0,0,COUNTIF(#REF!,"MA")*100/P17)</f>
        <v>#REF!</v>
      </c>
      <c r="I17" t="e">
        <f>IF(P17=0,0,COUNTIF(#REF!,"BCA")*100/P17)</f>
        <v>#REF!</v>
      </c>
      <c r="J17" s="29" t="e">
        <f>IF(P17=0,0,COUNTIF(#REF!,"CCA")*100/P17)</f>
        <v>#REF!</v>
      </c>
      <c r="K17" t="e">
        <f>IF(P17=0,0,COUNTIF(#REF!,"SD")*100/P17)</f>
        <v>#REF!</v>
      </c>
      <c r="L17" t="e">
        <f>IF(P17=0,0,COUNTIF(#REF!,"FCA")*100/P17)</f>
        <v>#REF!</v>
      </c>
      <c r="M17" t="e">
        <f>IF(P17=0,0,COUNTIF(#REF!,"CHRYS")*100/P17)</f>
        <v>#REF!</v>
      </c>
      <c r="N17" s="29" t="e">
        <f>IF(P17=0,0,COUNTIF(#REF!,"T")*100/P17)</f>
        <v>#REF!</v>
      </c>
      <c r="O17" t="e">
        <f>IF(P17=0,0,COUNTIF(#REF!,"TWS")*100/P17)</f>
        <v>#REF!</v>
      </c>
      <c r="P17" t="e">
        <f>5-COUNTIF(#REF!,"TWS")</f>
        <v>#REF!</v>
      </c>
      <c r="S17" t="e">
        <f>IF(P17=0,0,COUNTIF(#REF!,"ACAN")*100/P17)</f>
        <v>#REF!</v>
      </c>
      <c r="T17" t="e">
        <f>IF(P17=0,0,COUNTIF(#REF!,"ACROP")*100/P17)</f>
        <v>#REF!</v>
      </c>
      <c r="U17" t="e">
        <f>IF(P17=0,0,COUNTIF(#REF!,"ACROPARB")*100/P17)</f>
        <v>#REF!</v>
      </c>
      <c r="V17" t="e">
        <f>IF(P17=0,0,COUNTIF(#REF!,"ACROST")*100/P17)</f>
        <v>#REF!</v>
      </c>
      <c r="W17" t="e">
        <f>IF(P17=0,0,COUNTIF(#REF!,"ACROTBL")*100/P17)</f>
        <v>#REF!</v>
      </c>
      <c r="X17" t="e">
        <f>IF(P17=0,0,COUNTIF(#REF!,"ASTRP")*100/P17)</f>
        <v>#REF!</v>
      </c>
      <c r="Y17" t="e">
        <f>IF(P17=0,0,COUNTIF(#REF!,"CAUL")*100/P17)</f>
        <v>#REF!</v>
      </c>
      <c r="Z17" t="e">
        <f>IF(P17=0,0,COUNTIF(#REF!,"COSC")*100/P17)</f>
        <v>#REF!</v>
      </c>
      <c r="AA17" t="e">
        <f>IF(P17=0,0,COUNTIF(#REF!,"CTEN")*100/P17)</f>
        <v>#REF!</v>
      </c>
      <c r="AB17" t="e">
        <f>IF(P17=0,0,COUNTIF(#REF!,"CYPH")*100/P17)</f>
        <v>#REF!</v>
      </c>
      <c r="AC17" t="e">
        <f>IF(P17=0,0,COUNTIF(#REF!,"DIPLO")*100/P17)</f>
        <v>#REF!</v>
      </c>
      <c r="AD17" s="29" t="e">
        <f>IF(P17=0,0,COUNTIF(#REF!,"ECHPO")*100/P17)</f>
        <v>#REF!</v>
      </c>
      <c r="AE17" t="e">
        <f>IF(P17=0,0,COUNTIF(#REF!,"ECHPHY")*100/P17)</f>
        <v>#REF!</v>
      </c>
      <c r="AF17" t="e">
        <f>IF(P17=0,0,COUNTIF(#REF!,"EUPH")*100/P17)</f>
        <v>#REF!</v>
      </c>
      <c r="AG17" t="e">
        <f>IF(P17=0,0,COUNTIF(#REF!,"FAV")*100/P17)</f>
        <v>#REF!</v>
      </c>
      <c r="AH17" t="e">
        <f>IF(P17=0,0,COUNTIF(#REF!,"FAVT")*100/P17)</f>
        <v>#REF!</v>
      </c>
      <c r="AI17" t="e">
        <f>IF(P17=0,0,COUNTIF(#REF!,"FUNG")*100/P17)</f>
        <v>#REF!</v>
      </c>
      <c r="AJ17" t="e">
        <f>IF(P17=0,0,COUNTIF(#REF!,"GAL")*100/P17)</f>
        <v>#REF!</v>
      </c>
      <c r="AK17" t="e">
        <f>IF(P17=0,0,COUNTIF(#REF!,"GARD")*100/P17)</f>
        <v>#REF!</v>
      </c>
      <c r="AL17" t="e">
        <f>IF(P17=0,0,COUNTIF(#REF!,"GON")*100/P17)</f>
        <v>#REF!</v>
      </c>
      <c r="AM17" t="e">
        <f>IF(P17=0,0,COUNTIF(#REF!,"GONIO")*100/P17)</f>
        <v>#REF!</v>
      </c>
      <c r="AN17" t="e">
        <f>IF(P17=0,0,COUNTIF(#REF!,"HELIO")*100/P17)</f>
        <v>#REF!</v>
      </c>
      <c r="AO17" t="e">
        <f>IF(P17=0,0,COUNTIF(#REF!,"HERP")*100/P17)</f>
        <v>#REF!</v>
      </c>
      <c r="AP17" t="e">
        <f>IF(P17=0,0,COUNTIF(#REF!,"HYD")*100/P17)</f>
        <v>#REF!</v>
      </c>
      <c r="AQ17" t="e">
        <f>IF(P17=0,0,COUNTIF(#REF!,"ISOP")*100/P17)</f>
        <v>#REF!</v>
      </c>
      <c r="AR17" t="e">
        <f>IF(P17=0,0,COUNTIF(#REF!,"LEPT")*100/P17)</f>
        <v>#REF!</v>
      </c>
      <c r="AS17" t="e">
        <f>IF(P17=0,0,COUNTIF(#REF!,"LEPTOR")*100/P17)</f>
        <v>#REF!</v>
      </c>
      <c r="AT17" t="e">
        <f>IF(P17=0,0,COUNTIF(#REF!,"LEPTOS")*100/P17)</f>
        <v>#REF!</v>
      </c>
      <c r="AU17" t="e">
        <f>IF(P17=0,0,COUNTIF(#REF!,"LOBOPH")*100/P17)</f>
        <v>#REF!</v>
      </c>
      <c r="AV17" t="e">
        <f>IF(P17=0,0,COUNTIF(#REF!,"MERU")*100/P17)</f>
        <v>#REF!</v>
      </c>
      <c r="AW17" t="e">
        <f>IF(P17=0,0,COUNTIF(#REF!,"MILL")*100/P17)</f>
        <v>#REF!</v>
      </c>
      <c r="AX17" t="e">
        <f>IF(P17=0,0,COUNTIF(#REF!,"MONT")*100/P17)</f>
        <v>#REF!</v>
      </c>
      <c r="AY17" t="e">
        <f>IF(P17=0,0,COUNTIF(#REF!,"MONTI")*100/P17)</f>
        <v>#REF!</v>
      </c>
      <c r="AZ17" t="e">
        <f>IF(P17=0,0,COUNTIF(#REF!,"MYCED")*100/P17)</f>
        <v>#REF!</v>
      </c>
      <c r="BA17" t="e">
        <f>IF(P17=0,0,COUNTIF(#REF!,"OULO")*100/P17)</f>
        <v>#REF!</v>
      </c>
      <c r="BB17" t="e">
        <f>IF(P17=0,0,COUNTIF(#REF!,"OXYP")*100/P17)</f>
        <v>#REF!</v>
      </c>
      <c r="BC17" t="e">
        <f>IF(P17=0,0,COUNTIF(#REF!,"PLSIA")*100/P17)</f>
        <v>#REF!</v>
      </c>
      <c r="BD17" t="e">
        <f>IF(P17=0,0,COUNTIF(#REF!,"PACHY")*100/P17)</f>
        <v>#REF!</v>
      </c>
      <c r="BE17" t="e">
        <f>IF(P17=0,0,COUNTIF(#REF!,"PAV")*100/P17)</f>
        <v>#REF!</v>
      </c>
      <c r="BF17" t="e">
        <f>IF(P17=0,0,COUNTIF(#REF!,"PECT")*100/P17)</f>
        <v>#REF!</v>
      </c>
      <c r="BG17" t="e">
        <f>IF(P17=0,0,COUNTIF(#REF!,"PHYSO")*100/P17)</f>
        <v>#REF!</v>
      </c>
      <c r="BH17" t="e">
        <f>IF(P17=0,0,COUNTIF(#REF!,"PLAT")*100/P17)</f>
        <v>#REF!</v>
      </c>
      <c r="BI17" t="e">
        <f>IF(P17=0,0,COUNTIF(#REF!,"PLERO")*100/P17)</f>
        <v>#REF!</v>
      </c>
      <c r="BJ17" t="e">
        <f>IF(P17=0,0,COUNTIF(#REF!,"POC")*100/P17)</f>
        <v>#REF!</v>
      </c>
      <c r="BK17" t="e">
        <f>IF(P17=0,0,COUNTIF(#REF!,"POR")*100/P17)</f>
        <v>#REF!</v>
      </c>
      <c r="BL17" t="e">
        <f>IF(P17=0,0,COUNTIF(#REF!,"PORCYL")*100/P17)</f>
        <v>#REF!</v>
      </c>
      <c r="BM17" t="e">
        <f>IF(P17=0,0,COUNTIF(#REF!,"PORMAS")*100/P17)</f>
        <v>#REF!</v>
      </c>
      <c r="BN17" t="e">
        <f>IF(P17=0,0,COUNTIF(#REF!,"PORRUS")*100/P17)</f>
        <v>#REF!</v>
      </c>
      <c r="BO17" t="e">
        <f>IF(P17=0,0,COUNTIF(#REF!,"PSAM")*100/P17)</f>
        <v>#REF!</v>
      </c>
      <c r="BP17" t="e">
        <f>IF(P17=0,0,COUNTIF(#REF!,"SANDO")*100/P17)</f>
        <v>#REF!</v>
      </c>
      <c r="BQ17" t="e">
        <f>IF(P17=0,0,COUNTIF(#REF!,"SCAP")*100/P17)</f>
        <v>#REF!</v>
      </c>
      <c r="BR17" t="e">
        <f>IF(P17=0,0,COUNTIF(#REF!,"SERIA")*100/P17)</f>
        <v>#REF!</v>
      </c>
      <c r="BS17" t="e">
        <f>IF(P17=0,0,COUNTIF(#REF!,"STYLC")*100/P17)</f>
        <v>#REF!</v>
      </c>
      <c r="BT17" t="e">
        <f>IF(P17=0,0,COUNTIF(#REF!,"STYLO")*100/P17)</f>
        <v>#REF!</v>
      </c>
      <c r="BU17" t="e">
        <f>IF(P17=0,0,COUNTIF(#REF!,"SYMP")*100/P17)</f>
        <v>#REF!</v>
      </c>
      <c r="BV17" t="e">
        <f>IF(P17=0,0,COUNTIF(#REF!,"TURBIN")*100/P17)</f>
        <v>#REF!</v>
      </c>
      <c r="BX17" t="e">
        <f>IF(P17=0,0,COUNTIF(#REF!,"ANEM")*100/P17)</f>
        <v>#REF!</v>
      </c>
      <c r="BY17" t="e">
        <f>IF(P17=0,0,COUNTIF(#REF!,"ASC")*100/P17)</f>
        <v>#REF!</v>
      </c>
      <c r="BZ17" t="e">
        <f>IF(P17=0,0,COUNTIF(#REF!,"CUPS")*100/P17)</f>
        <v>#REF!</v>
      </c>
      <c r="CA17" t="e">
        <f>IF(P17=0,0,COUNTIF(#REF!,"DISCO")*100/P17)</f>
        <v>#REF!</v>
      </c>
      <c r="CB17" t="e">
        <f>IF(P17=0,0,COUNTIF(#REF!,"DYS")*100/P17)</f>
        <v>#REF!</v>
      </c>
      <c r="CC17" t="e">
        <f>IF(P17=0,0,COUNTIF(#REF!,"G")*100/P17)</f>
        <v>#REF!</v>
      </c>
      <c r="CD17" t="e">
        <f>IF(P17=0,0,COUNTIF(#REF!,"NoIDINV")*100/P17)</f>
        <v>#REF!</v>
      </c>
      <c r="CE17" t="e">
        <f>IF(P17=0,0,COUNTIF(#REF!,"OLV")*100/P17)</f>
        <v>#REF!</v>
      </c>
      <c r="CF17" t="e">
        <f>IF(P17=0,0,COUNTIF(#REF!,"SC")*100/P17)</f>
        <v>#REF!</v>
      </c>
      <c r="CG17" t="e">
        <f>IF(P17=0,0,COUNTIF(#REF!,"S")*100/P17)</f>
        <v>#REF!</v>
      </c>
      <c r="CH17" t="e">
        <f>IF(P17=0,0,COUNTIF(#REF!,"TERPS")*100/P17)</f>
        <v>#REF!</v>
      </c>
      <c r="CI17" t="e">
        <f>IF(P17=0,0,COUNTIF(#REF!,"Z")*100/P17)</f>
        <v>#REF!</v>
      </c>
      <c r="CK17" t="e">
        <f>IF(P17=0,0,COUNTIF(#REF!,"ASP")*100/P17)</f>
        <v>#REF!</v>
      </c>
      <c r="CL17" t="e">
        <f>IF(P17=0,0,COUNTIF(#REF!,"BG")*100/P17)</f>
        <v>#REF!</v>
      </c>
      <c r="CM17" t="e">
        <f>IF(P17=0,0,COUNTIF(#REF!,"Bood")*100/P17)</f>
        <v>#REF!</v>
      </c>
      <c r="CN17" t="e">
        <f>IF(P17=0,0,COUNTIF(#REF!,"BRYP")*100/P17)</f>
        <v>#REF!</v>
      </c>
      <c r="CO17" t="e">
        <f>IF(P17=0,0,COUNTIF(#REF!,"CLP")*100/P17)</f>
        <v>#REF!</v>
      </c>
      <c r="CP17" t="e">
        <f>IF(P17=0,0,COUNTIF(#REF!,"CHLDES")*100/P17)</f>
        <v>#REF!</v>
      </c>
      <c r="CQ17" t="e">
        <f>IF(P17=0,0,COUNTIF(#REF!,"DYCTY")*100/P17)</f>
        <v>#REF!</v>
      </c>
      <c r="CR17" t="e">
        <f>IF(P17=0,0,COUNTIF(#REF!,"DICT")*100/P17)</f>
        <v>#REF!</v>
      </c>
      <c r="CS17" t="e">
        <f>IF(P17=0,0,COUNTIF(#REF!,"GLXU")*100/P17)</f>
        <v>#REF!</v>
      </c>
      <c r="CT17" t="e">
        <f>IF(P17=0,0,COUNTIF(#REF!,"HALI")*100/P17)</f>
        <v>#REF!</v>
      </c>
      <c r="CU17" t="e">
        <f>IF(P17=0,0,COUNTIF(#REF!,"LIAG")*100/P17)</f>
        <v>#REF!</v>
      </c>
      <c r="CV17" t="e">
        <f>IF(P17=0,0,COUNTIF(#REF!,"LOBO")*100/P17)</f>
        <v>#REF!</v>
      </c>
      <c r="CW17" t="e">
        <f>IF(P17=0,0,COUNTIF(#REF!,"MAST")*100/P17)</f>
        <v>#REF!</v>
      </c>
      <c r="CX17" t="e">
        <f>IF(P17=0,0,COUNTIF(#REF!,"MICDTY")*100/P17)</f>
        <v>#REF!</v>
      </c>
      <c r="CY17" t="e">
        <f>IF(P17=0,0,COUNTIF(#REF!,"NEOM")*100/P17)</f>
        <v>#REF!</v>
      </c>
      <c r="CZ17" t="e">
        <f>IF(P17=0,0,COUNTIF(#REF!,"NOIDMAC")*100/P17)</f>
        <v>#REF!</v>
      </c>
      <c r="DA17" t="e">
        <f>IF(P17=0,0,COUNTIF(#REF!,"PAD")*100/P17)</f>
        <v>#REF!</v>
      </c>
      <c r="DB17" t="e">
        <f>IF(P17=0,0,COUNTIF(#REF!,"SARG")*100/P17)</f>
        <v>#REF!</v>
      </c>
      <c r="DC17" t="e">
        <f>IF(P17=0,0,COUNTIF(#REF!,"SCHIZ")*100/P17)</f>
        <v>#REF!</v>
      </c>
      <c r="DD17" t="e">
        <f>IF(P17=0,0,COUNTIF(#REF!,"TURB")*100/P17)</f>
        <v>#REF!</v>
      </c>
      <c r="DE17" t="e">
        <f>IF(P17=0,0,COUNTIF(#REF!,"TYDM")*100/P17)</f>
        <v>#REF!</v>
      </c>
      <c r="DG17" t="e">
        <f>IF(P17=0,0,COUNTIF(#REF!,"AMP")*100/P17)</f>
        <v>#REF!</v>
      </c>
      <c r="DH17" t="e">
        <f>IF(P17=0,0,COUNTIF(#REF!,"BCA1")*100/P17)</f>
        <v>#REF!</v>
      </c>
      <c r="DI17" t="e">
        <f>IF(P17=0,0,COUNTIF(#REF!,"JAN")*100/P17)</f>
        <v>#REF!</v>
      </c>
      <c r="DK17" s="29" t="e">
        <f>IF(P17=0,0,COUNTIF(#REF!,"CCA1")*100/P17)</f>
        <v>#REF!</v>
      </c>
      <c r="DM17" t="e">
        <f>IF(P17=0,0,COUNTIF(#REF!,"Sand")*100/P17)</f>
        <v>#REF!</v>
      </c>
      <c r="DO17" t="e">
        <f>IF(P17=0,0,COUNTIF(#REF!,"FCA1")*100/P17)</f>
        <v>#REF!</v>
      </c>
      <c r="DQ17" t="e">
        <f>IF(P17=0,0,COUNTIF(#REF!,"CHRYOBRN")*100/P17)</f>
        <v>#REF!</v>
      </c>
      <c r="DS17" s="29" t="e">
        <f>IF(P17=0,0,COUNTIF(#REF!,"TURF")*100/P17)</f>
        <v>#REF!</v>
      </c>
      <c r="DU17" t="e">
        <f>COUNTIF(#REF!,"Shadow")*100/5</f>
        <v>#REF!</v>
      </c>
      <c r="DV17" t="e">
        <f>COUNTIF(#REF!,"Tape")*100/5</f>
        <v>#REF!</v>
      </c>
      <c r="DW17" t="e">
        <f>COUNTIF(#REF!,"Wand")*100/5</f>
        <v>#REF!</v>
      </c>
      <c r="DY17" t="e">
        <f>IF(P17=0,0,COUNTIF(#REF!,"BC")*100/P17)</f>
        <v>#REF!</v>
      </c>
    </row>
    <row r="18" spans="1:129">
      <c r="A18">
        <v>16</v>
      </c>
      <c r="B18" t="s">
        <v>54</v>
      </c>
      <c r="F18" s="29" t="e">
        <f>IF(P18=0,0,COUNTIF(#REF!,"C")*100/P18)</f>
        <v>#REF!</v>
      </c>
      <c r="G18" t="e">
        <f>IF(P18=0,0,COUNTIF(#REF!,"OI")*100/P18)</f>
        <v>#REF!</v>
      </c>
      <c r="H18" t="e">
        <f>IF(P18=0,0,COUNTIF(#REF!,"MA")*100/P18)</f>
        <v>#REF!</v>
      </c>
      <c r="I18" t="e">
        <f>IF(P18=0,0,COUNTIF(#REF!,"BCA")*100/P18)</f>
        <v>#REF!</v>
      </c>
      <c r="J18" t="e">
        <f>IF(P18=0,0,COUNTIF(#REF!,"CCA")*100/P18)</f>
        <v>#REF!</v>
      </c>
      <c r="K18" t="e">
        <f>IF(P18=0,0,COUNTIF(#REF!,"SD")*100/P18)</f>
        <v>#REF!</v>
      </c>
      <c r="L18" t="e">
        <f>IF(P18=0,0,COUNTIF(#REF!,"FCA")*100/P18)</f>
        <v>#REF!</v>
      </c>
      <c r="M18" t="e">
        <f>IF(P18=0,0,COUNTIF(#REF!,"CHRYS")*100/P18)</f>
        <v>#REF!</v>
      </c>
      <c r="N18" s="29" t="e">
        <f>IF(P18=0,0,COUNTIF(#REF!,"T")*100/P18)</f>
        <v>#REF!</v>
      </c>
      <c r="O18" t="e">
        <f>IF(P18=0,0,COUNTIF(#REF!,"TWS")*100/P18)</f>
        <v>#REF!</v>
      </c>
      <c r="P18" t="e">
        <f>5-COUNTIF(#REF!,"TWS")</f>
        <v>#REF!</v>
      </c>
      <c r="S18" t="e">
        <f>IF(P18=0,0,COUNTIF(#REF!,"ACAN")*100/P18)</f>
        <v>#REF!</v>
      </c>
      <c r="T18" t="e">
        <f>IF(P18=0,0,COUNTIF(#REF!,"ACROP")*100/P18)</f>
        <v>#REF!</v>
      </c>
      <c r="U18" t="e">
        <f>IF(P18=0,0,COUNTIF(#REF!,"ACROPARB")*100/P18)</f>
        <v>#REF!</v>
      </c>
      <c r="V18" t="e">
        <f>IF(P18=0,0,COUNTIF(#REF!,"ACROST")*100/P18)</f>
        <v>#REF!</v>
      </c>
      <c r="W18" t="e">
        <f>IF(P18=0,0,COUNTIF(#REF!,"ACROTBL")*100/P18)</f>
        <v>#REF!</v>
      </c>
      <c r="X18" t="e">
        <f>IF(P18=0,0,COUNTIF(#REF!,"ASTRP")*100/P18)</f>
        <v>#REF!</v>
      </c>
      <c r="Y18" t="e">
        <f>IF(P18=0,0,COUNTIF(#REF!,"CAUL")*100/P18)</f>
        <v>#REF!</v>
      </c>
      <c r="Z18" t="e">
        <f>IF(P18=0,0,COUNTIF(#REF!,"COSC")*100/P18)</f>
        <v>#REF!</v>
      </c>
      <c r="AA18" t="e">
        <f>IF(P18=0,0,COUNTIF(#REF!,"CTEN")*100/P18)</f>
        <v>#REF!</v>
      </c>
      <c r="AB18" t="e">
        <f>IF(P18=0,0,COUNTIF(#REF!,"CYPH")*100/P18)</f>
        <v>#REF!</v>
      </c>
      <c r="AC18" t="e">
        <f>IF(P18=0,0,COUNTIF(#REF!,"DIPLO")*100/P18)</f>
        <v>#REF!</v>
      </c>
      <c r="AD18" s="29" t="e">
        <f>IF(P18=0,0,COUNTIF(#REF!,"ECHPO")*100/P18)</f>
        <v>#REF!</v>
      </c>
      <c r="AE18" t="e">
        <f>IF(P18=0,0,COUNTIF(#REF!,"ECHPHY")*100/P18)</f>
        <v>#REF!</v>
      </c>
      <c r="AF18" t="e">
        <f>IF(P18=0,0,COUNTIF(#REF!,"EUPH")*100/P18)</f>
        <v>#REF!</v>
      </c>
      <c r="AG18" t="e">
        <f>IF(P18=0,0,COUNTIF(#REF!,"FAV")*100/P18)</f>
        <v>#REF!</v>
      </c>
      <c r="AH18" t="e">
        <f>IF(P18=0,0,COUNTIF(#REF!,"FAVT")*100/P18)</f>
        <v>#REF!</v>
      </c>
      <c r="AI18" t="e">
        <f>IF(P18=0,0,COUNTIF(#REF!,"FUNG")*100/P18)</f>
        <v>#REF!</v>
      </c>
      <c r="AJ18" t="e">
        <f>IF(P18=0,0,COUNTIF(#REF!,"GAL")*100/P18)</f>
        <v>#REF!</v>
      </c>
      <c r="AK18" t="e">
        <f>IF(P18=0,0,COUNTIF(#REF!,"GARD")*100/P18)</f>
        <v>#REF!</v>
      </c>
      <c r="AL18" t="e">
        <f>IF(P18=0,0,COUNTIF(#REF!,"GON")*100/P18)</f>
        <v>#REF!</v>
      </c>
      <c r="AM18" t="e">
        <f>IF(P18=0,0,COUNTIF(#REF!,"GONIO")*100/P18)</f>
        <v>#REF!</v>
      </c>
      <c r="AN18" t="e">
        <f>IF(P18=0,0,COUNTIF(#REF!,"HELIO")*100/P18)</f>
        <v>#REF!</v>
      </c>
      <c r="AO18" t="e">
        <f>IF(P18=0,0,COUNTIF(#REF!,"HERP")*100/P18)</f>
        <v>#REF!</v>
      </c>
      <c r="AP18" t="e">
        <f>IF(P18=0,0,COUNTIF(#REF!,"HYD")*100/P18)</f>
        <v>#REF!</v>
      </c>
      <c r="AQ18" t="e">
        <f>IF(P18=0,0,COUNTIF(#REF!,"ISOP")*100/P18)</f>
        <v>#REF!</v>
      </c>
      <c r="AR18" t="e">
        <f>IF(P18=0,0,COUNTIF(#REF!,"LEPT")*100/P18)</f>
        <v>#REF!</v>
      </c>
      <c r="AS18" t="e">
        <f>IF(P18=0,0,COUNTIF(#REF!,"LEPTOR")*100/P18)</f>
        <v>#REF!</v>
      </c>
      <c r="AT18" t="e">
        <f>IF(P18=0,0,COUNTIF(#REF!,"LEPTOS")*100/P18)</f>
        <v>#REF!</v>
      </c>
      <c r="AU18" s="29" t="e">
        <f>IF(P18=0,0,COUNTIF(#REF!,"LOBOPH")*100/P18)</f>
        <v>#REF!</v>
      </c>
      <c r="AV18" t="e">
        <f>IF(P18=0,0,COUNTIF(#REF!,"MERU")*100/P18)</f>
        <v>#REF!</v>
      </c>
      <c r="AW18" t="e">
        <f>IF(P18=0,0,COUNTIF(#REF!,"MILL")*100/P18)</f>
        <v>#REF!</v>
      </c>
      <c r="AX18" t="e">
        <f>IF(P18=0,0,COUNTIF(#REF!,"MONT")*100/P18)</f>
        <v>#REF!</v>
      </c>
      <c r="AY18" t="e">
        <f>IF(P18=0,0,COUNTIF(#REF!,"MONTI")*100/P18)</f>
        <v>#REF!</v>
      </c>
      <c r="AZ18" t="e">
        <f>IF(P18=0,0,COUNTIF(#REF!,"MYCED")*100/P18)</f>
        <v>#REF!</v>
      </c>
      <c r="BA18" t="e">
        <f>IF(P18=0,0,COUNTIF(#REF!,"OULO")*100/P18)</f>
        <v>#REF!</v>
      </c>
      <c r="BB18" t="e">
        <f>IF(P18=0,0,COUNTIF(#REF!,"OXYP")*100/P18)</f>
        <v>#REF!</v>
      </c>
      <c r="BC18" t="e">
        <f>IF(P18=0,0,COUNTIF(#REF!,"PLSIA")*100/P18)</f>
        <v>#REF!</v>
      </c>
      <c r="BD18" t="e">
        <f>IF(P18=0,0,COUNTIF(#REF!,"PACHY")*100/P18)</f>
        <v>#REF!</v>
      </c>
      <c r="BE18" t="e">
        <f>IF(P18=0,0,COUNTIF(#REF!,"PAV")*100/P18)</f>
        <v>#REF!</v>
      </c>
      <c r="BF18" t="e">
        <f>IF(P18=0,0,COUNTIF(#REF!,"PECT")*100/P18)</f>
        <v>#REF!</v>
      </c>
      <c r="BG18" t="e">
        <f>IF(P18=0,0,COUNTIF(#REF!,"PHYSO")*100/P18)</f>
        <v>#REF!</v>
      </c>
      <c r="BH18" t="e">
        <f>IF(P18=0,0,COUNTIF(#REF!,"PLAT")*100/P18)</f>
        <v>#REF!</v>
      </c>
      <c r="BI18" t="e">
        <f>IF(P18=0,0,COUNTIF(#REF!,"PLERO")*100/P18)</f>
        <v>#REF!</v>
      </c>
      <c r="BJ18" t="e">
        <f>IF(P18=0,0,COUNTIF(#REF!,"POC")*100/P18)</f>
        <v>#REF!</v>
      </c>
      <c r="BK18" t="e">
        <f>IF(P18=0,0,COUNTIF(#REF!,"POR")*100/P18)</f>
        <v>#REF!</v>
      </c>
      <c r="BL18" t="e">
        <f>IF(P18=0,0,COUNTIF(#REF!,"PORCYL")*100/P18)</f>
        <v>#REF!</v>
      </c>
      <c r="BM18" t="e">
        <f>IF(P18=0,0,COUNTIF(#REF!,"PORMAS")*100/P18)</f>
        <v>#REF!</v>
      </c>
      <c r="BN18" t="e">
        <f>IF(P18=0,0,COUNTIF(#REF!,"PORRUS")*100/P18)</f>
        <v>#REF!</v>
      </c>
      <c r="BO18" t="e">
        <f>IF(P18=0,0,COUNTIF(#REF!,"PSAM")*100/P18)</f>
        <v>#REF!</v>
      </c>
      <c r="BP18" t="e">
        <f>IF(P18=0,0,COUNTIF(#REF!,"SANDO")*100/P18)</f>
        <v>#REF!</v>
      </c>
      <c r="BQ18" t="e">
        <f>IF(P18=0,0,COUNTIF(#REF!,"SCAP")*100/P18)</f>
        <v>#REF!</v>
      </c>
      <c r="BR18" t="e">
        <f>IF(P18=0,0,COUNTIF(#REF!,"SERIA")*100/P18)</f>
        <v>#REF!</v>
      </c>
      <c r="BS18" t="e">
        <f>IF(P18=0,0,COUNTIF(#REF!,"STYLC")*100/P18)</f>
        <v>#REF!</v>
      </c>
      <c r="BT18" t="e">
        <f>IF(P18=0,0,COUNTIF(#REF!,"STYLO")*100/P18)</f>
        <v>#REF!</v>
      </c>
      <c r="BU18" t="e">
        <f>IF(P18=0,0,COUNTIF(#REF!,"SYMP")*100/P18)</f>
        <v>#REF!</v>
      </c>
      <c r="BV18" t="e">
        <f>IF(P18=0,0,COUNTIF(#REF!,"TURBIN")*100/P18)</f>
        <v>#REF!</v>
      </c>
      <c r="BX18" t="e">
        <f>IF(P18=0,0,COUNTIF(#REF!,"ANEM")*100/P18)</f>
        <v>#REF!</v>
      </c>
      <c r="BY18" t="e">
        <f>IF(P18=0,0,COUNTIF(#REF!,"ASC")*100/P18)</f>
        <v>#REF!</v>
      </c>
      <c r="BZ18" t="e">
        <f>IF(P18=0,0,COUNTIF(#REF!,"CUPS")*100/P18)</f>
        <v>#REF!</v>
      </c>
      <c r="CA18" t="e">
        <f>IF(P18=0,0,COUNTIF(#REF!,"DISCO")*100/P18)</f>
        <v>#REF!</v>
      </c>
      <c r="CB18" t="e">
        <f>IF(P18=0,0,COUNTIF(#REF!,"DYS")*100/P18)</f>
        <v>#REF!</v>
      </c>
      <c r="CC18" t="e">
        <f>IF(P18=0,0,COUNTIF(#REF!,"G")*100/P18)</f>
        <v>#REF!</v>
      </c>
      <c r="CD18" t="e">
        <f>IF(P18=0,0,COUNTIF(#REF!,"NoIDINV")*100/P18)</f>
        <v>#REF!</v>
      </c>
      <c r="CE18" t="e">
        <f>IF(P18=0,0,COUNTIF(#REF!,"OLV")*100/P18)</f>
        <v>#REF!</v>
      </c>
      <c r="CF18" t="e">
        <f>IF(P18=0,0,COUNTIF(#REF!,"SC")*100/P18)</f>
        <v>#REF!</v>
      </c>
      <c r="CG18" t="e">
        <f>IF(P18=0,0,COUNTIF(#REF!,"S")*100/P18)</f>
        <v>#REF!</v>
      </c>
      <c r="CH18" t="e">
        <f>IF(P18=0,0,COUNTIF(#REF!,"TERPS")*100/P18)</f>
        <v>#REF!</v>
      </c>
      <c r="CI18" t="e">
        <f>IF(P18=0,0,COUNTIF(#REF!,"Z")*100/P18)</f>
        <v>#REF!</v>
      </c>
      <c r="CK18" t="e">
        <f>IF(P18=0,0,COUNTIF(#REF!,"ASP")*100/P18)</f>
        <v>#REF!</v>
      </c>
      <c r="CL18" t="e">
        <f>IF(P18=0,0,COUNTIF(#REF!,"BG")*100/P18)</f>
        <v>#REF!</v>
      </c>
      <c r="CM18" t="e">
        <f>IF(P18=0,0,COUNTIF(#REF!,"Bood")*100/P18)</f>
        <v>#REF!</v>
      </c>
      <c r="CN18" t="e">
        <f>IF(P18=0,0,COUNTIF(#REF!,"BRYP")*100/P18)</f>
        <v>#REF!</v>
      </c>
      <c r="CO18" t="e">
        <f>IF(P18=0,0,COUNTIF(#REF!,"CLP")*100/P18)</f>
        <v>#REF!</v>
      </c>
      <c r="CP18" t="e">
        <f>IF(P18=0,0,COUNTIF(#REF!,"CHLDES")*100/P18)</f>
        <v>#REF!</v>
      </c>
      <c r="CQ18" t="e">
        <f>IF(P18=0,0,COUNTIF(#REF!,"DYCTY")*100/P18)</f>
        <v>#REF!</v>
      </c>
      <c r="CR18" t="e">
        <f>IF(P18=0,0,COUNTIF(#REF!,"DICT")*100/P18)</f>
        <v>#REF!</v>
      </c>
      <c r="CS18" t="e">
        <f>IF(P18=0,0,COUNTIF(#REF!,"GLXU")*100/P18)</f>
        <v>#REF!</v>
      </c>
      <c r="CT18" t="e">
        <f>IF(P18=0,0,COUNTIF(#REF!,"HALI")*100/P18)</f>
        <v>#REF!</v>
      </c>
      <c r="CU18" t="e">
        <f>IF(P18=0,0,COUNTIF(#REF!,"LIAG")*100/P18)</f>
        <v>#REF!</v>
      </c>
      <c r="CV18" t="e">
        <f>IF(P18=0,0,COUNTIF(#REF!,"LOBO")*100/P18)</f>
        <v>#REF!</v>
      </c>
      <c r="CW18" t="e">
        <f>IF(P18=0,0,COUNTIF(#REF!,"MAST")*100/P18)</f>
        <v>#REF!</v>
      </c>
      <c r="CX18" t="e">
        <f>IF(P18=0,0,COUNTIF(#REF!,"MICDTY")*100/P18)</f>
        <v>#REF!</v>
      </c>
      <c r="CY18" t="e">
        <f>IF(P18=0,0,COUNTIF(#REF!,"NEOM")*100/P18)</f>
        <v>#REF!</v>
      </c>
      <c r="CZ18" t="e">
        <f>IF(P18=0,0,COUNTIF(#REF!,"NOIDMAC")*100/P18)</f>
        <v>#REF!</v>
      </c>
      <c r="DA18" t="e">
        <f>IF(P18=0,0,COUNTIF(#REF!,"PAD")*100/P18)</f>
        <v>#REF!</v>
      </c>
      <c r="DB18" t="e">
        <f>IF(P18=0,0,COUNTIF(#REF!,"SARG")*100/P18)</f>
        <v>#REF!</v>
      </c>
      <c r="DC18" t="e">
        <f>IF(P18=0,0,COUNTIF(#REF!,"SCHIZ")*100/P18)</f>
        <v>#REF!</v>
      </c>
      <c r="DD18" t="e">
        <f>IF(P18=0,0,COUNTIF(#REF!,"TURB")*100/P18)</f>
        <v>#REF!</v>
      </c>
      <c r="DE18" t="e">
        <f>IF(P18=0,0,COUNTIF(#REF!,"TYDM")*100/P18)</f>
        <v>#REF!</v>
      </c>
      <c r="DG18" t="e">
        <f>IF(P18=0,0,COUNTIF(#REF!,"AMP")*100/P18)</f>
        <v>#REF!</v>
      </c>
      <c r="DH18" t="e">
        <f>IF(P18=0,0,COUNTIF(#REF!,"BCA1")*100/P18)</f>
        <v>#REF!</v>
      </c>
      <c r="DI18" t="e">
        <f>IF(P18=0,0,COUNTIF(#REF!,"JAN")*100/P18)</f>
        <v>#REF!</v>
      </c>
      <c r="DK18" t="e">
        <f>IF(P18=0,0,COUNTIF(#REF!,"CCA1")*100/P18)</f>
        <v>#REF!</v>
      </c>
      <c r="DM18" t="e">
        <f>IF(P18=0,0,COUNTIF(#REF!,"Sand")*100/P18)</f>
        <v>#REF!</v>
      </c>
      <c r="DO18" t="e">
        <f>IF(P18=0,0,COUNTIF(#REF!,"FCA1")*100/P18)</f>
        <v>#REF!</v>
      </c>
      <c r="DQ18" t="e">
        <f>IF(P18=0,0,COUNTIF(#REF!,"CHRYOBRN")*100/P18)</f>
        <v>#REF!</v>
      </c>
      <c r="DS18" s="29" t="e">
        <f>IF(P18=0,0,COUNTIF(#REF!,"TURF")*100/P18)</f>
        <v>#REF!</v>
      </c>
      <c r="DU18" t="e">
        <f>COUNTIF(#REF!,"Shadow")*100/5</f>
        <v>#REF!</v>
      </c>
      <c r="DV18" t="e">
        <f>COUNTIF(#REF!,"Tape")*100/5</f>
        <v>#REF!</v>
      </c>
      <c r="DW18" t="e">
        <f>COUNTIF(#REF!,"Wand")*100/5</f>
        <v>#REF!</v>
      </c>
      <c r="DY18" t="e">
        <f>IF(P18=0,0,COUNTIF(#REF!,"BC")*100/P18)</f>
        <v>#REF!</v>
      </c>
    </row>
    <row r="19" spans="1:129">
      <c r="A19">
        <v>17</v>
      </c>
      <c r="B19" t="s">
        <v>56</v>
      </c>
      <c r="F19" s="29" t="e">
        <f>IF(P19=0,0,COUNTIF(#REF!,"C")*100/P19)</f>
        <v>#REF!</v>
      </c>
      <c r="G19" t="e">
        <f>IF(P19=0,0,COUNTIF(#REF!,"OI")*100/P19)</f>
        <v>#REF!</v>
      </c>
      <c r="H19" t="e">
        <f>IF(P19=0,0,COUNTIF(#REF!,"MA")*100/P19)</f>
        <v>#REF!</v>
      </c>
      <c r="I19" t="e">
        <f>IF(P19=0,0,COUNTIF(#REF!,"BCA")*100/P19)</f>
        <v>#REF!</v>
      </c>
      <c r="J19" s="29" t="e">
        <f>IF(P19=0,0,COUNTIF(#REF!,"CCA")*100/P19)</f>
        <v>#REF!</v>
      </c>
      <c r="K19" t="e">
        <f>IF(P19=0,0,COUNTIF(#REF!,"SD")*100/P19)</f>
        <v>#REF!</v>
      </c>
      <c r="L19" t="e">
        <f>IF(P19=0,0,COUNTIF(#REF!,"FCA")*100/P19)</f>
        <v>#REF!</v>
      </c>
      <c r="M19" t="e">
        <f>IF(P19=0,0,COUNTIF(#REF!,"CHRYS")*100/P19)</f>
        <v>#REF!</v>
      </c>
      <c r="N19" s="29" t="e">
        <f>IF(P19=0,0,COUNTIF(#REF!,"T")*100/P19)</f>
        <v>#REF!</v>
      </c>
      <c r="O19" t="e">
        <f>IF(P19=0,0,COUNTIF(#REF!,"TWS")*100/P19)</f>
        <v>#REF!</v>
      </c>
      <c r="P19" t="e">
        <f>5-COUNTIF(#REF!,"TWS")</f>
        <v>#REF!</v>
      </c>
      <c r="S19" t="e">
        <f>IF(P19=0,0,COUNTIF(#REF!,"ACAN")*100/P19)</f>
        <v>#REF!</v>
      </c>
      <c r="T19" t="e">
        <f>IF(P19=0,0,COUNTIF(#REF!,"ACROP")*100/P19)</f>
        <v>#REF!</v>
      </c>
      <c r="U19" t="e">
        <f>IF(P19=0,0,COUNTIF(#REF!,"ACROPARB")*100/P19)</f>
        <v>#REF!</v>
      </c>
      <c r="V19" t="e">
        <f>IF(P19=0,0,COUNTIF(#REF!,"ACROST")*100/P19)</f>
        <v>#REF!</v>
      </c>
      <c r="W19" s="29" t="e">
        <f>IF(P19=0,0,COUNTIF(#REF!,"ACROTBL")*100/P19)</f>
        <v>#REF!</v>
      </c>
      <c r="X19" t="e">
        <f>IF(P19=0,0,COUNTIF(#REF!,"ASTRP")*100/P19)</f>
        <v>#REF!</v>
      </c>
      <c r="Y19" t="e">
        <f>IF(P19=0,0,COUNTIF(#REF!,"CAUL")*100/P19)</f>
        <v>#REF!</v>
      </c>
      <c r="Z19" t="e">
        <f>IF(P19=0,0,COUNTIF(#REF!,"COSC")*100/P19)</f>
        <v>#REF!</v>
      </c>
      <c r="AA19" t="e">
        <f>IF(P19=0,0,COUNTIF(#REF!,"CTEN")*100/P19)</f>
        <v>#REF!</v>
      </c>
      <c r="AB19" t="e">
        <f>IF(P19=0,0,COUNTIF(#REF!,"CYPH")*100/P19)</f>
        <v>#REF!</v>
      </c>
      <c r="AC19" t="e">
        <f>IF(P19=0,0,COUNTIF(#REF!,"DIPLO")*100/P19)</f>
        <v>#REF!</v>
      </c>
      <c r="AD19" s="29" t="e">
        <f>IF(P19=0,0,COUNTIF(#REF!,"ECHPO")*100/P19)</f>
        <v>#REF!</v>
      </c>
      <c r="AE19" t="e">
        <f>IF(P19=0,0,COUNTIF(#REF!,"ECHPHY")*100/P19)</f>
        <v>#REF!</v>
      </c>
      <c r="AF19" t="e">
        <f>IF(P19=0,0,COUNTIF(#REF!,"EUPH")*100/P19)</f>
        <v>#REF!</v>
      </c>
      <c r="AG19" t="e">
        <f>IF(P19=0,0,COUNTIF(#REF!,"FAV")*100/P19)</f>
        <v>#REF!</v>
      </c>
      <c r="AH19" t="e">
        <f>IF(P19=0,0,COUNTIF(#REF!,"FAVT")*100/P19)</f>
        <v>#REF!</v>
      </c>
      <c r="AI19" t="e">
        <f>IF(P19=0,0,COUNTIF(#REF!,"FUNG")*100/P19)</f>
        <v>#REF!</v>
      </c>
      <c r="AJ19" t="e">
        <f>IF(P19=0,0,COUNTIF(#REF!,"GAL")*100/P19)</f>
        <v>#REF!</v>
      </c>
      <c r="AK19" t="e">
        <f>IF(P19=0,0,COUNTIF(#REF!,"GARD")*100/P19)</f>
        <v>#REF!</v>
      </c>
      <c r="AL19" t="e">
        <f>IF(P19=0,0,COUNTIF(#REF!,"GON")*100/P19)</f>
        <v>#REF!</v>
      </c>
      <c r="AM19" t="e">
        <f>IF(P19=0,0,COUNTIF(#REF!,"GONIO")*100/P19)</f>
        <v>#REF!</v>
      </c>
      <c r="AN19" t="e">
        <f>IF(P19=0,0,COUNTIF(#REF!,"HELIO")*100/P19)</f>
        <v>#REF!</v>
      </c>
      <c r="AO19" t="e">
        <f>IF(P19=0,0,COUNTIF(#REF!,"HERP")*100/P19)</f>
        <v>#REF!</v>
      </c>
      <c r="AP19" t="e">
        <f>IF(P19=0,0,COUNTIF(#REF!,"HYD")*100/P19)</f>
        <v>#REF!</v>
      </c>
      <c r="AQ19" t="e">
        <f>IF(P19=0,0,COUNTIF(#REF!,"ISOP")*100/P19)</f>
        <v>#REF!</v>
      </c>
      <c r="AR19" t="e">
        <f>IF(P19=0,0,COUNTIF(#REF!,"LEPT")*100/P19)</f>
        <v>#REF!</v>
      </c>
      <c r="AS19" t="e">
        <f>IF(P19=0,0,COUNTIF(#REF!,"LEPTOR")*100/P19)</f>
        <v>#REF!</v>
      </c>
      <c r="AT19" t="e">
        <f>IF(P19=0,0,COUNTIF(#REF!,"LEPTOS")*100/P19)</f>
        <v>#REF!</v>
      </c>
      <c r="AU19" t="e">
        <f>IF(P19=0,0,COUNTIF(#REF!,"LOBOPH")*100/P19)</f>
        <v>#REF!</v>
      </c>
      <c r="AV19" t="e">
        <f>IF(P19=0,0,COUNTIF(#REF!,"MERU")*100/P19)</f>
        <v>#REF!</v>
      </c>
      <c r="AW19" t="e">
        <f>IF(P19=0,0,COUNTIF(#REF!,"MILL")*100/P19)</f>
        <v>#REF!</v>
      </c>
      <c r="AX19" t="e">
        <f>IF(P19=0,0,COUNTIF(#REF!,"MONT")*100/P19)</f>
        <v>#REF!</v>
      </c>
      <c r="AY19" t="e">
        <f>IF(P19=0,0,COUNTIF(#REF!,"MONTI")*100/P19)</f>
        <v>#REF!</v>
      </c>
      <c r="AZ19" t="e">
        <f>IF(P19=0,0,COUNTIF(#REF!,"MYCED")*100/P19)</f>
        <v>#REF!</v>
      </c>
      <c r="BA19" t="e">
        <f>IF(P19=0,0,COUNTIF(#REF!,"OULO")*100/P19)</f>
        <v>#REF!</v>
      </c>
      <c r="BB19" t="e">
        <f>IF(P19=0,0,COUNTIF(#REF!,"OXYP")*100/P19)</f>
        <v>#REF!</v>
      </c>
      <c r="BC19" t="e">
        <f>IF(P19=0,0,COUNTIF(#REF!,"PLSIA")*100/P19)</f>
        <v>#REF!</v>
      </c>
      <c r="BD19" t="e">
        <f>IF(P19=0,0,COUNTIF(#REF!,"PACHY")*100/P19)</f>
        <v>#REF!</v>
      </c>
      <c r="BE19" t="e">
        <f>IF(P19=0,0,COUNTIF(#REF!,"PAV")*100/P19)</f>
        <v>#REF!</v>
      </c>
      <c r="BF19" t="e">
        <f>IF(P19=0,0,COUNTIF(#REF!,"PECT")*100/P19)</f>
        <v>#REF!</v>
      </c>
      <c r="BG19" t="e">
        <f>IF(P19=0,0,COUNTIF(#REF!,"PHYSO")*100/P19)</f>
        <v>#REF!</v>
      </c>
      <c r="BH19" t="e">
        <f>IF(P19=0,0,COUNTIF(#REF!,"PLAT")*100/P19)</f>
        <v>#REF!</v>
      </c>
      <c r="BI19" t="e">
        <f>IF(P19=0,0,COUNTIF(#REF!,"PLERO")*100/P19)</f>
        <v>#REF!</v>
      </c>
      <c r="BJ19" t="e">
        <f>IF(P19=0,0,COUNTIF(#REF!,"POC")*100/P19)</f>
        <v>#REF!</v>
      </c>
      <c r="BK19" t="e">
        <f>IF(P19=0,0,COUNTIF(#REF!,"POR")*100/P19)</f>
        <v>#REF!</v>
      </c>
      <c r="BL19" t="e">
        <f>IF(P19=0,0,COUNTIF(#REF!,"PORCYL")*100/P19)</f>
        <v>#REF!</v>
      </c>
      <c r="BM19" t="e">
        <f>IF(P19=0,0,COUNTIF(#REF!,"PORMAS")*100/P19)</f>
        <v>#REF!</v>
      </c>
      <c r="BN19" t="e">
        <f>IF(P19=0,0,COUNTIF(#REF!,"PORRUS")*100/P19)</f>
        <v>#REF!</v>
      </c>
      <c r="BO19" t="e">
        <f>IF(P19=0,0,COUNTIF(#REF!,"PSAM")*100/P19)</f>
        <v>#REF!</v>
      </c>
      <c r="BP19" t="e">
        <f>IF(P19=0,0,COUNTIF(#REF!,"SANDO")*100/P19)</f>
        <v>#REF!</v>
      </c>
      <c r="BQ19" t="e">
        <f>IF(P19=0,0,COUNTIF(#REF!,"SCAP")*100/P19)</f>
        <v>#REF!</v>
      </c>
      <c r="BR19" t="e">
        <f>IF(P19=0,0,COUNTIF(#REF!,"SERIA")*100/P19)</f>
        <v>#REF!</v>
      </c>
      <c r="BS19" t="e">
        <f>IF(P19=0,0,COUNTIF(#REF!,"STYLC")*100/P19)</f>
        <v>#REF!</v>
      </c>
      <c r="BT19" t="e">
        <f>IF(P19=0,0,COUNTIF(#REF!,"STYLO")*100/P19)</f>
        <v>#REF!</v>
      </c>
      <c r="BU19" t="e">
        <f>IF(P19=0,0,COUNTIF(#REF!,"SYMP")*100/P19)</f>
        <v>#REF!</v>
      </c>
      <c r="BV19" t="e">
        <f>IF(P19=0,0,COUNTIF(#REF!,"TURBIN")*100/P19)</f>
        <v>#REF!</v>
      </c>
      <c r="BX19" t="e">
        <f>IF(P19=0,0,COUNTIF(#REF!,"ANEM")*100/P19)</f>
        <v>#REF!</v>
      </c>
      <c r="BY19" t="e">
        <f>IF(P19=0,0,COUNTIF(#REF!,"ASC")*100/P19)</f>
        <v>#REF!</v>
      </c>
      <c r="BZ19" t="e">
        <f>IF(P19=0,0,COUNTIF(#REF!,"CUPS")*100/P19)</f>
        <v>#REF!</v>
      </c>
      <c r="CA19" t="e">
        <f>IF(P19=0,0,COUNTIF(#REF!,"DISCO")*100/P19)</f>
        <v>#REF!</v>
      </c>
      <c r="CB19" t="e">
        <f>IF(P19=0,0,COUNTIF(#REF!,"DYS")*100/P19)</f>
        <v>#REF!</v>
      </c>
      <c r="CC19" t="e">
        <f>IF(P19=0,0,COUNTIF(#REF!,"G")*100/P19)</f>
        <v>#REF!</v>
      </c>
      <c r="CD19" t="e">
        <f>IF(P19=0,0,COUNTIF(#REF!,"NoIDINV")*100/P19)</f>
        <v>#REF!</v>
      </c>
      <c r="CE19" t="e">
        <f>IF(P19=0,0,COUNTIF(#REF!,"OLV")*100/P19)</f>
        <v>#REF!</v>
      </c>
      <c r="CF19" t="e">
        <f>IF(P19=0,0,COUNTIF(#REF!,"SC")*100/P19)</f>
        <v>#REF!</v>
      </c>
      <c r="CG19" t="e">
        <f>IF(P19=0,0,COUNTIF(#REF!,"S")*100/P19)</f>
        <v>#REF!</v>
      </c>
      <c r="CH19" t="e">
        <f>IF(P19=0,0,COUNTIF(#REF!,"TERPS")*100/P19)</f>
        <v>#REF!</v>
      </c>
      <c r="CI19" t="e">
        <f>IF(P19=0,0,COUNTIF(#REF!,"Z")*100/P19)</f>
        <v>#REF!</v>
      </c>
      <c r="CK19" t="e">
        <f>IF(P19=0,0,COUNTIF(#REF!,"ASP")*100/P19)</f>
        <v>#REF!</v>
      </c>
      <c r="CL19" t="e">
        <f>IF(P19=0,0,COUNTIF(#REF!,"BG")*100/P19)</f>
        <v>#REF!</v>
      </c>
      <c r="CM19" t="e">
        <f>IF(P19=0,0,COUNTIF(#REF!,"Bood")*100/P19)</f>
        <v>#REF!</v>
      </c>
      <c r="CN19" t="e">
        <f>IF(P19=0,0,COUNTIF(#REF!,"BRYP")*100/P19)</f>
        <v>#REF!</v>
      </c>
      <c r="CO19" t="e">
        <f>IF(P19=0,0,COUNTIF(#REF!,"CLP")*100/P19)</f>
        <v>#REF!</v>
      </c>
      <c r="CP19" t="e">
        <f>IF(P19=0,0,COUNTIF(#REF!,"CHLDES")*100/P19)</f>
        <v>#REF!</v>
      </c>
      <c r="CQ19" t="e">
        <f>IF(P19=0,0,COUNTIF(#REF!,"DYCTY")*100/P19)</f>
        <v>#REF!</v>
      </c>
      <c r="CR19" t="e">
        <f>IF(P19=0,0,COUNTIF(#REF!,"DICT")*100/P19)</f>
        <v>#REF!</v>
      </c>
      <c r="CS19" t="e">
        <f>IF(P19=0,0,COUNTIF(#REF!,"GLXU")*100/P19)</f>
        <v>#REF!</v>
      </c>
      <c r="CT19" t="e">
        <f>IF(P19=0,0,COUNTIF(#REF!,"HALI")*100/P19)</f>
        <v>#REF!</v>
      </c>
      <c r="CU19" t="e">
        <f>IF(P19=0,0,COUNTIF(#REF!,"LIAG")*100/P19)</f>
        <v>#REF!</v>
      </c>
      <c r="CV19" t="e">
        <f>IF(P19=0,0,COUNTIF(#REF!,"LOBO")*100/P19)</f>
        <v>#REF!</v>
      </c>
      <c r="CW19" t="e">
        <f>IF(P19=0,0,COUNTIF(#REF!,"MAST")*100/P19)</f>
        <v>#REF!</v>
      </c>
      <c r="CX19" t="e">
        <f>IF(P19=0,0,COUNTIF(#REF!,"MICDTY")*100/P19)</f>
        <v>#REF!</v>
      </c>
      <c r="CY19" t="e">
        <f>IF(P19=0,0,COUNTIF(#REF!,"NEOM")*100/P19)</f>
        <v>#REF!</v>
      </c>
      <c r="CZ19" t="e">
        <f>IF(P19=0,0,COUNTIF(#REF!,"NOIDMAC")*100/P19)</f>
        <v>#REF!</v>
      </c>
      <c r="DA19" t="e">
        <f>IF(P19=0,0,COUNTIF(#REF!,"PAD")*100/P19)</f>
        <v>#REF!</v>
      </c>
      <c r="DB19" t="e">
        <f>IF(P19=0,0,COUNTIF(#REF!,"SARG")*100/P19)</f>
        <v>#REF!</v>
      </c>
      <c r="DC19" t="e">
        <f>IF(P19=0,0,COUNTIF(#REF!,"SCHIZ")*100/P19)</f>
        <v>#REF!</v>
      </c>
      <c r="DD19" t="e">
        <f>IF(P19=0,0,COUNTIF(#REF!,"TURB")*100/P19)</f>
        <v>#REF!</v>
      </c>
      <c r="DE19" t="e">
        <f>IF(P19=0,0,COUNTIF(#REF!,"TYDM")*100/P19)</f>
        <v>#REF!</v>
      </c>
      <c r="DG19" t="e">
        <f>IF(P19=0,0,COUNTIF(#REF!,"AMP")*100/P19)</f>
        <v>#REF!</v>
      </c>
      <c r="DH19" t="e">
        <f>IF(P19=0,0,COUNTIF(#REF!,"BCA1")*100/P19)</f>
        <v>#REF!</v>
      </c>
      <c r="DI19" t="e">
        <f>IF(P19=0,0,COUNTIF(#REF!,"JAN")*100/P19)</f>
        <v>#REF!</v>
      </c>
      <c r="DK19" s="29" t="e">
        <f>IF(P19=0,0,COUNTIF(#REF!,"CCA1")*100/P19)</f>
        <v>#REF!</v>
      </c>
      <c r="DM19" t="e">
        <f>IF(P19=0,0,COUNTIF(#REF!,"Sand")*100/P19)</f>
        <v>#REF!</v>
      </c>
      <c r="DO19" t="e">
        <f>IF(P19=0,0,COUNTIF(#REF!,"FCA1")*100/P19)</f>
        <v>#REF!</v>
      </c>
      <c r="DQ19" t="e">
        <f>IF(P19=0,0,COUNTIF(#REF!,"CHRYOBRN")*100/P19)</f>
        <v>#REF!</v>
      </c>
      <c r="DS19" s="29" t="e">
        <f>IF(P19=0,0,COUNTIF(#REF!,"TURF")*100/P19)</f>
        <v>#REF!</v>
      </c>
      <c r="DU19" t="e">
        <f>COUNTIF(#REF!,"Shadow")*100/5</f>
        <v>#REF!</v>
      </c>
      <c r="DV19" t="e">
        <f>COUNTIF(#REF!,"Tape")*100/5</f>
        <v>#REF!</v>
      </c>
      <c r="DW19" t="e">
        <f>COUNTIF(#REF!,"Wand")*100/5</f>
        <v>#REF!</v>
      </c>
      <c r="DY19" t="e">
        <f>IF(P19=0,0,COUNTIF(#REF!,"BC")*100/P19)</f>
        <v>#REF!</v>
      </c>
    </row>
    <row r="20" spans="1:129">
      <c r="A20">
        <v>18</v>
      </c>
      <c r="B20" t="s">
        <v>57</v>
      </c>
      <c r="F20" s="29" t="e">
        <f>IF(P20=0,0,COUNTIF(#REF!,"C")*100/P20)</f>
        <v>#REF!</v>
      </c>
      <c r="G20" t="e">
        <f>IF(P20=0,0,COUNTIF(#REF!,"OI")*100/P20)</f>
        <v>#REF!</v>
      </c>
      <c r="H20" t="e">
        <f>IF(P20=0,0,COUNTIF(#REF!,"MA")*100/P20)</f>
        <v>#REF!</v>
      </c>
      <c r="I20" t="e">
        <f>IF(P20=0,0,COUNTIF(#REF!,"BCA")*100/P20)</f>
        <v>#REF!</v>
      </c>
      <c r="J20" s="29" t="e">
        <f>IF(P20=0,0,COUNTIF(#REF!,"CCA")*100/P20)</f>
        <v>#REF!</v>
      </c>
      <c r="K20" t="e">
        <f>IF(P20=0,0,COUNTIF(#REF!,"SD")*100/P20)</f>
        <v>#REF!</v>
      </c>
      <c r="L20" t="e">
        <f>IF(P20=0,0,COUNTIF(#REF!,"FCA")*100/P20)</f>
        <v>#REF!</v>
      </c>
      <c r="M20" t="e">
        <f>IF(P20=0,0,COUNTIF(#REF!,"CHRYS")*100/P20)</f>
        <v>#REF!</v>
      </c>
      <c r="N20" s="29" t="e">
        <f>IF(P20=0,0,COUNTIF(#REF!,"T")*100/P20)</f>
        <v>#REF!</v>
      </c>
      <c r="O20" t="e">
        <f>IF(P20=0,0,COUNTIF(#REF!,"TWS")*100/P20)</f>
        <v>#REF!</v>
      </c>
      <c r="P20" t="e">
        <f>5-COUNTIF(#REF!,"TWS")</f>
        <v>#REF!</v>
      </c>
      <c r="S20" t="e">
        <f>IF(P20=0,0,COUNTIF(#REF!,"ACAN")*100/P20)</f>
        <v>#REF!</v>
      </c>
      <c r="T20" t="e">
        <f>IF(P20=0,0,COUNTIF(#REF!,"ACROP")*100/P20)</f>
        <v>#REF!</v>
      </c>
      <c r="U20" t="e">
        <f>IF(P20=0,0,COUNTIF(#REF!,"ACROPARB")*100/P20)</f>
        <v>#REF!</v>
      </c>
      <c r="V20" t="e">
        <f>IF(P20=0,0,COUNTIF(#REF!,"ACROST")*100/P20)</f>
        <v>#REF!</v>
      </c>
      <c r="W20" s="29" t="e">
        <f>IF(P20=0,0,COUNTIF(#REF!,"ACROTBL")*100/P20)</f>
        <v>#REF!</v>
      </c>
      <c r="X20" t="e">
        <f>IF(P20=0,0,COUNTIF(#REF!,"ASTRP")*100/P20)</f>
        <v>#REF!</v>
      </c>
      <c r="Y20" t="e">
        <f>IF(P20=0,0,COUNTIF(#REF!,"CAUL")*100/P20)</f>
        <v>#REF!</v>
      </c>
      <c r="Z20" t="e">
        <f>IF(P20=0,0,COUNTIF(#REF!,"COSC")*100/P20)</f>
        <v>#REF!</v>
      </c>
      <c r="AA20" t="e">
        <f>IF(P20=0,0,COUNTIF(#REF!,"CTEN")*100/P20)</f>
        <v>#REF!</v>
      </c>
      <c r="AB20" t="e">
        <f>IF(P20=0,0,COUNTIF(#REF!,"CYPH")*100/P20)</f>
        <v>#REF!</v>
      </c>
      <c r="AC20" t="e">
        <f>IF(P20=0,0,COUNTIF(#REF!,"DIPLO")*100/P20)</f>
        <v>#REF!</v>
      </c>
      <c r="AD20" t="e">
        <f>IF(P20=0,0,COUNTIF(#REF!,"ECHPO")*100/P20)</f>
        <v>#REF!</v>
      </c>
      <c r="AE20" t="e">
        <f>IF(P20=0,0,COUNTIF(#REF!,"ECHPHY")*100/P20)</f>
        <v>#REF!</v>
      </c>
      <c r="AF20" t="e">
        <f>IF(P20=0,0,COUNTIF(#REF!,"EUPH")*100/P20)</f>
        <v>#REF!</v>
      </c>
      <c r="AG20" t="e">
        <f>IF(P20=0,0,COUNTIF(#REF!,"FAV")*100/P20)</f>
        <v>#REF!</v>
      </c>
      <c r="AH20" t="e">
        <f>IF(P20=0,0,COUNTIF(#REF!,"FAVT")*100/P20)</f>
        <v>#REF!</v>
      </c>
      <c r="AI20" t="e">
        <f>IF(P20=0,0,COUNTIF(#REF!,"FUNG")*100/P20)</f>
        <v>#REF!</v>
      </c>
      <c r="AJ20" t="e">
        <f>IF(P20=0,0,COUNTIF(#REF!,"GAL")*100/P20)</f>
        <v>#REF!</v>
      </c>
      <c r="AK20" t="e">
        <f>IF(P20=0,0,COUNTIF(#REF!,"GARD")*100/P20)</f>
        <v>#REF!</v>
      </c>
      <c r="AL20" t="e">
        <f>IF(P20=0,0,COUNTIF(#REF!,"GON")*100/P20)</f>
        <v>#REF!</v>
      </c>
      <c r="AM20" t="e">
        <f>IF(P20=0,0,COUNTIF(#REF!,"GONIO")*100/P20)</f>
        <v>#REF!</v>
      </c>
      <c r="AN20" t="e">
        <f>IF(P20=0,0,COUNTIF(#REF!,"HELIO")*100/P20)</f>
        <v>#REF!</v>
      </c>
      <c r="AO20" t="e">
        <f>IF(P20=0,0,COUNTIF(#REF!,"HERP")*100/P20)</f>
        <v>#REF!</v>
      </c>
      <c r="AP20" t="e">
        <f>IF(P20=0,0,COUNTIF(#REF!,"HYD")*100/P20)</f>
        <v>#REF!</v>
      </c>
      <c r="AQ20" t="e">
        <f>IF(P20=0,0,COUNTIF(#REF!,"ISOP")*100/P20)</f>
        <v>#REF!</v>
      </c>
      <c r="AR20" t="e">
        <f>IF(P20=0,0,COUNTIF(#REF!,"LEPT")*100/P20)</f>
        <v>#REF!</v>
      </c>
      <c r="AS20" s="29" t="e">
        <f>IF(P20=0,0,COUNTIF(#REF!,"LEPTOR")*100/P20)</f>
        <v>#REF!</v>
      </c>
      <c r="AT20" t="e">
        <f>IF(P20=0,0,COUNTIF(#REF!,"LEPTOS")*100/P20)</f>
        <v>#REF!</v>
      </c>
      <c r="AU20" t="e">
        <f>IF(P20=0,0,COUNTIF(#REF!,"LOBOPH")*100/P20)</f>
        <v>#REF!</v>
      </c>
      <c r="AV20" t="e">
        <f>IF(P20=0,0,COUNTIF(#REF!,"MERU")*100/P20)</f>
        <v>#REF!</v>
      </c>
      <c r="AW20" t="e">
        <f>IF(P20=0,0,COUNTIF(#REF!,"MILL")*100/P20)</f>
        <v>#REF!</v>
      </c>
      <c r="AX20" t="e">
        <f>IF(P20=0,0,COUNTIF(#REF!,"MONT")*100/P20)</f>
        <v>#REF!</v>
      </c>
      <c r="AY20" t="e">
        <f>IF(P20=0,0,COUNTIF(#REF!,"MONTI")*100/P20)</f>
        <v>#REF!</v>
      </c>
      <c r="AZ20" t="e">
        <f>IF(P20=0,0,COUNTIF(#REF!,"MYCED")*100/P20)</f>
        <v>#REF!</v>
      </c>
      <c r="BA20" t="e">
        <f>IF(P20=0,0,COUNTIF(#REF!,"OULO")*100/P20)</f>
        <v>#REF!</v>
      </c>
      <c r="BB20" t="e">
        <f>IF(P20=0,0,COUNTIF(#REF!,"OXYP")*100/P20)</f>
        <v>#REF!</v>
      </c>
      <c r="BC20" t="e">
        <f>IF(P20=0,0,COUNTIF(#REF!,"PLSIA")*100/P20)</f>
        <v>#REF!</v>
      </c>
      <c r="BD20" t="e">
        <f>IF(P20=0,0,COUNTIF(#REF!,"PACHY")*100/P20)</f>
        <v>#REF!</v>
      </c>
      <c r="BE20" t="e">
        <f>IF(P20=0,0,COUNTIF(#REF!,"PAV")*100/P20)</f>
        <v>#REF!</v>
      </c>
      <c r="BF20" t="e">
        <f>IF(P20=0,0,COUNTIF(#REF!,"PECT")*100/P20)</f>
        <v>#REF!</v>
      </c>
      <c r="BG20" t="e">
        <f>IF(P20=0,0,COUNTIF(#REF!,"PHYSO")*100/P20)</f>
        <v>#REF!</v>
      </c>
      <c r="BH20" t="e">
        <f>IF(P20=0,0,COUNTIF(#REF!,"PLAT")*100/P20)</f>
        <v>#REF!</v>
      </c>
      <c r="BI20" t="e">
        <f>IF(P20=0,0,COUNTIF(#REF!,"PLERO")*100/P20)</f>
        <v>#REF!</v>
      </c>
      <c r="BJ20" t="e">
        <f>IF(P20=0,0,COUNTIF(#REF!,"POC")*100/P20)</f>
        <v>#REF!</v>
      </c>
      <c r="BK20" t="e">
        <f>IF(P20=0,0,COUNTIF(#REF!,"POR")*100/P20)</f>
        <v>#REF!</v>
      </c>
      <c r="BL20" t="e">
        <f>IF(P20=0,0,COUNTIF(#REF!,"PORCYL")*100/P20)</f>
        <v>#REF!</v>
      </c>
      <c r="BM20" t="e">
        <f>IF(P20=0,0,COUNTIF(#REF!,"PORMAS")*100/P20)</f>
        <v>#REF!</v>
      </c>
      <c r="BN20" t="e">
        <f>IF(P20=0,0,COUNTIF(#REF!,"PORRUS")*100/P20)</f>
        <v>#REF!</v>
      </c>
      <c r="BO20" t="e">
        <f>IF(P20=0,0,COUNTIF(#REF!,"PSAM")*100/P20)</f>
        <v>#REF!</v>
      </c>
      <c r="BP20" t="e">
        <f>IF(P20=0,0,COUNTIF(#REF!,"SANDO")*100/P20)</f>
        <v>#REF!</v>
      </c>
      <c r="BQ20" t="e">
        <f>IF(P20=0,0,COUNTIF(#REF!,"SCAP")*100/P20)</f>
        <v>#REF!</v>
      </c>
      <c r="BR20" t="e">
        <f>IF(P20=0,0,COUNTIF(#REF!,"SERIA")*100/P20)</f>
        <v>#REF!</v>
      </c>
      <c r="BS20" t="e">
        <f>IF(P20=0,0,COUNTIF(#REF!,"STYLC")*100/P20)</f>
        <v>#REF!</v>
      </c>
      <c r="BT20" t="e">
        <f>IF(P20=0,0,COUNTIF(#REF!,"STYLO")*100/P20)</f>
        <v>#REF!</v>
      </c>
      <c r="BU20" t="e">
        <f>IF(P20=0,0,COUNTIF(#REF!,"SYMP")*100/P20)</f>
        <v>#REF!</v>
      </c>
      <c r="BV20" t="e">
        <f>IF(P20=0,0,COUNTIF(#REF!,"TURBIN")*100/P20)</f>
        <v>#REF!</v>
      </c>
      <c r="BX20" t="e">
        <f>IF(P20=0,0,COUNTIF(#REF!,"ANEM")*100/P20)</f>
        <v>#REF!</v>
      </c>
      <c r="BY20" t="e">
        <f>IF(P20=0,0,COUNTIF(#REF!,"ASC")*100/P20)</f>
        <v>#REF!</v>
      </c>
      <c r="BZ20" t="e">
        <f>IF(P20=0,0,COUNTIF(#REF!,"CUPS")*100/P20)</f>
        <v>#REF!</v>
      </c>
      <c r="CA20" t="e">
        <f>IF(P20=0,0,COUNTIF(#REF!,"DISCO")*100/P20)</f>
        <v>#REF!</v>
      </c>
      <c r="CB20" t="e">
        <f>IF(P20=0,0,COUNTIF(#REF!,"DYS")*100/P20)</f>
        <v>#REF!</v>
      </c>
      <c r="CC20" t="e">
        <f>IF(P20=0,0,COUNTIF(#REF!,"G")*100/P20)</f>
        <v>#REF!</v>
      </c>
      <c r="CD20" t="e">
        <f>IF(P20=0,0,COUNTIF(#REF!,"NoIDINV")*100/P20)</f>
        <v>#REF!</v>
      </c>
      <c r="CE20" t="e">
        <f>IF(P20=0,0,COUNTIF(#REF!,"OLV")*100/P20)</f>
        <v>#REF!</v>
      </c>
      <c r="CF20" t="e">
        <f>IF(P20=0,0,COUNTIF(#REF!,"SC")*100/P20)</f>
        <v>#REF!</v>
      </c>
      <c r="CG20" t="e">
        <f>IF(P20=0,0,COUNTIF(#REF!,"S")*100/P20)</f>
        <v>#REF!</v>
      </c>
      <c r="CH20" t="e">
        <f>IF(P20=0,0,COUNTIF(#REF!,"TERPS")*100/P20)</f>
        <v>#REF!</v>
      </c>
      <c r="CI20" t="e">
        <f>IF(P20=0,0,COUNTIF(#REF!,"Z")*100/P20)</f>
        <v>#REF!</v>
      </c>
      <c r="CK20" t="e">
        <f>IF(P20=0,0,COUNTIF(#REF!,"ASP")*100/P20)</f>
        <v>#REF!</v>
      </c>
      <c r="CL20" t="e">
        <f>IF(P20=0,0,COUNTIF(#REF!,"BG")*100/P20)</f>
        <v>#REF!</v>
      </c>
      <c r="CM20" t="e">
        <f>IF(P20=0,0,COUNTIF(#REF!,"Bood")*100/P20)</f>
        <v>#REF!</v>
      </c>
      <c r="CN20" t="e">
        <f>IF(P20=0,0,COUNTIF(#REF!,"BRYP")*100/P20)</f>
        <v>#REF!</v>
      </c>
      <c r="CO20" t="e">
        <f>IF(P20=0,0,COUNTIF(#REF!,"CLP")*100/P20)</f>
        <v>#REF!</v>
      </c>
      <c r="CP20" t="e">
        <f>IF(P20=0,0,COUNTIF(#REF!,"CHLDES")*100/P20)</f>
        <v>#REF!</v>
      </c>
      <c r="CQ20" t="e">
        <f>IF(P20=0,0,COUNTIF(#REF!,"DYCTY")*100/P20)</f>
        <v>#REF!</v>
      </c>
      <c r="CR20" t="e">
        <f>IF(P20=0,0,COUNTIF(#REF!,"DICT")*100/P20)</f>
        <v>#REF!</v>
      </c>
      <c r="CS20" t="e">
        <f>IF(P20=0,0,COUNTIF(#REF!,"GLXU")*100/P20)</f>
        <v>#REF!</v>
      </c>
      <c r="CT20" t="e">
        <f>IF(P20=0,0,COUNTIF(#REF!,"HALI")*100/P20)</f>
        <v>#REF!</v>
      </c>
      <c r="CU20" t="e">
        <f>IF(P20=0,0,COUNTIF(#REF!,"LIAG")*100/P20)</f>
        <v>#REF!</v>
      </c>
      <c r="CV20" t="e">
        <f>IF(P20=0,0,COUNTIF(#REF!,"LOBO")*100/P20)</f>
        <v>#REF!</v>
      </c>
      <c r="CW20" t="e">
        <f>IF(P20=0,0,COUNTIF(#REF!,"MAST")*100/P20)</f>
        <v>#REF!</v>
      </c>
      <c r="CX20" t="e">
        <f>IF(P20=0,0,COUNTIF(#REF!,"MICDTY")*100/P20)</f>
        <v>#REF!</v>
      </c>
      <c r="CY20" t="e">
        <f>IF(P20=0,0,COUNTIF(#REF!,"NEOM")*100/P20)</f>
        <v>#REF!</v>
      </c>
      <c r="CZ20" t="e">
        <f>IF(P20=0,0,COUNTIF(#REF!,"NOIDMAC")*100/P20)</f>
        <v>#REF!</v>
      </c>
      <c r="DA20" t="e">
        <f>IF(P20=0,0,COUNTIF(#REF!,"PAD")*100/P20)</f>
        <v>#REF!</v>
      </c>
      <c r="DB20" t="e">
        <f>IF(P20=0,0,COUNTIF(#REF!,"SARG")*100/P20)</f>
        <v>#REF!</v>
      </c>
      <c r="DC20" t="e">
        <f>IF(P20=0,0,COUNTIF(#REF!,"SCHIZ")*100/P20)</f>
        <v>#REF!</v>
      </c>
      <c r="DD20" t="e">
        <f>IF(P20=0,0,COUNTIF(#REF!,"TURB")*100/P20)</f>
        <v>#REF!</v>
      </c>
      <c r="DE20" t="e">
        <f>IF(P20=0,0,COUNTIF(#REF!,"TYDM")*100/P20)</f>
        <v>#REF!</v>
      </c>
      <c r="DG20" t="e">
        <f>IF(P20=0,0,COUNTIF(#REF!,"AMP")*100/P20)</f>
        <v>#REF!</v>
      </c>
      <c r="DH20" t="e">
        <f>IF(P20=0,0,COUNTIF(#REF!,"BCA1")*100/P20)</f>
        <v>#REF!</v>
      </c>
      <c r="DI20" t="e">
        <f>IF(P20=0,0,COUNTIF(#REF!,"JAN")*100/P20)</f>
        <v>#REF!</v>
      </c>
      <c r="DK20" s="29" t="e">
        <f>IF(P20=0,0,COUNTIF(#REF!,"CCA1")*100/P20)</f>
        <v>#REF!</v>
      </c>
      <c r="DM20" t="e">
        <f>IF(P20=0,0,COUNTIF(#REF!,"Sand")*100/P20)</f>
        <v>#REF!</v>
      </c>
      <c r="DO20" t="e">
        <f>IF(P20=0,0,COUNTIF(#REF!,"FCA1")*100/P20)</f>
        <v>#REF!</v>
      </c>
      <c r="DQ20" t="e">
        <f>IF(P20=0,0,COUNTIF(#REF!,"CHRYOBRN")*100/P20)</f>
        <v>#REF!</v>
      </c>
      <c r="DS20" s="29" t="e">
        <f>IF(P20=0,0,COUNTIF(#REF!,"TURF")*100/P20)</f>
        <v>#REF!</v>
      </c>
      <c r="DU20" t="e">
        <f>COUNTIF(#REF!,"Shadow")*100/5</f>
        <v>#REF!</v>
      </c>
      <c r="DV20" t="e">
        <f>COUNTIF(#REF!,"Tape")*100/5</f>
        <v>#REF!</v>
      </c>
      <c r="DW20" t="e">
        <f>COUNTIF(#REF!,"Wand")*100/5</f>
        <v>#REF!</v>
      </c>
      <c r="DY20" t="e">
        <f>IF(P20=0,0,COUNTIF(#REF!,"BC")*100/P20)</f>
        <v>#REF!</v>
      </c>
    </row>
    <row r="21" spans="1:129">
      <c r="A21">
        <v>19</v>
      </c>
      <c r="B21" t="s">
        <v>58</v>
      </c>
      <c r="F21" s="29" t="e">
        <f>IF(P21=0,0,COUNTIF(#REF!,"C")*100/P21)</f>
        <v>#REF!</v>
      </c>
      <c r="G21" t="e">
        <f>IF(P21=0,0,COUNTIF(#REF!,"OI")*100/P21)</f>
        <v>#REF!</v>
      </c>
      <c r="H21" t="e">
        <f>IF(P21=0,0,COUNTIF(#REF!,"MA")*100/P21)</f>
        <v>#REF!</v>
      </c>
      <c r="I21" t="e">
        <f>IF(P21=0,0,COUNTIF(#REF!,"BCA")*100/P21)</f>
        <v>#REF!</v>
      </c>
      <c r="J21" s="29" t="e">
        <f>IF(P21=0,0,COUNTIF(#REF!,"CCA")*100/P21)</f>
        <v>#REF!</v>
      </c>
      <c r="K21" t="e">
        <f>IF(P21=0,0,COUNTIF(#REF!,"SD")*100/P21)</f>
        <v>#REF!</v>
      </c>
      <c r="L21" t="e">
        <f>IF(P21=0,0,COUNTIF(#REF!,"FCA")*100/P21)</f>
        <v>#REF!</v>
      </c>
      <c r="M21" t="e">
        <f>IF(P21=0,0,COUNTIF(#REF!,"CHRYS")*100/P21)</f>
        <v>#REF!</v>
      </c>
      <c r="N21" s="29" t="e">
        <f>IF(P21=0,0,COUNTIF(#REF!,"T")*100/P21)</f>
        <v>#REF!</v>
      </c>
      <c r="O21" t="e">
        <f>IF(P21=0,0,COUNTIF(#REF!,"TWS")*100/P21)</f>
        <v>#REF!</v>
      </c>
      <c r="P21" t="e">
        <f>5-COUNTIF(#REF!,"TWS")</f>
        <v>#REF!</v>
      </c>
      <c r="S21" t="e">
        <f>IF(P21=0,0,COUNTIF(#REF!,"ACAN")*100/P21)</f>
        <v>#REF!</v>
      </c>
      <c r="T21" t="e">
        <f>IF(P21=0,0,COUNTIF(#REF!,"ACROP")*100/P21)</f>
        <v>#REF!</v>
      </c>
      <c r="U21" t="e">
        <f>IF(P21=0,0,COUNTIF(#REF!,"ACROPARB")*100/P21)</f>
        <v>#REF!</v>
      </c>
      <c r="V21" t="e">
        <f>IF(P21=0,0,COUNTIF(#REF!,"ACROST")*100/P21)</f>
        <v>#REF!</v>
      </c>
      <c r="W21" t="e">
        <f>IF(P21=0,0,COUNTIF(#REF!,"ACROTBL")*100/P21)</f>
        <v>#REF!</v>
      </c>
      <c r="X21" t="e">
        <f>IF(P21=0,0,COUNTIF(#REF!,"ASTRP")*100/P21)</f>
        <v>#REF!</v>
      </c>
      <c r="Y21" t="e">
        <f>IF(P21=0,0,COUNTIF(#REF!,"CAUL")*100/P21)</f>
        <v>#REF!</v>
      </c>
      <c r="Z21" t="e">
        <f>IF(P21=0,0,COUNTIF(#REF!,"COSC")*100/P21)</f>
        <v>#REF!</v>
      </c>
      <c r="AA21" t="e">
        <f>IF(P21=0,0,COUNTIF(#REF!,"CTEN")*100/P21)</f>
        <v>#REF!</v>
      </c>
      <c r="AB21" t="e">
        <f>IF(P21=0,0,COUNTIF(#REF!,"CYPH")*100/P21)</f>
        <v>#REF!</v>
      </c>
      <c r="AC21" t="e">
        <f>IF(P21=0,0,COUNTIF(#REF!,"DIPLO")*100/P21)</f>
        <v>#REF!</v>
      </c>
      <c r="AD21" t="e">
        <f>IF(P21=0,0,COUNTIF(#REF!,"ECHPO")*100/P21)</f>
        <v>#REF!</v>
      </c>
      <c r="AE21" t="e">
        <f>IF(P21=0,0,COUNTIF(#REF!,"ECHPHY")*100/P21)</f>
        <v>#REF!</v>
      </c>
      <c r="AF21" t="e">
        <f>IF(P21=0,0,COUNTIF(#REF!,"EUPH")*100/P21)</f>
        <v>#REF!</v>
      </c>
      <c r="AG21" s="29" t="e">
        <f>IF(P21=0,0,COUNTIF(#REF!,"FAV")*100/P21)</f>
        <v>#REF!</v>
      </c>
      <c r="AH21" t="e">
        <f>IF(P21=0,0,COUNTIF(#REF!,"FAVT")*100/P21)</f>
        <v>#REF!</v>
      </c>
      <c r="AI21" t="e">
        <f>IF(P21=0,0,COUNTIF(#REF!,"FUNG")*100/P21)</f>
        <v>#REF!</v>
      </c>
      <c r="AJ21" t="e">
        <f>IF(P21=0,0,COUNTIF(#REF!,"GAL")*100/P21)</f>
        <v>#REF!</v>
      </c>
      <c r="AK21" t="e">
        <f>IF(P21=0,0,COUNTIF(#REF!,"GARD")*100/P21)</f>
        <v>#REF!</v>
      </c>
      <c r="AL21" t="e">
        <f>IF(P21=0,0,COUNTIF(#REF!,"GON")*100/P21)</f>
        <v>#REF!</v>
      </c>
      <c r="AM21" t="e">
        <f>IF(P21=0,0,COUNTIF(#REF!,"GONIO")*100/P21)</f>
        <v>#REF!</v>
      </c>
      <c r="AN21" t="e">
        <f>IF(P21=0,0,COUNTIF(#REF!,"HELIO")*100/P21)</f>
        <v>#REF!</v>
      </c>
      <c r="AO21" t="e">
        <f>IF(P21=0,0,COUNTIF(#REF!,"HERP")*100/P21)</f>
        <v>#REF!</v>
      </c>
      <c r="AP21" t="e">
        <f>IF(P21=0,0,COUNTIF(#REF!,"HYD")*100/P21)</f>
        <v>#REF!</v>
      </c>
      <c r="AQ21" t="e">
        <f>IF(P21=0,0,COUNTIF(#REF!,"ISOP")*100/P21)</f>
        <v>#REF!</v>
      </c>
      <c r="AR21" t="e">
        <f>IF(P21=0,0,COUNTIF(#REF!,"LEPT")*100/P21)</f>
        <v>#REF!</v>
      </c>
      <c r="AS21" s="29" t="e">
        <f>IF(P21=0,0,COUNTIF(#REF!,"LEPTOR")*100/P21)</f>
        <v>#REF!</v>
      </c>
      <c r="AT21" t="e">
        <f>IF(P21=0,0,COUNTIF(#REF!,"LEPTOS")*100/P21)</f>
        <v>#REF!</v>
      </c>
      <c r="AU21" t="e">
        <f>IF(P21=0,0,COUNTIF(#REF!,"LOBOPH")*100/P21)</f>
        <v>#REF!</v>
      </c>
      <c r="AV21" t="e">
        <f>IF(P21=0,0,COUNTIF(#REF!,"MERU")*100/P21)</f>
        <v>#REF!</v>
      </c>
      <c r="AW21" t="e">
        <f>IF(P21=0,0,COUNTIF(#REF!,"MILL")*100/P21)</f>
        <v>#REF!</v>
      </c>
      <c r="AX21" t="e">
        <f>IF(P21=0,0,COUNTIF(#REF!,"MONT")*100/P21)</f>
        <v>#REF!</v>
      </c>
      <c r="AY21" t="e">
        <f>IF(P21=0,0,COUNTIF(#REF!,"MONTI")*100/P21)</f>
        <v>#REF!</v>
      </c>
      <c r="AZ21" t="e">
        <f>IF(P21=0,0,COUNTIF(#REF!,"MYCED")*100/P21)</f>
        <v>#REF!</v>
      </c>
      <c r="BA21" t="e">
        <f>IF(P21=0,0,COUNTIF(#REF!,"OULO")*100/P21)</f>
        <v>#REF!</v>
      </c>
      <c r="BB21" t="e">
        <f>IF(P21=0,0,COUNTIF(#REF!,"OXYP")*100/P21)</f>
        <v>#REF!</v>
      </c>
      <c r="BC21" t="e">
        <f>IF(P21=0,0,COUNTIF(#REF!,"PLSIA")*100/P21)</f>
        <v>#REF!</v>
      </c>
      <c r="BD21" t="e">
        <f>IF(P21=0,0,COUNTIF(#REF!,"PACHY")*100/P21)</f>
        <v>#REF!</v>
      </c>
      <c r="BE21" t="e">
        <f>IF(P21=0,0,COUNTIF(#REF!,"PAV")*100/P21)</f>
        <v>#REF!</v>
      </c>
      <c r="BF21" t="e">
        <f>IF(P21=0,0,COUNTIF(#REF!,"PECT")*100/P21)</f>
        <v>#REF!</v>
      </c>
      <c r="BG21" t="e">
        <f>IF(P21=0,0,COUNTIF(#REF!,"PHYSO")*100/P21)</f>
        <v>#REF!</v>
      </c>
      <c r="BH21" t="e">
        <f>IF(P21=0,0,COUNTIF(#REF!,"PLAT")*100/P21)</f>
        <v>#REF!</v>
      </c>
      <c r="BI21" t="e">
        <f>IF(P21=0,0,COUNTIF(#REF!,"PLERO")*100/P21)</f>
        <v>#REF!</v>
      </c>
      <c r="BJ21" t="e">
        <f>IF(P21=0,0,COUNTIF(#REF!,"POC")*100/P21)</f>
        <v>#REF!</v>
      </c>
      <c r="BK21" t="e">
        <f>IF(P21=0,0,COUNTIF(#REF!,"POR")*100/P21)</f>
        <v>#REF!</v>
      </c>
      <c r="BL21" t="e">
        <f>IF(P21=0,0,COUNTIF(#REF!,"PORCYL")*100/P21)</f>
        <v>#REF!</v>
      </c>
      <c r="BM21" t="e">
        <f>IF(P21=0,0,COUNTIF(#REF!,"PORMAS")*100/P21)</f>
        <v>#REF!</v>
      </c>
      <c r="BN21" t="e">
        <f>IF(P21=0,0,COUNTIF(#REF!,"PORRUS")*100/P21)</f>
        <v>#REF!</v>
      </c>
      <c r="BO21" t="e">
        <f>IF(P21=0,0,COUNTIF(#REF!,"PSAM")*100/P21)</f>
        <v>#REF!</v>
      </c>
      <c r="BP21" t="e">
        <f>IF(P21=0,0,COUNTIF(#REF!,"SANDO")*100/P21)</f>
        <v>#REF!</v>
      </c>
      <c r="BQ21" t="e">
        <f>IF(P21=0,0,COUNTIF(#REF!,"SCAP")*100/P21)</f>
        <v>#REF!</v>
      </c>
      <c r="BR21" t="e">
        <f>IF(P21=0,0,COUNTIF(#REF!,"SERIA")*100/P21)</f>
        <v>#REF!</v>
      </c>
      <c r="BS21" t="e">
        <f>IF(P21=0,0,COUNTIF(#REF!,"STYLC")*100/P21)</f>
        <v>#REF!</v>
      </c>
      <c r="BT21" t="e">
        <f>IF(P21=0,0,COUNTIF(#REF!,"STYLO")*100/P21)</f>
        <v>#REF!</v>
      </c>
      <c r="BU21" t="e">
        <f>IF(P21=0,0,COUNTIF(#REF!,"SYMP")*100/P21)</f>
        <v>#REF!</v>
      </c>
      <c r="BV21" t="e">
        <f>IF(P21=0,0,COUNTIF(#REF!,"TURBIN")*100/P21)</f>
        <v>#REF!</v>
      </c>
      <c r="BX21" t="e">
        <f>IF(P21=0,0,COUNTIF(#REF!,"ANEM")*100/P21)</f>
        <v>#REF!</v>
      </c>
      <c r="BY21" t="e">
        <f>IF(P21=0,0,COUNTIF(#REF!,"ASC")*100/P21)</f>
        <v>#REF!</v>
      </c>
      <c r="BZ21" t="e">
        <f>IF(P21=0,0,COUNTIF(#REF!,"CUPS")*100/P21)</f>
        <v>#REF!</v>
      </c>
      <c r="CA21" t="e">
        <f>IF(P21=0,0,COUNTIF(#REF!,"DISCO")*100/P21)</f>
        <v>#REF!</v>
      </c>
      <c r="CB21" t="e">
        <f>IF(P21=0,0,COUNTIF(#REF!,"DYS")*100/P21)</f>
        <v>#REF!</v>
      </c>
      <c r="CC21" t="e">
        <f>IF(P21=0,0,COUNTIF(#REF!,"G")*100/P21)</f>
        <v>#REF!</v>
      </c>
      <c r="CD21" t="e">
        <f>IF(P21=0,0,COUNTIF(#REF!,"NoIDINV")*100/P21)</f>
        <v>#REF!</v>
      </c>
      <c r="CE21" t="e">
        <f>IF(P21=0,0,COUNTIF(#REF!,"OLV")*100/P21)</f>
        <v>#REF!</v>
      </c>
      <c r="CF21" t="e">
        <f>IF(P21=0,0,COUNTIF(#REF!,"SC")*100/P21)</f>
        <v>#REF!</v>
      </c>
      <c r="CG21" t="e">
        <f>IF(P21=0,0,COUNTIF(#REF!,"S")*100/P21)</f>
        <v>#REF!</v>
      </c>
      <c r="CH21" t="e">
        <f>IF(P21=0,0,COUNTIF(#REF!,"TERPS")*100/P21)</f>
        <v>#REF!</v>
      </c>
      <c r="CI21" t="e">
        <f>IF(P21=0,0,COUNTIF(#REF!,"Z")*100/P21)</f>
        <v>#REF!</v>
      </c>
      <c r="CK21" t="e">
        <f>IF(P21=0,0,COUNTIF(#REF!,"ASP")*100/P21)</f>
        <v>#REF!</v>
      </c>
      <c r="CL21" t="e">
        <f>IF(P21=0,0,COUNTIF(#REF!,"BG")*100/P21)</f>
        <v>#REF!</v>
      </c>
      <c r="CM21" t="e">
        <f>IF(P21=0,0,COUNTIF(#REF!,"Bood")*100/P21)</f>
        <v>#REF!</v>
      </c>
      <c r="CN21" t="e">
        <f>IF(P21=0,0,COUNTIF(#REF!,"BRYP")*100/P21)</f>
        <v>#REF!</v>
      </c>
      <c r="CO21" t="e">
        <f>IF(P21=0,0,COUNTIF(#REF!,"CLP")*100/P21)</f>
        <v>#REF!</v>
      </c>
      <c r="CP21" t="e">
        <f>IF(P21=0,0,COUNTIF(#REF!,"CHLDES")*100/P21)</f>
        <v>#REF!</v>
      </c>
      <c r="CQ21" t="e">
        <f>IF(P21=0,0,COUNTIF(#REF!,"DYCTY")*100/P21)</f>
        <v>#REF!</v>
      </c>
      <c r="CR21" t="e">
        <f>IF(P21=0,0,COUNTIF(#REF!,"DICT")*100/P21)</f>
        <v>#REF!</v>
      </c>
      <c r="CS21" t="e">
        <f>IF(P21=0,0,COUNTIF(#REF!,"GLXU")*100/P21)</f>
        <v>#REF!</v>
      </c>
      <c r="CT21" t="e">
        <f>IF(P21=0,0,COUNTIF(#REF!,"HALI")*100/P21)</f>
        <v>#REF!</v>
      </c>
      <c r="CU21" t="e">
        <f>IF(P21=0,0,COUNTIF(#REF!,"LIAG")*100/P21)</f>
        <v>#REF!</v>
      </c>
      <c r="CV21" t="e">
        <f>IF(P21=0,0,COUNTIF(#REF!,"LOBO")*100/P21)</f>
        <v>#REF!</v>
      </c>
      <c r="CW21" t="e">
        <f>IF(P21=0,0,COUNTIF(#REF!,"MAST")*100/P21)</f>
        <v>#REF!</v>
      </c>
      <c r="CX21" t="e">
        <f>IF(P21=0,0,COUNTIF(#REF!,"MICDTY")*100/P21)</f>
        <v>#REF!</v>
      </c>
      <c r="CY21" t="e">
        <f>IF(P21=0,0,COUNTIF(#REF!,"NEOM")*100/P21)</f>
        <v>#REF!</v>
      </c>
      <c r="CZ21" t="e">
        <f>IF(P21=0,0,COUNTIF(#REF!,"NOIDMAC")*100/P21)</f>
        <v>#REF!</v>
      </c>
      <c r="DA21" t="e">
        <f>IF(P21=0,0,COUNTIF(#REF!,"PAD")*100/P21)</f>
        <v>#REF!</v>
      </c>
      <c r="DB21" t="e">
        <f>IF(P21=0,0,COUNTIF(#REF!,"SARG")*100/P21)</f>
        <v>#REF!</v>
      </c>
      <c r="DC21" t="e">
        <f>IF(P21=0,0,COUNTIF(#REF!,"SCHIZ")*100/P21)</f>
        <v>#REF!</v>
      </c>
      <c r="DD21" t="e">
        <f>IF(P21=0,0,COUNTIF(#REF!,"TURB")*100/P21)</f>
        <v>#REF!</v>
      </c>
      <c r="DE21" t="e">
        <f>IF(P21=0,0,COUNTIF(#REF!,"TYDM")*100/P21)</f>
        <v>#REF!</v>
      </c>
      <c r="DG21" t="e">
        <f>IF(P21=0,0,COUNTIF(#REF!,"AMP")*100/P21)</f>
        <v>#REF!</v>
      </c>
      <c r="DH21" t="e">
        <f>IF(P21=0,0,COUNTIF(#REF!,"BCA1")*100/P21)</f>
        <v>#REF!</v>
      </c>
      <c r="DI21" t="e">
        <f>IF(P21=0,0,COUNTIF(#REF!,"JAN")*100/P21)</f>
        <v>#REF!</v>
      </c>
      <c r="DK21" s="29" t="e">
        <f>IF(P21=0,0,COUNTIF(#REF!,"CCA1")*100/P21)</f>
        <v>#REF!</v>
      </c>
      <c r="DM21" t="e">
        <f>IF(P21=0,0,COUNTIF(#REF!,"Sand")*100/P21)</f>
        <v>#REF!</v>
      </c>
      <c r="DO21" t="e">
        <f>IF(P21=0,0,COUNTIF(#REF!,"FCA1")*100/P21)</f>
        <v>#REF!</v>
      </c>
      <c r="DQ21" t="e">
        <f>IF(P21=0,0,COUNTIF(#REF!,"CHRYOBRN")*100/P21)</f>
        <v>#REF!</v>
      </c>
      <c r="DS21" s="29" t="e">
        <f>IF(P21=0,0,COUNTIF(#REF!,"TURF")*100/P21)</f>
        <v>#REF!</v>
      </c>
      <c r="DU21" t="e">
        <f>COUNTIF(#REF!,"Shadow")*100/5</f>
        <v>#REF!</v>
      </c>
      <c r="DV21" t="e">
        <f>COUNTIF(#REF!,"Tape")*100/5</f>
        <v>#REF!</v>
      </c>
      <c r="DW21" t="e">
        <f>COUNTIF(#REF!,"Wand")*100/5</f>
        <v>#REF!</v>
      </c>
      <c r="DY21" t="e">
        <f>IF(P21=0,0,COUNTIF(#REF!,"BC")*100/P21)</f>
        <v>#REF!</v>
      </c>
    </row>
    <row r="22" spans="1:129">
      <c r="A22">
        <v>20</v>
      </c>
      <c r="B22" t="s">
        <v>60</v>
      </c>
      <c r="F22" s="29" t="e">
        <f>IF(P22=0,0,COUNTIF(#REF!,"C")*100/P22)</f>
        <v>#REF!</v>
      </c>
      <c r="G22" t="e">
        <f>IF(P22=0,0,COUNTIF(#REF!,"OI")*100/P22)</f>
        <v>#REF!</v>
      </c>
      <c r="H22" t="e">
        <f>IF(P22=0,0,COUNTIF(#REF!,"MA")*100/P22)</f>
        <v>#REF!</v>
      </c>
      <c r="I22" t="e">
        <f>IF(P22=0,0,COUNTIF(#REF!,"BCA")*100/P22)</f>
        <v>#REF!</v>
      </c>
      <c r="J22" s="29" t="e">
        <f>IF(P22=0,0,COUNTIF(#REF!,"CCA")*100/P22)</f>
        <v>#REF!</v>
      </c>
      <c r="K22" t="e">
        <f>IF(P22=0,0,COUNTIF(#REF!,"SD")*100/P22)</f>
        <v>#REF!</v>
      </c>
      <c r="L22" s="29" t="e">
        <f>IF(P22=0,0,COUNTIF(#REF!,"FCA")*100/P22)</f>
        <v>#REF!</v>
      </c>
      <c r="M22" t="e">
        <f>IF(P22=0,0,COUNTIF(#REF!,"CHRYS")*100/P22)</f>
        <v>#REF!</v>
      </c>
      <c r="N22" t="e">
        <f>IF(P22=0,0,COUNTIF(#REF!,"T")*100/P22)</f>
        <v>#REF!</v>
      </c>
      <c r="O22" t="e">
        <f>IF(P22=0,0,COUNTIF(#REF!,"TWS")*100/P22)</f>
        <v>#REF!</v>
      </c>
      <c r="P22" t="e">
        <f>5-COUNTIF(#REF!,"TWS")</f>
        <v>#REF!</v>
      </c>
      <c r="S22" t="e">
        <f>IF(P22=0,0,COUNTIF(#REF!,"ACAN")*100/P22)</f>
        <v>#REF!</v>
      </c>
      <c r="T22" t="e">
        <f>IF(P22=0,0,COUNTIF(#REF!,"ACROP")*100/P22)</f>
        <v>#REF!</v>
      </c>
      <c r="U22" t="e">
        <f>IF(P22=0,0,COUNTIF(#REF!,"ACROPARB")*100/P22)</f>
        <v>#REF!</v>
      </c>
      <c r="V22" t="e">
        <f>IF(P22=0,0,COUNTIF(#REF!,"ACROST")*100/P22)</f>
        <v>#REF!</v>
      </c>
      <c r="W22" t="e">
        <f>IF(P22=0,0,COUNTIF(#REF!,"ACROTBL")*100/P22)</f>
        <v>#REF!</v>
      </c>
      <c r="X22" t="e">
        <f>IF(P22=0,0,COUNTIF(#REF!,"ASTRP")*100/P22)</f>
        <v>#REF!</v>
      </c>
      <c r="Y22" t="e">
        <f>IF(P22=0,0,COUNTIF(#REF!,"CAUL")*100/P22)</f>
        <v>#REF!</v>
      </c>
      <c r="Z22" t="e">
        <f>IF(P22=0,0,COUNTIF(#REF!,"COSC")*100/P22)</f>
        <v>#REF!</v>
      </c>
      <c r="AA22" t="e">
        <f>IF(P22=0,0,COUNTIF(#REF!,"CTEN")*100/P22)</f>
        <v>#REF!</v>
      </c>
      <c r="AB22" t="e">
        <f>IF(P22=0,0,COUNTIF(#REF!,"CYPH")*100/P22)</f>
        <v>#REF!</v>
      </c>
      <c r="AC22" t="e">
        <f>IF(P22=0,0,COUNTIF(#REF!,"DIPLO")*100/P22)</f>
        <v>#REF!</v>
      </c>
      <c r="AD22" t="e">
        <f>IF(P22=0,0,COUNTIF(#REF!,"ECHPO")*100/P22)</f>
        <v>#REF!</v>
      </c>
      <c r="AE22" t="e">
        <f>IF(P22=0,0,COUNTIF(#REF!,"ECHPHY")*100/P22)</f>
        <v>#REF!</v>
      </c>
      <c r="AF22" t="e">
        <f>IF(P22=0,0,COUNTIF(#REF!,"EUPH")*100/P22)</f>
        <v>#REF!</v>
      </c>
      <c r="AG22" t="e">
        <f>IF(P22=0,0,COUNTIF(#REF!,"FAV")*100/P22)</f>
        <v>#REF!</v>
      </c>
      <c r="AH22" t="e">
        <f>IF(P22=0,0,COUNTIF(#REF!,"FAVT")*100/P22)</f>
        <v>#REF!</v>
      </c>
      <c r="AI22" t="e">
        <f>IF(P22=0,0,COUNTIF(#REF!,"FUNG")*100/P22)</f>
        <v>#REF!</v>
      </c>
      <c r="AJ22" t="e">
        <f>IF(P22=0,0,COUNTIF(#REF!,"GAL")*100/P22)</f>
        <v>#REF!</v>
      </c>
      <c r="AK22" t="e">
        <f>IF(P22=0,0,COUNTIF(#REF!,"GARD")*100/P22)</f>
        <v>#REF!</v>
      </c>
      <c r="AL22" t="e">
        <f>IF(P22=0,0,COUNTIF(#REF!,"GON")*100/P22)</f>
        <v>#REF!</v>
      </c>
      <c r="AM22" t="e">
        <f>IF(P22=0,0,COUNTIF(#REF!,"GONIO")*100/P22)</f>
        <v>#REF!</v>
      </c>
      <c r="AN22" t="e">
        <f>IF(P22=0,0,COUNTIF(#REF!,"HELIO")*100/P22)</f>
        <v>#REF!</v>
      </c>
      <c r="AO22" t="e">
        <f>IF(P22=0,0,COUNTIF(#REF!,"HERP")*100/P22)</f>
        <v>#REF!</v>
      </c>
      <c r="AP22" t="e">
        <f>IF(P22=0,0,COUNTIF(#REF!,"HYD")*100/P22)</f>
        <v>#REF!</v>
      </c>
      <c r="AQ22" t="e">
        <f>IF(P22=0,0,COUNTIF(#REF!,"ISOP")*100/P22)</f>
        <v>#REF!</v>
      </c>
      <c r="AR22" t="e">
        <f>IF(P22=0,0,COUNTIF(#REF!,"LEPT")*100/P22)</f>
        <v>#REF!</v>
      </c>
      <c r="AS22" t="e">
        <f>IF(P22=0,0,COUNTIF(#REF!,"LEPTOR")*100/P22)</f>
        <v>#REF!</v>
      </c>
      <c r="AT22" t="e">
        <f>IF(P22=0,0,COUNTIF(#REF!,"LEPTOS")*100/P22)</f>
        <v>#REF!</v>
      </c>
      <c r="AU22" t="e">
        <f>IF(P22=0,0,COUNTIF(#REF!,"LOBOPH")*100/P22)</f>
        <v>#REF!</v>
      </c>
      <c r="AV22" t="e">
        <f>IF(P22=0,0,COUNTIF(#REF!,"MERU")*100/P22)</f>
        <v>#REF!</v>
      </c>
      <c r="AW22" t="e">
        <f>IF(P22=0,0,COUNTIF(#REF!,"MILL")*100/P22)</f>
        <v>#REF!</v>
      </c>
      <c r="AX22" t="e">
        <f>IF(P22=0,0,COUNTIF(#REF!,"MONT")*100/P22)</f>
        <v>#REF!</v>
      </c>
      <c r="AY22" t="e">
        <f>IF(P22=0,0,COUNTIF(#REF!,"MONTI")*100/P22)</f>
        <v>#REF!</v>
      </c>
      <c r="AZ22" t="e">
        <f>IF(P22=0,0,COUNTIF(#REF!,"MYCED")*100/P22)</f>
        <v>#REF!</v>
      </c>
      <c r="BA22" t="e">
        <f>IF(P22=0,0,COUNTIF(#REF!,"OULO")*100/P22)</f>
        <v>#REF!</v>
      </c>
      <c r="BB22" t="e">
        <f>IF(P22=0,0,COUNTIF(#REF!,"OXYP")*100/P22)</f>
        <v>#REF!</v>
      </c>
      <c r="BC22" t="e">
        <f>IF(P22=0,0,COUNTIF(#REF!,"PLSIA")*100/P22)</f>
        <v>#REF!</v>
      </c>
      <c r="BD22" t="e">
        <f>IF(P22=0,0,COUNTIF(#REF!,"PACHY")*100/P22)</f>
        <v>#REF!</v>
      </c>
      <c r="BE22" t="e">
        <f>IF(P22=0,0,COUNTIF(#REF!,"PAV")*100/P22)</f>
        <v>#REF!</v>
      </c>
      <c r="BF22" t="e">
        <f>IF(P22=0,0,COUNTIF(#REF!,"PECT")*100/P22)</f>
        <v>#REF!</v>
      </c>
      <c r="BG22" t="e">
        <f>IF(P22=0,0,COUNTIF(#REF!,"PHYSO")*100/P22)</f>
        <v>#REF!</v>
      </c>
      <c r="BH22" t="e">
        <f>IF(P22=0,0,COUNTIF(#REF!,"PLAT")*100/P22)</f>
        <v>#REF!</v>
      </c>
      <c r="BI22" t="e">
        <f>IF(P22=0,0,COUNTIF(#REF!,"PLERO")*100/P22)</f>
        <v>#REF!</v>
      </c>
      <c r="BJ22" t="e">
        <f>IF(P22=0,0,COUNTIF(#REF!,"POC")*100/P22)</f>
        <v>#REF!</v>
      </c>
      <c r="BK22" t="e">
        <f>IF(P22=0,0,COUNTIF(#REF!,"POR")*100/P22)</f>
        <v>#REF!</v>
      </c>
      <c r="BL22" t="e">
        <f>IF(P22=0,0,COUNTIF(#REF!,"PORCYL")*100/P22)</f>
        <v>#REF!</v>
      </c>
      <c r="BM22" t="e">
        <f>IF(P22=0,0,COUNTIF(#REF!,"PORMAS")*100/P22)</f>
        <v>#REF!</v>
      </c>
      <c r="BN22" t="e">
        <f>IF(P22=0,0,COUNTIF(#REF!,"PORRUS")*100/P22)</f>
        <v>#REF!</v>
      </c>
      <c r="BO22" t="e">
        <f>IF(P22=0,0,COUNTIF(#REF!,"PSAM")*100/P22)</f>
        <v>#REF!</v>
      </c>
      <c r="BP22" t="e">
        <f>IF(P22=0,0,COUNTIF(#REF!,"SANDO")*100/P22)</f>
        <v>#REF!</v>
      </c>
      <c r="BQ22" t="e">
        <f>IF(P22=0,0,COUNTIF(#REF!,"SCAP")*100/P22)</f>
        <v>#REF!</v>
      </c>
      <c r="BR22" t="e">
        <f>IF(P22=0,0,COUNTIF(#REF!,"SERIA")*100/P22)</f>
        <v>#REF!</v>
      </c>
      <c r="BS22" t="e">
        <f>IF(P22=0,0,COUNTIF(#REF!,"STYLC")*100/P22)</f>
        <v>#REF!</v>
      </c>
      <c r="BT22" s="29" t="e">
        <f>IF(P22=0,0,COUNTIF(#REF!,"STYLO")*100/P22)</f>
        <v>#REF!</v>
      </c>
      <c r="BU22" t="e">
        <f>IF(P22=0,0,COUNTIF(#REF!,"SYMP")*100/P22)</f>
        <v>#REF!</v>
      </c>
      <c r="BV22" t="e">
        <f>IF(P22=0,0,COUNTIF(#REF!,"TURBIN")*100/P22)</f>
        <v>#REF!</v>
      </c>
      <c r="BX22" t="e">
        <f>IF(P22=0,0,COUNTIF(#REF!,"ANEM")*100/P22)</f>
        <v>#REF!</v>
      </c>
      <c r="BY22" t="e">
        <f>IF(P22=0,0,COUNTIF(#REF!,"ASC")*100/P22)</f>
        <v>#REF!</v>
      </c>
      <c r="BZ22" t="e">
        <f>IF(P22=0,0,COUNTIF(#REF!,"CUPS")*100/P22)</f>
        <v>#REF!</v>
      </c>
      <c r="CA22" t="e">
        <f>IF(P22=0,0,COUNTIF(#REF!,"DISCO")*100/P22)</f>
        <v>#REF!</v>
      </c>
      <c r="CB22" t="e">
        <f>IF(P22=0,0,COUNTIF(#REF!,"DYS")*100/P22)</f>
        <v>#REF!</v>
      </c>
      <c r="CC22" t="e">
        <f>IF(P22=0,0,COUNTIF(#REF!,"G")*100/P22)</f>
        <v>#REF!</v>
      </c>
      <c r="CD22" t="e">
        <f>IF(P22=0,0,COUNTIF(#REF!,"NoIDINV")*100/P22)</f>
        <v>#REF!</v>
      </c>
      <c r="CE22" t="e">
        <f>IF(P22=0,0,COUNTIF(#REF!,"OLV")*100/P22)</f>
        <v>#REF!</v>
      </c>
      <c r="CF22" t="e">
        <f>IF(P22=0,0,COUNTIF(#REF!,"SC")*100/P22)</f>
        <v>#REF!</v>
      </c>
      <c r="CG22" t="e">
        <f>IF(P22=0,0,COUNTIF(#REF!,"S")*100/P22)</f>
        <v>#REF!</v>
      </c>
      <c r="CH22" t="e">
        <f>IF(P22=0,0,COUNTIF(#REF!,"TERPS")*100/P22)</f>
        <v>#REF!</v>
      </c>
      <c r="CI22" t="e">
        <f>IF(P22=0,0,COUNTIF(#REF!,"Z")*100/P22)</f>
        <v>#REF!</v>
      </c>
      <c r="CK22" t="e">
        <f>IF(P22=0,0,COUNTIF(#REF!,"ASP")*100/P22)</f>
        <v>#REF!</v>
      </c>
      <c r="CL22" t="e">
        <f>IF(P22=0,0,COUNTIF(#REF!,"BG")*100/P22)</f>
        <v>#REF!</v>
      </c>
      <c r="CM22" t="e">
        <f>IF(P22=0,0,COUNTIF(#REF!,"Bood")*100/P22)</f>
        <v>#REF!</v>
      </c>
      <c r="CN22" t="e">
        <f>IF(P22=0,0,COUNTIF(#REF!,"BRYP")*100/P22)</f>
        <v>#REF!</v>
      </c>
      <c r="CO22" t="e">
        <f>IF(P22=0,0,COUNTIF(#REF!,"CLP")*100/P22)</f>
        <v>#REF!</v>
      </c>
      <c r="CP22" t="e">
        <f>IF(P22=0,0,COUNTIF(#REF!,"CHLDES")*100/P22)</f>
        <v>#REF!</v>
      </c>
      <c r="CQ22" t="e">
        <f>IF(P22=0,0,COUNTIF(#REF!,"DYCTY")*100/P22)</f>
        <v>#REF!</v>
      </c>
      <c r="CR22" t="e">
        <f>IF(P22=0,0,COUNTIF(#REF!,"DICT")*100/P22)</f>
        <v>#REF!</v>
      </c>
      <c r="CS22" t="e">
        <f>IF(P22=0,0,COUNTIF(#REF!,"GLXU")*100/P22)</f>
        <v>#REF!</v>
      </c>
      <c r="CT22" t="e">
        <f>IF(P22=0,0,COUNTIF(#REF!,"HALI")*100/P22)</f>
        <v>#REF!</v>
      </c>
      <c r="CU22" t="e">
        <f>IF(P22=0,0,COUNTIF(#REF!,"LIAG")*100/P22)</f>
        <v>#REF!</v>
      </c>
      <c r="CV22" t="e">
        <f>IF(P22=0,0,COUNTIF(#REF!,"LOBO")*100/P22)</f>
        <v>#REF!</v>
      </c>
      <c r="CW22" t="e">
        <f>IF(P22=0,0,COUNTIF(#REF!,"MAST")*100/P22)</f>
        <v>#REF!</v>
      </c>
      <c r="CX22" t="e">
        <f>IF(P22=0,0,COUNTIF(#REF!,"MICDTY")*100/P22)</f>
        <v>#REF!</v>
      </c>
      <c r="CY22" t="e">
        <f>IF(P22=0,0,COUNTIF(#REF!,"NEOM")*100/P22)</f>
        <v>#REF!</v>
      </c>
      <c r="CZ22" t="e">
        <f>IF(P22=0,0,COUNTIF(#REF!,"NOIDMAC")*100/P22)</f>
        <v>#REF!</v>
      </c>
      <c r="DA22" t="e">
        <f>IF(P22=0,0,COUNTIF(#REF!,"PAD")*100/P22)</f>
        <v>#REF!</v>
      </c>
      <c r="DB22" t="e">
        <f>IF(P22=0,0,COUNTIF(#REF!,"SARG")*100/P22)</f>
        <v>#REF!</v>
      </c>
      <c r="DC22" t="e">
        <f>IF(P22=0,0,COUNTIF(#REF!,"SCHIZ")*100/P22)</f>
        <v>#REF!</v>
      </c>
      <c r="DD22" t="e">
        <f>IF(P22=0,0,COUNTIF(#REF!,"TURB")*100/P22)</f>
        <v>#REF!</v>
      </c>
      <c r="DE22" t="e">
        <f>IF(P22=0,0,COUNTIF(#REF!,"TYDM")*100/P22)</f>
        <v>#REF!</v>
      </c>
      <c r="DG22" t="e">
        <f>IF(P22=0,0,COUNTIF(#REF!,"AMP")*100/P22)</f>
        <v>#REF!</v>
      </c>
      <c r="DH22" t="e">
        <f>IF(P22=0,0,COUNTIF(#REF!,"BCA1")*100/P22)</f>
        <v>#REF!</v>
      </c>
      <c r="DI22" t="e">
        <f>IF(P22=0,0,COUNTIF(#REF!,"JAN")*100/P22)</f>
        <v>#REF!</v>
      </c>
      <c r="DK22" s="29" t="e">
        <f>IF(P22=0,0,COUNTIF(#REF!,"CCA1")*100/P22)</f>
        <v>#REF!</v>
      </c>
      <c r="DM22" t="e">
        <f>IF(P22=0,0,COUNTIF(#REF!,"Sand")*100/P22)</f>
        <v>#REF!</v>
      </c>
      <c r="DO22" s="29" t="e">
        <f>IF(P22=0,0,COUNTIF(#REF!,"FCA1")*100/P22)</f>
        <v>#REF!</v>
      </c>
      <c r="DQ22" t="e">
        <f>IF(P22=0,0,COUNTIF(#REF!,"CHRYOBRN")*100/P22)</f>
        <v>#REF!</v>
      </c>
      <c r="DS22" t="e">
        <f>IF(P22=0,0,COUNTIF(#REF!,"TURF")*100/P22)</f>
        <v>#REF!</v>
      </c>
      <c r="DU22" t="e">
        <f>COUNTIF(#REF!,"Shadow")*100/5</f>
        <v>#REF!</v>
      </c>
      <c r="DV22" t="e">
        <f>COUNTIF(#REF!,"Tape")*100/5</f>
        <v>#REF!</v>
      </c>
      <c r="DW22" t="e">
        <f>COUNTIF(#REF!,"Wand")*100/5</f>
        <v>#REF!</v>
      </c>
      <c r="DY22" t="e">
        <f>IF(P22=0,0,COUNTIF(#REF!,"BC")*100/P22)</f>
        <v>#REF!</v>
      </c>
    </row>
    <row r="23" spans="1:129">
      <c r="A23">
        <v>21</v>
      </c>
      <c r="B23" t="s">
        <v>61</v>
      </c>
      <c r="F23" s="29" t="e">
        <f>IF(P23=0,0,COUNTIF(#REF!,"C")*100/P23)</f>
        <v>#REF!</v>
      </c>
      <c r="G23" t="e">
        <f>IF(P23=0,0,COUNTIF(#REF!,"OI")*100/P23)</f>
        <v>#REF!</v>
      </c>
      <c r="H23" t="e">
        <f>IF(P23=0,0,COUNTIF(#REF!,"MA")*100/P23)</f>
        <v>#REF!</v>
      </c>
      <c r="I23" t="e">
        <f>IF(P23=0,0,COUNTIF(#REF!,"BCA")*100/P23)</f>
        <v>#REF!</v>
      </c>
      <c r="J23" s="29" t="e">
        <f>IF(P23=0,0,COUNTIF(#REF!,"CCA")*100/P23)</f>
        <v>#REF!</v>
      </c>
      <c r="K23" t="e">
        <f>IF(P23=0,0,COUNTIF(#REF!,"SD")*100/P23)</f>
        <v>#REF!</v>
      </c>
      <c r="L23" t="e">
        <f>IF(P23=0,0,COUNTIF(#REF!,"FCA")*100/P23)</f>
        <v>#REF!</v>
      </c>
      <c r="M23" t="e">
        <f>IF(P23=0,0,COUNTIF(#REF!,"CHRYS")*100/P23)</f>
        <v>#REF!</v>
      </c>
      <c r="N23" t="e">
        <f>IF(P23=0,0,COUNTIF(#REF!,"T")*100/P23)</f>
        <v>#REF!</v>
      </c>
      <c r="O23" t="e">
        <f>IF(P23=0,0,COUNTIF(#REF!,"TWS")*100/P23)</f>
        <v>#REF!</v>
      </c>
      <c r="P23" t="e">
        <f>5-COUNTIF(#REF!,"TWS")</f>
        <v>#REF!</v>
      </c>
      <c r="S23" t="e">
        <f>IF(P23=0,0,COUNTIF(#REF!,"ACAN")*100/P23)</f>
        <v>#REF!</v>
      </c>
      <c r="T23" t="e">
        <f>IF(P23=0,0,COUNTIF(#REF!,"ACROP")*100/P23)</f>
        <v>#REF!</v>
      </c>
      <c r="U23" t="e">
        <f>IF(P23=0,0,COUNTIF(#REF!,"ACROPARB")*100/P23)</f>
        <v>#REF!</v>
      </c>
      <c r="V23" t="e">
        <f>IF(P23=0,0,COUNTIF(#REF!,"ACROST")*100/P23)</f>
        <v>#REF!</v>
      </c>
      <c r="W23" s="29" t="e">
        <f>IF(P23=0,0,COUNTIF(#REF!,"ACROTBL")*100/P23)</f>
        <v>#REF!</v>
      </c>
      <c r="X23" t="e">
        <f>IF(P23=0,0,COUNTIF(#REF!,"ASTRP")*100/P23)</f>
        <v>#REF!</v>
      </c>
      <c r="Y23" t="e">
        <f>IF(P23=0,0,COUNTIF(#REF!,"CAUL")*100/P23)</f>
        <v>#REF!</v>
      </c>
      <c r="Z23" t="e">
        <f>IF(P23=0,0,COUNTIF(#REF!,"COSC")*100/P23)</f>
        <v>#REF!</v>
      </c>
      <c r="AA23" t="e">
        <f>IF(P23=0,0,COUNTIF(#REF!,"CTEN")*100/P23)</f>
        <v>#REF!</v>
      </c>
      <c r="AB23" t="e">
        <f>IF(P23=0,0,COUNTIF(#REF!,"CYPH")*100/P23)</f>
        <v>#REF!</v>
      </c>
      <c r="AC23" t="e">
        <f>IF(P23=0,0,COUNTIF(#REF!,"DIPLO")*100/P23)</f>
        <v>#REF!</v>
      </c>
      <c r="AD23" t="e">
        <f>IF(P23=0,0,COUNTIF(#REF!,"ECHPO")*100/P23)</f>
        <v>#REF!</v>
      </c>
      <c r="AE23" t="e">
        <f>IF(P23=0,0,COUNTIF(#REF!,"ECHPHY")*100/P23)</f>
        <v>#REF!</v>
      </c>
      <c r="AF23" t="e">
        <f>IF(P23=0,0,COUNTIF(#REF!,"EUPH")*100/P23)</f>
        <v>#REF!</v>
      </c>
      <c r="AG23" t="e">
        <f>IF(P23=0,0,COUNTIF(#REF!,"FAV")*100/P23)</f>
        <v>#REF!</v>
      </c>
      <c r="AH23" t="e">
        <f>IF(P23=0,0,COUNTIF(#REF!,"FAVT")*100/P23)</f>
        <v>#REF!</v>
      </c>
      <c r="AI23" t="e">
        <f>IF(P23=0,0,COUNTIF(#REF!,"FUNG")*100/P23)</f>
        <v>#REF!</v>
      </c>
      <c r="AJ23" t="e">
        <f>IF(P23=0,0,COUNTIF(#REF!,"GAL")*100/P23)</f>
        <v>#REF!</v>
      </c>
      <c r="AK23" t="e">
        <f>IF(P23=0,0,COUNTIF(#REF!,"GARD")*100/P23)</f>
        <v>#REF!</v>
      </c>
      <c r="AL23" t="e">
        <f>IF(P23=0,0,COUNTIF(#REF!,"GON")*100/P23)</f>
        <v>#REF!</v>
      </c>
      <c r="AM23" t="e">
        <f>IF(P23=0,0,COUNTIF(#REF!,"GONIO")*100/P23)</f>
        <v>#REF!</v>
      </c>
      <c r="AN23" t="e">
        <f>IF(P23=0,0,COUNTIF(#REF!,"HELIO")*100/P23)</f>
        <v>#REF!</v>
      </c>
      <c r="AO23" t="e">
        <f>IF(P23=0,0,COUNTIF(#REF!,"HERP")*100/P23)</f>
        <v>#REF!</v>
      </c>
      <c r="AP23" t="e">
        <f>IF(P23=0,0,COUNTIF(#REF!,"HYD")*100/P23)</f>
        <v>#REF!</v>
      </c>
      <c r="AQ23" t="e">
        <f>IF(P23=0,0,COUNTIF(#REF!,"ISOP")*100/P23)</f>
        <v>#REF!</v>
      </c>
      <c r="AR23" t="e">
        <f>IF(P23=0,0,COUNTIF(#REF!,"LEPT")*100/P23)</f>
        <v>#REF!</v>
      </c>
      <c r="AS23" t="e">
        <f>IF(P23=0,0,COUNTIF(#REF!,"LEPTOR")*100/P23)</f>
        <v>#REF!</v>
      </c>
      <c r="AT23" t="e">
        <f>IF(P23=0,0,COUNTIF(#REF!,"LEPTOS")*100/P23)</f>
        <v>#REF!</v>
      </c>
      <c r="AU23" t="e">
        <f>IF(P23=0,0,COUNTIF(#REF!,"LOBOPH")*100/P23)</f>
        <v>#REF!</v>
      </c>
      <c r="AV23" t="e">
        <f>IF(P23=0,0,COUNTIF(#REF!,"MERU")*100/P23)</f>
        <v>#REF!</v>
      </c>
      <c r="AW23" t="e">
        <f>IF(P23=0,0,COUNTIF(#REF!,"MILL")*100/P23)</f>
        <v>#REF!</v>
      </c>
      <c r="AX23" t="e">
        <f>IF(P23=0,0,COUNTIF(#REF!,"MONT")*100/P23)</f>
        <v>#REF!</v>
      </c>
      <c r="AY23" t="e">
        <f>IF(P23=0,0,COUNTIF(#REF!,"MONTI")*100/P23)</f>
        <v>#REF!</v>
      </c>
      <c r="AZ23" t="e">
        <f>IF(P23=0,0,COUNTIF(#REF!,"MYCED")*100/P23)</f>
        <v>#REF!</v>
      </c>
      <c r="BA23" t="e">
        <f>IF(P23=0,0,COUNTIF(#REF!,"OULO")*100/P23)</f>
        <v>#REF!</v>
      </c>
      <c r="BB23" t="e">
        <f>IF(P23=0,0,COUNTIF(#REF!,"OXYP")*100/P23)</f>
        <v>#REF!</v>
      </c>
      <c r="BC23" t="e">
        <f>IF(P23=0,0,COUNTIF(#REF!,"PLSIA")*100/P23)</f>
        <v>#REF!</v>
      </c>
      <c r="BD23" t="e">
        <f>IF(P23=0,0,COUNTIF(#REF!,"PACHY")*100/P23)</f>
        <v>#REF!</v>
      </c>
      <c r="BE23" t="e">
        <f>IF(P23=0,0,COUNTIF(#REF!,"PAV")*100/P23)</f>
        <v>#REF!</v>
      </c>
      <c r="BF23" t="e">
        <f>IF(P23=0,0,COUNTIF(#REF!,"PECT")*100/P23)</f>
        <v>#REF!</v>
      </c>
      <c r="BG23" t="e">
        <f>IF(P23=0,0,COUNTIF(#REF!,"PHYSO")*100/P23)</f>
        <v>#REF!</v>
      </c>
      <c r="BH23" t="e">
        <f>IF(P23=0,0,COUNTIF(#REF!,"PLAT")*100/P23)</f>
        <v>#REF!</v>
      </c>
      <c r="BI23" t="e">
        <f>IF(P23=0,0,COUNTIF(#REF!,"PLERO")*100/P23)</f>
        <v>#REF!</v>
      </c>
      <c r="BJ23" t="e">
        <f>IF(P23=0,0,COUNTIF(#REF!,"POC")*100/P23)</f>
        <v>#REF!</v>
      </c>
      <c r="BK23" t="e">
        <f>IF(P23=0,0,COUNTIF(#REF!,"POR")*100/P23)</f>
        <v>#REF!</v>
      </c>
      <c r="BL23" t="e">
        <f>IF(P23=0,0,COUNTIF(#REF!,"PORCYL")*100/P23)</f>
        <v>#REF!</v>
      </c>
      <c r="BM23" t="e">
        <f>IF(P23=0,0,COUNTIF(#REF!,"PORMAS")*100/P23)</f>
        <v>#REF!</v>
      </c>
      <c r="BN23" t="e">
        <f>IF(P23=0,0,COUNTIF(#REF!,"PORRUS")*100/P23)</f>
        <v>#REF!</v>
      </c>
      <c r="BO23" t="e">
        <f>IF(P23=0,0,COUNTIF(#REF!,"PSAM")*100/P23)</f>
        <v>#REF!</v>
      </c>
      <c r="BP23" t="e">
        <f>IF(P23=0,0,COUNTIF(#REF!,"SANDO")*100/P23)</f>
        <v>#REF!</v>
      </c>
      <c r="BQ23" t="e">
        <f>IF(P23=0,0,COUNTIF(#REF!,"SCAP")*100/P23)</f>
        <v>#REF!</v>
      </c>
      <c r="BR23" t="e">
        <f>IF(P23=0,0,COUNTIF(#REF!,"SERIA")*100/P23)</f>
        <v>#REF!</v>
      </c>
      <c r="BS23" t="e">
        <f>IF(P23=0,0,COUNTIF(#REF!,"STYLC")*100/P23)</f>
        <v>#REF!</v>
      </c>
      <c r="BT23" t="e">
        <f>IF(P23=0,0,COUNTIF(#REF!,"STYLO")*100/P23)</f>
        <v>#REF!</v>
      </c>
      <c r="BU23" t="e">
        <f>IF(P23=0,0,COUNTIF(#REF!,"SYMP")*100/P23)</f>
        <v>#REF!</v>
      </c>
      <c r="BV23" t="e">
        <f>IF(P23=0,0,COUNTIF(#REF!,"TURBIN")*100/P23)</f>
        <v>#REF!</v>
      </c>
      <c r="BX23" t="e">
        <f>IF(P23=0,0,COUNTIF(#REF!,"ANEM")*100/P23)</f>
        <v>#REF!</v>
      </c>
      <c r="BY23" t="e">
        <f>IF(P23=0,0,COUNTIF(#REF!,"ASC")*100/P23)</f>
        <v>#REF!</v>
      </c>
      <c r="BZ23" t="e">
        <f>IF(P23=0,0,COUNTIF(#REF!,"CUPS")*100/P23)</f>
        <v>#REF!</v>
      </c>
      <c r="CA23" t="e">
        <f>IF(P23=0,0,COUNTIF(#REF!,"DISCO")*100/P23)</f>
        <v>#REF!</v>
      </c>
      <c r="CB23" t="e">
        <f>IF(P23=0,0,COUNTIF(#REF!,"DYS")*100/P23)</f>
        <v>#REF!</v>
      </c>
      <c r="CC23" t="e">
        <f>IF(P23=0,0,COUNTIF(#REF!,"G")*100/P23)</f>
        <v>#REF!</v>
      </c>
      <c r="CD23" t="e">
        <f>IF(P23=0,0,COUNTIF(#REF!,"NoIDINV")*100/P23)</f>
        <v>#REF!</v>
      </c>
      <c r="CE23" t="e">
        <f>IF(P23=0,0,COUNTIF(#REF!,"OLV")*100/P23)</f>
        <v>#REF!</v>
      </c>
      <c r="CF23" t="e">
        <f>IF(P23=0,0,COUNTIF(#REF!,"SC")*100/P23)</f>
        <v>#REF!</v>
      </c>
      <c r="CG23" t="e">
        <f>IF(P23=0,0,COUNTIF(#REF!,"S")*100/P23)</f>
        <v>#REF!</v>
      </c>
      <c r="CH23" t="e">
        <f>IF(P23=0,0,COUNTIF(#REF!,"TERPS")*100/P23)</f>
        <v>#REF!</v>
      </c>
      <c r="CI23" t="e">
        <f>IF(P23=0,0,COUNTIF(#REF!,"Z")*100/P23)</f>
        <v>#REF!</v>
      </c>
      <c r="CK23" t="e">
        <f>IF(P23=0,0,COUNTIF(#REF!,"ASP")*100/P23)</f>
        <v>#REF!</v>
      </c>
      <c r="CL23" t="e">
        <f>IF(P23=0,0,COUNTIF(#REF!,"BG")*100/P23)</f>
        <v>#REF!</v>
      </c>
      <c r="CM23" t="e">
        <f>IF(P23=0,0,COUNTIF(#REF!,"Bood")*100/P23)</f>
        <v>#REF!</v>
      </c>
      <c r="CN23" t="e">
        <f>IF(P23=0,0,COUNTIF(#REF!,"BRYP")*100/P23)</f>
        <v>#REF!</v>
      </c>
      <c r="CO23" t="e">
        <f>IF(P23=0,0,COUNTIF(#REF!,"CLP")*100/P23)</f>
        <v>#REF!</v>
      </c>
      <c r="CP23" t="e">
        <f>IF(P23=0,0,COUNTIF(#REF!,"CHLDES")*100/P23)</f>
        <v>#REF!</v>
      </c>
      <c r="CQ23" t="e">
        <f>IF(P23=0,0,COUNTIF(#REF!,"DYCTY")*100/P23)</f>
        <v>#REF!</v>
      </c>
      <c r="CR23" t="e">
        <f>IF(P23=0,0,COUNTIF(#REF!,"DICT")*100/P23)</f>
        <v>#REF!</v>
      </c>
      <c r="CS23" t="e">
        <f>IF(P23=0,0,COUNTIF(#REF!,"GLXU")*100/P23)</f>
        <v>#REF!</v>
      </c>
      <c r="CT23" t="e">
        <f>IF(P23=0,0,COUNTIF(#REF!,"HALI")*100/P23)</f>
        <v>#REF!</v>
      </c>
      <c r="CU23" t="e">
        <f>IF(P23=0,0,COUNTIF(#REF!,"LIAG")*100/P23)</f>
        <v>#REF!</v>
      </c>
      <c r="CV23" t="e">
        <f>IF(P23=0,0,COUNTIF(#REF!,"LOBO")*100/P23)</f>
        <v>#REF!</v>
      </c>
      <c r="CW23" t="e">
        <f>IF(P23=0,0,COUNTIF(#REF!,"MAST")*100/P23)</f>
        <v>#REF!</v>
      </c>
      <c r="CX23" t="e">
        <f>IF(P23=0,0,COUNTIF(#REF!,"MICDTY")*100/P23)</f>
        <v>#REF!</v>
      </c>
      <c r="CY23" t="e">
        <f>IF(P23=0,0,COUNTIF(#REF!,"NEOM")*100/P23)</f>
        <v>#REF!</v>
      </c>
      <c r="CZ23" t="e">
        <f>IF(P23=0,0,COUNTIF(#REF!,"NOIDMAC")*100/P23)</f>
        <v>#REF!</v>
      </c>
      <c r="DA23" t="e">
        <f>IF(P23=0,0,COUNTIF(#REF!,"PAD")*100/P23)</f>
        <v>#REF!</v>
      </c>
      <c r="DB23" t="e">
        <f>IF(P23=0,0,COUNTIF(#REF!,"SARG")*100/P23)</f>
        <v>#REF!</v>
      </c>
      <c r="DC23" t="e">
        <f>IF(P23=0,0,COUNTIF(#REF!,"SCHIZ")*100/P23)</f>
        <v>#REF!</v>
      </c>
      <c r="DD23" t="e">
        <f>IF(P23=0,0,COUNTIF(#REF!,"TURB")*100/P23)</f>
        <v>#REF!</v>
      </c>
      <c r="DE23" t="e">
        <f>IF(P23=0,0,COUNTIF(#REF!,"TYDM")*100/P23)</f>
        <v>#REF!</v>
      </c>
      <c r="DG23" t="e">
        <f>IF(P23=0,0,COUNTIF(#REF!,"AMP")*100/P23)</f>
        <v>#REF!</v>
      </c>
      <c r="DH23" t="e">
        <f>IF(P23=0,0,COUNTIF(#REF!,"BCA1")*100/P23)</f>
        <v>#REF!</v>
      </c>
      <c r="DI23" t="e">
        <f>IF(P23=0,0,COUNTIF(#REF!,"JAN")*100/P23)</f>
        <v>#REF!</v>
      </c>
      <c r="DK23" s="29" t="e">
        <f>IF(P23=0,0,COUNTIF(#REF!,"CCA1")*100/P23)</f>
        <v>#REF!</v>
      </c>
      <c r="DM23" t="e">
        <f>IF(P23=0,0,COUNTIF(#REF!,"Sand")*100/P23)</f>
        <v>#REF!</v>
      </c>
      <c r="DO23" t="e">
        <f>IF(P23=0,0,COUNTIF(#REF!,"FCA1")*100/P23)</f>
        <v>#REF!</v>
      </c>
      <c r="DQ23" t="e">
        <f>IF(P23=0,0,COUNTIF(#REF!,"CHRYOBRN")*100/P23)</f>
        <v>#REF!</v>
      </c>
      <c r="DS23" t="e">
        <f>IF(P23=0,0,COUNTIF(#REF!,"TURF")*100/P23)</f>
        <v>#REF!</v>
      </c>
      <c r="DU23" t="e">
        <f>COUNTIF(#REF!,"Shadow")*100/5</f>
        <v>#REF!</v>
      </c>
      <c r="DV23" t="e">
        <f>COUNTIF(#REF!,"Tape")*100/5</f>
        <v>#REF!</v>
      </c>
      <c r="DW23" t="e">
        <f>COUNTIF(#REF!,"Wand")*100/5</f>
        <v>#REF!</v>
      </c>
      <c r="DY23" t="e">
        <f>IF(P23=0,0,COUNTIF(#REF!,"BC")*100/P23)</f>
        <v>#REF!</v>
      </c>
    </row>
    <row r="24" spans="1:129">
      <c r="A24">
        <v>22</v>
      </c>
      <c r="B24" t="s">
        <v>62</v>
      </c>
      <c r="F24" s="29" t="e">
        <f>IF(P24=0,0,COUNTIF(#REF!,"C")*100/P24)</f>
        <v>#REF!</v>
      </c>
      <c r="G24" t="e">
        <f>IF(P24=0,0,COUNTIF(#REF!,"OI")*100/P24)</f>
        <v>#REF!</v>
      </c>
      <c r="H24" t="e">
        <f>IF(P24=0,0,COUNTIF(#REF!,"MA")*100/P24)</f>
        <v>#REF!</v>
      </c>
      <c r="I24" t="e">
        <f>IF(P24=0,0,COUNTIF(#REF!,"BCA")*100/P24)</f>
        <v>#REF!</v>
      </c>
      <c r="J24" s="29" t="e">
        <f>IF(P24=0,0,COUNTIF(#REF!,"CCA")*100/P24)</f>
        <v>#REF!</v>
      </c>
      <c r="K24" t="e">
        <f>IF(P24=0,0,COUNTIF(#REF!,"SD")*100/P24)</f>
        <v>#REF!</v>
      </c>
      <c r="L24" t="e">
        <f>IF(P24=0,0,COUNTIF(#REF!,"FCA")*100/P24)</f>
        <v>#REF!</v>
      </c>
      <c r="M24" t="e">
        <f>IF(P24=0,0,COUNTIF(#REF!,"CHRYS")*100/P24)</f>
        <v>#REF!</v>
      </c>
      <c r="N24" s="29" t="e">
        <f>IF(P24=0,0,COUNTIF(#REF!,"T")*100/P24)</f>
        <v>#REF!</v>
      </c>
      <c r="O24" t="e">
        <f>IF(P24=0,0,COUNTIF(#REF!,"TWS")*100/P24)</f>
        <v>#REF!</v>
      </c>
      <c r="P24" t="e">
        <f>5-COUNTIF(#REF!,"TWS")</f>
        <v>#REF!</v>
      </c>
      <c r="S24" t="e">
        <f>IF(P24=0,0,COUNTIF(#REF!,"ACAN")*100/P24)</f>
        <v>#REF!</v>
      </c>
      <c r="T24" t="e">
        <f>IF(P24=0,0,COUNTIF(#REF!,"ACROP")*100/P24)</f>
        <v>#REF!</v>
      </c>
      <c r="U24" t="e">
        <f>IF(P24=0,0,COUNTIF(#REF!,"ACROPARB")*100/P24)</f>
        <v>#REF!</v>
      </c>
      <c r="V24" t="e">
        <f>IF(P24=0,0,COUNTIF(#REF!,"ACROST")*100/P24)</f>
        <v>#REF!</v>
      </c>
      <c r="W24" t="e">
        <f>IF(P24=0,0,COUNTIF(#REF!,"ACROTBL")*100/P24)</f>
        <v>#REF!</v>
      </c>
      <c r="X24" t="e">
        <f>IF(P24=0,0,COUNTIF(#REF!,"ASTRP")*100/P24)</f>
        <v>#REF!</v>
      </c>
      <c r="Y24" t="e">
        <f>IF(P24=0,0,COUNTIF(#REF!,"CAUL")*100/P24)</f>
        <v>#REF!</v>
      </c>
      <c r="Z24" t="e">
        <f>IF(P24=0,0,COUNTIF(#REF!,"COSC")*100/P24)</f>
        <v>#REF!</v>
      </c>
      <c r="AA24" t="e">
        <f>IF(P24=0,0,COUNTIF(#REF!,"CTEN")*100/P24)</f>
        <v>#REF!</v>
      </c>
      <c r="AB24" t="e">
        <f>IF(P24=0,0,COUNTIF(#REF!,"CYPH")*100/P24)</f>
        <v>#REF!</v>
      </c>
      <c r="AC24" t="e">
        <f>IF(P24=0,0,COUNTIF(#REF!,"DIPLO")*100/P24)</f>
        <v>#REF!</v>
      </c>
      <c r="AD24" s="29" t="e">
        <f>IF(P24=0,0,COUNTIF(#REF!,"ECHPO")*100/P24)</f>
        <v>#REF!</v>
      </c>
      <c r="AE24" t="e">
        <f>IF(P24=0,0,COUNTIF(#REF!,"ECHPHY")*100/P24)</f>
        <v>#REF!</v>
      </c>
      <c r="AF24" t="e">
        <f>IF(P24=0,0,COUNTIF(#REF!,"EUPH")*100/P24)</f>
        <v>#REF!</v>
      </c>
      <c r="AG24" t="e">
        <f>IF(P24=0,0,COUNTIF(#REF!,"FAV")*100/P24)</f>
        <v>#REF!</v>
      </c>
      <c r="AH24" t="e">
        <f>IF(P24=0,0,COUNTIF(#REF!,"FAVT")*100/P24)</f>
        <v>#REF!</v>
      </c>
      <c r="AI24" t="e">
        <f>IF(P24=0,0,COUNTIF(#REF!,"FUNG")*100/P24)</f>
        <v>#REF!</v>
      </c>
      <c r="AJ24" t="e">
        <f>IF(P24=0,0,COUNTIF(#REF!,"GAL")*100/P24)</f>
        <v>#REF!</v>
      </c>
      <c r="AK24" t="e">
        <f>IF(P24=0,0,COUNTIF(#REF!,"GARD")*100/P24)</f>
        <v>#REF!</v>
      </c>
      <c r="AL24" t="e">
        <f>IF(P24=0,0,COUNTIF(#REF!,"GON")*100/P24)</f>
        <v>#REF!</v>
      </c>
      <c r="AM24" t="e">
        <f>IF(P24=0,0,COUNTIF(#REF!,"GONIO")*100/P24)</f>
        <v>#REF!</v>
      </c>
      <c r="AN24" t="e">
        <f>IF(P24=0,0,COUNTIF(#REF!,"HELIO")*100/P24)</f>
        <v>#REF!</v>
      </c>
      <c r="AO24" t="e">
        <f>IF(P24=0,0,COUNTIF(#REF!,"HERP")*100/P24)</f>
        <v>#REF!</v>
      </c>
      <c r="AP24" t="e">
        <f>IF(P24=0,0,COUNTIF(#REF!,"HYD")*100/P24)</f>
        <v>#REF!</v>
      </c>
      <c r="AQ24" t="e">
        <f>IF(P24=0,0,COUNTIF(#REF!,"ISOP")*100/P24)</f>
        <v>#REF!</v>
      </c>
      <c r="AR24" t="e">
        <f>IF(P24=0,0,COUNTIF(#REF!,"LEPT")*100/P24)</f>
        <v>#REF!</v>
      </c>
      <c r="AS24" t="e">
        <f>IF(P24=0,0,COUNTIF(#REF!,"LEPTOR")*100/P24)</f>
        <v>#REF!</v>
      </c>
      <c r="AT24" t="e">
        <f>IF(P24=0,0,COUNTIF(#REF!,"LEPTOS")*100/P24)</f>
        <v>#REF!</v>
      </c>
      <c r="AU24" t="e">
        <f>IF(P24=0,0,COUNTIF(#REF!,"LOBOPH")*100/P24)</f>
        <v>#REF!</v>
      </c>
      <c r="AV24" t="e">
        <f>IF(P24=0,0,COUNTIF(#REF!,"MERU")*100/P24)</f>
        <v>#REF!</v>
      </c>
      <c r="AW24" t="e">
        <f>IF(P24=0,0,COUNTIF(#REF!,"MILL")*100/P24)</f>
        <v>#REF!</v>
      </c>
      <c r="AX24" t="e">
        <f>IF(P24=0,0,COUNTIF(#REF!,"MONT")*100/P24)</f>
        <v>#REF!</v>
      </c>
      <c r="AY24" t="e">
        <f>IF(P24=0,0,COUNTIF(#REF!,"MONTI")*100/P24)</f>
        <v>#REF!</v>
      </c>
      <c r="AZ24" t="e">
        <f>IF(P24=0,0,COUNTIF(#REF!,"MYCED")*100/P24)</f>
        <v>#REF!</v>
      </c>
      <c r="BA24" t="e">
        <f>IF(P24=0,0,COUNTIF(#REF!,"OULO")*100/P24)</f>
        <v>#REF!</v>
      </c>
      <c r="BB24" t="e">
        <f>IF(P24=0,0,COUNTIF(#REF!,"OXYP")*100/P24)</f>
        <v>#REF!</v>
      </c>
      <c r="BC24" t="e">
        <f>IF(P24=0,0,COUNTIF(#REF!,"PLSIA")*100/P24)</f>
        <v>#REF!</v>
      </c>
      <c r="BD24" t="e">
        <f>IF(P24=0,0,COUNTIF(#REF!,"PACHY")*100/P24)</f>
        <v>#REF!</v>
      </c>
      <c r="BE24" t="e">
        <f>IF(P24=0,0,COUNTIF(#REF!,"PAV")*100/P24)</f>
        <v>#REF!</v>
      </c>
      <c r="BF24" t="e">
        <f>IF(P24=0,0,COUNTIF(#REF!,"PECT")*100/P24)</f>
        <v>#REF!</v>
      </c>
      <c r="BG24" t="e">
        <f>IF(P24=0,0,COUNTIF(#REF!,"PHYSO")*100/P24)</f>
        <v>#REF!</v>
      </c>
      <c r="BH24" t="e">
        <f>IF(P24=0,0,COUNTIF(#REF!,"PLAT")*100/P24)</f>
        <v>#REF!</v>
      </c>
      <c r="BI24" t="e">
        <f>IF(P24=0,0,COUNTIF(#REF!,"PLERO")*100/P24)</f>
        <v>#REF!</v>
      </c>
      <c r="BJ24" t="e">
        <f>IF(P24=0,0,COUNTIF(#REF!,"POC")*100/P24)</f>
        <v>#REF!</v>
      </c>
      <c r="BK24" t="e">
        <f>IF(P24=0,0,COUNTIF(#REF!,"POR")*100/P24)</f>
        <v>#REF!</v>
      </c>
      <c r="BL24" t="e">
        <f>IF(P24=0,0,COUNTIF(#REF!,"PORCYL")*100/P24)</f>
        <v>#REF!</v>
      </c>
      <c r="BM24" t="e">
        <f>IF(P24=0,0,COUNTIF(#REF!,"PORMAS")*100/P24)</f>
        <v>#REF!</v>
      </c>
      <c r="BN24" t="e">
        <f>IF(P24=0,0,COUNTIF(#REF!,"PORRUS")*100/P24)</f>
        <v>#REF!</v>
      </c>
      <c r="BO24" t="e">
        <f>IF(P24=0,0,COUNTIF(#REF!,"PSAM")*100/P24)</f>
        <v>#REF!</v>
      </c>
      <c r="BP24" t="e">
        <f>IF(P24=0,0,COUNTIF(#REF!,"SANDO")*100/P24)</f>
        <v>#REF!</v>
      </c>
      <c r="BQ24" t="e">
        <f>IF(P24=0,0,COUNTIF(#REF!,"SCAP")*100/P24)</f>
        <v>#REF!</v>
      </c>
      <c r="BR24" t="e">
        <f>IF(P24=0,0,COUNTIF(#REF!,"SERIA")*100/P24)</f>
        <v>#REF!</v>
      </c>
      <c r="BS24" t="e">
        <f>IF(P24=0,0,COUNTIF(#REF!,"STYLC")*100/P24)</f>
        <v>#REF!</v>
      </c>
      <c r="BT24" t="e">
        <f>IF(P24=0,0,COUNTIF(#REF!,"STYLO")*100/P24)</f>
        <v>#REF!</v>
      </c>
      <c r="BU24" t="e">
        <f>IF(P24=0,0,COUNTIF(#REF!,"SYMP")*100/P24)</f>
        <v>#REF!</v>
      </c>
      <c r="BV24" t="e">
        <f>IF(P24=0,0,COUNTIF(#REF!,"TURBIN")*100/P24)</f>
        <v>#REF!</v>
      </c>
      <c r="BX24" t="e">
        <f>IF(P24=0,0,COUNTIF(#REF!,"ANEM")*100/P24)</f>
        <v>#REF!</v>
      </c>
      <c r="BY24" t="e">
        <f>IF(P24=0,0,COUNTIF(#REF!,"ASC")*100/P24)</f>
        <v>#REF!</v>
      </c>
      <c r="BZ24" t="e">
        <f>IF(P24=0,0,COUNTIF(#REF!,"CUPS")*100/P24)</f>
        <v>#REF!</v>
      </c>
      <c r="CA24" t="e">
        <f>IF(P24=0,0,COUNTIF(#REF!,"DISCO")*100/P24)</f>
        <v>#REF!</v>
      </c>
      <c r="CB24" t="e">
        <f>IF(P24=0,0,COUNTIF(#REF!,"DYS")*100/P24)</f>
        <v>#REF!</v>
      </c>
      <c r="CC24" t="e">
        <f>IF(P24=0,0,COUNTIF(#REF!,"G")*100/P24)</f>
        <v>#REF!</v>
      </c>
      <c r="CD24" t="e">
        <f>IF(P24=0,0,COUNTIF(#REF!,"NoIDINV")*100/P24)</f>
        <v>#REF!</v>
      </c>
      <c r="CE24" t="e">
        <f>IF(P24=0,0,COUNTIF(#REF!,"OLV")*100/P24)</f>
        <v>#REF!</v>
      </c>
      <c r="CF24" t="e">
        <f>IF(P24=0,0,COUNTIF(#REF!,"SC")*100/P24)</f>
        <v>#REF!</v>
      </c>
      <c r="CG24" t="e">
        <f>IF(P24=0,0,COUNTIF(#REF!,"S")*100/P24)</f>
        <v>#REF!</v>
      </c>
      <c r="CH24" t="e">
        <f>IF(P24=0,0,COUNTIF(#REF!,"TERPS")*100/P24)</f>
        <v>#REF!</v>
      </c>
      <c r="CI24" t="e">
        <f>IF(P24=0,0,COUNTIF(#REF!,"Z")*100/P24)</f>
        <v>#REF!</v>
      </c>
      <c r="CK24" t="e">
        <f>IF(P24=0,0,COUNTIF(#REF!,"ASP")*100/P24)</f>
        <v>#REF!</v>
      </c>
      <c r="CL24" t="e">
        <f>IF(P24=0,0,COUNTIF(#REF!,"BG")*100/P24)</f>
        <v>#REF!</v>
      </c>
      <c r="CM24" t="e">
        <f>IF(P24=0,0,COUNTIF(#REF!,"Bood")*100/P24)</f>
        <v>#REF!</v>
      </c>
      <c r="CN24" t="e">
        <f>IF(P24=0,0,COUNTIF(#REF!,"BRYP")*100/P24)</f>
        <v>#REF!</v>
      </c>
      <c r="CO24" t="e">
        <f>IF(P24=0,0,COUNTIF(#REF!,"CLP")*100/P24)</f>
        <v>#REF!</v>
      </c>
      <c r="CP24" t="e">
        <f>IF(P24=0,0,COUNTIF(#REF!,"CHLDES")*100/P24)</f>
        <v>#REF!</v>
      </c>
      <c r="CQ24" t="e">
        <f>IF(P24=0,0,COUNTIF(#REF!,"DYCTY")*100/P24)</f>
        <v>#REF!</v>
      </c>
      <c r="CR24" t="e">
        <f>IF(P24=0,0,COUNTIF(#REF!,"DICT")*100/P24)</f>
        <v>#REF!</v>
      </c>
      <c r="CS24" t="e">
        <f>IF(P24=0,0,COUNTIF(#REF!,"GLXU")*100/P24)</f>
        <v>#REF!</v>
      </c>
      <c r="CT24" t="e">
        <f>IF(P24=0,0,COUNTIF(#REF!,"HALI")*100/P24)</f>
        <v>#REF!</v>
      </c>
      <c r="CU24" t="e">
        <f>IF(P24=0,0,COUNTIF(#REF!,"LIAG")*100/P24)</f>
        <v>#REF!</v>
      </c>
      <c r="CV24" t="e">
        <f>IF(P24=0,0,COUNTIF(#REF!,"LOBO")*100/P24)</f>
        <v>#REF!</v>
      </c>
      <c r="CW24" t="e">
        <f>IF(P24=0,0,COUNTIF(#REF!,"MAST")*100/P24)</f>
        <v>#REF!</v>
      </c>
      <c r="CX24" t="e">
        <f>IF(P24=0,0,COUNTIF(#REF!,"MICDTY")*100/P24)</f>
        <v>#REF!</v>
      </c>
      <c r="CY24" t="e">
        <f>IF(P24=0,0,COUNTIF(#REF!,"NEOM")*100/P24)</f>
        <v>#REF!</v>
      </c>
      <c r="CZ24" t="e">
        <f>IF(P24=0,0,COUNTIF(#REF!,"NOIDMAC")*100/P24)</f>
        <v>#REF!</v>
      </c>
      <c r="DA24" t="e">
        <f>IF(P24=0,0,COUNTIF(#REF!,"PAD")*100/P24)</f>
        <v>#REF!</v>
      </c>
      <c r="DB24" t="e">
        <f>IF(P24=0,0,COUNTIF(#REF!,"SARG")*100/P24)</f>
        <v>#REF!</v>
      </c>
      <c r="DC24" t="e">
        <f>IF(P24=0,0,COUNTIF(#REF!,"SCHIZ")*100/P24)</f>
        <v>#REF!</v>
      </c>
      <c r="DD24" t="e">
        <f>IF(P24=0,0,COUNTIF(#REF!,"TURB")*100/P24)</f>
        <v>#REF!</v>
      </c>
      <c r="DE24" t="e">
        <f>IF(P24=0,0,COUNTIF(#REF!,"TYDM")*100/P24)</f>
        <v>#REF!</v>
      </c>
      <c r="DG24" t="e">
        <f>IF(P24=0,0,COUNTIF(#REF!,"AMP")*100/P24)</f>
        <v>#REF!</v>
      </c>
      <c r="DH24" t="e">
        <f>IF(P24=0,0,COUNTIF(#REF!,"BCA1")*100/P24)</f>
        <v>#REF!</v>
      </c>
      <c r="DI24" t="e">
        <f>IF(P24=0,0,COUNTIF(#REF!,"JAN")*100/P24)</f>
        <v>#REF!</v>
      </c>
      <c r="DK24" s="29" t="e">
        <f>IF(P24=0,0,COUNTIF(#REF!,"CCA1")*100/P24)</f>
        <v>#REF!</v>
      </c>
      <c r="DM24" t="e">
        <f>IF(P24=0,0,COUNTIF(#REF!,"Sand")*100/P24)</f>
        <v>#REF!</v>
      </c>
      <c r="DO24" t="e">
        <f>IF(P24=0,0,COUNTIF(#REF!,"FCA1")*100/P24)</f>
        <v>#REF!</v>
      </c>
      <c r="DQ24" t="e">
        <f>IF(P24=0,0,COUNTIF(#REF!,"CHRYOBRN")*100/P24)</f>
        <v>#REF!</v>
      </c>
      <c r="DS24" s="29" t="e">
        <f>IF(P24=0,0,COUNTIF(#REF!,"TURF")*100/P24)</f>
        <v>#REF!</v>
      </c>
      <c r="DU24" t="e">
        <f>COUNTIF(#REF!,"Shadow")*100/5</f>
        <v>#REF!</v>
      </c>
      <c r="DV24" t="e">
        <f>COUNTIF(#REF!,"Tape")*100/5</f>
        <v>#REF!</v>
      </c>
      <c r="DW24" t="e">
        <f>COUNTIF(#REF!,"Wand")*100/5</f>
        <v>#REF!</v>
      </c>
      <c r="DY24" t="e">
        <f>IF(P24=0,0,COUNTIF(#REF!,"BC")*100/P24)</f>
        <v>#REF!</v>
      </c>
    </row>
    <row r="25" spans="1:129">
      <c r="A25">
        <v>23</v>
      </c>
      <c r="B25" t="s">
        <v>63</v>
      </c>
      <c r="F25" s="29" t="e">
        <f>IF(P25=0,0,COUNTIF(#REF!,"C")*100/P25)</f>
        <v>#REF!</v>
      </c>
      <c r="G25" t="e">
        <f>IF(P25=0,0,COUNTIF(#REF!,"OI")*100/P25)</f>
        <v>#REF!</v>
      </c>
      <c r="H25" t="e">
        <f>IF(P25=0,0,COUNTIF(#REF!,"MA")*100/P25)</f>
        <v>#REF!</v>
      </c>
      <c r="I25" t="e">
        <f>IF(P25=0,0,COUNTIF(#REF!,"BCA")*100/P25)</f>
        <v>#REF!</v>
      </c>
      <c r="J25" t="e">
        <f>IF(P25=0,0,COUNTIF(#REF!,"CCA")*100/P25)</f>
        <v>#REF!</v>
      </c>
      <c r="K25" t="e">
        <f>IF(P25=0,0,COUNTIF(#REF!,"SD")*100/P25)</f>
        <v>#REF!</v>
      </c>
      <c r="L25" t="e">
        <f>IF(P25=0,0,COUNTIF(#REF!,"FCA")*100/P25)</f>
        <v>#REF!</v>
      </c>
      <c r="M25" t="e">
        <f>IF(P25=0,0,COUNTIF(#REF!,"CHRYS")*100/P25)</f>
        <v>#REF!</v>
      </c>
      <c r="N25" s="29" t="e">
        <f>IF(P25=0,0,COUNTIF(#REF!,"T")*100/P25)</f>
        <v>#REF!</v>
      </c>
      <c r="O25" t="e">
        <f>IF(P25=0,0,COUNTIF(#REF!,"TWS")*100/P25)</f>
        <v>#REF!</v>
      </c>
      <c r="P25" t="e">
        <f>5-COUNTIF(#REF!,"TWS")</f>
        <v>#REF!</v>
      </c>
      <c r="S25" t="e">
        <f>IF(P25=0,0,COUNTIF(#REF!,"ACAN")*100/P25)</f>
        <v>#REF!</v>
      </c>
      <c r="T25" t="e">
        <f>IF(P25=0,0,COUNTIF(#REF!,"ACROP")*100/P25)</f>
        <v>#REF!</v>
      </c>
      <c r="U25" t="e">
        <f>IF(P25=0,0,COUNTIF(#REF!,"ACROPARB")*100/P25)</f>
        <v>#REF!</v>
      </c>
      <c r="V25" t="e">
        <f>IF(P25=0,0,COUNTIF(#REF!,"ACROST")*100/P25)</f>
        <v>#REF!</v>
      </c>
      <c r="W25" s="29" t="e">
        <f>IF(P25=0,0,COUNTIF(#REF!,"ACROTBL")*100/P25)</f>
        <v>#REF!</v>
      </c>
      <c r="X25" t="e">
        <f>IF(P25=0,0,COUNTIF(#REF!,"ASTRP")*100/P25)</f>
        <v>#REF!</v>
      </c>
      <c r="Y25" t="e">
        <f>IF(P25=0,0,COUNTIF(#REF!,"CAUL")*100/P25)</f>
        <v>#REF!</v>
      </c>
      <c r="Z25" t="e">
        <f>IF(P25=0,0,COUNTIF(#REF!,"COSC")*100/P25)</f>
        <v>#REF!</v>
      </c>
      <c r="AA25" t="e">
        <f>IF(P25=0,0,COUNTIF(#REF!,"CTEN")*100/P25)</f>
        <v>#REF!</v>
      </c>
      <c r="AB25" t="e">
        <f>IF(P25=0,0,COUNTIF(#REF!,"CYPH")*100/P25)</f>
        <v>#REF!</v>
      </c>
      <c r="AC25" t="e">
        <f>IF(P25=0,0,COUNTIF(#REF!,"DIPLO")*100/P25)</f>
        <v>#REF!</v>
      </c>
      <c r="AD25" t="e">
        <f>IF(P25=0,0,COUNTIF(#REF!,"ECHPO")*100/P25)</f>
        <v>#REF!</v>
      </c>
      <c r="AE25" t="e">
        <f>IF(P25=0,0,COUNTIF(#REF!,"ECHPHY")*100/P25)</f>
        <v>#REF!</v>
      </c>
      <c r="AF25" t="e">
        <f>IF(P25=0,0,COUNTIF(#REF!,"EUPH")*100/P25)</f>
        <v>#REF!</v>
      </c>
      <c r="AG25" t="e">
        <f>IF(P25=0,0,COUNTIF(#REF!,"FAV")*100/P25)</f>
        <v>#REF!</v>
      </c>
      <c r="AH25" t="e">
        <f>IF(P25=0,0,COUNTIF(#REF!,"FAVT")*100/P25)</f>
        <v>#REF!</v>
      </c>
      <c r="AI25" t="e">
        <f>IF(P25=0,0,COUNTIF(#REF!,"FUNG")*100/P25)</f>
        <v>#REF!</v>
      </c>
      <c r="AJ25" t="e">
        <f>IF(P25=0,0,COUNTIF(#REF!,"GAL")*100/P25)</f>
        <v>#REF!</v>
      </c>
      <c r="AK25" t="e">
        <f>IF(P25=0,0,COUNTIF(#REF!,"GARD")*100/P25)</f>
        <v>#REF!</v>
      </c>
      <c r="AL25" s="29" t="e">
        <f>IF(P25=0,0,COUNTIF(#REF!,"GON")*100/P25)</f>
        <v>#REF!</v>
      </c>
      <c r="AM25" t="e">
        <f>IF(P25=0,0,COUNTIF(#REF!,"GONIO")*100/P25)</f>
        <v>#REF!</v>
      </c>
      <c r="AN25" t="e">
        <f>IF(P25=0,0,COUNTIF(#REF!,"HELIO")*100/P25)</f>
        <v>#REF!</v>
      </c>
      <c r="AO25" t="e">
        <f>IF(P25=0,0,COUNTIF(#REF!,"HERP")*100/P25)</f>
        <v>#REF!</v>
      </c>
      <c r="AP25" t="e">
        <f>IF(P25=0,0,COUNTIF(#REF!,"HYD")*100/P25)</f>
        <v>#REF!</v>
      </c>
      <c r="AQ25" t="e">
        <f>IF(P25=0,0,COUNTIF(#REF!,"ISOP")*100/P25)</f>
        <v>#REF!</v>
      </c>
      <c r="AR25" t="e">
        <f>IF(P25=0,0,COUNTIF(#REF!,"LEPT")*100/P25)</f>
        <v>#REF!</v>
      </c>
      <c r="AS25" t="e">
        <f>IF(P25=0,0,COUNTIF(#REF!,"LEPTOR")*100/P25)</f>
        <v>#REF!</v>
      </c>
      <c r="AT25" t="e">
        <f>IF(P25=0,0,COUNTIF(#REF!,"LEPTOS")*100/P25)</f>
        <v>#REF!</v>
      </c>
      <c r="AU25" t="e">
        <f>IF(P25=0,0,COUNTIF(#REF!,"LOBOPH")*100/P25)</f>
        <v>#REF!</v>
      </c>
      <c r="AV25" t="e">
        <f>IF(P25=0,0,COUNTIF(#REF!,"MERU")*100/P25)</f>
        <v>#REF!</v>
      </c>
      <c r="AW25" t="e">
        <f>IF(P25=0,0,COUNTIF(#REF!,"MILL")*100/P25)</f>
        <v>#REF!</v>
      </c>
      <c r="AX25" t="e">
        <f>IF(P25=0,0,COUNTIF(#REF!,"MONT")*100/P25)</f>
        <v>#REF!</v>
      </c>
      <c r="AY25" t="e">
        <f>IF(P25=0,0,COUNTIF(#REF!,"MONTI")*100/P25)</f>
        <v>#REF!</v>
      </c>
      <c r="AZ25" t="e">
        <f>IF(P25=0,0,COUNTIF(#REF!,"MYCED")*100/P25)</f>
        <v>#REF!</v>
      </c>
      <c r="BA25" t="e">
        <f>IF(P25=0,0,COUNTIF(#REF!,"OULO")*100/P25)</f>
        <v>#REF!</v>
      </c>
      <c r="BB25" t="e">
        <f>IF(P25=0,0,COUNTIF(#REF!,"OXYP")*100/P25)</f>
        <v>#REF!</v>
      </c>
      <c r="BC25" t="e">
        <f>IF(P25=0,0,COUNTIF(#REF!,"PLSIA")*100/P25)</f>
        <v>#REF!</v>
      </c>
      <c r="BD25" t="e">
        <f>IF(P25=0,0,COUNTIF(#REF!,"PACHY")*100/P25)</f>
        <v>#REF!</v>
      </c>
      <c r="BE25" t="e">
        <f>IF(P25=0,0,COUNTIF(#REF!,"PAV")*100/P25)</f>
        <v>#REF!</v>
      </c>
      <c r="BF25" t="e">
        <f>IF(P25=0,0,COUNTIF(#REF!,"PECT")*100/P25)</f>
        <v>#REF!</v>
      </c>
      <c r="BG25" t="e">
        <f>IF(P25=0,0,COUNTIF(#REF!,"PHYSO")*100/P25)</f>
        <v>#REF!</v>
      </c>
      <c r="BH25" t="e">
        <f>IF(P25=0,0,COUNTIF(#REF!,"PLAT")*100/P25)</f>
        <v>#REF!</v>
      </c>
      <c r="BI25" t="e">
        <f>IF(P25=0,0,COUNTIF(#REF!,"PLERO")*100/P25)</f>
        <v>#REF!</v>
      </c>
      <c r="BJ25" t="e">
        <f>IF(P25=0,0,COUNTIF(#REF!,"POC")*100/P25)</f>
        <v>#REF!</v>
      </c>
      <c r="BK25" t="e">
        <f>IF(P25=0,0,COUNTIF(#REF!,"POR")*100/P25)</f>
        <v>#REF!</v>
      </c>
      <c r="BL25" t="e">
        <f>IF(P25=0,0,COUNTIF(#REF!,"PORCYL")*100/P25)</f>
        <v>#REF!</v>
      </c>
      <c r="BM25" t="e">
        <f>IF(P25=0,0,COUNTIF(#REF!,"PORMAS")*100/P25)</f>
        <v>#REF!</v>
      </c>
      <c r="BN25" t="e">
        <f>IF(P25=0,0,COUNTIF(#REF!,"PORRUS")*100/P25)</f>
        <v>#REF!</v>
      </c>
      <c r="BO25" t="e">
        <f>IF(P25=0,0,COUNTIF(#REF!,"PSAM")*100/P25)</f>
        <v>#REF!</v>
      </c>
      <c r="BP25" t="e">
        <f>IF(P25=0,0,COUNTIF(#REF!,"SANDO")*100/P25)</f>
        <v>#REF!</v>
      </c>
      <c r="BQ25" t="e">
        <f>IF(P25=0,0,COUNTIF(#REF!,"SCAP")*100/P25)</f>
        <v>#REF!</v>
      </c>
      <c r="BR25" t="e">
        <f>IF(P25=0,0,COUNTIF(#REF!,"SERIA")*100/P25)</f>
        <v>#REF!</v>
      </c>
      <c r="BS25" t="e">
        <f>IF(P25=0,0,COUNTIF(#REF!,"STYLC")*100/P25)</f>
        <v>#REF!</v>
      </c>
      <c r="BT25" t="e">
        <f>IF(P25=0,0,COUNTIF(#REF!,"STYLO")*100/P25)</f>
        <v>#REF!</v>
      </c>
      <c r="BU25" t="e">
        <f>IF(P25=0,0,COUNTIF(#REF!,"SYMP")*100/P25)</f>
        <v>#REF!</v>
      </c>
      <c r="BV25" t="e">
        <f>IF(P25=0,0,COUNTIF(#REF!,"TURBIN")*100/P25)</f>
        <v>#REF!</v>
      </c>
      <c r="BX25" t="e">
        <f>IF(P25=0,0,COUNTIF(#REF!,"ANEM")*100/P25)</f>
        <v>#REF!</v>
      </c>
      <c r="BY25" t="e">
        <f>IF(P25=0,0,COUNTIF(#REF!,"ASC")*100/P25)</f>
        <v>#REF!</v>
      </c>
      <c r="BZ25" t="e">
        <f>IF(P25=0,0,COUNTIF(#REF!,"CUPS")*100/P25)</f>
        <v>#REF!</v>
      </c>
      <c r="CA25" t="e">
        <f>IF(P25=0,0,COUNTIF(#REF!,"DISCO")*100/P25)</f>
        <v>#REF!</v>
      </c>
      <c r="CB25" t="e">
        <f>IF(P25=0,0,COUNTIF(#REF!,"DYS")*100/P25)</f>
        <v>#REF!</v>
      </c>
      <c r="CC25" t="e">
        <f>IF(P25=0,0,COUNTIF(#REF!,"G")*100/P25)</f>
        <v>#REF!</v>
      </c>
      <c r="CD25" t="e">
        <f>IF(P25=0,0,COUNTIF(#REF!,"NoIDINV")*100/P25)</f>
        <v>#REF!</v>
      </c>
      <c r="CE25" t="e">
        <f>IF(P25=0,0,COUNTIF(#REF!,"OLV")*100/P25)</f>
        <v>#REF!</v>
      </c>
      <c r="CF25" t="e">
        <f>IF(P25=0,0,COUNTIF(#REF!,"SC")*100/P25)</f>
        <v>#REF!</v>
      </c>
      <c r="CG25" t="e">
        <f>IF(P25=0,0,COUNTIF(#REF!,"S")*100/P25)</f>
        <v>#REF!</v>
      </c>
      <c r="CH25" t="e">
        <f>IF(P25=0,0,COUNTIF(#REF!,"TERPS")*100/P25)</f>
        <v>#REF!</v>
      </c>
      <c r="CI25" t="e">
        <f>IF(P25=0,0,COUNTIF(#REF!,"Z")*100/P25)</f>
        <v>#REF!</v>
      </c>
      <c r="CK25" t="e">
        <f>IF(P25=0,0,COUNTIF(#REF!,"ASP")*100/P25)</f>
        <v>#REF!</v>
      </c>
      <c r="CL25" t="e">
        <f>IF(P25=0,0,COUNTIF(#REF!,"BG")*100/P25)</f>
        <v>#REF!</v>
      </c>
      <c r="CM25" t="e">
        <f>IF(P25=0,0,COUNTIF(#REF!,"Bood")*100/P25)</f>
        <v>#REF!</v>
      </c>
      <c r="CN25" t="e">
        <f>IF(P25=0,0,COUNTIF(#REF!,"BRYP")*100/P25)</f>
        <v>#REF!</v>
      </c>
      <c r="CO25" t="e">
        <f>IF(P25=0,0,COUNTIF(#REF!,"CLP")*100/P25)</f>
        <v>#REF!</v>
      </c>
      <c r="CP25" t="e">
        <f>IF(P25=0,0,COUNTIF(#REF!,"CHLDES")*100/P25)</f>
        <v>#REF!</v>
      </c>
      <c r="CQ25" t="e">
        <f>IF(P25=0,0,COUNTIF(#REF!,"DYCTY")*100/P25)</f>
        <v>#REF!</v>
      </c>
      <c r="CR25" t="e">
        <f>IF(P25=0,0,COUNTIF(#REF!,"DICT")*100/P25)</f>
        <v>#REF!</v>
      </c>
      <c r="CS25" t="e">
        <f>IF(P25=0,0,COUNTIF(#REF!,"GLXU")*100/P25)</f>
        <v>#REF!</v>
      </c>
      <c r="CT25" t="e">
        <f>IF(P25=0,0,COUNTIF(#REF!,"HALI")*100/P25)</f>
        <v>#REF!</v>
      </c>
      <c r="CU25" t="e">
        <f>IF(P25=0,0,COUNTIF(#REF!,"LIAG")*100/P25)</f>
        <v>#REF!</v>
      </c>
      <c r="CV25" t="e">
        <f>IF(P25=0,0,COUNTIF(#REF!,"LOBO")*100/P25)</f>
        <v>#REF!</v>
      </c>
      <c r="CW25" t="e">
        <f>IF(P25=0,0,COUNTIF(#REF!,"MAST")*100/P25)</f>
        <v>#REF!</v>
      </c>
      <c r="CX25" t="e">
        <f>IF(P25=0,0,COUNTIF(#REF!,"MICDTY")*100/P25)</f>
        <v>#REF!</v>
      </c>
      <c r="CY25" t="e">
        <f>IF(P25=0,0,COUNTIF(#REF!,"NEOM")*100/P25)</f>
        <v>#REF!</v>
      </c>
      <c r="CZ25" t="e">
        <f>IF(P25=0,0,COUNTIF(#REF!,"NOIDMAC")*100/P25)</f>
        <v>#REF!</v>
      </c>
      <c r="DA25" t="e">
        <f>IF(P25=0,0,COUNTIF(#REF!,"PAD")*100/P25)</f>
        <v>#REF!</v>
      </c>
      <c r="DB25" t="e">
        <f>IF(P25=0,0,COUNTIF(#REF!,"SARG")*100/P25)</f>
        <v>#REF!</v>
      </c>
      <c r="DC25" t="e">
        <f>IF(P25=0,0,COUNTIF(#REF!,"SCHIZ")*100/P25)</f>
        <v>#REF!</v>
      </c>
      <c r="DD25" t="e">
        <f>IF(P25=0,0,COUNTIF(#REF!,"TURB")*100/P25)</f>
        <v>#REF!</v>
      </c>
      <c r="DE25" t="e">
        <f>IF(P25=0,0,COUNTIF(#REF!,"TYDM")*100/P25)</f>
        <v>#REF!</v>
      </c>
      <c r="DG25" t="e">
        <f>IF(P25=0,0,COUNTIF(#REF!,"AMP")*100/P25)</f>
        <v>#REF!</v>
      </c>
      <c r="DH25" t="e">
        <f>IF(P25=0,0,COUNTIF(#REF!,"BCA1")*100/P25)</f>
        <v>#REF!</v>
      </c>
      <c r="DI25" t="e">
        <f>IF(P25=0,0,COUNTIF(#REF!,"JAN")*100/P25)</f>
        <v>#REF!</v>
      </c>
      <c r="DK25" t="e">
        <f>IF(P25=0,0,COUNTIF(#REF!,"CCA1")*100/P25)</f>
        <v>#REF!</v>
      </c>
      <c r="DM25" t="e">
        <f>IF(P25=0,0,COUNTIF(#REF!,"Sand")*100/P25)</f>
        <v>#REF!</v>
      </c>
      <c r="DO25" t="e">
        <f>IF(P25=0,0,COUNTIF(#REF!,"FCA1")*100/P25)</f>
        <v>#REF!</v>
      </c>
      <c r="DQ25" t="e">
        <f>IF(P25=0,0,COUNTIF(#REF!,"CHRYOBRN")*100/P25)</f>
        <v>#REF!</v>
      </c>
      <c r="DS25" s="29" t="e">
        <f>IF(P25=0,0,COUNTIF(#REF!,"TURF")*100/P25)</f>
        <v>#REF!</v>
      </c>
      <c r="DU25" t="e">
        <f>COUNTIF(#REF!,"Shadow")*100/5</f>
        <v>#REF!</v>
      </c>
      <c r="DV25" t="e">
        <f>COUNTIF(#REF!,"Tape")*100/5</f>
        <v>#REF!</v>
      </c>
      <c r="DW25" t="e">
        <f>COUNTIF(#REF!,"Wand")*100/5</f>
        <v>#REF!</v>
      </c>
      <c r="DY25" t="e">
        <f>IF(P25=0,0,COUNTIF(#REF!,"BC")*100/P25)</f>
        <v>#REF!</v>
      </c>
    </row>
    <row r="26" spans="1:129">
      <c r="A26">
        <v>24</v>
      </c>
      <c r="B26" t="s">
        <v>65</v>
      </c>
      <c r="F26" s="29" t="e">
        <f>IF(P26=0,0,COUNTIF(#REF!,"C")*100/P26)</f>
        <v>#REF!</v>
      </c>
      <c r="G26" t="e">
        <f>IF(P26=0,0,COUNTIF(#REF!,"OI")*100/P26)</f>
        <v>#REF!</v>
      </c>
      <c r="H26" t="e">
        <f>IF(P26=0,0,COUNTIF(#REF!,"MA")*100/P26)</f>
        <v>#REF!</v>
      </c>
      <c r="I26" t="e">
        <f>IF(P26=0,0,COUNTIF(#REF!,"BCA")*100/P26)</f>
        <v>#REF!</v>
      </c>
      <c r="J26" t="e">
        <f>IF(P26=0,0,COUNTIF(#REF!,"CCA")*100/P26)</f>
        <v>#REF!</v>
      </c>
      <c r="K26" t="e">
        <f>IF(P26=0,0,COUNTIF(#REF!,"SD")*100/P26)</f>
        <v>#REF!</v>
      </c>
      <c r="L26" t="e">
        <f>IF(P26=0,0,COUNTIF(#REF!,"FCA")*100/P26)</f>
        <v>#REF!</v>
      </c>
      <c r="M26" t="e">
        <f>IF(P26=0,0,COUNTIF(#REF!,"CHRYS")*100/P26)</f>
        <v>#REF!</v>
      </c>
      <c r="N26" s="29" t="e">
        <f>IF(P26=0,0,COUNTIF(#REF!,"T")*100/P26)</f>
        <v>#REF!</v>
      </c>
      <c r="O26" t="e">
        <f>IF(P26=0,0,COUNTIF(#REF!,"TWS")*100/P26)</f>
        <v>#REF!</v>
      </c>
      <c r="P26" t="e">
        <f>5-COUNTIF(#REF!,"TWS")</f>
        <v>#REF!</v>
      </c>
      <c r="S26" t="e">
        <f>IF(P26=0,0,COUNTIF(#REF!,"ACAN")*100/P26)</f>
        <v>#REF!</v>
      </c>
      <c r="T26" t="e">
        <f>IF(P26=0,0,COUNTIF(#REF!,"ACROP")*100/P26)</f>
        <v>#REF!</v>
      </c>
      <c r="U26" t="e">
        <f>IF(P26=0,0,COUNTIF(#REF!,"ACROPARB")*100/P26)</f>
        <v>#REF!</v>
      </c>
      <c r="V26" t="e">
        <f>IF(P26=0,0,COUNTIF(#REF!,"ACROST")*100/P26)</f>
        <v>#REF!</v>
      </c>
      <c r="W26" t="e">
        <f>IF(P26=0,0,COUNTIF(#REF!,"ACROTBL")*100/P26)</f>
        <v>#REF!</v>
      </c>
      <c r="X26" t="e">
        <f>IF(P26=0,0,COUNTIF(#REF!,"ASTRP")*100/P26)</f>
        <v>#REF!</v>
      </c>
      <c r="Y26" t="e">
        <f>IF(P26=0,0,COUNTIF(#REF!,"CAUL")*100/P26)</f>
        <v>#REF!</v>
      </c>
      <c r="Z26" t="e">
        <f>IF(P26=0,0,COUNTIF(#REF!,"COSC")*100/P26)</f>
        <v>#REF!</v>
      </c>
      <c r="AA26" t="e">
        <f>IF(P26=0,0,COUNTIF(#REF!,"CTEN")*100/P26)</f>
        <v>#REF!</v>
      </c>
      <c r="AB26" s="29" t="e">
        <f>IF(P26=0,0,COUNTIF(#REF!,"CYPH")*100/P26)</f>
        <v>#REF!</v>
      </c>
      <c r="AC26" t="e">
        <f>IF(P26=0,0,COUNTIF(#REF!,"DIPLO")*100/P26)</f>
        <v>#REF!</v>
      </c>
      <c r="AD26" t="e">
        <f>IF(P26=0,0,COUNTIF(#REF!,"ECHPO")*100/P26)</f>
        <v>#REF!</v>
      </c>
      <c r="AE26" t="e">
        <f>IF(P26=0,0,COUNTIF(#REF!,"ECHPHY")*100/P26)</f>
        <v>#REF!</v>
      </c>
      <c r="AF26" t="e">
        <f>IF(P26=0,0,COUNTIF(#REF!,"EUPH")*100/P26)</f>
        <v>#REF!</v>
      </c>
      <c r="AG26" t="e">
        <f>IF(P26=0,0,COUNTIF(#REF!,"FAV")*100/P26)</f>
        <v>#REF!</v>
      </c>
      <c r="AH26" t="e">
        <f>IF(P26=0,0,COUNTIF(#REF!,"FAVT")*100/P26)</f>
        <v>#REF!</v>
      </c>
      <c r="AI26" t="e">
        <f>IF(P26=0,0,COUNTIF(#REF!,"FUNG")*100/P26)</f>
        <v>#REF!</v>
      </c>
      <c r="AJ26" t="e">
        <f>IF(P26=0,0,COUNTIF(#REF!,"GAL")*100/P26)</f>
        <v>#REF!</v>
      </c>
      <c r="AK26" t="e">
        <f>IF(P26=0,0,COUNTIF(#REF!,"GARD")*100/P26)</f>
        <v>#REF!</v>
      </c>
      <c r="AL26" t="e">
        <f>IF(P26=0,0,COUNTIF(#REF!,"GON")*100/P26)</f>
        <v>#REF!</v>
      </c>
      <c r="AM26" t="e">
        <f>IF(P26=0,0,COUNTIF(#REF!,"GONIO")*100/P26)</f>
        <v>#REF!</v>
      </c>
      <c r="AN26" t="e">
        <f>IF(P26=0,0,COUNTIF(#REF!,"HELIO")*100/P26)</f>
        <v>#REF!</v>
      </c>
      <c r="AO26" t="e">
        <f>IF(P26=0,0,COUNTIF(#REF!,"HERP")*100/P26)</f>
        <v>#REF!</v>
      </c>
      <c r="AP26" t="e">
        <f>IF(P26=0,0,COUNTIF(#REF!,"HYD")*100/P26)</f>
        <v>#REF!</v>
      </c>
      <c r="AQ26" t="e">
        <f>IF(P26=0,0,COUNTIF(#REF!,"ISOP")*100/P26)</f>
        <v>#REF!</v>
      </c>
      <c r="AR26" t="e">
        <f>IF(P26=0,0,COUNTIF(#REF!,"LEPT")*100/P26)</f>
        <v>#REF!</v>
      </c>
      <c r="AS26" s="29" t="e">
        <f>IF(P26=0,0,COUNTIF(#REF!,"LEPTOR")*100/P26)</f>
        <v>#REF!</v>
      </c>
      <c r="AT26" t="e">
        <f>IF(P26=0,0,COUNTIF(#REF!,"LEPTOS")*100/P26)</f>
        <v>#REF!</v>
      </c>
      <c r="AU26" t="e">
        <f>IF(P26=0,0,COUNTIF(#REF!,"LOBOPH")*100/P26)</f>
        <v>#REF!</v>
      </c>
      <c r="AV26" t="e">
        <f>IF(P26=0,0,COUNTIF(#REF!,"MERU")*100/P26)</f>
        <v>#REF!</v>
      </c>
      <c r="AW26" t="e">
        <f>IF(P26=0,0,COUNTIF(#REF!,"MILL")*100/P26)</f>
        <v>#REF!</v>
      </c>
      <c r="AX26" t="e">
        <f>IF(P26=0,0,COUNTIF(#REF!,"MONT")*100/P26)</f>
        <v>#REF!</v>
      </c>
      <c r="AY26" t="e">
        <f>IF(P26=0,0,COUNTIF(#REF!,"MONTI")*100/P26)</f>
        <v>#REF!</v>
      </c>
      <c r="AZ26" t="e">
        <f>IF(P26=0,0,COUNTIF(#REF!,"MYCED")*100/P26)</f>
        <v>#REF!</v>
      </c>
      <c r="BA26" t="e">
        <f>IF(P26=0,0,COUNTIF(#REF!,"OULO")*100/P26)</f>
        <v>#REF!</v>
      </c>
      <c r="BB26" t="e">
        <f>IF(P26=0,0,COUNTIF(#REF!,"OXYP")*100/P26)</f>
        <v>#REF!</v>
      </c>
      <c r="BC26" t="e">
        <f>IF(P26=0,0,COUNTIF(#REF!,"PLSIA")*100/P26)</f>
        <v>#REF!</v>
      </c>
      <c r="BD26" t="e">
        <f>IF(P26=0,0,COUNTIF(#REF!,"PACHY")*100/P26)</f>
        <v>#REF!</v>
      </c>
      <c r="BE26" t="e">
        <f>IF(P26=0,0,COUNTIF(#REF!,"PAV")*100/P26)</f>
        <v>#REF!</v>
      </c>
      <c r="BF26" t="e">
        <f>IF(P26=0,0,COUNTIF(#REF!,"PECT")*100/P26)</f>
        <v>#REF!</v>
      </c>
      <c r="BG26" t="e">
        <f>IF(P26=0,0,COUNTIF(#REF!,"PHYSO")*100/P26)</f>
        <v>#REF!</v>
      </c>
      <c r="BH26" t="e">
        <f>IF(P26=0,0,COUNTIF(#REF!,"PLAT")*100/P26)</f>
        <v>#REF!</v>
      </c>
      <c r="BI26" t="e">
        <f>IF(P26=0,0,COUNTIF(#REF!,"PLERO")*100/P26)</f>
        <v>#REF!</v>
      </c>
      <c r="BJ26" t="e">
        <f>IF(P26=0,0,COUNTIF(#REF!,"POC")*100/P26)</f>
        <v>#REF!</v>
      </c>
      <c r="BK26" t="e">
        <f>IF(P26=0,0,COUNTIF(#REF!,"POR")*100/P26)</f>
        <v>#REF!</v>
      </c>
      <c r="BL26" t="e">
        <f>IF(P26=0,0,COUNTIF(#REF!,"PORCYL")*100/P26)</f>
        <v>#REF!</v>
      </c>
      <c r="BM26" t="e">
        <f>IF(P26=0,0,COUNTIF(#REF!,"PORMAS")*100/P26)</f>
        <v>#REF!</v>
      </c>
      <c r="BN26" t="e">
        <f>IF(P26=0,0,COUNTIF(#REF!,"PORRUS")*100/P26)</f>
        <v>#REF!</v>
      </c>
      <c r="BO26" t="e">
        <f>IF(P26=0,0,COUNTIF(#REF!,"PSAM")*100/P26)</f>
        <v>#REF!</v>
      </c>
      <c r="BP26" t="e">
        <f>IF(P26=0,0,COUNTIF(#REF!,"SANDO")*100/P26)</f>
        <v>#REF!</v>
      </c>
      <c r="BQ26" t="e">
        <f>IF(P26=0,0,COUNTIF(#REF!,"SCAP")*100/P26)</f>
        <v>#REF!</v>
      </c>
      <c r="BR26" t="e">
        <f>IF(P26=0,0,COUNTIF(#REF!,"SERIA")*100/P26)</f>
        <v>#REF!</v>
      </c>
      <c r="BS26" t="e">
        <f>IF(P26=0,0,COUNTIF(#REF!,"STYLC")*100/P26)</f>
        <v>#REF!</v>
      </c>
      <c r="BT26" t="e">
        <f>IF(P26=0,0,COUNTIF(#REF!,"STYLO")*100/P26)</f>
        <v>#REF!</v>
      </c>
      <c r="BU26" t="e">
        <f>IF(P26=0,0,COUNTIF(#REF!,"SYMP")*100/P26)</f>
        <v>#REF!</v>
      </c>
      <c r="BV26" t="e">
        <f>IF(P26=0,0,COUNTIF(#REF!,"TURBIN")*100/P26)</f>
        <v>#REF!</v>
      </c>
      <c r="BX26" t="e">
        <f>IF(P26=0,0,COUNTIF(#REF!,"ANEM")*100/P26)</f>
        <v>#REF!</v>
      </c>
      <c r="BY26" t="e">
        <f>IF(P26=0,0,COUNTIF(#REF!,"ASC")*100/P26)</f>
        <v>#REF!</v>
      </c>
      <c r="BZ26" t="e">
        <f>IF(P26=0,0,COUNTIF(#REF!,"CUPS")*100/P26)</f>
        <v>#REF!</v>
      </c>
      <c r="CA26" t="e">
        <f>IF(P26=0,0,COUNTIF(#REF!,"DISCO")*100/P26)</f>
        <v>#REF!</v>
      </c>
      <c r="CB26" t="e">
        <f>IF(P26=0,0,COUNTIF(#REF!,"DYS")*100/P26)</f>
        <v>#REF!</v>
      </c>
      <c r="CC26" t="e">
        <f>IF(P26=0,0,COUNTIF(#REF!,"G")*100/P26)</f>
        <v>#REF!</v>
      </c>
      <c r="CD26" t="e">
        <f>IF(P26=0,0,COUNTIF(#REF!,"NoIDINV")*100/P26)</f>
        <v>#REF!</v>
      </c>
      <c r="CE26" t="e">
        <f>IF(P26=0,0,COUNTIF(#REF!,"OLV")*100/P26)</f>
        <v>#REF!</v>
      </c>
      <c r="CF26" t="e">
        <f>IF(P26=0,0,COUNTIF(#REF!,"SC")*100/P26)</f>
        <v>#REF!</v>
      </c>
      <c r="CG26" t="e">
        <f>IF(P26=0,0,COUNTIF(#REF!,"S")*100/P26)</f>
        <v>#REF!</v>
      </c>
      <c r="CH26" t="e">
        <f>IF(P26=0,0,COUNTIF(#REF!,"TERPS")*100/P26)</f>
        <v>#REF!</v>
      </c>
      <c r="CI26" t="e">
        <f>IF(P26=0,0,COUNTIF(#REF!,"Z")*100/P26)</f>
        <v>#REF!</v>
      </c>
      <c r="CK26" t="e">
        <f>IF(P26=0,0,COUNTIF(#REF!,"ASP")*100/P26)</f>
        <v>#REF!</v>
      </c>
      <c r="CL26" t="e">
        <f>IF(P26=0,0,COUNTIF(#REF!,"BG")*100/P26)</f>
        <v>#REF!</v>
      </c>
      <c r="CM26" t="e">
        <f>IF(P26=0,0,COUNTIF(#REF!,"Bood")*100/P26)</f>
        <v>#REF!</v>
      </c>
      <c r="CN26" t="e">
        <f>IF(P26=0,0,COUNTIF(#REF!,"BRYP")*100/P26)</f>
        <v>#REF!</v>
      </c>
      <c r="CO26" t="e">
        <f>IF(P26=0,0,COUNTIF(#REF!,"CLP")*100/P26)</f>
        <v>#REF!</v>
      </c>
      <c r="CP26" t="e">
        <f>IF(P26=0,0,COUNTIF(#REF!,"CHLDES")*100/P26)</f>
        <v>#REF!</v>
      </c>
      <c r="CQ26" t="e">
        <f>IF(P26=0,0,COUNTIF(#REF!,"DYCTY")*100/P26)</f>
        <v>#REF!</v>
      </c>
      <c r="CR26" t="e">
        <f>IF(P26=0,0,COUNTIF(#REF!,"DICT")*100/P26)</f>
        <v>#REF!</v>
      </c>
      <c r="CS26" t="e">
        <f>IF(P26=0,0,COUNTIF(#REF!,"GLXU")*100/P26)</f>
        <v>#REF!</v>
      </c>
      <c r="CT26" t="e">
        <f>IF(P26=0,0,COUNTIF(#REF!,"HALI")*100/P26)</f>
        <v>#REF!</v>
      </c>
      <c r="CU26" t="e">
        <f>IF(P26=0,0,COUNTIF(#REF!,"LIAG")*100/P26)</f>
        <v>#REF!</v>
      </c>
      <c r="CV26" t="e">
        <f>IF(P26=0,0,COUNTIF(#REF!,"LOBO")*100/P26)</f>
        <v>#REF!</v>
      </c>
      <c r="CW26" t="e">
        <f>IF(P26=0,0,COUNTIF(#REF!,"MAST")*100/P26)</f>
        <v>#REF!</v>
      </c>
      <c r="CX26" t="e">
        <f>IF(P26=0,0,COUNTIF(#REF!,"MICDTY")*100/P26)</f>
        <v>#REF!</v>
      </c>
      <c r="CY26" t="e">
        <f>IF(P26=0,0,COUNTIF(#REF!,"NEOM")*100/P26)</f>
        <v>#REF!</v>
      </c>
      <c r="CZ26" t="e">
        <f>IF(P26=0,0,COUNTIF(#REF!,"NOIDMAC")*100/P26)</f>
        <v>#REF!</v>
      </c>
      <c r="DA26" t="e">
        <f>IF(P26=0,0,COUNTIF(#REF!,"PAD")*100/P26)</f>
        <v>#REF!</v>
      </c>
      <c r="DB26" t="e">
        <f>IF(P26=0,0,COUNTIF(#REF!,"SARG")*100/P26)</f>
        <v>#REF!</v>
      </c>
      <c r="DC26" t="e">
        <f>IF(P26=0,0,COUNTIF(#REF!,"SCHIZ")*100/P26)</f>
        <v>#REF!</v>
      </c>
      <c r="DD26" t="e">
        <f>IF(P26=0,0,COUNTIF(#REF!,"TURB")*100/P26)</f>
        <v>#REF!</v>
      </c>
      <c r="DE26" t="e">
        <f>IF(P26=0,0,COUNTIF(#REF!,"TYDM")*100/P26)</f>
        <v>#REF!</v>
      </c>
      <c r="DG26" t="e">
        <f>IF(P26=0,0,COUNTIF(#REF!,"AMP")*100/P26)</f>
        <v>#REF!</v>
      </c>
      <c r="DH26" t="e">
        <f>IF(P26=0,0,COUNTIF(#REF!,"BCA1")*100/P26)</f>
        <v>#REF!</v>
      </c>
      <c r="DI26" t="e">
        <f>IF(P26=0,0,COUNTIF(#REF!,"JAN")*100/P26)</f>
        <v>#REF!</v>
      </c>
      <c r="DK26" t="e">
        <f>IF(P26=0,0,COUNTIF(#REF!,"CCA1")*100/P26)</f>
        <v>#REF!</v>
      </c>
      <c r="DM26" t="e">
        <f>IF(P26=0,0,COUNTIF(#REF!,"Sand")*100/P26)</f>
        <v>#REF!</v>
      </c>
      <c r="DO26" t="e">
        <f>IF(P26=0,0,COUNTIF(#REF!,"FCA1")*100/P26)</f>
        <v>#REF!</v>
      </c>
      <c r="DQ26" t="e">
        <f>IF(P26=0,0,COUNTIF(#REF!,"CHRYOBRN")*100/P26)</f>
        <v>#REF!</v>
      </c>
      <c r="DS26" s="29" t="e">
        <f>IF(P26=0,0,COUNTIF(#REF!,"TURF")*100/P26)</f>
        <v>#REF!</v>
      </c>
      <c r="DU26" t="e">
        <f>COUNTIF(#REF!,"Shadow")*100/5</f>
        <v>#REF!</v>
      </c>
      <c r="DV26" t="e">
        <f>COUNTIF(#REF!,"Tape")*100/5</f>
        <v>#REF!</v>
      </c>
      <c r="DW26" t="e">
        <f>COUNTIF(#REF!,"Wand")*100/5</f>
        <v>#REF!</v>
      </c>
      <c r="DY26" t="e">
        <f>IF(P26=0,0,COUNTIF(#REF!,"BC")*100/P26)</f>
        <v>#REF!</v>
      </c>
    </row>
    <row r="27" spans="1:129">
      <c r="A27">
        <v>25</v>
      </c>
      <c r="B27" t="s">
        <v>67</v>
      </c>
      <c r="F27" s="29" t="e">
        <f>IF(P27=0,0,COUNTIF(#REF!,"C")*100/P27)</f>
        <v>#REF!</v>
      </c>
      <c r="G27" t="e">
        <f>IF(P27=0,0,COUNTIF(#REF!,"OI")*100/P27)</f>
        <v>#REF!</v>
      </c>
      <c r="H27" t="e">
        <f>IF(P27=0,0,COUNTIF(#REF!,"MA")*100/P27)</f>
        <v>#REF!</v>
      </c>
      <c r="I27" t="e">
        <f>IF(P27=0,0,COUNTIF(#REF!,"BCA")*100/P27)</f>
        <v>#REF!</v>
      </c>
      <c r="J27" t="e">
        <f>IF(P27=0,0,COUNTIF(#REF!,"CCA")*100/P27)</f>
        <v>#REF!</v>
      </c>
      <c r="K27" t="e">
        <f>IF(P27=0,0,COUNTIF(#REF!,"SD")*100/P27)</f>
        <v>#REF!</v>
      </c>
      <c r="L27" t="e">
        <f>IF(P27=0,0,COUNTIF(#REF!,"FCA")*100/P27)</f>
        <v>#REF!</v>
      </c>
      <c r="M27" t="e">
        <f>IF(P27=0,0,COUNTIF(#REF!,"CHRYS")*100/P27)</f>
        <v>#REF!</v>
      </c>
      <c r="N27" s="29" t="e">
        <f>IF(P27=0,0,COUNTIF(#REF!,"T")*100/P27)</f>
        <v>#REF!</v>
      </c>
      <c r="O27" t="e">
        <f>IF(P27=0,0,COUNTIF(#REF!,"TWS")*100/P27)</f>
        <v>#REF!</v>
      </c>
      <c r="P27" t="e">
        <f>5-COUNTIF(#REF!,"TWS")</f>
        <v>#REF!</v>
      </c>
      <c r="S27" t="e">
        <f>IF(P27=0,0,COUNTIF(#REF!,"ACAN")*100/P27)</f>
        <v>#REF!</v>
      </c>
      <c r="T27" t="e">
        <f>IF(P27=0,0,COUNTIF(#REF!,"ACROP")*100/P27)</f>
        <v>#REF!</v>
      </c>
      <c r="U27" t="e">
        <f>IF(P27=0,0,COUNTIF(#REF!,"ACROPARB")*100/P27)</f>
        <v>#REF!</v>
      </c>
      <c r="V27" t="e">
        <f>IF(P27=0,0,COUNTIF(#REF!,"ACROST")*100/P27)</f>
        <v>#REF!</v>
      </c>
      <c r="W27" t="e">
        <f>IF(P27=0,0,COUNTIF(#REF!,"ACROTBL")*100/P27)</f>
        <v>#REF!</v>
      </c>
      <c r="X27" t="e">
        <f>IF(P27=0,0,COUNTIF(#REF!,"ASTRP")*100/P27)</f>
        <v>#REF!</v>
      </c>
      <c r="Y27" t="e">
        <f>IF(P27=0,0,COUNTIF(#REF!,"CAUL")*100/P27)</f>
        <v>#REF!</v>
      </c>
      <c r="Z27" t="e">
        <f>IF(P27=0,0,COUNTIF(#REF!,"COSC")*100/P27)</f>
        <v>#REF!</v>
      </c>
      <c r="AA27" t="e">
        <f>IF(P27=0,0,COUNTIF(#REF!,"CTEN")*100/P27)</f>
        <v>#REF!</v>
      </c>
      <c r="AB27" t="e">
        <f>IF(P27=0,0,COUNTIF(#REF!,"CYPH")*100/P27)</f>
        <v>#REF!</v>
      </c>
      <c r="AC27" t="e">
        <f>IF(P27=0,0,COUNTIF(#REF!,"DIPLO")*100/P27)</f>
        <v>#REF!</v>
      </c>
      <c r="AD27" t="e">
        <f>IF(P27=0,0,COUNTIF(#REF!,"ECHPO")*100/P27)</f>
        <v>#REF!</v>
      </c>
      <c r="AE27" t="e">
        <f>IF(P27=0,0,COUNTIF(#REF!,"ECHPHY")*100/P27)</f>
        <v>#REF!</v>
      </c>
      <c r="AF27" t="e">
        <f>IF(P27=0,0,COUNTIF(#REF!,"EUPH")*100/P27)</f>
        <v>#REF!</v>
      </c>
      <c r="AG27" t="e">
        <f>IF(P27=0,0,COUNTIF(#REF!,"FAV")*100/P27)</f>
        <v>#REF!</v>
      </c>
      <c r="AH27" t="e">
        <f>IF(P27=0,0,COUNTIF(#REF!,"FAVT")*100/P27)</f>
        <v>#REF!</v>
      </c>
      <c r="AI27" t="e">
        <f>IF(P27=0,0,COUNTIF(#REF!,"FUNG")*100/P27)</f>
        <v>#REF!</v>
      </c>
      <c r="AJ27" t="e">
        <f>IF(P27=0,0,COUNTIF(#REF!,"GAL")*100/P27)</f>
        <v>#REF!</v>
      </c>
      <c r="AK27" t="e">
        <f>IF(P27=0,0,COUNTIF(#REF!,"GARD")*100/P27)</f>
        <v>#REF!</v>
      </c>
      <c r="AL27" t="e">
        <f>IF(P27=0,0,COUNTIF(#REF!,"GON")*100/P27)</f>
        <v>#REF!</v>
      </c>
      <c r="AM27" t="e">
        <f>IF(P27=0,0,COUNTIF(#REF!,"GONIO")*100/P27)</f>
        <v>#REF!</v>
      </c>
      <c r="AN27" t="e">
        <f>IF(P27=0,0,COUNTIF(#REF!,"HELIO")*100/P27)</f>
        <v>#REF!</v>
      </c>
      <c r="AO27" t="e">
        <f>IF(P27=0,0,COUNTIF(#REF!,"HERP")*100/P27)</f>
        <v>#REF!</v>
      </c>
      <c r="AP27" t="e">
        <f>IF(P27=0,0,COUNTIF(#REF!,"HYD")*100/P27)</f>
        <v>#REF!</v>
      </c>
      <c r="AQ27" t="e">
        <f>IF(P27=0,0,COUNTIF(#REF!,"ISOP")*100/P27)</f>
        <v>#REF!</v>
      </c>
      <c r="AR27" t="e">
        <f>IF(P27=0,0,COUNTIF(#REF!,"LEPT")*100/P27)</f>
        <v>#REF!</v>
      </c>
      <c r="AS27" s="29" t="e">
        <f>IF(P27=0,0,COUNTIF(#REF!,"LEPTOR")*100/P27)</f>
        <v>#REF!</v>
      </c>
      <c r="AT27" t="e">
        <f>IF(P27=0,0,COUNTIF(#REF!,"LEPTOS")*100/P27)</f>
        <v>#REF!</v>
      </c>
      <c r="AU27" t="e">
        <f>IF(P27=0,0,COUNTIF(#REF!,"LOBOPH")*100/P27)</f>
        <v>#REF!</v>
      </c>
      <c r="AV27" t="e">
        <f>IF(P27=0,0,COUNTIF(#REF!,"MERU")*100/P27)</f>
        <v>#REF!</v>
      </c>
      <c r="AW27" t="e">
        <f>IF(P27=0,0,COUNTIF(#REF!,"MILL")*100/P27)</f>
        <v>#REF!</v>
      </c>
      <c r="AX27" t="e">
        <f>IF(P27=0,0,COUNTIF(#REF!,"MONT")*100/P27)</f>
        <v>#REF!</v>
      </c>
      <c r="AY27" t="e">
        <f>IF(P27=0,0,COUNTIF(#REF!,"MONTI")*100/P27)</f>
        <v>#REF!</v>
      </c>
      <c r="AZ27" t="e">
        <f>IF(P27=0,0,COUNTIF(#REF!,"MYCED")*100/P27)</f>
        <v>#REF!</v>
      </c>
      <c r="BA27" t="e">
        <f>IF(P27=0,0,COUNTIF(#REF!,"OULO")*100/P27)</f>
        <v>#REF!</v>
      </c>
      <c r="BB27" t="e">
        <f>IF(P27=0,0,COUNTIF(#REF!,"OXYP")*100/P27)</f>
        <v>#REF!</v>
      </c>
      <c r="BC27" t="e">
        <f>IF(P27=0,0,COUNTIF(#REF!,"PLSIA")*100/P27)</f>
        <v>#REF!</v>
      </c>
      <c r="BD27" t="e">
        <f>IF(P27=0,0,COUNTIF(#REF!,"PACHY")*100/P27)</f>
        <v>#REF!</v>
      </c>
      <c r="BE27" t="e">
        <f>IF(P27=0,0,COUNTIF(#REF!,"PAV")*100/P27)</f>
        <v>#REF!</v>
      </c>
      <c r="BF27" t="e">
        <f>IF(P27=0,0,COUNTIF(#REF!,"PECT")*100/P27)</f>
        <v>#REF!</v>
      </c>
      <c r="BG27" t="e">
        <f>IF(P27=0,0,COUNTIF(#REF!,"PHYSO")*100/P27)</f>
        <v>#REF!</v>
      </c>
      <c r="BH27" t="e">
        <f>IF(P27=0,0,COUNTIF(#REF!,"PLAT")*100/P27)</f>
        <v>#REF!</v>
      </c>
      <c r="BI27" t="e">
        <f>IF(P27=0,0,COUNTIF(#REF!,"PLERO")*100/P27)</f>
        <v>#REF!</v>
      </c>
      <c r="BJ27" t="e">
        <f>IF(P27=0,0,COUNTIF(#REF!,"POC")*100/P27)</f>
        <v>#REF!</v>
      </c>
      <c r="BK27" t="e">
        <f>IF(P27=0,0,COUNTIF(#REF!,"POR")*100/P27)</f>
        <v>#REF!</v>
      </c>
      <c r="BL27" t="e">
        <f>IF(P27=0,0,COUNTIF(#REF!,"PORCYL")*100/P27)</f>
        <v>#REF!</v>
      </c>
      <c r="BM27" t="e">
        <f>IF(P27=0,0,COUNTIF(#REF!,"PORMAS")*100/P27)</f>
        <v>#REF!</v>
      </c>
      <c r="BN27" t="e">
        <f>IF(P27=0,0,COUNTIF(#REF!,"PORRUS")*100/P27)</f>
        <v>#REF!</v>
      </c>
      <c r="BO27" t="e">
        <f>IF(P27=0,0,COUNTIF(#REF!,"PSAM")*100/P27)</f>
        <v>#REF!</v>
      </c>
      <c r="BP27" t="e">
        <f>IF(P27=0,0,COUNTIF(#REF!,"SANDO")*100/P27)</f>
        <v>#REF!</v>
      </c>
      <c r="BQ27" t="e">
        <f>IF(P27=0,0,COUNTIF(#REF!,"SCAP")*100/P27)</f>
        <v>#REF!</v>
      </c>
      <c r="BR27" t="e">
        <f>IF(P27=0,0,COUNTIF(#REF!,"SERIA")*100/P27)</f>
        <v>#REF!</v>
      </c>
      <c r="BS27" t="e">
        <f>IF(P27=0,0,COUNTIF(#REF!,"STYLC")*100/P27)</f>
        <v>#REF!</v>
      </c>
      <c r="BT27" t="e">
        <f>IF(P27=0,0,COUNTIF(#REF!,"STYLO")*100/P27)</f>
        <v>#REF!</v>
      </c>
      <c r="BU27" t="e">
        <f>IF(P27=0,0,COUNTIF(#REF!,"SYMP")*100/P27)</f>
        <v>#REF!</v>
      </c>
      <c r="BV27" t="e">
        <f>IF(P27=0,0,COUNTIF(#REF!,"TURBIN")*100/P27)</f>
        <v>#REF!</v>
      </c>
      <c r="BX27" t="e">
        <f>IF(P27=0,0,COUNTIF(#REF!,"ANEM")*100/P27)</f>
        <v>#REF!</v>
      </c>
      <c r="BY27" t="e">
        <f>IF(P27=0,0,COUNTIF(#REF!,"ASC")*100/P27)</f>
        <v>#REF!</v>
      </c>
      <c r="BZ27" t="e">
        <f>IF(P27=0,0,COUNTIF(#REF!,"CUPS")*100/P27)</f>
        <v>#REF!</v>
      </c>
      <c r="CA27" t="e">
        <f>IF(P27=0,0,COUNTIF(#REF!,"DISCO")*100/P27)</f>
        <v>#REF!</v>
      </c>
      <c r="CB27" t="e">
        <f>IF(P27=0,0,COUNTIF(#REF!,"DYS")*100/P27)</f>
        <v>#REF!</v>
      </c>
      <c r="CC27" t="e">
        <f>IF(P27=0,0,COUNTIF(#REF!,"G")*100/P27)</f>
        <v>#REF!</v>
      </c>
      <c r="CD27" t="e">
        <f>IF(P27=0,0,COUNTIF(#REF!,"NoIDINV")*100/P27)</f>
        <v>#REF!</v>
      </c>
      <c r="CE27" t="e">
        <f>IF(P27=0,0,COUNTIF(#REF!,"OLV")*100/P27)</f>
        <v>#REF!</v>
      </c>
      <c r="CF27" t="e">
        <f>IF(P27=0,0,COUNTIF(#REF!,"SC")*100/P27)</f>
        <v>#REF!</v>
      </c>
      <c r="CG27" t="e">
        <f>IF(P27=0,0,COUNTIF(#REF!,"S")*100/P27)</f>
        <v>#REF!</v>
      </c>
      <c r="CH27" t="e">
        <f>IF(P27=0,0,COUNTIF(#REF!,"TERPS")*100/P27)</f>
        <v>#REF!</v>
      </c>
      <c r="CI27" t="e">
        <f>IF(P27=0,0,COUNTIF(#REF!,"Z")*100/P27)</f>
        <v>#REF!</v>
      </c>
      <c r="CK27" t="e">
        <f>IF(P27=0,0,COUNTIF(#REF!,"ASP")*100/P27)</f>
        <v>#REF!</v>
      </c>
      <c r="CL27" t="e">
        <f>IF(P27=0,0,COUNTIF(#REF!,"BG")*100/P27)</f>
        <v>#REF!</v>
      </c>
      <c r="CM27" t="e">
        <f>IF(P27=0,0,COUNTIF(#REF!,"Bood")*100/P27)</f>
        <v>#REF!</v>
      </c>
      <c r="CN27" t="e">
        <f>IF(P27=0,0,COUNTIF(#REF!,"BRYP")*100/P27)</f>
        <v>#REF!</v>
      </c>
      <c r="CO27" t="e">
        <f>IF(P27=0,0,COUNTIF(#REF!,"CLP")*100/P27)</f>
        <v>#REF!</v>
      </c>
      <c r="CP27" t="e">
        <f>IF(P27=0,0,COUNTIF(#REF!,"CHLDES")*100/P27)</f>
        <v>#REF!</v>
      </c>
      <c r="CQ27" t="e">
        <f>IF(P27=0,0,COUNTIF(#REF!,"DYCTY")*100/P27)</f>
        <v>#REF!</v>
      </c>
      <c r="CR27" t="e">
        <f>IF(P27=0,0,COUNTIF(#REF!,"DICT")*100/P27)</f>
        <v>#REF!</v>
      </c>
      <c r="CS27" t="e">
        <f>IF(P27=0,0,COUNTIF(#REF!,"GLXU")*100/P27)</f>
        <v>#REF!</v>
      </c>
      <c r="CT27" t="e">
        <f>IF(P27=0,0,COUNTIF(#REF!,"HALI")*100/P27)</f>
        <v>#REF!</v>
      </c>
      <c r="CU27" t="e">
        <f>IF(P27=0,0,COUNTIF(#REF!,"LIAG")*100/P27)</f>
        <v>#REF!</v>
      </c>
      <c r="CV27" t="e">
        <f>IF(P27=0,0,COUNTIF(#REF!,"LOBO")*100/P27)</f>
        <v>#REF!</v>
      </c>
      <c r="CW27" t="e">
        <f>IF(P27=0,0,COUNTIF(#REF!,"MAST")*100/P27)</f>
        <v>#REF!</v>
      </c>
      <c r="CX27" t="e">
        <f>IF(P27=0,0,COUNTIF(#REF!,"MICDTY")*100/P27)</f>
        <v>#REF!</v>
      </c>
      <c r="CY27" t="e">
        <f>IF(P27=0,0,COUNTIF(#REF!,"NEOM")*100/P27)</f>
        <v>#REF!</v>
      </c>
      <c r="CZ27" t="e">
        <f>IF(P27=0,0,COUNTIF(#REF!,"NOIDMAC")*100/P27)</f>
        <v>#REF!</v>
      </c>
      <c r="DA27" t="e">
        <f>IF(P27=0,0,COUNTIF(#REF!,"PAD")*100/P27)</f>
        <v>#REF!</v>
      </c>
      <c r="DB27" t="e">
        <f>IF(P27=0,0,COUNTIF(#REF!,"SARG")*100/P27)</f>
        <v>#REF!</v>
      </c>
      <c r="DC27" t="e">
        <f>IF(P27=0,0,COUNTIF(#REF!,"SCHIZ")*100/P27)</f>
        <v>#REF!</v>
      </c>
      <c r="DD27" t="e">
        <f>IF(P27=0,0,COUNTIF(#REF!,"TURB")*100/P27)</f>
        <v>#REF!</v>
      </c>
      <c r="DE27" t="e">
        <f>IF(P27=0,0,COUNTIF(#REF!,"TYDM")*100/P27)</f>
        <v>#REF!</v>
      </c>
      <c r="DG27" t="e">
        <f>IF(P27=0,0,COUNTIF(#REF!,"AMP")*100/P27)</f>
        <v>#REF!</v>
      </c>
      <c r="DH27" t="e">
        <f>IF(P27=0,0,COUNTIF(#REF!,"BCA1")*100/P27)</f>
        <v>#REF!</v>
      </c>
      <c r="DI27" t="e">
        <f>IF(P27=0,0,COUNTIF(#REF!,"JAN")*100/P27)</f>
        <v>#REF!</v>
      </c>
      <c r="DK27" t="e">
        <f>IF(P27=0,0,COUNTIF(#REF!,"CCA1")*100/P27)</f>
        <v>#REF!</v>
      </c>
      <c r="DM27" t="e">
        <f>IF(P27=0,0,COUNTIF(#REF!,"Sand")*100/P27)</f>
        <v>#REF!</v>
      </c>
      <c r="DO27" t="e">
        <f>IF(P27=0,0,COUNTIF(#REF!,"FCA1")*100/P27)</f>
        <v>#REF!</v>
      </c>
      <c r="DQ27" t="e">
        <f>IF(P27=0,0,COUNTIF(#REF!,"CHRYOBRN")*100/P27)</f>
        <v>#REF!</v>
      </c>
      <c r="DS27" s="29" t="e">
        <f>IF(P27=0,0,COUNTIF(#REF!,"TURF")*100/P27)</f>
        <v>#REF!</v>
      </c>
      <c r="DU27" t="e">
        <f>COUNTIF(#REF!,"Shadow")*100/5</f>
        <v>#REF!</v>
      </c>
      <c r="DV27" t="e">
        <f>COUNTIF(#REF!,"Tape")*100/5</f>
        <v>#REF!</v>
      </c>
      <c r="DW27" t="e">
        <f>COUNTIF(#REF!,"Wand")*100/5</f>
        <v>#REF!</v>
      </c>
      <c r="DY27" t="e">
        <f>IF(P27=0,0,COUNTIF(#REF!,"BC")*100/P27)</f>
        <v>#REF!</v>
      </c>
    </row>
    <row r="28" spans="1:129">
      <c r="A28">
        <v>26</v>
      </c>
      <c r="B28" t="s">
        <v>68</v>
      </c>
      <c r="F28" s="29" t="e">
        <f>IF(P28=0,0,COUNTIF(#REF!,"C")*100/P28)</f>
        <v>#REF!</v>
      </c>
      <c r="G28" t="e">
        <f>IF(P28=0,0,COUNTIF(#REF!,"OI")*100/P28)</f>
        <v>#REF!</v>
      </c>
      <c r="H28" t="e">
        <f>IF(P28=0,0,COUNTIF(#REF!,"MA")*100/P28)</f>
        <v>#REF!</v>
      </c>
      <c r="I28" t="e">
        <f>IF(P28=0,0,COUNTIF(#REF!,"BCA")*100/P28)</f>
        <v>#REF!</v>
      </c>
      <c r="J28" s="29" t="e">
        <f>IF(P28=0,0,COUNTIF(#REF!,"CCA")*100/P28)</f>
        <v>#REF!</v>
      </c>
      <c r="K28" t="e">
        <f>IF(P28=0,0,COUNTIF(#REF!,"SD")*100/P28)</f>
        <v>#REF!</v>
      </c>
      <c r="L28" t="e">
        <f>IF(P28=0,0,COUNTIF(#REF!,"FCA")*100/P28)</f>
        <v>#REF!</v>
      </c>
      <c r="M28" t="e">
        <f>IF(P28=0,0,COUNTIF(#REF!,"CHRYS")*100/P28)</f>
        <v>#REF!</v>
      </c>
      <c r="N28" s="29" t="e">
        <f>IF(P28=0,0,COUNTIF(#REF!,"T")*100/P28)</f>
        <v>#REF!</v>
      </c>
      <c r="O28" t="e">
        <f>IF(P28=0,0,COUNTIF(#REF!,"TWS")*100/P28)</f>
        <v>#REF!</v>
      </c>
      <c r="P28" t="e">
        <f>5-COUNTIF(#REF!,"TWS")</f>
        <v>#REF!</v>
      </c>
      <c r="S28" t="e">
        <f>IF(P28=0,0,COUNTIF(#REF!,"ACAN")*100/P28)</f>
        <v>#REF!</v>
      </c>
      <c r="T28" t="e">
        <f>IF(P28=0,0,COUNTIF(#REF!,"ACROP")*100/P28)</f>
        <v>#REF!</v>
      </c>
      <c r="U28" t="e">
        <f>IF(P28=0,0,COUNTIF(#REF!,"ACROPARB")*100/P28)</f>
        <v>#REF!</v>
      </c>
      <c r="V28" t="e">
        <f>IF(P28=0,0,COUNTIF(#REF!,"ACROST")*100/P28)</f>
        <v>#REF!</v>
      </c>
      <c r="W28" t="e">
        <f>IF(P28=0,0,COUNTIF(#REF!,"ACROTBL")*100/P28)</f>
        <v>#REF!</v>
      </c>
      <c r="X28" t="e">
        <f>IF(P28=0,0,COUNTIF(#REF!,"ASTRP")*100/P28)</f>
        <v>#REF!</v>
      </c>
      <c r="Y28" t="e">
        <f>IF(P28=0,0,COUNTIF(#REF!,"CAUL")*100/P28)</f>
        <v>#REF!</v>
      </c>
      <c r="Z28" t="e">
        <f>IF(P28=0,0,COUNTIF(#REF!,"COSC")*100/P28)</f>
        <v>#REF!</v>
      </c>
      <c r="AA28" t="e">
        <f>IF(P28=0,0,COUNTIF(#REF!,"CTEN")*100/P28)</f>
        <v>#REF!</v>
      </c>
      <c r="AB28" t="e">
        <f>IF(P28=0,0,COUNTIF(#REF!,"CYPH")*100/P28)</f>
        <v>#REF!</v>
      </c>
      <c r="AC28" t="e">
        <f>IF(P28=0,0,COUNTIF(#REF!,"DIPLO")*100/P28)</f>
        <v>#REF!</v>
      </c>
      <c r="AD28" t="e">
        <f>IF(P28=0,0,COUNTIF(#REF!,"ECHPO")*100/P28)</f>
        <v>#REF!</v>
      </c>
      <c r="AE28" t="e">
        <f>IF(P28=0,0,COUNTIF(#REF!,"ECHPHY")*100/P28)</f>
        <v>#REF!</v>
      </c>
      <c r="AF28" t="e">
        <f>IF(P28=0,0,COUNTIF(#REF!,"EUPH")*100/P28)</f>
        <v>#REF!</v>
      </c>
      <c r="AG28" t="e">
        <f>IF(P28=0,0,COUNTIF(#REF!,"FAV")*100/P28)</f>
        <v>#REF!</v>
      </c>
      <c r="AH28" t="e">
        <f>IF(P28=0,0,COUNTIF(#REF!,"FAVT")*100/P28)</f>
        <v>#REF!</v>
      </c>
      <c r="AI28" t="e">
        <f>IF(P28=0,0,COUNTIF(#REF!,"FUNG")*100/P28)</f>
        <v>#REF!</v>
      </c>
      <c r="AJ28" t="e">
        <f>IF(P28=0,0,COUNTIF(#REF!,"GAL")*100/P28)</f>
        <v>#REF!</v>
      </c>
      <c r="AK28" t="e">
        <f>IF(P28=0,0,COUNTIF(#REF!,"GARD")*100/P28)</f>
        <v>#REF!</v>
      </c>
      <c r="AL28" t="e">
        <f>IF(P28=0,0,COUNTIF(#REF!,"GON")*100/P28)</f>
        <v>#REF!</v>
      </c>
      <c r="AM28" t="e">
        <f>IF(P28=0,0,COUNTIF(#REF!,"GONIO")*100/P28)</f>
        <v>#REF!</v>
      </c>
      <c r="AN28" t="e">
        <f>IF(P28=0,0,COUNTIF(#REF!,"HELIO")*100/P28)</f>
        <v>#REF!</v>
      </c>
      <c r="AO28" t="e">
        <f>IF(P28=0,0,COUNTIF(#REF!,"HERP")*100/P28)</f>
        <v>#REF!</v>
      </c>
      <c r="AP28" t="e">
        <f>IF(P28=0,0,COUNTIF(#REF!,"HYD")*100/P28)</f>
        <v>#REF!</v>
      </c>
      <c r="AQ28" t="e">
        <f>IF(P28=0,0,COUNTIF(#REF!,"ISOP")*100/P28)</f>
        <v>#REF!</v>
      </c>
      <c r="AR28" t="e">
        <f>IF(P28=0,0,COUNTIF(#REF!,"LEPT")*100/P28)</f>
        <v>#REF!</v>
      </c>
      <c r="AS28" t="e">
        <f>IF(P28=0,0,COUNTIF(#REF!,"LEPTOR")*100/P28)</f>
        <v>#REF!</v>
      </c>
      <c r="AT28" t="e">
        <f>IF(P28=0,0,COUNTIF(#REF!,"LEPTOS")*100/P28)</f>
        <v>#REF!</v>
      </c>
      <c r="AU28" t="e">
        <f>IF(P28=0,0,COUNTIF(#REF!,"LOBOPH")*100/P28)</f>
        <v>#REF!</v>
      </c>
      <c r="AV28" t="e">
        <f>IF(P28=0,0,COUNTIF(#REF!,"MERU")*100/P28)</f>
        <v>#REF!</v>
      </c>
      <c r="AW28" t="e">
        <f>IF(P28=0,0,COUNTIF(#REF!,"MILL")*100/P28)</f>
        <v>#REF!</v>
      </c>
      <c r="AX28" t="e">
        <f>IF(P28=0,0,COUNTIF(#REF!,"MONT")*100/P28)</f>
        <v>#REF!</v>
      </c>
      <c r="AY28" t="e">
        <f>IF(P28=0,0,COUNTIF(#REF!,"MONTI")*100/P28)</f>
        <v>#REF!</v>
      </c>
      <c r="AZ28" t="e">
        <f>IF(P28=0,0,COUNTIF(#REF!,"MYCED")*100/P28)</f>
        <v>#REF!</v>
      </c>
      <c r="BA28" t="e">
        <f>IF(P28=0,0,COUNTIF(#REF!,"OULO")*100/P28)</f>
        <v>#REF!</v>
      </c>
      <c r="BB28" t="e">
        <f>IF(P28=0,0,COUNTIF(#REF!,"OXYP")*100/P28)</f>
        <v>#REF!</v>
      </c>
      <c r="BC28" t="e">
        <f>IF(P28=0,0,COUNTIF(#REF!,"PLSIA")*100/P28)</f>
        <v>#REF!</v>
      </c>
      <c r="BD28" t="e">
        <f>IF(P28=0,0,COUNTIF(#REF!,"PACHY")*100/P28)</f>
        <v>#REF!</v>
      </c>
      <c r="BE28" t="e">
        <f>IF(P28=0,0,COUNTIF(#REF!,"PAV")*100/P28)</f>
        <v>#REF!</v>
      </c>
      <c r="BF28" t="e">
        <f>IF(P28=0,0,COUNTIF(#REF!,"PECT")*100/P28)</f>
        <v>#REF!</v>
      </c>
      <c r="BG28" t="e">
        <f>IF(P28=0,0,COUNTIF(#REF!,"PHYSO")*100/P28)</f>
        <v>#REF!</v>
      </c>
      <c r="BH28" s="29" t="e">
        <f>IF(P28=0,0,COUNTIF(#REF!,"PLAT")*100/P28)</f>
        <v>#REF!</v>
      </c>
      <c r="BI28" t="e">
        <f>IF(P28=0,0,COUNTIF(#REF!,"PLERO")*100/P28)</f>
        <v>#REF!</v>
      </c>
      <c r="BJ28" t="e">
        <f>IF(P28=0,0,COUNTIF(#REF!,"POC")*100/P28)</f>
        <v>#REF!</v>
      </c>
      <c r="BK28" t="e">
        <f>IF(P28=0,0,COUNTIF(#REF!,"POR")*100/P28)</f>
        <v>#REF!</v>
      </c>
      <c r="BL28" t="e">
        <f>IF(P28=0,0,COUNTIF(#REF!,"PORCYL")*100/P28)</f>
        <v>#REF!</v>
      </c>
      <c r="BM28" t="e">
        <f>IF(P28=0,0,COUNTIF(#REF!,"PORMAS")*100/P28)</f>
        <v>#REF!</v>
      </c>
      <c r="BN28" t="e">
        <f>IF(P28=0,0,COUNTIF(#REF!,"PORRUS")*100/P28)</f>
        <v>#REF!</v>
      </c>
      <c r="BO28" t="e">
        <f>IF(P28=0,0,COUNTIF(#REF!,"PSAM")*100/P28)</f>
        <v>#REF!</v>
      </c>
      <c r="BP28" t="e">
        <f>IF(P28=0,0,COUNTIF(#REF!,"SANDO")*100/P28)</f>
        <v>#REF!</v>
      </c>
      <c r="BQ28" t="e">
        <f>IF(P28=0,0,COUNTIF(#REF!,"SCAP")*100/P28)</f>
        <v>#REF!</v>
      </c>
      <c r="BR28" t="e">
        <f>IF(P28=0,0,COUNTIF(#REF!,"SERIA")*100/P28)</f>
        <v>#REF!</v>
      </c>
      <c r="BS28" t="e">
        <f>IF(P28=0,0,COUNTIF(#REF!,"STYLC")*100/P28)</f>
        <v>#REF!</v>
      </c>
      <c r="BT28" t="e">
        <f>IF(P28=0,0,COUNTIF(#REF!,"STYLO")*100/P28)</f>
        <v>#REF!</v>
      </c>
      <c r="BU28" t="e">
        <f>IF(P28=0,0,COUNTIF(#REF!,"SYMP")*100/P28)</f>
        <v>#REF!</v>
      </c>
      <c r="BV28" t="e">
        <f>IF(P28=0,0,COUNTIF(#REF!,"TURBIN")*100/P28)</f>
        <v>#REF!</v>
      </c>
      <c r="BX28" t="e">
        <f>IF(P28=0,0,COUNTIF(#REF!,"ANEM")*100/P28)</f>
        <v>#REF!</v>
      </c>
      <c r="BY28" t="e">
        <f>IF(P28=0,0,COUNTIF(#REF!,"ASC")*100/P28)</f>
        <v>#REF!</v>
      </c>
      <c r="BZ28" t="e">
        <f>IF(P28=0,0,COUNTIF(#REF!,"CUPS")*100/P28)</f>
        <v>#REF!</v>
      </c>
      <c r="CA28" t="e">
        <f>IF(P28=0,0,COUNTIF(#REF!,"DISCO")*100/P28)</f>
        <v>#REF!</v>
      </c>
      <c r="CB28" t="e">
        <f>IF(P28=0,0,COUNTIF(#REF!,"DYS")*100/P28)</f>
        <v>#REF!</v>
      </c>
      <c r="CC28" t="e">
        <f>IF(P28=0,0,COUNTIF(#REF!,"G")*100/P28)</f>
        <v>#REF!</v>
      </c>
      <c r="CD28" t="e">
        <f>IF(P28=0,0,COUNTIF(#REF!,"NoIDINV")*100/P28)</f>
        <v>#REF!</v>
      </c>
      <c r="CE28" t="e">
        <f>IF(P28=0,0,COUNTIF(#REF!,"OLV")*100/P28)</f>
        <v>#REF!</v>
      </c>
      <c r="CF28" t="e">
        <f>IF(P28=0,0,COUNTIF(#REF!,"SC")*100/P28)</f>
        <v>#REF!</v>
      </c>
      <c r="CG28" t="e">
        <f>IF(P28=0,0,COUNTIF(#REF!,"S")*100/P28)</f>
        <v>#REF!</v>
      </c>
      <c r="CH28" t="e">
        <f>IF(P28=0,0,COUNTIF(#REF!,"TERPS")*100/P28)</f>
        <v>#REF!</v>
      </c>
      <c r="CI28" t="e">
        <f>IF(P28=0,0,COUNTIF(#REF!,"Z")*100/P28)</f>
        <v>#REF!</v>
      </c>
      <c r="CK28" t="e">
        <f>IF(P28=0,0,COUNTIF(#REF!,"ASP")*100/P28)</f>
        <v>#REF!</v>
      </c>
      <c r="CL28" t="e">
        <f>IF(P28=0,0,COUNTIF(#REF!,"BG")*100/P28)</f>
        <v>#REF!</v>
      </c>
      <c r="CM28" t="e">
        <f>IF(P28=0,0,COUNTIF(#REF!,"Bood")*100/P28)</f>
        <v>#REF!</v>
      </c>
      <c r="CN28" t="e">
        <f>IF(P28=0,0,COUNTIF(#REF!,"BRYP")*100/P28)</f>
        <v>#REF!</v>
      </c>
      <c r="CO28" t="e">
        <f>IF(P28=0,0,COUNTIF(#REF!,"CLP")*100/P28)</f>
        <v>#REF!</v>
      </c>
      <c r="CP28" t="e">
        <f>IF(P28=0,0,COUNTIF(#REF!,"CHLDES")*100/P28)</f>
        <v>#REF!</v>
      </c>
      <c r="CQ28" t="e">
        <f>IF(P28=0,0,COUNTIF(#REF!,"DYCTY")*100/P28)</f>
        <v>#REF!</v>
      </c>
      <c r="CR28" t="e">
        <f>IF(P28=0,0,COUNTIF(#REF!,"DICT")*100/P28)</f>
        <v>#REF!</v>
      </c>
      <c r="CS28" t="e">
        <f>IF(P28=0,0,COUNTIF(#REF!,"GLXU")*100/P28)</f>
        <v>#REF!</v>
      </c>
      <c r="CT28" t="e">
        <f>IF(P28=0,0,COUNTIF(#REF!,"HALI")*100/P28)</f>
        <v>#REF!</v>
      </c>
      <c r="CU28" t="e">
        <f>IF(P28=0,0,COUNTIF(#REF!,"LIAG")*100/P28)</f>
        <v>#REF!</v>
      </c>
      <c r="CV28" t="e">
        <f>IF(P28=0,0,COUNTIF(#REF!,"LOBO")*100/P28)</f>
        <v>#REF!</v>
      </c>
      <c r="CW28" t="e">
        <f>IF(P28=0,0,COUNTIF(#REF!,"MAST")*100/P28)</f>
        <v>#REF!</v>
      </c>
      <c r="CX28" t="e">
        <f>IF(P28=0,0,COUNTIF(#REF!,"MICDTY")*100/P28)</f>
        <v>#REF!</v>
      </c>
      <c r="CY28" t="e">
        <f>IF(P28=0,0,COUNTIF(#REF!,"NEOM")*100/P28)</f>
        <v>#REF!</v>
      </c>
      <c r="CZ28" t="e">
        <f>IF(P28=0,0,COUNTIF(#REF!,"NOIDMAC")*100/P28)</f>
        <v>#REF!</v>
      </c>
      <c r="DA28" t="e">
        <f>IF(P28=0,0,COUNTIF(#REF!,"PAD")*100/P28)</f>
        <v>#REF!</v>
      </c>
      <c r="DB28" t="e">
        <f>IF(P28=0,0,COUNTIF(#REF!,"SARG")*100/P28)</f>
        <v>#REF!</v>
      </c>
      <c r="DC28" t="e">
        <f>IF(P28=0,0,COUNTIF(#REF!,"SCHIZ")*100/P28)</f>
        <v>#REF!</v>
      </c>
      <c r="DD28" t="e">
        <f>IF(P28=0,0,COUNTIF(#REF!,"TURB")*100/P28)</f>
        <v>#REF!</v>
      </c>
      <c r="DE28" t="e">
        <f>IF(P28=0,0,COUNTIF(#REF!,"TYDM")*100/P28)</f>
        <v>#REF!</v>
      </c>
      <c r="DG28" t="e">
        <f>IF(P28=0,0,COUNTIF(#REF!,"AMP")*100/P28)</f>
        <v>#REF!</v>
      </c>
      <c r="DH28" t="e">
        <f>IF(P28=0,0,COUNTIF(#REF!,"BCA1")*100/P28)</f>
        <v>#REF!</v>
      </c>
      <c r="DI28" t="e">
        <f>IF(P28=0,0,COUNTIF(#REF!,"JAN")*100/P28)</f>
        <v>#REF!</v>
      </c>
      <c r="DK28" s="29" t="e">
        <f>IF(P28=0,0,COUNTIF(#REF!,"CCA1")*100/P28)</f>
        <v>#REF!</v>
      </c>
      <c r="DM28" t="e">
        <f>IF(P28=0,0,COUNTIF(#REF!,"Sand")*100/P28)</f>
        <v>#REF!</v>
      </c>
      <c r="DO28" t="e">
        <f>IF(P28=0,0,COUNTIF(#REF!,"FCA1")*100/P28)</f>
        <v>#REF!</v>
      </c>
      <c r="DQ28" t="e">
        <f>IF(P28=0,0,COUNTIF(#REF!,"CHRYOBRN")*100/P28)</f>
        <v>#REF!</v>
      </c>
      <c r="DS28" s="29" t="e">
        <f>IF(P28=0,0,COUNTIF(#REF!,"TURF")*100/P28)</f>
        <v>#REF!</v>
      </c>
      <c r="DU28" t="e">
        <f>COUNTIF(#REF!,"Shadow")*100/5</f>
        <v>#REF!</v>
      </c>
      <c r="DV28" t="e">
        <f>COUNTIF(#REF!,"Tape")*100/5</f>
        <v>#REF!</v>
      </c>
      <c r="DW28" t="e">
        <f>COUNTIF(#REF!,"Wand")*100/5</f>
        <v>#REF!</v>
      </c>
      <c r="DY28" t="e">
        <f>IF(P28=0,0,COUNTIF(#REF!,"BC")*100/P28)</f>
        <v>#REF!</v>
      </c>
    </row>
    <row r="29" spans="1:129">
      <c r="A29">
        <v>27</v>
      </c>
      <c r="B29" t="s">
        <v>70</v>
      </c>
      <c r="F29" s="29" t="e">
        <f>IF(P29=0,0,COUNTIF(#REF!,"C")*100/P29)</f>
        <v>#REF!</v>
      </c>
      <c r="G29" t="e">
        <f>IF(P29=0,0,COUNTIF(#REF!,"OI")*100/P29)</f>
        <v>#REF!</v>
      </c>
      <c r="H29" t="e">
        <f>IF(P29=0,0,COUNTIF(#REF!,"MA")*100/P29)</f>
        <v>#REF!</v>
      </c>
      <c r="I29" t="e">
        <f>IF(P29=0,0,COUNTIF(#REF!,"BCA")*100/P29)</f>
        <v>#REF!</v>
      </c>
      <c r="J29" s="29" t="e">
        <f>IF(P29=0,0,COUNTIF(#REF!,"CCA")*100/P29)</f>
        <v>#REF!</v>
      </c>
      <c r="K29" t="e">
        <f>IF(P29=0,0,COUNTIF(#REF!,"SD")*100/P29)</f>
        <v>#REF!</v>
      </c>
      <c r="L29" t="e">
        <f>IF(P29=0,0,COUNTIF(#REF!,"FCA")*100/P29)</f>
        <v>#REF!</v>
      </c>
      <c r="M29" t="e">
        <f>IF(P29=0,0,COUNTIF(#REF!,"CHRYS")*100/P29)</f>
        <v>#REF!</v>
      </c>
      <c r="N29" s="29" t="e">
        <f>IF(P29=0,0,COUNTIF(#REF!,"T")*100/P29)</f>
        <v>#REF!</v>
      </c>
      <c r="O29" t="e">
        <f>IF(P29=0,0,COUNTIF(#REF!,"TWS")*100/P29)</f>
        <v>#REF!</v>
      </c>
      <c r="P29" t="e">
        <f>5-COUNTIF(#REF!,"TWS")</f>
        <v>#REF!</v>
      </c>
      <c r="S29" t="e">
        <f>IF(P29=0,0,COUNTIF(#REF!,"ACAN")*100/P29)</f>
        <v>#REF!</v>
      </c>
      <c r="T29" t="e">
        <f>IF(P29=0,0,COUNTIF(#REF!,"ACROP")*100/P29)</f>
        <v>#REF!</v>
      </c>
      <c r="U29" t="e">
        <f>IF(P29=0,0,COUNTIF(#REF!,"ACROPARB")*100/P29)</f>
        <v>#REF!</v>
      </c>
      <c r="V29" t="e">
        <f>IF(P29=0,0,COUNTIF(#REF!,"ACROST")*100/P29)</f>
        <v>#REF!</v>
      </c>
      <c r="W29" t="e">
        <f>IF(P29=0,0,COUNTIF(#REF!,"ACROTBL")*100/P29)</f>
        <v>#REF!</v>
      </c>
      <c r="X29" t="e">
        <f>IF(P29=0,0,COUNTIF(#REF!,"ASTRP")*100/P29)</f>
        <v>#REF!</v>
      </c>
      <c r="Y29" t="e">
        <f>IF(P29=0,0,COUNTIF(#REF!,"CAUL")*100/P29)</f>
        <v>#REF!</v>
      </c>
      <c r="Z29" t="e">
        <f>IF(P29=0,0,COUNTIF(#REF!,"COSC")*100/P29)</f>
        <v>#REF!</v>
      </c>
      <c r="AA29" t="e">
        <f>IF(P29=0,0,COUNTIF(#REF!,"CTEN")*100/P29)</f>
        <v>#REF!</v>
      </c>
      <c r="AB29" t="e">
        <f>IF(P29=0,0,COUNTIF(#REF!,"CYPH")*100/P29)</f>
        <v>#REF!</v>
      </c>
      <c r="AC29" t="e">
        <f>IF(P29=0,0,COUNTIF(#REF!,"DIPLO")*100/P29)</f>
        <v>#REF!</v>
      </c>
      <c r="AD29" t="e">
        <f>IF(P29=0,0,COUNTIF(#REF!,"ECHPO")*100/P29)</f>
        <v>#REF!</v>
      </c>
      <c r="AE29" t="e">
        <f>IF(P29=0,0,COUNTIF(#REF!,"ECHPHY")*100/P29)</f>
        <v>#REF!</v>
      </c>
      <c r="AF29" t="e">
        <f>IF(P29=0,0,COUNTIF(#REF!,"EUPH")*100/P29)</f>
        <v>#REF!</v>
      </c>
      <c r="AG29" s="29" t="e">
        <f>IF(P29=0,0,COUNTIF(#REF!,"FAV")*100/P29)</f>
        <v>#REF!</v>
      </c>
      <c r="AH29" t="e">
        <f>IF(P29=0,0,COUNTIF(#REF!,"FAVT")*100/P29)</f>
        <v>#REF!</v>
      </c>
      <c r="AI29" t="e">
        <f>IF(P29=0,0,COUNTIF(#REF!,"FUNG")*100/P29)</f>
        <v>#REF!</v>
      </c>
      <c r="AJ29" t="e">
        <f>IF(P29=0,0,COUNTIF(#REF!,"GAL")*100/P29)</f>
        <v>#REF!</v>
      </c>
      <c r="AK29" t="e">
        <f>IF(P29=0,0,COUNTIF(#REF!,"GARD")*100/P29)</f>
        <v>#REF!</v>
      </c>
      <c r="AL29" t="e">
        <f>IF(P29=0,0,COUNTIF(#REF!,"GON")*100/P29)</f>
        <v>#REF!</v>
      </c>
      <c r="AM29" t="e">
        <f>IF(P29=0,0,COUNTIF(#REF!,"GONIO")*100/P29)</f>
        <v>#REF!</v>
      </c>
      <c r="AN29" t="e">
        <f>IF(P29=0,0,COUNTIF(#REF!,"HELIO")*100/P29)</f>
        <v>#REF!</v>
      </c>
      <c r="AO29" t="e">
        <f>IF(P29=0,0,COUNTIF(#REF!,"HERP")*100/P29)</f>
        <v>#REF!</v>
      </c>
      <c r="AP29" t="e">
        <f>IF(P29=0,0,COUNTIF(#REF!,"HYD")*100/P29)</f>
        <v>#REF!</v>
      </c>
      <c r="AQ29" t="e">
        <f>IF(P29=0,0,COUNTIF(#REF!,"ISOP")*100/P29)</f>
        <v>#REF!</v>
      </c>
      <c r="AR29" t="e">
        <f>IF(P29=0,0,COUNTIF(#REF!,"LEPT")*100/P29)</f>
        <v>#REF!</v>
      </c>
      <c r="AS29" s="29" t="e">
        <f>IF(P29=0,0,COUNTIF(#REF!,"LEPTOR")*100/P29)</f>
        <v>#REF!</v>
      </c>
      <c r="AT29" t="e">
        <f>IF(P29=0,0,COUNTIF(#REF!,"LEPTOS")*100/P29)</f>
        <v>#REF!</v>
      </c>
      <c r="AU29" t="e">
        <f>IF(P29=0,0,COUNTIF(#REF!,"LOBOPH")*100/P29)</f>
        <v>#REF!</v>
      </c>
      <c r="AV29" t="e">
        <f>IF(P29=0,0,COUNTIF(#REF!,"MERU")*100/P29)</f>
        <v>#REF!</v>
      </c>
      <c r="AW29" t="e">
        <f>IF(P29=0,0,COUNTIF(#REF!,"MILL")*100/P29)</f>
        <v>#REF!</v>
      </c>
      <c r="AX29" t="e">
        <f>IF(P29=0,0,COUNTIF(#REF!,"MONT")*100/P29)</f>
        <v>#REF!</v>
      </c>
      <c r="AY29" t="e">
        <f>IF(P29=0,0,COUNTIF(#REF!,"MONTI")*100/P29)</f>
        <v>#REF!</v>
      </c>
      <c r="AZ29" t="e">
        <f>IF(P29=0,0,COUNTIF(#REF!,"MYCED")*100/P29)</f>
        <v>#REF!</v>
      </c>
      <c r="BA29" t="e">
        <f>IF(P29=0,0,COUNTIF(#REF!,"OULO")*100/P29)</f>
        <v>#REF!</v>
      </c>
      <c r="BB29" t="e">
        <f>IF(P29=0,0,COUNTIF(#REF!,"OXYP")*100/P29)</f>
        <v>#REF!</v>
      </c>
      <c r="BC29" t="e">
        <f>IF(P29=0,0,COUNTIF(#REF!,"PLSIA")*100/P29)</f>
        <v>#REF!</v>
      </c>
      <c r="BD29" t="e">
        <f>IF(P29=0,0,COUNTIF(#REF!,"PACHY")*100/P29)</f>
        <v>#REF!</v>
      </c>
      <c r="BE29" t="e">
        <f>IF(P29=0,0,COUNTIF(#REF!,"PAV")*100/P29)</f>
        <v>#REF!</v>
      </c>
      <c r="BF29" t="e">
        <f>IF(P29=0,0,COUNTIF(#REF!,"PECT")*100/P29)</f>
        <v>#REF!</v>
      </c>
      <c r="BG29" t="e">
        <f>IF(P29=0,0,COUNTIF(#REF!,"PHYSO")*100/P29)</f>
        <v>#REF!</v>
      </c>
      <c r="BH29" t="e">
        <f>IF(P29=0,0,COUNTIF(#REF!,"PLAT")*100/P29)</f>
        <v>#REF!</v>
      </c>
      <c r="BI29" t="e">
        <f>IF(P29=0,0,COUNTIF(#REF!,"PLERO")*100/P29)</f>
        <v>#REF!</v>
      </c>
      <c r="BJ29" t="e">
        <f>IF(P29=0,0,COUNTIF(#REF!,"POC")*100/P29)</f>
        <v>#REF!</v>
      </c>
      <c r="BK29" t="e">
        <f>IF(P29=0,0,COUNTIF(#REF!,"POR")*100/P29)</f>
        <v>#REF!</v>
      </c>
      <c r="BL29" t="e">
        <f>IF(P29=0,0,COUNTIF(#REF!,"PORCYL")*100/P29)</f>
        <v>#REF!</v>
      </c>
      <c r="BM29" t="e">
        <f>IF(P29=0,0,COUNTIF(#REF!,"PORMAS")*100/P29)</f>
        <v>#REF!</v>
      </c>
      <c r="BN29" t="e">
        <f>IF(P29=0,0,COUNTIF(#REF!,"PORRUS")*100/P29)</f>
        <v>#REF!</v>
      </c>
      <c r="BO29" t="e">
        <f>IF(P29=0,0,COUNTIF(#REF!,"PSAM")*100/P29)</f>
        <v>#REF!</v>
      </c>
      <c r="BP29" t="e">
        <f>IF(P29=0,0,COUNTIF(#REF!,"SANDO")*100/P29)</f>
        <v>#REF!</v>
      </c>
      <c r="BQ29" t="e">
        <f>IF(P29=0,0,COUNTIF(#REF!,"SCAP")*100/P29)</f>
        <v>#REF!</v>
      </c>
      <c r="BR29" t="e">
        <f>IF(P29=0,0,COUNTIF(#REF!,"SERIA")*100/P29)</f>
        <v>#REF!</v>
      </c>
      <c r="BS29" t="e">
        <f>IF(P29=0,0,COUNTIF(#REF!,"STYLC")*100/P29)</f>
        <v>#REF!</v>
      </c>
      <c r="BT29" t="e">
        <f>IF(P29=0,0,COUNTIF(#REF!,"STYLO")*100/P29)</f>
        <v>#REF!</v>
      </c>
      <c r="BU29" t="e">
        <f>IF(P29=0,0,COUNTIF(#REF!,"SYMP")*100/P29)</f>
        <v>#REF!</v>
      </c>
      <c r="BV29" t="e">
        <f>IF(P29=0,0,COUNTIF(#REF!,"TURBIN")*100/P29)</f>
        <v>#REF!</v>
      </c>
      <c r="BX29" t="e">
        <f>IF(P29=0,0,COUNTIF(#REF!,"ANEM")*100/P29)</f>
        <v>#REF!</v>
      </c>
      <c r="BY29" t="e">
        <f>IF(P29=0,0,COUNTIF(#REF!,"ASC")*100/P29)</f>
        <v>#REF!</v>
      </c>
      <c r="BZ29" t="e">
        <f>IF(P29=0,0,COUNTIF(#REF!,"CUPS")*100/P29)</f>
        <v>#REF!</v>
      </c>
      <c r="CA29" t="e">
        <f>IF(P29=0,0,COUNTIF(#REF!,"DISCO")*100/P29)</f>
        <v>#REF!</v>
      </c>
      <c r="CB29" t="e">
        <f>IF(P29=0,0,COUNTIF(#REF!,"DYS")*100/P29)</f>
        <v>#REF!</v>
      </c>
      <c r="CC29" t="e">
        <f>IF(P29=0,0,COUNTIF(#REF!,"G")*100/P29)</f>
        <v>#REF!</v>
      </c>
      <c r="CD29" t="e">
        <f>IF(P29=0,0,COUNTIF(#REF!,"NoIDINV")*100/P29)</f>
        <v>#REF!</v>
      </c>
      <c r="CE29" t="e">
        <f>IF(P29=0,0,COUNTIF(#REF!,"OLV")*100/P29)</f>
        <v>#REF!</v>
      </c>
      <c r="CF29" t="e">
        <f>IF(P29=0,0,COUNTIF(#REF!,"SC")*100/P29)</f>
        <v>#REF!</v>
      </c>
      <c r="CG29" t="e">
        <f>IF(P29=0,0,COUNTIF(#REF!,"S")*100/P29)</f>
        <v>#REF!</v>
      </c>
      <c r="CH29" t="e">
        <f>IF(P29=0,0,COUNTIF(#REF!,"TERPS")*100/P29)</f>
        <v>#REF!</v>
      </c>
      <c r="CI29" t="e">
        <f>IF(P29=0,0,COUNTIF(#REF!,"Z")*100/P29)</f>
        <v>#REF!</v>
      </c>
      <c r="CK29" t="e">
        <f>IF(P29=0,0,COUNTIF(#REF!,"ASP")*100/P29)</f>
        <v>#REF!</v>
      </c>
      <c r="CL29" t="e">
        <f>IF(P29=0,0,COUNTIF(#REF!,"BG")*100/P29)</f>
        <v>#REF!</v>
      </c>
      <c r="CM29" t="e">
        <f>IF(P29=0,0,COUNTIF(#REF!,"Bood")*100/P29)</f>
        <v>#REF!</v>
      </c>
      <c r="CN29" t="e">
        <f>IF(P29=0,0,COUNTIF(#REF!,"BRYP")*100/P29)</f>
        <v>#REF!</v>
      </c>
      <c r="CO29" t="e">
        <f>IF(P29=0,0,COUNTIF(#REF!,"CLP")*100/P29)</f>
        <v>#REF!</v>
      </c>
      <c r="CP29" t="e">
        <f>IF(P29=0,0,COUNTIF(#REF!,"CHLDES")*100/P29)</f>
        <v>#REF!</v>
      </c>
      <c r="CQ29" t="e">
        <f>IF(P29=0,0,COUNTIF(#REF!,"DYCTY")*100/P29)</f>
        <v>#REF!</v>
      </c>
      <c r="CR29" t="e">
        <f>IF(P29=0,0,COUNTIF(#REF!,"DICT")*100/P29)</f>
        <v>#REF!</v>
      </c>
      <c r="CS29" t="e">
        <f>IF(P29=0,0,COUNTIF(#REF!,"GLXU")*100/P29)</f>
        <v>#REF!</v>
      </c>
      <c r="CT29" t="e">
        <f>IF(P29=0,0,COUNTIF(#REF!,"HALI")*100/P29)</f>
        <v>#REF!</v>
      </c>
      <c r="CU29" t="e">
        <f>IF(P29=0,0,COUNTIF(#REF!,"LIAG")*100/P29)</f>
        <v>#REF!</v>
      </c>
      <c r="CV29" t="e">
        <f>IF(P29=0,0,COUNTIF(#REF!,"LOBO")*100/P29)</f>
        <v>#REF!</v>
      </c>
      <c r="CW29" t="e">
        <f>IF(P29=0,0,COUNTIF(#REF!,"MAST")*100/P29)</f>
        <v>#REF!</v>
      </c>
      <c r="CX29" t="e">
        <f>IF(P29=0,0,COUNTIF(#REF!,"MICDTY")*100/P29)</f>
        <v>#REF!</v>
      </c>
      <c r="CY29" t="e">
        <f>IF(P29=0,0,COUNTIF(#REF!,"NEOM")*100/P29)</f>
        <v>#REF!</v>
      </c>
      <c r="CZ29" t="e">
        <f>IF(P29=0,0,COUNTIF(#REF!,"NOIDMAC")*100/P29)</f>
        <v>#REF!</v>
      </c>
      <c r="DA29" t="e">
        <f>IF(P29=0,0,COUNTIF(#REF!,"PAD")*100/P29)</f>
        <v>#REF!</v>
      </c>
      <c r="DB29" t="e">
        <f>IF(P29=0,0,COUNTIF(#REF!,"SARG")*100/P29)</f>
        <v>#REF!</v>
      </c>
      <c r="DC29" t="e">
        <f>IF(P29=0,0,COUNTIF(#REF!,"SCHIZ")*100/P29)</f>
        <v>#REF!</v>
      </c>
      <c r="DD29" t="e">
        <f>IF(P29=0,0,COUNTIF(#REF!,"TURB")*100/P29)</f>
        <v>#REF!</v>
      </c>
      <c r="DE29" t="e">
        <f>IF(P29=0,0,COUNTIF(#REF!,"TYDM")*100/P29)</f>
        <v>#REF!</v>
      </c>
      <c r="DG29" t="e">
        <f>IF(P29=0,0,COUNTIF(#REF!,"AMP")*100/P29)</f>
        <v>#REF!</v>
      </c>
      <c r="DH29" t="e">
        <f>IF(P29=0,0,COUNTIF(#REF!,"BCA1")*100/P29)</f>
        <v>#REF!</v>
      </c>
      <c r="DI29" t="e">
        <f>IF(P29=0,0,COUNTIF(#REF!,"JAN")*100/P29)</f>
        <v>#REF!</v>
      </c>
      <c r="DK29" s="29" t="e">
        <f>IF(P29=0,0,COUNTIF(#REF!,"CCA1")*100/P29)</f>
        <v>#REF!</v>
      </c>
      <c r="DM29" t="e">
        <f>IF(P29=0,0,COUNTIF(#REF!,"Sand")*100/P29)</f>
        <v>#REF!</v>
      </c>
      <c r="DO29" t="e">
        <f>IF(P29=0,0,COUNTIF(#REF!,"FCA1")*100/P29)</f>
        <v>#REF!</v>
      </c>
      <c r="DQ29" t="e">
        <f>IF(P29=0,0,COUNTIF(#REF!,"CHRYOBRN")*100/P29)</f>
        <v>#REF!</v>
      </c>
      <c r="DS29" s="29" t="e">
        <f>IF(P29=0,0,COUNTIF(#REF!,"TURF")*100/P29)</f>
        <v>#REF!</v>
      </c>
      <c r="DU29" t="e">
        <f>COUNTIF(#REF!,"Shadow")*100/5</f>
        <v>#REF!</v>
      </c>
      <c r="DV29" t="e">
        <f>COUNTIF(#REF!,"Tape")*100/5</f>
        <v>#REF!</v>
      </c>
      <c r="DW29" t="e">
        <f>COUNTIF(#REF!,"Wand")*100/5</f>
        <v>#REF!</v>
      </c>
      <c r="DY29" t="e">
        <f>IF(P29=0,0,COUNTIF(#REF!,"BC")*100/P29)</f>
        <v>#REF!</v>
      </c>
    </row>
    <row r="30" spans="1:129">
      <c r="A30">
        <v>28</v>
      </c>
      <c r="B30" t="s">
        <v>71</v>
      </c>
      <c r="F30" s="29" t="e">
        <f>IF(P30=0,0,COUNTIF(#REF!,"C")*100/P30)</f>
        <v>#REF!</v>
      </c>
      <c r="G30" t="e">
        <f>IF(P30=0,0,COUNTIF(#REF!,"OI")*100/P30)</f>
        <v>#REF!</v>
      </c>
      <c r="H30" t="e">
        <f>IF(P30=0,0,COUNTIF(#REF!,"MA")*100/P30)</f>
        <v>#REF!</v>
      </c>
      <c r="I30" t="e">
        <f>IF(P30=0,0,COUNTIF(#REF!,"BCA")*100/P30)</f>
        <v>#REF!</v>
      </c>
      <c r="J30" s="29" t="e">
        <f>IF(P30=0,0,COUNTIF(#REF!,"CCA")*100/P30)</f>
        <v>#REF!</v>
      </c>
      <c r="K30" t="e">
        <f>IF(P30=0,0,COUNTIF(#REF!,"SD")*100/P30)</f>
        <v>#REF!</v>
      </c>
      <c r="L30" s="29" t="e">
        <f>IF(P30=0,0,COUNTIF(#REF!,"FCA")*100/P30)</f>
        <v>#REF!</v>
      </c>
      <c r="M30" t="e">
        <f>IF(P30=0,0,COUNTIF(#REF!,"CHRYS")*100/P30)</f>
        <v>#REF!</v>
      </c>
      <c r="N30" s="29" t="e">
        <f>IF(P30=0,0,COUNTIF(#REF!,"T")*100/P30)</f>
        <v>#REF!</v>
      </c>
      <c r="O30" t="e">
        <f>IF(P30=0,0,COUNTIF(#REF!,"TWS")*100/P30)</f>
        <v>#REF!</v>
      </c>
      <c r="P30" t="e">
        <f>5-COUNTIF(#REF!,"TWS")</f>
        <v>#REF!</v>
      </c>
      <c r="S30" t="e">
        <f>IF(P30=0,0,COUNTIF(#REF!,"ACAN")*100/P30)</f>
        <v>#REF!</v>
      </c>
      <c r="T30" t="e">
        <f>IF(P30=0,0,COUNTIF(#REF!,"ACROP")*100/P30)</f>
        <v>#REF!</v>
      </c>
      <c r="U30" t="e">
        <f>IF(P30=0,0,COUNTIF(#REF!,"ACROPARB")*100/P30)</f>
        <v>#REF!</v>
      </c>
      <c r="V30" t="e">
        <f>IF(P30=0,0,COUNTIF(#REF!,"ACROST")*100/P30)</f>
        <v>#REF!</v>
      </c>
      <c r="W30" t="e">
        <f>IF(P30=0,0,COUNTIF(#REF!,"ACROTBL")*100/P30)</f>
        <v>#REF!</v>
      </c>
      <c r="X30" t="e">
        <f>IF(P30=0,0,COUNTIF(#REF!,"ASTRP")*100/P30)</f>
        <v>#REF!</v>
      </c>
      <c r="Y30" t="e">
        <f>IF(P30=0,0,COUNTIF(#REF!,"CAUL")*100/P30)</f>
        <v>#REF!</v>
      </c>
      <c r="Z30" t="e">
        <f>IF(P30=0,0,COUNTIF(#REF!,"COSC")*100/P30)</f>
        <v>#REF!</v>
      </c>
      <c r="AA30" t="e">
        <f>IF(P30=0,0,COUNTIF(#REF!,"CTEN")*100/P30)</f>
        <v>#REF!</v>
      </c>
      <c r="AB30" t="e">
        <f>IF(P30=0,0,COUNTIF(#REF!,"CYPH")*100/P30)</f>
        <v>#REF!</v>
      </c>
      <c r="AC30" t="e">
        <f>IF(P30=0,0,COUNTIF(#REF!,"DIPLO")*100/P30)</f>
        <v>#REF!</v>
      </c>
      <c r="AD30" t="e">
        <f>IF(P30=0,0,COUNTIF(#REF!,"ECHPO")*100/P30)</f>
        <v>#REF!</v>
      </c>
      <c r="AE30" t="e">
        <f>IF(P30=0,0,COUNTIF(#REF!,"ECHPHY")*100/P30)</f>
        <v>#REF!</v>
      </c>
      <c r="AF30" t="e">
        <f>IF(P30=0,0,COUNTIF(#REF!,"EUPH")*100/P30)</f>
        <v>#REF!</v>
      </c>
      <c r="AG30" t="e">
        <f>IF(P30=0,0,COUNTIF(#REF!,"FAV")*100/P30)</f>
        <v>#REF!</v>
      </c>
      <c r="AH30" t="e">
        <f>IF(P30=0,0,COUNTIF(#REF!,"FAVT")*100/P30)</f>
        <v>#REF!</v>
      </c>
      <c r="AI30" t="e">
        <f>IF(P30=0,0,COUNTIF(#REF!,"FUNG")*100/P30)</f>
        <v>#REF!</v>
      </c>
      <c r="AJ30" t="e">
        <f>IF(P30=0,0,COUNTIF(#REF!,"GAL")*100/P30)</f>
        <v>#REF!</v>
      </c>
      <c r="AK30" t="e">
        <f>IF(P30=0,0,COUNTIF(#REF!,"GARD")*100/P30)</f>
        <v>#REF!</v>
      </c>
      <c r="AL30" t="e">
        <f>IF(P30=0,0,COUNTIF(#REF!,"GON")*100/P30)</f>
        <v>#REF!</v>
      </c>
      <c r="AM30" t="e">
        <f>IF(P30=0,0,COUNTIF(#REF!,"GONIO")*100/P30)</f>
        <v>#REF!</v>
      </c>
      <c r="AN30" t="e">
        <f>IF(P30=0,0,COUNTIF(#REF!,"HELIO")*100/P30)</f>
        <v>#REF!</v>
      </c>
      <c r="AO30" t="e">
        <f>IF(P30=0,0,COUNTIF(#REF!,"HERP")*100/P30)</f>
        <v>#REF!</v>
      </c>
      <c r="AP30" t="e">
        <f>IF(P30=0,0,COUNTIF(#REF!,"HYD")*100/P30)</f>
        <v>#REF!</v>
      </c>
      <c r="AQ30" t="e">
        <f>IF(P30=0,0,COUNTIF(#REF!,"ISOP")*100/P30)</f>
        <v>#REF!</v>
      </c>
      <c r="AR30" t="e">
        <f>IF(P30=0,0,COUNTIF(#REF!,"LEPT")*100/P30)</f>
        <v>#REF!</v>
      </c>
      <c r="AS30" t="e">
        <f>IF(P30=0,0,COUNTIF(#REF!,"LEPTOR")*100/P30)</f>
        <v>#REF!</v>
      </c>
      <c r="AT30" t="e">
        <f>IF(P30=0,0,COUNTIF(#REF!,"LEPTOS")*100/P30)</f>
        <v>#REF!</v>
      </c>
      <c r="AU30" t="e">
        <f>IF(P30=0,0,COUNTIF(#REF!,"LOBOPH")*100/P30)</f>
        <v>#REF!</v>
      </c>
      <c r="AV30" t="e">
        <f>IF(P30=0,0,COUNTIF(#REF!,"MERU")*100/P30)</f>
        <v>#REF!</v>
      </c>
      <c r="AW30" t="e">
        <f>IF(P30=0,0,COUNTIF(#REF!,"MILL")*100/P30)</f>
        <v>#REF!</v>
      </c>
      <c r="AX30" t="e">
        <f>IF(P30=0,0,COUNTIF(#REF!,"MONT")*100/P30)</f>
        <v>#REF!</v>
      </c>
      <c r="AY30" t="e">
        <f>IF(P30=0,0,COUNTIF(#REF!,"MONTI")*100/P30)</f>
        <v>#REF!</v>
      </c>
      <c r="AZ30" s="29" t="e">
        <f>IF(P30=0,0,COUNTIF(#REF!,"MYCED")*100/P30)</f>
        <v>#REF!</v>
      </c>
      <c r="BA30" t="e">
        <f>IF(P30=0,0,COUNTIF(#REF!,"OULO")*100/P30)</f>
        <v>#REF!</v>
      </c>
      <c r="BB30" t="e">
        <f>IF(P30=0,0,COUNTIF(#REF!,"OXYP")*100/P30)</f>
        <v>#REF!</v>
      </c>
      <c r="BC30" t="e">
        <f>IF(P30=0,0,COUNTIF(#REF!,"PLSIA")*100/P30)</f>
        <v>#REF!</v>
      </c>
      <c r="BD30" t="e">
        <f>IF(P30=0,0,COUNTIF(#REF!,"PACHY")*100/P30)</f>
        <v>#REF!</v>
      </c>
      <c r="BE30" t="e">
        <f>IF(P30=0,0,COUNTIF(#REF!,"PAV")*100/P30)</f>
        <v>#REF!</v>
      </c>
      <c r="BF30" t="e">
        <f>IF(P30=0,0,COUNTIF(#REF!,"PECT")*100/P30)</f>
        <v>#REF!</v>
      </c>
      <c r="BG30" t="e">
        <f>IF(P30=0,0,COUNTIF(#REF!,"PHYSO")*100/P30)</f>
        <v>#REF!</v>
      </c>
      <c r="BH30" t="e">
        <f>IF(P30=0,0,COUNTIF(#REF!,"PLAT")*100/P30)</f>
        <v>#REF!</v>
      </c>
      <c r="BI30" t="e">
        <f>IF(P30=0,0,COUNTIF(#REF!,"PLERO")*100/P30)</f>
        <v>#REF!</v>
      </c>
      <c r="BJ30" t="e">
        <f>IF(P30=0,0,COUNTIF(#REF!,"POC")*100/P30)</f>
        <v>#REF!</v>
      </c>
      <c r="BK30" t="e">
        <f>IF(P30=0,0,COUNTIF(#REF!,"POR")*100/P30)</f>
        <v>#REF!</v>
      </c>
      <c r="BL30" t="e">
        <f>IF(P30=0,0,COUNTIF(#REF!,"PORCYL")*100/P30)</f>
        <v>#REF!</v>
      </c>
      <c r="BM30" t="e">
        <f>IF(P30=0,0,COUNTIF(#REF!,"PORMAS")*100/P30)</f>
        <v>#REF!</v>
      </c>
      <c r="BN30" t="e">
        <f>IF(P30=0,0,COUNTIF(#REF!,"PORRUS")*100/P30)</f>
        <v>#REF!</v>
      </c>
      <c r="BO30" t="e">
        <f>IF(P30=0,0,COUNTIF(#REF!,"PSAM")*100/P30)</f>
        <v>#REF!</v>
      </c>
      <c r="BP30" t="e">
        <f>IF(P30=0,0,COUNTIF(#REF!,"SANDO")*100/P30)</f>
        <v>#REF!</v>
      </c>
      <c r="BQ30" t="e">
        <f>IF(P30=0,0,COUNTIF(#REF!,"SCAP")*100/P30)</f>
        <v>#REF!</v>
      </c>
      <c r="BR30" t="e">
        <f>IF(P30=0,0,COUNTIF(#REF!,"SERIA")*100/P30)</f>
        <v>#REF!</v>
      </c>
      <c r="BS30" t="e">
        <f>IF(P30=0,0,COUNTIF(#REF!,"STYLC")*100/P30)</f>
        <v>#REF!</v>
      </c>
      <c r="BT30" t="e">
        <f>IF(P30=0,0,COUNTIF(#REF!,"STYLO")*100/P30)</f>
        <v>#REF!</v>
      </c>
      <c r="BU30" t="e">
        <f>IF(P30=0,0,COUNTIF(#REF!,"SYMP")*100/P30)</f>
        <v>#REF!</v>
      </c>
      <c r="BV30" t="e">
        <f>IF(P30=0,0,COUNTIF(#REF!,"TURBIN")*100/P30)</f>
        <v>#REF!</v>
      </c>
      <c r="BX30" t="e">
        <f>IF(P30=0,0,COUNTIF(#REF!,"ANEM")*100/P30)</f>
        <v>#REF!</v>
      </c>
      <c r="BY30" t="e">
        <f>IF(P30=0,0,COUNTIF(#REF!,"ASC")*100/P30)</f>
        <v>#REF!</v>
      </c>
      <c r="BZ30" t="e">
        <f>IF(P30=0,0,COUNTIF(#REF!,"CUPS")*100/P30)</f>
        <v>#REF!</v>
      </c>
      <c r="CA30" t="e">
        <f>IF(P30=0,0,COUNTIF(#REF!,"DISCO")*100/P30)</f>
        <v>#REF!</v>
      </c>
      <c r="CB30" t="e">
        <f>IF(P30=0,0,COUNTIF(#REF!,"DYS")*100/P30)</f>
        <v>#REF!</v>
      </c>
      <c r="CC30" t="e">
        <f>IF(P30=0,0,COUNTIF(#REF!,"G")*100/P30)</f>
        <v>#REF!</v>
      </c>
      <c r="CD30" t="e">
        <f>IF(P30=0,0,COUNTIF(#REF!,"NoIDINV")*100/P30)</f>
        <v>#REF!</v>
      </c>
      <c r="CE30" t="e">
        <f>IF(P30=0,0,COUNTIF(#REF!,"OLV")*100/P30)</f>
        <v>#REF!</v>
      </c>
      <c r="CF30" t="e">
        <f>IF(P30=0,0,COUNTIF(#REF!,"SC")*100/P30)</f>
        <v>#REF!</v>
      </c>
      <c r="CG30" t="e">
        <f>IF(P30=0,0,COUNTIF(#REF!,"S")*100/P30)</f>
        <v>#REF!</v>
      </c>
      <c r="CH30" t="e">
        <f>IF(P30=0,0,COUNTIF(#REF!,"TERPS")*100/P30)</f>
        <v>#REF!</v>
      </c>
      <c r="CI30" t="e">
        <f>IF(P30=0,0,COUNTIF(#REF!,"Z")*100/P30)</f>
        <v>#REF!</v>
      </c>
      <c r="CK30" t="e">
        <f>IF(P30=0,0,COUNTIF(#REF!,"ASP")*100/P30)</f>
        <v>#REF!</v>
      </c>
      <c r="CL30" t="e">
        <f>IF(P30=0,0,COUNTIF(#REF!,"BG")*100/P30)</f>
        <v>#REF!</v>
      </c>
      <c r="CM30" t="e">
        <f>IF(P30=0,0,COUNTIF(#REF!,"Bood")*100/P30)</f>
        <v>#REF!</v>
      </c>
      <c r="CN30" t="e">
        <f>IF(P30=0,0,COUNTIF(#REF!,"BRYP")*100/P30)</f>
        <v>#REF!</v>
      </c>
      <c r="CO30" t="e">
        <f>IF(P30=0,0,COUNTIF(#REF!,"CLP")*100/P30)</f>
        <v>#REF!</v>
      </c>
      <c r="CP30" t="e">
        <f>IF(P30=0,0,COUNTIF(#REF!,"CHLDES")*100/P30)</f>
        <v>#REF!</v>
      </c>
      <c r="CQ30" t="e">
        <f>IF(P30=0,0,COUNTIF(#REF!,"DYCTY")*100/P30)</f>
        <v>#REF!</v>
      </c>
      <c r="CR30" t="e">
        <f>IF(P30=0,0,COUNTIF(#REF!,"DICT")*100/P30)</f>
        <v>#REF!</v>
      </c>
      <c r="CS30" t="e">
        <f>IF(P30=0,0,COUNTIF(#REF!,"GLXU")*100/P30)</f>
        <v>#REF!</v>
      </c>
      <c r="CT30" t="e">
        <f>IF(P30=0,0,COUNTIF(#REF!,"HALI")*100/P30)</f>
        <v>#REF!</v>
      </c>
      <c r="CU30" t="e">
        <f>IF(P30=0,0,COUNTIF(#REF!,"LIAG")*100/P30)</f>
        <v>#REF!</v>
      </c>
      <c r="CV30" t="e">
        <f>IF(P30=0,0,COUNTIF(#REF!,"LOBO")*100/P30)</f>
        <v>#REF!</v>
      </c>
      <c r="CW30" t="e">
        <f>IF(P30=0,0,COUNTIF(#REF!,"MAST")*100/P30)</f>
        <v>#REF!</v>
      </c>
      <c r="CX30" t="e">
        <f>IF(P30=0,0,COUNTIF(#REF!,"MICDTY")*100/P30)</f>
        <v>#REF!</v>
      </c>
      <c r="CY30" t="e">
        <f>IF(P30=0,0,COUNTIF(#REF!,"NEOM")*100/P30)</f>
        <v>#REF!</v>
      </c>
      <c r="CZ30" t="e">
        <f>IF(P30=0,0,COUNTIF(#REF!,"NOIDMAC")*100/P30)</f>
        <v>#REF!</v>
      </c>
      <c r="DA30" t="e">
        <f>IF(P30=0,0,COUNTIF(#REF!,"PAD")*100/P30)</f>
        <v>#REF!</v>
      </c>
      <c r="DB30" t="e">
        <f>IF(P30=0,0,COUNTIF(#REF!,"SARG")*100/P30)</f>
        <v>#REF!</v>
      </c>
      <c r="DC30" t="e">
        <f>IF(P30=0,0,COUNTIF(#REF!,"SCHIZ")*100/P30)</f>
        <v>#REF!</v>
      </c>
      <c r="DD30" t="e">
        <f>IF(P30=0,0,COUNTIF(#REF!,"TURB")*100/P30)</f>
        <v>#REF!</v>
      </c>
      <c r="DE30" t="e">
        <f>IF(P30=0,0,COUNTIF(#REF!,"TYDM")*100/P30)</f>
        <v>#REF!</v>
      </c>
      <c r="DG30" t="e">
        <f>IF(P30=0,0,COUNTIF(#REF!,"AMP")*100/P30)</f>
        <v>#REF!</v>
      </c>
      <c r="DH30" t="e">
        <f>IF(P30=0,0,COUNTIF(#REF!,"BCA1")*100/P30)</f>
        <v>#REF!</v>
      </c>
      <c r="DI30" t="e">
        <f>IF(P30=0,0,COUNTIF(#REF!,"JAN")*100/P30)</f>
        <v>#REF!</v>
      </c>
      <c r="DK30" s="29" t="e">
        <f>IF(P30=0,0,COUNTIF(#REF!,"CCA1")*100/P30)</f>
        <v>#REF!</v>
      </c>
      <c r="DM30" t="e">
        <f>IF(P30=0,0,COUNTIF(#REF!,"Sand")*100/P30)</f>
        <v>#REF!</v>
      </c>
      <c r="DO30" s="29" t="e">
        <f>IF(P30=0,0,COUNTIF(#REF!,"FCA1")*100/P30)</f>
        <v>#REF!</v>
      </c>
      <c r="DQ30" t="e">
        <f>IF(P30=0,0,COUNTIF(#REF!,"CHRYOBRN")*100/P30)</f>
        <v>#REF!</v>
      </c>
      <c r="DS30" s="29" t="e">
        <f>IF(P30=0,0,COUNTIF(#REF!,"TURF")*100/P30)</f>
        <v>#REF!</v>
      </c>
      <c r="DU30" t="e">
        <f>COUNTIF(#REF!,"Shadow")*100/5</f>
        <v>#REF!</v>
      </c>
      <c r="DV30" t="e">
        <f>COUNTIF(#REF!,"Tape")*100/5</f>
        <v>#REF!</v>
      </c>
      <c r="DW30" t="e">
        <f>COUNTIF(#REF!,"Wand")*100/5</f>
        <v>#REF!</v>
      </c>
      <c r="DY30" t="e">
        <f>IF(P30=0,0,COUNTIF(#REF!,"BC")*100/P30)</f>
        <v>#REF!</v>
      </c>
    </row>
    <row r="31" spans="1:129">
      <c r="A31">
        <v>29</v>
      </c>
      <c r="B31" t="s">
        <v>73</v>
      </c>
      <c r="F31" t="e">
        <f>IF(P31=0,0,COUNTIF(#REF!,"C")*100/P31)</f>
        <v>#REF!</v>
      </c>
      <c r="G31" t="e">
        <f>IF(P31=0,0,COUNTIF(#REF!,"OI")*100/P31)</f>
        <v>#REF!</v>
      </c>
      <c r="H31" t="e">
        <f>IF(P31=0,0,COUNTIF(#REF!,"MA")*100/P31)</f>
        <v>#REF!</v>
      </c>
      <c r="I31" t="e">
        <f>IF(P31=0,0,COUNTIF(#REF!,"BCA")*100/P31)</f>
        <v>#REF!</v>
      </c>
      <c r="J31" s="29" t="e">
        <f>IF(P31=0,0,COUNTIF(#REF!,"CCA")*100/P31)</f>
        <v>#REF!</v>
      </c>
      <c r="K31" t="e">
        <f>IF(P31=0,0,COUNTIF(#REF!,"SD")*100/P31)</f>
        <v>#REF!</v>
      </c>
      <c r="L31" t="e">
        <f>IF(P31=0,0,COUNTIF(#REF!,"FCA")*100/P31)</f>
        <v>#REF!</v>
      </c>
      <c r="M31" t="e">
        <f>IF(P31=0,0,COUNTIF(#REF!,"CHRYS")*100/P31)</f>
        <v>#REF!</v>
      </c>
      <c r="N31" s="29" t="e">
        <f>IF(P31=0,0,COUNTIF(#REF!,"T")*100/P31)</f>
        <v>#REF!</v>
      </c>
      <c r="O31" t="e">
        <f>IF(P31=0,0,COUNTIF(#REF!,"TWS")*100/P31)</f>
        <v>#REF!</v>
      </c>
      <c r="P31" t="e">
        <f>5-COUNTIF(#REF!,"TWS")</f>
        <v>#REF!</v>
      </c>
      <c r="S31" t="e">
        <f>IF(P31=0,0,COUNTIF(#REF!,"ACAN")*100/P31)</f>
        <v>#REF!</v>
      </c>
      <c r="T31" t="e">
        <f>IF(P31=0,0,COUNTIF(#REF!,"ACROP")*100/P31)</f>
        <v>#REF!</v>
      </c>
      <c r="U31" t="e">
        <f>IF(P31=0,0,COUNTIF(#REF!,"ACROPARB")*100/P31)</f>
        <v>#REF!</v>
      </c>
      <c r="V31" t="e">
        <f>IF(P31=0,0,COUNTIF(#REF!,"ACROST")*100/P31)</f>
        <v>#REF!</v>
      </c>
      <c r="W31" t="e">
        <f>IF(P31=0,0,COUNTIF(#REF!,"ACROTBL")*100/P31)</f>
        <v>#REF!</v>
      </c>
      <c r="X31" t="e">
        <f>IF(P31=0,0,COUNTIF(#REF!,"ASTRP")*100/P31)</f>
        <v>#REF!</v>
      </c>
      <c r="Y31" t="e">
        <f>IF(P31=0,0,COUNTIF(#REF!,"CAUL")*100/P31)</f>
        <v>#REF!</v>
      </c>
      <c r="Z31" t="e">
        <f>IF(P31=0,0,COUNTIF(#REF!,"COSC")*100/P31)</f>
        <v>#REF!</v>
      </c>
      <c r="AA31" t="e">
        <f>IF(P31=0,0,COUNTIF(#REF!,"CTEN")*100/P31)</f>
        <v>#REF!</v>
      </c>
      <c r="AB31" t="e">
        <f>IF(P31=0,0,COUNTIF(#REF!,"CYPH")*100/P31)</f>
        <v>#REF!</v>
      </c>
      <c r="AC31" t="e">
        <f>IF(P31=0,0,COUNTIF(#REF!,"DIPLO")*100/P31)</f>
        <v>#REF!</v>
      </c>
      <c r="AD31" t="e">
        <f>IF(P31=0,0,COUNTIF(#REF!,"ECHPO")*100/P31)</f>
        <v>#REF!</v>
      </c>
      <c r="AE31" t="e">
        <f>IF(P31=0,0,COUNTIF(#REF!,"ECHPHY")*100/P31)</f>
        <v>#REF!</v>
      </c>
      <c r="AF31" t="e">
        <f>IF(P31=0,0,COUNTIF(#REF!,"EUPH")*100/P31)</f>
        <v>#REF!</v>
      </c>
      <c r="AG31" t="e">
        <f>IF(P31=0,0,COUNTIF(#REF!,"FAV")*100/P31)</f>
        <v>#REF!</v>
      </c>
      <c r="AH31" t="e">
        <f>IF(P31=0,0,COUNTIF(#REF!,"FAVT")*100/P31)</f>
        <v>#REF!</v>
      </c>
      <c r="AI31" t="e">
        <f>IF(P31=0,0,COUNTIF(#REF!,"FUNG")*100/P31)</f>
        <v>#REF!</v>
      </c>
      <c r="AJ31" t="e">
        <f>IF(P31=0,0,COUNTIF(#REF!,"GAL")*100/P31)</f>
        <v>#REF!</v>
      </c>
      <c r="AK31" t="e">
        <f>IF(P31=0,0,COUNTIF(#REF!,"GARD")*100/P31)</f>
        <v>#REF!</v>
      </c>
      <c r="AL31" t="e">
        <f>IF(P31=0,0,COUNTIF(#REF!,"GON")*100/P31)</f>
        <v>#REF!</v>
      </c>
      <c r="AM31" t="e">
        <f>IF(P31=0,0,COUNTIF(#REF!,"GONIO")*100/P31)</f>
        <v>#REF!</v>
      </c>
      <c r="AN31" t="e">
        <f>IF(P31=0,0,COUNTIF(#REF!,"HELIO")*100/P31)</f>
        <v>#REF!</v>
      </c>
      <c r="AO31" t="e">
        <f>IF(P31=0,0,COUNTIF(#REF!,"HERP")*100/P31)</f>
        <v>#REF!</v>
      </c>
      <c r="AP31" t="e">
        <f>IF(P31=0,0,COUNTIF(#REF!,"HYD")*100/P31)</f>
        <v>#REF!</v>
      </c>
      <c r="AQ31" t="e">
        <f>IF(P31=0,0,COUNTIF(#REF!,"ISOP")*100/P31)</f>
        <v>#REF!</v>
      </c>
      <c r="AR31" t="e">
        <f>IF(P31=0,0,COUNTIF(#REF!,"LEPT")*100/P31)</f>
        <v>#REF!</v>
      </c>
      <c r="AS31" t="e">
        <f>IF(P31=0,0,COUNTIF(#REF!,"LEPTOR")*100/P31)</f>
        <v>#REF!</v>
      </c>
      <c r="AT31" t="e">
        <f>IF(P31=0,0,COUNTIF(#REF!,"LEPTOS")*100/P31)</f>
        <v>#REF!</v>
      </c>
      <c r="AU31" t="e">
        <f>IF(P31=0,0,COUNTIF(#REF!,"LOBOPH")*100/P31)</f>
        <v>#REF!</v>
      </c>
      <c r="AV31" t="e">
        <f>IF(P31=0,0,COUNTIF(#REF!,"MERU")*100/P31)</f>
        <v>#REF!</v>
      </c>
      <c r="AW31" t="e">
        <f>IF(P31=0,0,COUNTIF(#REF!,"MILL")*100/P31)</f>
        <v>#REF!</v>
      </c>
      <c r="AX31" t="e">
        <f>IF(P31=0,0,COUNTIF(#REF!,"MONT")*100/P31)</f>
        <v>#REF!</v>
      </c>
      <c r="AY31" t="e">
        <f>IF(P31=0,0,COUNTIF(#REF!,"MONTI")*100/P31)</f>
        <v>#REF!</v>
      </c>
      <c r="AZ31" t="e">
        <f>IF(P31=0,0,COUNTIF(#REF!,"MYCED")*100/P31)</f>
        <v>#REF!</v>
      </c>
      <c r="BA31" t="e">
        <f>IF(P31=0,0,COUNTIF(#REF!,"OULO")*100/P31)</f>
        <v>#REF!</v>
      </c>
      <c r="BB31" t="e">
        <f>IF(P31=0,0,COUNTIF(#REF!,"OXYP")*100/P31)</f>
        <v>#REF!</v>
      </c>
      <c r="BC31" t="e">
        <f>IF(P31=0,0,COUNTIF(#REF!,"PLSIA")*100/P31)</f>
        <v>#REF!</v>
      </c>
      <c r="BD31" t="e">
        <f>IF(P31=0,0,COUNTIF(#REF!,"PACHY")*100/P31)</f>
        <v>#REF!</v>
      </c>
      <c r="BE31" t="e">
        <f>IF(P31=0,0,COUNTIF(#REF!,"PAV")*100/P31)</f>
        <v>#REF!</v>
      </c>
      <c r="BF31" t="e">
        <f>IF(P31=0,0,COUNTIF(#REF!,"PECT")*100/P31)</f>
        <v>#REF!</v>
      </c>
      <c r="BG31" t="e">
        <f>IF(P31=0,0,COUNTIF(#REF!,"PHYSO")*100/P31)</f>
        <v>#REF!</v>
      </c>
      <c r="BH31" t="e">
        <f>IF(P31=0,0,COUNTIF(#REF!,"PLAT")*100/P31)</f>
        <v>#REF!</v>
      </c>
      <c r="BI31" t="e">
        <f>IF(P31=0,0,COUNTIF(#REF!,"PLERO")*100/P31)</f>
        <v>#REF!</v>
      </c>
      <c r="BJ31" t="e">
        <f>IF(P31=0,0,COUNTIF(#REF!,"POC")*100/P31)</f>
        <v>#REF!</v>
      </c>
      <c r="BK31" t="e">
        <f>IF(P31=0,0,COUNTIF(#REF!,"POR")*100/P31)</f>
        <v>#REF!</v>
      </c>
      <c r="BL31" t="e">
        <f>IF(P31=0,0,COUNTIF(#REF!,"PORCYL")*100/P31)</f>
        <v>#REF!</v>
      </c>
      <c r="BM31" t="e">
        <f>IF(P31=0,0,COUNTIF(#REF!,"PORMAS")*100/P31)</f>
        <v>#REF!</v>
      </c>
      <c r="BN31" t="e">
        <f>IF(P31=0,0,COUNTIF(#REF!,"PORRUS")*100/P31)</f>
        <v>#REF!</v>
      </c>
      <c r="BO31" t="e">
        <f>IF(P31=0,0,COUNTIF(#REF!,"PSAM")*100/P31)</f>
        <v>#REF!</v>
      </c>
      <c r="BP31" t="e">
        <f>IF(P31=0,0,COUNTIF(#REF!,"SANDO")*100/P31)</f>
        <v>#REF!</v>
      </c>
      <c r="BQ31" t="e">
        <f>IF(P31=0,0,COUNTIF(#REF!,"SCAP")*100/P31)</f>
        <v>#REF!</v>
      </c>
      <c r="BR31" t="e">
        <f>IF(P31=0,0,COUNTIF(#REF!,"SERIA")*100/P31)</f>
        <v>#REF!</v>
      </c>
      <c r="BS31" t="e">
        <f>IF(P31=0,0,COUNTIF(#REF!,"STYLC")*100/P31)</f>
        <v>#REF!</v>
      </c>
      <c r="BT31" t="e">
        <f>IF(P31=0,0,COUNTIF(#REF!,"STYLO")*100/P31)</f>
        <v>#REF!</v>
      </c>
      <c r="BU31" t="e">
        <f>IF(P31=0,0,COUNTIF(#REF!,"SYMP")*100/P31)</f>
        <v>#REF!</v>
      </c>
      <c r="BV31" t="e">
        <f>IF(P31=0,0,COUNTIF(#REF!,"TURBIN")*100/P31)</f>
        <v>#REF!</v>
      </c>
      <c r="BX31" t="e">
        <f>IF(P31=0,0,COUNTIF(#REF!,"ANEM")*100/P31)</f>
        <v>#REF!</v>
      </c>
      <c r="BY31" t="e">
        <f>IF(P31=0,0,COUNTIF(#REF!,"ASC")*100/P31)</f>
        <v>#REF!</v>
      </c>
      <c r="BZ31" t="e">
        <f>IF(P31=0,0,COUNTIF(#REF!,"CUPS")*100/P31)</f>
        <v>#REF!</v>
      </c>
      <c r="CA31" t="e">
        <f>IF(P31=0,0,COUNTIF(#REF!,"DISCO")*100/P31)</f>
        <v>#REF!</v>
      </c>
      <c r="CB31" t="e">
        <f>IF(P31=0,0,COUNTIF(#REF!,"DYS")*100/P31)</f>
        <v>#REF!</v>
      </c>
      <c r="CC31" t="e">
        <f>IF(P31=0,0,COUNTIF(#REF!,"G")*100/P31)</f>
        <v>#REF!</v>
      </c>
      <c r="CD31" t="e">
        <f>IF(P31=0,0,COUNTIF(#REF!,"NoIDINV")*100/P31)</f>
        <v>#REF!</v>
      </c>
      <c r="CE31" t="e">
        <f>IF(P31=0,0,COUNTIF(#REF!,"OLV")*100/P31)</f>
        <v>#REF!</v>
      </c>
      <c r="CF31" t="e">
        <f>IF(P31=0,0,COUNTIF(#REF!,"SC")*100/P31)</f>
        <v>#REF!</v>
      </c>
      <c r="CG31" t="e">
        <f>IF(P31=0,0,COUNTIF(#REF!,"S")*100/P31)</f>
        <v>#REF!</v>
      </c>
      <c r="CH31" t="e">
        <f>IF(P31=0,0,COUNTIF(#REF!,"TERPS")*100/P31)</f>
        <v>#REF!</v>
      </c>
      <c r="CI31" t="e">
        <f>IF(P31=0,0,COUNTIF(#REF!,"Z")*100/P31)</f>
        <v>#REF!</v>
      </c>
      <c r="CK31" t="e">
        <f>IF(P31=0,0,COUNTIF(#REF!,"ASP")*100/P31)</f>
        <v>#REF!</v>
      </c>
      <c r="CL31" t="e">
        <f>IF(P31=0,0,COUNTIF(#REF!,"BG")*100/P31)</f>
        <v>#REF!</v>
      </c>
      <c r="CM31" t="e">
        <f>IF(P31=0,0,COUNTIF(#REF!,"Bood")*100/P31)</f>
        <v>#REF!</v>
      </c>
      <c r="CN31" t="e">
        <f>IF(P31=0,0,COUNTIF(#REF!,"BRYP")*100/P31)</f>
        <v>#REF!</v>
      </c>
      <c r="CO31" t="e">
        <f>IF(P31=0,0,COUNTIF(#REF!,"CLP")*100/P31)</f>
        <v>#REF!</v>
      </c>
      <c r="CP31" t="e">
        <f>IF(P31=0,0,COUNTIF(#REF!,"CHLDES")*100/P31)</f>
        <v>#REF!</v>
      </c>
      <c r="CQ31" t="e">
        <f>IF(P31=0,0,COUNTIF(#REF!,"DYCTY")*100/P31)</f>
        <v>#REF!</v>
      </c>
      <c r="CR31" t="e">
        <f>IF(P31=0,0,COUNTIF(#REF!,"DICT")*100/P31)</f>
        <v>#REF!</v>
      </c>
      <c r="CS31" t="e">
        <f>IF(P31=0,0,COUNTIF(#REF!,"GLXU")*100/P31)</f>
        <v>#REF!</v>
      </c>
      <c r="CT31" t="e">
        <f>IF(P31=0,0,COUNTIF(#REF!,"HALI")*100/P31)</f>
        <v>#REF!</v>
      </c>
      <c r="CU31" t="e">
        <f>IF(P31=0,0,COUNTIF(#REF!,"LIAG")*100/P31)</f>
        <v>#REF!</v>
      </c>
      <c r="CV31" t="e">
        <f>IF(P31=0,0,COUNTIF(#REF!,"LOBO")*100/P31)</f>
        <v>#REF!</v>
      </c>
      <c r="CW31" t="e">
        <f>IF(P31=0,0,COUNTIF(#REF!,"MAST")*100/P31)</f>
        <v>#REF!</v>
      </c>
      <c r="CX31" t="e">
        <f>IF(P31=0,0,COUNTIF(#REF!,"MICDTY")*100/P31)</f>
        <v>#REF!</v>
      </c>
      <c r="CY31" t="e">
        <f>IF(P31=0,0,COUNTIF(#REF!,"NEOM")*100/P31)</f>
        <v>#REF!</v>
      </c>
      <c r="CZ31" t="e">
        <f>IF(P31=0,0,COUNTIF(#REF!,"NOIDMAC")*100/P31)</f>
        <v>#REF!</v>
      </c>
      <c r="DA31" t="e">
        <f>IF(P31=0,0,COUNTIF(#REF!,"PAD")*100/P31)</f>
        <v>#REF!</v>
      </c>
      <c r="DB31" t="e">
        <f>IF(P31=0,0,COUNTIF(#REF!,"SARG")*100/P31)</f>
        <v>#REF!</v>
      </c>
      <c r="DC31" t="e">
        <f>IF(P31=0,0,COUNTIF(#REF!,"SCHIZ")*100/P31)</f>
        <v>#REF!</v>
      </c>
      <c r="DD31" t="e">
        <f>IF(P31=0,0,COUNTIF(#REF!,"TURB")*100/P31)</f>
        <v>#REF!</v>
      </c>
      <c r="DE31" t="e">
        <f>IF(P31=0,0,COUNTIF(#REF!,"TYDM")*100/P31)</f>
        <v>#REF!</v>
      </c>
      <c r="DG31" t="e">
        <f>IF(P31=0,0,COUNTIF(#REF!,"AMP")*100/P31)</f>
        <v>#REF!</v>
      </c>
      <c r="DH31" t="e">
        <f>IF(P31=0,0,COUNTIF(#REF!,"BCA1")*100/P31)</f>
        <v>#REF!</v>
      </c>
      <c r="DI31" t="e">
        <f>IF(P31=0,0,COUNTIF(#REF!,"JAN")*100/P31)</f>
        <v>#REF!</v>
      </c>
      <c r="DK31" s="29" t="e">
        <f>IF(P31=0,0,COUNTIF(#REF!,"CCA1")*100/P31)</f>
        <v>#REF!</v>
      </c>
      <c r="DM31" t="e">
        <f>IF(P31=0,0,COUNTIF(#REF!,"Sand")*100/P31)</f>
        <v>#REF!</v>
      </c>
      <c r="DO31" t="e">
        <f>IF(P31=0,0,COUNTIF(#REF!,"FCA1")*100/P31)</f>
        <v>#REF!</v>
      </c>
      <c r="DQ31" t="e">
        <f>IF(P31=0,0,COUNTIF(#REF!,"CHRYOBRN")*100/P31)</f>
        <v>#REF!</v>
      </c>
      <c r="DS31" s="29" t="e">
        <f>IF(P31=0,0,COUNTIF(#REF!,"TURF")*100/P31)</f>
        <v>#REF!</v>
      </c>
      <c r="DU31" t="e">
        <f>COUNTIF(#REF!,"Shadow")*100/5</f>
        <v>#REF!</v>
      </c>
      <c r="DV31" t="e">
        <f>COUNTIF(#REF!,"Tape")*100/5</f>
        <v>#REF!</v>
      </c>
      <c r="DW31" t="e">
        <f>COUNTIF(#REF!,"Wand")*100/5</f>
        <v>#REF!</v>
      </c>
      <c r="DY31" t="e">
        <f>IF(P31=0,0,COUNTIF(#REF!,"BC")*100/P31)</f>
        <v>#REF!</v>
      </c>
    </row>
    <row r="32" spans="1:129">
      <c r="A32">
        <v>30</v>
      </c>
      <c r="B32" t="s">
        <v>74</v>
      </c>
      <c r="F32" s="29" t="e">
        <f>IF(P32=0,0,COUNTIF(#REF!,"C")*100/P32)</f>
        <v>#REF!</v>
      </c>
      <c r="G32" t="e">
        <f>IF(P32=0,0,COUNTIF(#REF!,"OI")*100/P32)</f>
        <v>#REF!</v>
      </c>
      <c r="H32" t="e">
        <f>IF(P32=0,0,COUNTIF(#REF!,"MA")*100/P32)</f>
        <v>#REF!</v>
      </c>
      <c r="I32" t="e">
        <f>IF(P32=0,0,COUNTIF(#REF!,"BCA")*100/P32)</f>
        <v>#REF!</v>
      </c>
      <c r="J32" s="29" t="e">
        <f>IF(P32=0,0,COUNTIF(#REF!,"CCA")*100/P32)</f>
        <v>#REF!</v>
      </c>
      <c r="K32" t="e">
        <f>IF(P32=0,0,COUNTIF(#REF!,"SD")*100/P32)</f>
        <v>#REF!</v>
      </c>
      <c r="L32" t="e">
        <f>IF(P32=0,0,COUNTIF(#REF!,"FCA")*100/P32)</f>
        <v>#REF!</v>
      </c>
      <c r="M32" t="e">
        <f>IF(P32=0,0,COUNTIF(#REF!,"CHRYS")*100/P32)</f>
        <v>#REF!</v>
      </c>
      <c r="N32" t="e">
        <f>IF(P32=0,0,COUNTIF(#REF!,"T")*100/P32)</f>
        <v>#REF!</v>
      </c>
      <c r="O32" t="e">
        <f>IF(P32=0,0,COUNTIF(#REF!,"TWS")*100/P32)</f>
        <v>#REF!</v>
      </c>
      <c r="P32" t="e">
        <f>5-COUNTIF(#REF!,"TWS")</f>
        <v>#REF!</v>
      </c>
      <c r="S32" t="e">
        <f>IF(P32=0,0,COUNTIF(#REF!,"ACAN")*100/P32)</f>
        <v>#REF!</v>
      </c>
      <c r="T32" t="e">
        <f>IF(P32=0,0,COUNTIF(#REF!,"ACROP")*100/P32)</f>
        <v>#REF!</v>
      </c>
      <c r="U32" t="e">
        <f>IF(P32=0,0,COUNTIF(#REF!,"ACROPARB")*100/P32)</f>
        <v>#REF!</v>
      </c>
      <c r="V32" t="e">
        <f>IF(P32=0,0,COUNTIF(#REF!,"ACROST")*100/P32)</f>
        <v>#REF!</v>
      </c>
      <c r="W32" s="29" t="e">
        <f>IF(P32=0,0,COUNTIF(#REF!,"ACROTBL")*100/P32)</f>
        <v>#REF!</v>
      </c>
      <c r="X32" t="e">
        <f>IF(P32=0,0,COUNTIF(#REF!,"ASTRP")*100/P32)</f>
        <v>#REF!</v>
      </c>
      <c r="Y32" t="e">
        <f>IF(P32=0,0,COUNTIF(#REF!,"CAUL")*100/P32)</f>
        <v>#REF!</v>
      </c>
      <c r="Z32" t="e">
        <f>IF(P32=0,0,COUNTIF(#REF!,"COSC")*100/P32)</f>
        <v>#REF!</v>
      </c>
      <c r="AA32" t="e">
        <f>IF(P32=0,0,COUNTIF(#REF!,"CTEN")*100/P32)</f>
        <v>#REF!</v>
      </c>
      <c r="AB32" t="e">
        <f>IF(P32=0,0,COUNTIF(#REF!,"CYPH")*100/P32)</f>
        <v>#REF!</v>
      </c>
      <c r="AC32" t="e">
        <f>IF(P32=0,0,COUNTIF(#REF!,"DIPLO")*100/P32)</f>
        <v>#REF!</v>
      </c>
      <c r="AD32" s="29" t="e">
        <f>IF(P32=0,0,COUNTIF(#REF!,"ECHPO")*100/P32)</f>
        <v>#REF!</v>
      </c>
      <c r="AE32" t="e">
        <f>IF(P32=0,0,COUNTIF(#REF!,"ECHPHY")*100/P32)</f>
        <v>#REF!</v>
      </c>
      <c r="AF32" t="e">
        <f>IF(P32=0,0,COUNTIF(#REF!,"EUPH")*100/P32)</f>
        <v>#REF!</v>
      </c>
      <c r="AG32" t="e">
        <f>IF(P32=0,0,COUNTIF(#REF!,"FAV")*100/P32)</f>
        <v>#REF!</v>
      </c>
      <c r="AH32" t="e">
        <f>IF(P32=0,0,COUNTIF(#REF!,"FAVT")*100/P32)</f>
        <v>#REF!</v>
      </c>
      <c r="AI32" t="e">
        <f>IF(P32=0,0,COUNTIF(#REF!,"FUNG")*100/P32)</f>
        <v>#REF!</v>
      </c>
      <c r="AJ32" t="e">
        <f>IF(P32=0,0,COUNTIF(#REF!,"GAL")*100/P32)</f>
        <v>#REF!</v>
      </c>
      <c r="AK32" t="e">
        <f>IF(P32=0,0,COUNTIF(#REF!,"GARD")*100/P32)</f>
        <v>#REF!</v>
      </c>
      <c r="AL32" t="e">
        <f>IF(P32=0,0,COUNTIF(#REF!,"GON")*100/P32)</f>
        <v>#REF!</v>
      </c>
      <c r="AM32" t="e">
        <f>IF(P32=0,0,COUNTIF(#REF!,"GONIO")*100/P32)</f>
        <v>#REF!</v>
      </c>
      <c r="AN32" t="e">
        <f>IF(P32=0,0,COUNTIF(#REF!,"HELIO")*100/P32)</f>
        <v>#REF!</v>
      </c>
      <c r="AO32" t="e">
        <f>IF(P32=0,0,COUNTIF(#REF!,"HERP")*100/P32)</f>
        <v>#REF!</v>
      </c>
      <c r="AP32" t="e">
        <f>IF(P32=0,0,COUNTIF(#REF!,"HYD")*100/P32)</f>
        <v>#REF!</v>
      </c>
      <c r="AQ32" t="e">
        <f>IF(P32=0,0,COUNTIF(#REF!,"ISOP")*100/P32)</f>
        <v>#REF!</v>
      </c>
      <c r="AR32" t="e">
        <f>IF(P32=0,0,COUNTIF(#REF!,"LEPT")*100/P32)</f>
        <v>#REF!</v>
      </c>
      <c r="AS32" t="e">
        <f>IF(P32=0,0,COUNTIF(#REF!,"LEPTOR")*100/P32)</f>
        <v>#REF!</v>
      </c>
      <c r="AT32" t="e">
        <f>IF(P32=0,0,COUNTIF(#REF!,"LEPTOS")*100/P32)</f>
        <v>#REF!</v>
      </c>
      <c r="AU32" t="e">
        <f>IF(P32=0,0,COUNTIF(#REF!,"LOBOPH")*100/P32)</f>
        <v>#REF!</v>
      </c>
      <c r="AV32" t="e">
        <f>IF(P32=0,0,COUNTIF(#REF!,"MERU")*100/P32)</f>
        <v>#REF!</v>
      </c>
      <c r="AW32" t="e">
        <f>IF(P32=0,0,COUNTIF(#REF!,"MILL")*100/P32)</f>
        <v>#REF!</v>
      </c>
      <c r="AX32" t="e">
        <f>IF(P32=0,0,COUNTIF(#REF!,"MONT")*100/P32)</f>
        <v>#REF!</v>
      </c>
      <c r="AY32" t="e">
        <f>IF(P32=0,0,COUNTIF(#REF!,"MONTI")*100/P32)</f>
        <v>#REF!</v>
      </c>
      <c r="AZ32" t="e">
        <f>IF(P32=0,0,COUNTIF(#REF!,"MYCED")*100/P32)</f>
        <v>#REF!</v>
      </c>
      <c r="BA32" t="e">
        <f>IF(P32=0,0,COUNTIF(#REF!,"OULO")*100/P32)</f>
        <v>#REF!</v>
      </c>
      <c r="BB32" t="e">
        <f>IF(P32=0,0,COUNTIF(#REF!,"OXYP")*100/P32)</f>
        <v>#REF!</v>
      </c>
      <c r="BC32" t="e">
        <f>IF(P32=0,0,COUNTIF(#REF!,"PLSIA")*100/P32)</f>
        <v>#REF!</v>
      </c>
      <c r="BD32" t="e">
        <f>IF(P32=0,0,COUNTIF(#REF!,"PACHY")*100/P32)</f>
        <v>#REF!</v>
      </c>
      <c r="BE32" t="e">
        <f>IF(P32=0,0,COUNTIF(#REF!,"PAV")*100/P32)</f>
        <v>#REF!</v>
      </c>
      <c r="BF32" t="e">
        <f>IF(P32=0,0,COUNTIF(#REF!,"PECT")*100/P32)</f>
        <v>#REF!</v>
      </c>
      <c r="BG32" t="e">
        <f>IF(P32=0,0,COUNTIF(#REF!,"PHYSO")*100/P32)</f>
        <v>#REF!</v>
      </c>
      <c r="BH32" s="29" t="e">
        <f>IF(P32=0,0,COUNTIF(#REF!,"PLAT")*100/P32)</f>
        <v>#REF!</v>
      </c>
      <c r="BI32" t="e">
        <f>IF(P32=0,0,COUNTIF(#REF!,"PLERO")*100/P32)</f>
        <v>#REF!</v>
      </c>
      <c r="BJ32" t="e">
        <f>IF(P32=0,0,COUNTIF(#REF!,"POC")*100/P32)</f>
        <v>#REF!</v>
      </c>
      <c r="BK32" t="e">
        <f>IF(P32=0,0,COUNTIF(#REF!,"POR")*100/P32)</f>
        <v>#REF!</v>
      </c>
      <c r="BL32" t="e">
        <f>IF(P32=0,0,COUNTIF(#REF!,"PORCYL")*100/P32)</f>
        <v>#REF!</v>
      </c>
      <c r="BM32" t="e">
        <f>IF(P32=0,0,COUNTIF(#REF!,"PORMAS")*100/P32)</f>
        <v>#REF!</v>
      </c>
      <c r="BN32" t="e">
        <f>IF(P32=0,0,COUNTIF(#REF!,"PORRUS")*100/P32)</f>
        <v>#REF!</v>
      </c>
      <c r="BO32" t="e">
        <f>IF(P32=0,0,COUNTIF(#REF!,"PSAM")*100/P32)</f>
        <v>#REF!</v>
      </c>
      <c r="BP32" t="e">
        <f>IF(P32=0,0,COUNTIF(#REF!,"SANDO")*100/P32)</f>
        <v>#REF!</v>
      </c>
      <c r="BQ32" t="e">
        <f>IF(P32=0,0,COUNTIF(#REF!,"SCAP")*100/P32)</f>
        <v>#REF!</v>
      </c>
      <c r="BR32" t="e">
        <f>IF(P32=0,0,COUNTIF(#REF!,"SERIA")*100/P32)</f>
        <v>#REF!</v>
      </c>
      <c r="BS32" t="e">
        <f>IF(P32=0,0,COUNTIF(#REF!,"STYLC")*100/P32)</f>
        <v>#REF!</v>
      </c>
      <c r="BT32" t="e">
        <f>IF(P32=0,0,COUNTIF(#REF!,"STYLO")*100/P32)</f>
        <v>#REF!</v>
      </c>
      <c r="BU32" t="e">
        <f>IF(P32=0,0,COUNTIF(#REF!,"SYMP")*100/P32)</f>
        <v>#REF!</v>
      </c>
      <c r="BV32" t="e">
        <f>IF(P32=0,0,COUNTIF(#REF!,"TURBIN")*100/P32)</f>
        <v>#REF!</v>
      </c>
      <c r="BX32" t="e">
        <f>IF(P32=0,0,COUNTIF(#REF!,"ANEM")*100/P32)</f>
        <v>#REF!</v>
      </c>
      <c r="BY32" t="e">
        <f>IF(P32=0,0,COUNTIF(#REF!,"ASC")*100/P32)</f>
        <v>#REF!</v>
      </c>
      <c r="BZ32" t="e">
        <f>IF(P32=0,0,COUNTIF(#REF!,"CUPS")*100/P32)</f>
        <v>#REF!</v>
      </c>
      <c r="CA32" t="e">
        <f>IF(P32=0,0,COUNTIF(#REF!,"DISCO")*100/P32)</f>
        <v>#REF!</v>
      </c>
      <c r="CB32" t="e">
        <f>IF(P32=0,0,COUNTIF(#REF!,"DYS")*100/P32)</f>
        <v>#REF!</v>
      </c>
      <c r="CC32" t="e">
        <f>IF(P32=0,0,COUNTIF(#REF!,"G")*100/P32)</f>
        <v>#REF!</v>
      </c>
      <c r="CD32" t="e">
        <f>IF(P32=0,0,COUNTIF(#REF!,"NoIDINV")*100/P32)</f>
        <v>#REF!</v>
      </c>
      <c r="CE32" t="e">
        <f>IF(P32=0,0,COUNTIF(#REF!,"OLV")*100/P32)</f>
        <v>#REF!</v>
      </c>
      <c r="CF32" t="e">
        <f>IF(P32=0,0,COUNTIF(#REF!,"SC")*100/P32)</f>
        <v>#REF!</v>
      </c>
      <c r="CG32" t="e">
        <f>IF(P32=0,0,COUNTIF(#REF!,"S")*100/P32)</f>
        <v>#REF!</v>
      </c>
      <c r="CH32" t="e">
        <f>IF(P32=0,0,COUNTIF(#REF!,"TERPS")*100/P32)</f>
        <v>#REF!</v>
      </c>
      <c r="CI32" t="e">
        <f>IF(P32=0,0,COUNTIF(#REF!,"Z")*100/P32)</f>
        <v>#REF!</v>
      </c>
      <c r="CK32" t="e">
        <f>IF(P32=0,0,COUNTIF(#REF!,"ASP")*100/P32)</f>
        <v>#REF!</v>
      </c>
      <c r="CL32" t="e">
        <f>IF(P32=0,0,COUNTIF(#REF!,"BG")*100/P32)</f>
        <v>#REF!</v>
      </c>
      <c r="CM32" t="e">
        <f>IF(P32=0,0,COUNTIF(#REF!,"Bood")*100/P32)</f>
        <v>#REF!</v>
      </c>
      <c r="CN32" t="e">
        <f>IF(P32=0,0,COUNTIF(#REF!,"BRYP")*100/P32)</f>
        <v>#REF!</v>
      </c>
      <c r="CO32" t="e">
        <f>IF(P32=0,0,COUNTIF(#REF!,"CLP")*100/P32)</f>
        <v>#REF!</v>
      </c>
      <c r="CP32" t="e">
        <f>IF(P32=0,0,COUNTIF(#REF!,"CHLDES")*100/P32)</f>
        <v>#REF!</v>
      </c>
      <c r="CQ32" t="e">
        <f>IF(P32=0,0,COUNTIF(#REF!,"DYCTY")*100/P32)</f>
        <v>#REF!</v>
      </c>
      <c r="CR32" t="e">
        <f>IF(P32=0,0,COUNTIF(#REF!,"DICT")*100/P32)</f>
        <v>#REF!</v>
      </c>
      <c r="CS32" t="e">
        <f>IF(P32=0,0,COUNTIF(#REF!,"GLXU")*100/P32)</f>
        <v>#REF!</v>
      </c>
      <c r="CT32" t="e">
        <f>IF(P32=0,0,COUNTIF(#REF!,"HALI")*100/P32)</f>
        <v>#REF!</v>
      </c>
      <c r="CU32" t="e">
        <f>IF(P32=0,0,COUNTIF(#REF!,"LIAG")*100/P32)</f>
        <v>#REF!</v>
      </c>
      <c r="CV32" t="e">
        <f>IF(P32=0,0,COUNTIF(#REF!,"LOBO")*100/P32)</f>
        <v>#REF!</v>
      </c>
      <c r="CW32" t="e">
        <f>IF(P32=0,0,COUNTIF(#REF!,"MAST")*100/P32)</f>
        <v>#REF!</v>
      </c>
      <c r="CX32" t="e">
        <f>IF(P32=0,0,COUNTIF(#REF!,"MICDTY")*100/P32)</f>
        <v>#REF!</v>
      </c>
      <c r="CY32" t="e">
        <f>IF(P32=0,0,COUNTIF(#REF!,"NEOM")*100/P32)</f>
        <v>#REF!</v>
      </c>
      <c r="CZ32" t="e">
        <f>IF(P32=0,0,COUNTIF(#REF!,"NOIDMAC")*100/P32)</f>
        <v>#REF!</v>
      </c>
      <c r="DA32" t="e">
        <f>IF(P32=0,0,COUNTIF(#REF!,"PAD")*100/P32)</f>
        <v>#REF!</v>
      </c>
      <c r="DB32" t="e">
        <f>IF(P32=0,0,COUNTIF(#REF!,"SARG")*100/P32)</f>
        <v>#REF!</v>
      </c>
      <c r="DC32" t="e">
        <f>IF(P32=0,0,COUNTIF(#REF!,"SCHIZ")*100/P32)</f>
        <v>#REF!</v>
      </c>
      <c r="DD32" t="e">
        <f>IF(P32=0,0,COUNTIF(#REF!,"TURB")*100/P32)</f>
        <v>#REF!</v>
      </c>
      <c r="DE32" t="e">
        <f>IF(P32=0,0,COUNTIF(#REF!,"TYDM")*100/P32)</f>
        <v>#REF!</v>
      </c>
      <c r="DG32" t="e">
        <f>IF(P32=0,0,COUNTIF(#REF!,"AMP")*100/P32)</f>
        <v>#REF!</v>
      </c>
      <c r="DH32" t="e">
        <f>IF(P32=0,0,COUNTIF(#REF!,"BCA1")*100/P32)</f>
        <v>#REF!</v>
      </c>
      <c r="DI32" t="e">
        <f>IF(P32=0,0,COUNTIF(#REF!,"JAN")*100/P32)</f>
        <v>#REF!</v>
      </c>
      <c r="DK32" s="29" t="e">
        <f>IF(P32=0,0,COUNTIF(#REF!,"CCA1")*100/P32)</f>
        <v>#REF!</v>
      </c>
      <c r="DM32" t="e">
        <f>IF(P32=0,0,COUNTIF(#REF!,"Sand")*100/P32)</f>
        <v>#REF!</v>
      </c>
      <c r="DO32" t="e">
        <f>IF(P32=0,0,COUNTIF(#REF!,"FCA1")*100/P32)</f>
        <v>#REF!</v>
      </c>
      <c r="DQ32" t="e">
        <f>IF(P32=0,0,COUNTIF(#REF!,"CHRYOBRN")*100/P32)</f>
        <v>#REF!</v>
      </c>
      <c r="DS32" t="e">
        <f>IF(P32=0,0,COUNTIF(#REF!,"TURF")*100/P32)</f>
        <v>#REF!</v>
      </c>
      <c r="DU32" t="e">
        <f>COUNTIF(#REF!,"Shadow")*100/5</f>
        <v>#REF!</v>
      </c>
      <c r="DV32" t="e">
        <f>COUNTIF(#REF!,"Tape")*100/5</f>
        <v>#REF!</v>
      </c>
      <c r="DW32" t="e">
        <f>COUNTIF(#REF!,"Wand")*100/5</f>
        <v>#REF!</v>
      </c>
      <c r="DY32" t="e">
        <f>IF(P32=0,0,COUNTIF(#REF!,"BC")*100/P32)</f>
        <v>#REF!</v>
      </c>
    </row>
    <row r="33" spans="1:129">
      <c r="A33">
        <v>31</v>
      </c>
      <c r="B33" t="s">
        <v>75</v>
      </c>
      <c r="F33" s="29" t="e">
        <f>IF(P33=0,0,COUNTIF(#REF!,"C")*100/P33)</f>
        <v>#REF!</v>
      </c>
      <c r="G33" t="e">
        <f>IF(P33=0,0,COUNTIF(#REF!,"OI")*100/P33)</f>
        <v>#REF!</v>
      </c>
      <c r="H33" t="e">
        <f>IF(P33=0,0,COUNTIF(#REF!,"MA")*100/P33)</f>
        <v>#REF!</v>
      </c>
      <c r="I33" t="e">
        <f>IF(P33=0,0,COUNTIF(#REF!,"BCA")*100/P33)</f>
        <v>#REF!</v>
      </c>
      <c r="J33" s="29" t="e">
        <f>IF(P33=0,0,COUNTIF(#REF!,"CCA")*100/P33)</f>
        <v>#REF!</v>
      </c>
      <c r="K33" t="e">
        <f>IF(P33=0,0,COUNTIF(#REF!,"SD")*100/P33)</f>
        <v>#REF!</v>
      </c>
      <c r="L33" t="e">
        <f>IF(P33=0,0,COUNTIF(#REF!,"FCA")*100/P33)</f>
        <v>#REF!</v>
      </c>
      <c r="M33" t="e">
        <f>IF(P33=0,0,COUNTIF(#REF!,"CHRYS")*100/P33)</f>
        <v>#REF!</v>
      </c>
      <c r="N33" t="e">
        <f>IF(P33=0,0,COUNTIF(#REF!,"T")*100/P33)</f>
        <v>#REF!</v>
      </c>
      <c r="O33" t="e">
        <f>IF(P33=0,0,COUNTIF(#REF!,"TWS")*100/P33)</f>
        <v>#REF!</v>
      </c>
      <c r="P33" t="e">
        <f>5-COUNTIF(#REF!,"TWS")</f>
        <v>#REF!</v>
      </c>
      <c r="S33" t="e">
        <f>IF(P33=0,0,COUNTIF(#REF!,"ACAN")*100/P33)</f>
        <v>#REF!</v>
      </c>
      <c r="T33" t="e">
        <f>IF(P33=0,0,COUNTIF(#REF!,"ACROP")*100/P33)</f>
        <v>#REF!</v>
      </c>
      <c r="U33" t="e">
        <f>IF(P33=0,0,COUNTIF(#REF!,"ACROPARB")*100/P33)</f>
        <v>#REF!</v>
      </c>
      <c r="V33" t="e">
        <f>IF(P33=0,0,COUNTIF(#REF!,"ACROST")*100/P33)</f>
        <v>#REF!</v>
      </c>
      <c r="W33" t="e">
        <f>IF(P33=0,0,COUNTIF(#REF!,"ACROTBL")*100/P33)</f>
        <v>#REF!</v>
      </c>
      <c r="X33" t="e">
        <f>IF(P33=0,0,COUNTIF(#REF!,"ASTRP")*100/P33)</f>
        <v>#REF!</v>
      </c>
      <c r="Y33" t="e">
        <f>IF(P33=0,0,COUNTIF(#REF!,"CAUL")*100/P33)</f>
        <v>#REF!</v>
      </c>
      <c r="Z33" t="e">
        <f>IF(P33=0,0,COUNTIF(#REF!,"COSC")*100/P33)</f>
        <v>#REF!</v>
      </c>
      <c r="AA33" t="e">
        <f>IF(P33=0,0,COUNTIF(#REF!,"CTEN")*100/P33)</f>
        <v>#REF!</v>
      </c>
      <c r="AB33" t="e">
        <f>IF(P33=0,0,COUNTIF(#REF!,"CYPH")*100/P33)</f>
        <v>#REF!</v>
      </c>
      <c r="AC33" t="e">
        <f>IF(P33=0,0,COUNTIF(#REF!,"DIPLO")*100/P33)</f>
        <v>#REF!</v>
      </c>
      <c r="AD33" s="29" t="e">
        <f>IF(P33=0,0,COUNTIF(#REF!,"ECHPO")*100/P33)</f>
        <v>#REF!</v>
      </c>
      <c r="AE33" t="e">
        <f>IF(P33=0,0,COUNTIF(#REF!,"ECHPHY")*100/P33)</f>
        <v>#REF!</v>
      </c>
      <c r="AF33" t="e">
        <f>IF(P33=0,0,COUNTIF(#REF!,"EUPH")*100/P33)</f>
        <v>#REF!</v>
      </c>
      <c r="AG33" t="e">
        <f>IF(P33=0,0,COUNTIF(#REF!,"FAV")*100/P33)</f>
        <v>#REF!</v>
      </c>
      <c r="AH33" t="e">
        <f>IF(P33=0,0,COUNTIF(#REF!,"FAVT")*100/P33)</f>
        <v>#REF!</v>
      </c>
      <c r="AI33" t="e">
        <f>IF(P33=0,0,COUNTIF(#REF!,"FUNG")*100/P33)</f>
        <v>#REF!</v>
      </c>
      <c r="AJ33" t="e">
        <f>IF(P33=0,0,COUNTIF(#REF!,"GAL")*100/P33)</f>
        <v>#REF!</v>
      </c>
      <c r="AK33" t="e">
        <f>IF(P33=0,0,COUNTIF(#REF!,"GARD")*100/P33)</f>
        <v>#REF!</v>
      </c>
      <c r="AL33" t="e">
        <f>IF(P33=0,0,COUNTIF(#REF!,"GON")*100/P33)</f>
        <v>#REF!</v>
      </c>
      <c r="AM33" t="e">
        <f>IF(P33=0,0,COUNTIF(#REF!,"GONIO")*100/P33)</f>
        <v>#REF!</v>
      </c>
      <c r="AN33" t="e">
        <f>IF(P33=0,0,COUNTIF(#REF!,"HELIO")*100/P33)</f>
        <v>#REF!</v>
      </c>
      <c r="AO33" t="e">
        <f>IF(P33=0,0,COUNTIF(#REF!,"HERP")*100/P33)</f>
        <v>#REF!</v>
      </c>
      <c r="AP33" t="e">
        <f>IF(P33=0,0,COUNTIF(#REF!,"HYD")*100/P33)</f>
        <v>#REF!</v>
      </c>
      <c r="AQ33" t="e">
        <f>IF(P33=0,0,COUNTIF(#REF!,"ISOP")*100/P33)</f>
        <v>#REF!</v>
      </c>
      <c r="AR33" t="e">
        <f>IF(P33=0,0,COUNTIF(#REF!,"LEPT")*100/P33)</f>
        <v>#REF!</v>
      </c>
      <c r="AS33" t="e">
        <f>IF(P33=0,0,COUNTIF(#REF!,"LEPTOR")*100/P33)</f>
        <v>#REF!</v>
      </c>
      <c r="AT33" t="e">
        <f>IF(P33=0,0,COUNTIF(#REF!,"LEPTOS")*100/P33)</f>
        <v>#REF!</v>
      </c>
      <c r="AU33" t="e">
        <f>IF(P33=0,0,COUNTIF(#REF!,"LOBOPH")*100/P33)</f>
        <v>#REF!</v>
      </c>
      <c r="AV33" t="e">
        <f>IF(P33=0,0,COUNTIF(#REF!,"MERU")*100/P33)</f>
        <v>#REF!</v>
      </c>
      <c r="AW33" t="e">
        <f>IF(P33=0,0,COUNTIF(#REF!,"MILL")*100/P33)</f>
        <v>#REF!</v>
      </c>
      <c r="AX33" t="e">
        <f>IF(P33=0,0,COUNTIF(#REF!,"MONT")*100/P33)</f>
        <v>#REF!</v>
      </c>
      <c r="AY33" t="e">
        <f>IF(P33=0,0,COUNTIF(#REF!,"MONTI")*100/P33)</f>
        <v>#REF!</v>
      </c>
      <c r="AZ33" t="e">
        <f>IF(P33=0,0,COUNTIF(#REF!,"MYCED")*100/P33)</f>
        <v>#REF!</v>
      </c>
      <c r="BA33" t="e">
        <f>IF(P33=0,0,COUNTIF(#REF!,"OULO")*100/P33)</f>
        <v>#REF!</v>
      </c>
      <c r="BB33" t="e">
        <f>IF(P33=0,0,COUNTIF(#REF!,"OXYP")*100/P33)</f>
        <v>#REF!</v>
      </c>
      <c r="BC33" t="e">
        <f>IF(P33=0,0,COUNTIF(#REF!,"PLSIA")*100/P33)</f>
        <v>#REF!</v>
      </c>
      <c r="BD33" t="e">
        <f>IF(P33=0,0,COUNTIF(#REF!,"PACHY")*100/P33)</f>
        <v>#REF!</v>
      </c>
      <c r="BE33" t="e">
        <f>IF(P33=0,0,COUNTIF(#REF!,"PAV")*100/P33)</f>
        <v>#REF!</v>
      </c>
      <c r="BF33" t="e">
        <f>IF(P33=0,0,COUNTIF(#REF!,"PECT")*100/P33)</f>
        <v>#REF!</v>
      </c>
      <c r="BG33" t="e">
        <f>IF(P33=0,0,COUNTIF(#REF!,"PHYSO")*100/P33)</f>
        <v>#REF!</v>
      </c>
      <c r="BH33" t="e">
        <f>IF(P33=0,0,COUNTIF(#REF!,"PLAT")*100/P33)</f>
        <v>#REF!</v>
      </c>
      <c r="BI33" t="e">
        <f>IF(P33=0,0,COUNTIF(#REF!,"PLERO")*100/P33)</f>
        <v>#REF!</v>
      </c>
      <c r="BJ33" t="e">
        <f>IF(P33=0,0,COUNTIF(#REF!,"POC")*100/P33)</f>
        <v>#REF!</v>
      </c>
      <c r="BK33" t="e">
        <f>IF(P33=0,0,COUNTIF(#REF!,"POR")*100/P33)</f>
        <v>#REF!</v>
      </c>
      <c r="BL33" t="e">
        <f>IF(P33=0,0,COUNTIF(#REF!,"PORCYL")*100/P33)</f>
        <v>#REF!</v>
      </c>
      <c r="BM33" t="e">
        <f>IF(P33=0,0,COUNTIF(#REF!,"PORMAS")*100/P33)</f>
        <v>#REF!</v>
      </c>
      <c r="BN33" t="e">
        <f>IF(P33=0,0,COUNTIF(#REF!,"PORRUS")*100/P33)</f>
        <v>#REF!</v>
      </c>
      <c r="BO33" t="e">
        <f>IF(P33=0,0,COUNTIF(#REF!,"PSAM")*100/P33)</f>
        <v>#REF!</v>
      </c>
      <c r="BP33" t="e">
        <f>IF(P33=0,0,COUNTIF(#REF!,"SANDO")*100/P33)</f>
        <v>#REF!</v>
      </c>
      <c r="BQ33" t="e">
        <f>IF(P33=0,0,COUNTIF(#REF!,"SCAP")*100/P33)</f>
        <v>#REF!</v>
      </c>
      <c r="BR33" t="e">
        <f>IF(P33=0,0,COUNTIF(#REF!,"SERIA")*100/P33)</f>
        <v>#REF!</v>
      </c>
      <c r="BS33" t="e">
        <f>IF(P33=0,0,COUNTIF(#REF!,"STYLC")*100/P33)</f>
        <v>#REF!</v>
      </c>
      <c r="BT33" t="e">
        <f>IF(P33=0,0,COUNTIF(#REF!,"STYLO")*100/P33)</f>
        <v>#REF!</v>
      </c>
      <c r="BU33" t="e">
        <f>IF(P33=0,0,COUNTIF(#REF!,"SYMP")*100/P33)</f>
        <v>#REF!</v>
      </c>
      <c r="BV33" t="e">
        <f>IF(P33=0,0,COUNTIF(#REF!,"TURBIN")*100/P33)</f>
        <v>#REF!</v>
      </c>
      <c r="BX33" t="e">
        <f>IF(P33=0,0,COUNTIF(#REF!,"ANEM")*100/P33)</f>
        <v>#REF!</v>
      </c>
      <c r="BY33" t="e">
        <f>IF(P33=0,0,COUNTIF(#REF!,"ASC")*100/P33)</f>
        <v>#REF!</v>
      </c>
      <c r="BZ33" t="e">
        <f>IF(P33=0,0,COUNTIF(#REF!,"CUPS")*100/P33)</f>
        <v>#REF!</v>
      </c>
      <c r="CA33" t="e">
        <f>IF(P33=0,0,COUNTIF(#REF!,"DISCO")*100/P33)</f>
        <v>#REF!</v>
      </c>
      <c r="CB33" t="e">
        <f>IF(P33=0,0,COUNTIF(#REF!,"DYS")*100/P33)</f>
        <v>#REF!</v>
      </c>
      <c r="CC33" t="e">
        <f>IF(P33=0,0,COUNTIF(#REF!,"G")*100/P33)</f>
        <v>#REF!</v>
      </c>
      <c r="CD33" t="e">
        <f>IF(P33=0,0,COUNTIF(#REF!,"NoIDINV")*100/P33)</f>
        <v>#REF!</v>
      </c>
      <c r="CE33" t="e">
        <f>IF(P33=0,0,COUNTIF(#REF!,"OLV")*100/P33)</f>
        <v>#REF!</v>
      </c>
      <c r="CF33" t="e">
        <f>IF(P33=0,0,COUNTIF(#REF!,"SC")*100/P33)</f>
        <v>#REF!</v>
      </c>
      <c r="CG33" t="e">
        <f>IF(P33=0,0,COUNTIF(#REF!,"S")*100/P33)</f>
        <v>#REF!</v>
      </c>
      <c r="CH33" t="e">
        <f>IF(P33=0,0,COUNTIF(#REF!,"TERPS")*100/P33)</f>
        <v>#REF!</v>
      </c>
      <c r="CI33" t="e">
        <f>IF(P33=0,0,COUNTIF(#REF!,"Z")*100/P33)</f>
        <v>#REF!</v>
      </c>
      <c r="CK33" t="e">
        <f>IF(P33=0,0,COUNTIF(#REF!,"ASP")*100/P33)</f>
        <v>#REF!</v>
      </c>
      <c r="CL33" t="e">
        <f>IF(P33=0,0,COUNTIF(#REF!,"BG")*100/P33)</f>
        <v>#REF!</v>
      </c>
      <c r="CM33" t="e">
        <f>IF(P33=0,0,COUNTIF(#REF!,"Bood")*100/P33)</f>
        <v>#REF!</v>
      </c>
      <c r="CN33" t="e">
        <f>IF(P33=0,0,COUNTIF(#REF!,"BRYP")*100/P33)</f>
        <v>#REF!</v>
      </c>
      <c r="CO33" t="e">
        <f>IF(P33=0,0,COUNTIF(#REF!,"CLP")*100/P33)</f>
        <v>#REF!</v>
      </c>
      <c r="CP33" t="e">
        <f>IF(P33=0,0,COUNTIF(#REF!,"CHLDES")*100/P33)</f>
        <v>#REF!</v>
      </c>
      <c r="CQ33" t="e">
        <f>IF(P33=0,0,COUNTIF(#REF!,"DYCTY")*100/P33)</f>
        <v>#REF!</v>
      </c>
      <c r="CR33" t="e">
        <f>IF(P33=0,0,COUNTIF(#REF!,"DICT")*100/P33)</f>
        <v>#REF!</v>
      </c>
      <c r="CS33" t="e">
        <f>IF(P33=0,0,COUNTIF(#REF!,"GLXU")*100/P33)</f>
        <v>#REF!</v>
      </c>
      <c r="CT33" t="e">
        <f>IF(P33=0,0,COUNTIF(#REF!,"HALI")*100/P33)</f>
        <v>#REF!</v>
      </c>
      <c r="CU33" t="e">
        <f>IF(P33=0,0,COUNTIF(#REF!,"LIAG")*100/P33)</f>
        <v>#REF!</v>
      </c>
      <c r="CV33" t="e">
        <f>IF(P33=0,0,COUNTIF(#REF!,"LOBO")*100/P33)</f>
        <v>#REF!</v>
      </c>
      <c r="CW33" t="e">
        <f>IF(P33=0,0,COUNTIF(#REF!,"MAST")*100/P33)</f>
        <v>#REF!</v>
      </c>
      <c r="CX33" t="e">
        <f>IF(P33=0,0,COUNTIF(#REF!,"MICDTY")*100/P33)</f>
        <v>#REF!</v>
      </c>
      <c r="CY33" t="e">
        <f>IF(P33=0,0,COUNTIF(#REF!,"NEOM")*100/P33)</f>
        <v>#REF!</v>
      </c>
      <c r="CZ33" t="e">
        <f>IF(P33=0,0,COUNTIF(#REF!,"NOIDMAC")*100/P33)</f>
        <v>#REF!</v>
      </c>
      <c r="DA33" t="e">
        <f>IF(P33=0,0,COUNTIF(#REF!,"PAD")*100/P33)</f>
        <v>#REF!</v>
      </c>
      <c r="DB33" t="e">
        <f>IF(P33=0,0,COUNTIF(#REF!,"SARG")*100/P33)</f>
        <v>#REF!</v>
      </c>
      <c r="DC33" t="e">
        <f>IF(P33=0,0,COUNTIF(#REF!,"SCHIZ")*100/P33)</f>
        <v>#REF!</v>
      </c>
      <c r="DD33" t="e">
        <f>IF(P33=0,0,COUNTIF(#REF!,"TURB")*100/P33)</f>
        <v>#REF!</v>
      </c>
      <c r="DE33" t="e">
        <f>IF(P33=0,0,COUNTIF(#REF!,"TYDM")*100/P33)</f>
        <v>#REF!</v>
      </c>
      <c r="DG33" t="e">
        <f>IF(P33=0,0,COUNTIF(#REF!,"AMP")*100/P33)</f>
        <v>#REF!</v>
      </c>
      <c r="DH33" t="e">
        <f>IF(P33=0,0,COUNTIF(#REF!,"BCA1")*100/P33)</f>
        <v>#REF!</v>
      </c>
      <c r="DI33" t="e">
        <f>IF(P33=0,0,COUNTIF(#REF!,"JAN")*100/P33)</f>
        <v>#REF!</v>
      </c>
      <c r="DK33" s="29" t="e">
        <f>IF(P33=0,0,COUNTIF(#REF!,"CCA1")*100/P33)</f>
        <v>#REF!</v>
      </c>
      <c r="DM33" t="e">
        <f>IF(P33=0,0,COUNTIF(#REF!,"Sand")*100/P33)</f>
        <v>#REF!</v>
      </c>
      <c r="DO33" t="e">
        <f>IF(P33=0,0,COUNTIF(#REF!,"FCA1")*100/P33)</f>
        <v>#REF!</v>
      </c>
      <c r="DQ33" t="e">
        <f>IF(P33=0,0,COUNTIF(#REF!,"CHRYOBRN")*100/P33)</f>
        <v>#REF!</v>
      </c>
      <c r="DS33" t="e">
        <f>IF(P33=0,0,COUNTIF(#REF!,"TURF")*100/P33)</f>
        <v>#REF!</v>
      </c>
      <c r="DU33" t="e">
        <f>COUNTIF(#REF!,"Shadow")*100/5</f>
        <v>#REF!</v>
      </c>
      <c r="DV33" t="e">
        <f>COUNTIF(#REF!,"Tape")*100/5</f>
        <v>#REF!</v>
      </c>
      <c r="DW33" t="e">
        <f>COUNTIF(#REF!,"Wand")*100/5</f>
        <v>#REF!</v>
      </c>
      <c r="DY33" t="e">
        <f>IF(P33=0,0,COUNTIF(#REF!,"BC")*100/P33)</f>
        <v>#REF!</v>
      </c>
    </row>
    <row r="34" spans="1:129">
      <c r="A34">
        <v>32</v>
      </c>
      <c r="B34" t="s">
        <v>76</v>
      </c>
      <c r="F34" s="29" t="e">
        <f>IF(P34=0,0,COUNTIF(#REF!,"C")*100/P34)</f>
        <v>#REF!</v>
      </c>
      <c r="G34" t="e">
        <f>IF(P34=0,0,COUNTIF(#REF!,"OI")*100/P34)</f>
        <v>#REF!</v>
      </c>
      <c r="H34" t="e">
        <f>IF(P34=0,0,COUNTIF(#REF!,"MA")*100/P34)</f>
        <v>#REF!</v>
      </c>
      <c r="I34" t="e">
        <f>IF(P34=0,0,COUNTIF(#REF!,"BCA")*100/P34)</f>
        <v>#REF!</v>
      </c>
      <c r="J34" s="29" t="e">
        <f>IF(P34=0,0,COUNTIF(#REF!,"CCA")*100/P34)</f>
        <v>#REF!</v>
      </c>
      <c r="K34" t="e">
        <f>IF(P34=0,0,COUNTIF(#REF!,"SD")*100/P34)</f>
        <v>#REF!</v>
      </c>
      <c r="L34" t="e">
        <f>IF(P34=0,0,COUNTIF(#REF!,"FCA")*100/P34)</f>
        <v>#REF!</v>
      </c>
      <c r="M34" t="e">
        <f>IF(P34=0,0,COUNTIF(#REF!,"CHRYS")*100/P34)</f>
        <v>#REF!</v>
      </c>
      <c r="N34" s="29" t="e">
        <f>IF(P34=0,0,COUNTIF(#REF!,"T")*100/P34)</f>
        <v>#REF!</v>
      </c>
      <c r="O34" t="e">
        <f>IF(P34=0,0,COUNTIF(#REF!,"TWS")*100/P34)</f>
        <v>#REF!</v>
      </c>
      <c r="P34" t="e">
        <f>5-COUNTIF(#REF!,"TWS")</f>
        <v>#REF!</v>
      </c>
      <c r="S34" t="e">
        <f>IF(P34=0,0,COUNTIF(#REF!,"ACAN")*100/P34)</f>
        <v>#REF!</v>
      </c>
      <c r="T34" t="e">
        <f>IF(P34=0,0,COUNTIF(#REF!,"ACROP")*100/P34)</f>
        <v>#REF!</v>
      </c>
      <c r="U34" t="e">
        <f>IF(P34=0,0,COUNTIF(#REF!,"ACROPARB")*100/P34)</f>
        <v>#REF!</v>
      </c>
      <c r="V34" t="e">
        <f>IF(P34=0,0,COUNTIF(#REF!,"ACROST")*100/P34)</f>
        <v>#REF!</v>
      </c>
      <c r="W34" t="e">
        <f>IF(P34=0,0,COUNTIF(#REF!,"ACROTBL")*100/P34)</f>
        <v>#REF!</v>
      </c>
      <c r="X34" t="e">
        <f>IF(P34=0,0,COUNTIF(#REF!,"ASTRP")*100/P34)</f>
        <v>#REF!</v>
      </c>
      <c r="Y34" t="e">
        <f>IF(P34=0,0,COUNTIF(#REF!,"CAUL")*100/P34)</f>
        <v>#REF!</v>
      </c>
      <c r="Z34" t="e">
        <f>IF(P34=0,0,COUNTIF(#REF!,"COSC")*100/P34)</f>
        <v>#REF!</v>
      </c>
      <c r="AA34" t="e">
        <f>IF(P34=0,0,COUNTIF(#REF!,"CTEN")*100/P34)</f>
        <v>#REF!</v>
      </c>
      <c r="AB34" t="e">
        <f>IF(P34=0,0,COUNTIF(#REF!,"CYPH")*100/P34)</f>
        <v>#REF!</v>
      </c>
      <c r="AC34" t="e">
        <f>IF(P34=0,0,COUNTIF(#REF!,"DIPLO")*100/P34)</f>
        <v>#REF!</v>
      </c>
      <c r="AD34" s="29" t="e">
        <f>IF(P34=0,0,COUNTIF(#REF!,"ECHPO")*100/P34)</f>
        <v>#REF!</v>
      </c>
      <c r="AE34" t="e">
        <f>IF(P34=0,0,COUNTIF(#REF!,"ECHPHY")*100/P34)</f>
        <v>#REF!</v>
      </c>
      <c r="AF34" t="e">
        <f>IF(P34=0,0,COUNTIF(#REF!,"EUPH")*100/P34)</f>
        <v>#REF!</v>
      </c>
      <c r="AG34" t="e">
        <f>IF(P34=0,0,COUNTIF(#REF!,"FAV")*100/P34)</f>
        <v>#REF!</v>
      </c>
      <c r="AH34" t="e">
        <f>IF(P34=0,0,COUNTIF(#REF!,"FAVT")*100/P34)</f>
        <v>#REF!</v>
      </c>
      <c r="AI34" t="e">
        <f>IF(P34=0,0,COUNTIF(#REF!,"FUNG")*100/P34)</f>
        <v>#REF!</v>
      </c>
      <c r="AJ34" t="e">
        <f>IF(P34=0,0,COUNTIF(#REF!,"GAL")*100/P34)</f>
        <v>#REF!</v>
      </c>
      <c r="AK34" t="e">
        <f>IF(P34=0,0,COUNTIF(#REF!,"GARD")*100/P34)</f>
        <v>#REF!</v>
      </c>
      <c r="AL34" t="e">
        <f>IF(P34=0,0,COUNTIF(#REF!,"GON")*100/P34)</f>
        <v>#REF!</v>
      </c>
      <c r="AM34" t="e">
        <f>IF(P34=0,0,COUNTIF(#REF!,"GONIO")*100/P34)</f>
        <v>#REF!</v>
      </c>
      <c r="AN34" t="e">
        <f>IF(P34=0,0,COUNTIF(#REF!,"HELIO")*100/P34)</f>
        <v>#REF!</v>
      </c>
      <c r="AO34" t="e">
        <f>IF(P34=0,0,COUNTIF(#REF!,"HERP")*100/P34)</f>
        <v>#REF!</v>
      </c>
      <c r="AP34" t="e">
        <f>IF(P34=0,0,COUNTIF(#REF!,"HYD")*100/P34)</f>
        <v>#REF!</v>
      </c>
      <c r="AQ34" t="e">
        <f>IF(P34=0,0,COUNTIF(#REF!,"ISOP")*100/P34)</f>
        <v>#REF!</v>
      </c>
      <c r="AR34" t="e">
        <f>IF(P34=0,0,COUNTIF(#REF!,"LEPT")*100/P34)</f>
        <v>#REF!</v>
      </c>
      <c r="AS34" s="29" t="e">
        <f>IF(P34=0,0,COUNTIF(#REF!,"LEPTOR")*100/P34)</f>
        <v>#REF!</v>
      </c>
      <c r="AT34" t="e">
        <f>IF(P34=0,0,COUNTIF(#REF!,"LEPTOS")*100/P34)</f>
        <v>#REF!</v>
      </c>
      <c r="AU34" t="e">
        <f>IF(P34=0,0,COUNTIF(#REF!,"LOBOPH")*100/P34)</f>
        <v>#REF!</v>
      </c>
      <c r="AV34" t="e">
        <f>IF(P34=0,0,COUNTIF(#REF!,"MERU")*100/P34)</f>
        <v>#REF!</v>
      </c>
      <c r="AW34" t="e">
        <f>IF(P34=0,0,COUNTIF(#REF!,"MILL")*100/P34)</f>
        <v>#REF!</v>
      </c>
      <c r="AX34" t="e">
        <f>IF(P34=0,0,COUNTIF(#REF!,"MONT")*100/P34)</f>
        <v>#REF!</v>
      </c>
      <c r="AY34" t="e">
        <f>IF(P34=0,0,COUNTIF(#REF!,"MONTI")*100/P34)</f>
        <v>#REF!</v>
      </c>
      <c r="AZ34" t="e">
        <f>IF(P34=0,0,COUNTIF(#REF!,"MYCED")*100/P34)</f>
        <v>#REF!</v>
      </c>
      <c r="BA34" t="e">
        <f>IF(P34=0,0,COUNTIF(#REF!,"OULO")*100/P34)</f>
        <v>#REF!</v>
      </c>
      <c r="BB34" t="e">
        <f>IF(P34=0,0,COUNTIF(#REF!,"OXYP")*100/P34)</f>
        <v>#REF!</v>
      </c>
      <c r="BC34" t="e">
        <f>IF(P34=0,0,COUNTIF(#REF!,"PLSIA")*100/P34)</f>
        <v>#REF!</v>
      </c>
      <c r="BD34" t="e">
        <f>IF(P34=0,0,COUNTIF(#REF!,"PACHY")*100/P34)</f>
        <v>#REF!</v>
      </c>
      <c r="BE34" t="e">
        <f>IF(P34=0,0,COUNTIF(#REF!,"PAV")*100/P34)</f>
        <v>#REF!</v>
      </c>
      <c r="BF34" t="e">
        <f>IF(P34=0,0,COUNTIF(#REF!,"PECT")*100/P34)</f>
        <v>#REF!</v>
      </c>
      <c r="BG34" t="e">
        <f>IF(P34=0,0,COUNTIF(#REF!,"PHYSO")*100/P34)</f>
        <v>#REF!</v>
      </c>
      <c r="BH34" t="e">
        <f>IF(P34=0,0,COUNTIF(#REF!,"PLAT")*100/P34)</f>
        <v>#REF!</v>
      </c>
      <c r="BI34" t="e">
        <f>IF(P34=0,0,COUNTIF(#REF!,"PLERO")*100/P34)</f>
        <v>#REF!</v>
      </c>
      <c r="BJ34" t="e">
        <f>IF(P34=0,0,COUNTIF(#REF!,"POC")*100/P34)</f>
        <v>#REF!</v>
      </c>
      <c r="BK34" t="e">
        <f>IF(P34=0,0,COUNTIF(#REF!,"POR")*100/P34)</f>
        <v>#REF!</v>
      </c>
      <c r="BL34" t="e">
        <f>IF(P34=0,0,COUNTIF(#REF!,"PORCYL")*100/P34)</f>
        <v>#REF!</v>
      </c>
      <c r="BM34" t="e">
        <f>IF(P34=0,0,COUNTIF(#REF!,"PORMAS")*100/P34)</f>
        <v>#REF!</v>
      </c>
      <c r="BN34" t="e">
        <f>IF(P34=0,0,COUNTIF(#REF!,"PORRUS")*100/P34)</f>
        <v>#REF!</v>
      </c>
      <c r="BO34" t="e">
        <f>IF(P34=0,0,COUNTIF(#REF!,"PSAM")*100/P34)</f>
        <v>#REF!</v>
      </c>
      <c r="BP34" t="e">
        <f>IF(P34=0,0,COUNTIF(#REF!,"SANDO")*100/P34)</f>
        <v>#REF!</v>
      </c>
      <c r="BQ34" t="e">
        <f>IF(P34=0,0,COUNTIF(#REF!,"SCAP")*100/P34)</f>
        <v>#REF!</v>
      </c>
      <c r="BR34" t="e">
        <f>IF(P34=0,0,COUNTIF(#REF!,"SERIA")*100/P34)</f>
        <v>#REF!</v>
      </c>
      <c r="BS34" t="e">
        <f>IF(P34=0,0,COUNTIF(#REF!,"STYLC")*100/P34)</f>
        <v>#REF!</v>
      </c>
      <c r="BT34" t="e">
        <f>IF(P34=0,0,COUNTIF(#REF!,"STYLO")*100/P34)</f>
        <v>#REF!</v>
      </c>
      <c r="BU34" t="e">
        <f>IF(P34=0,0,COUNTIF(#REF!,"SYMP")*100/P34)</f>
        <v>#REF!</v>
      </c>
      <c r="BV34" t="e">
        <f>IF(P34=0,0,COUNTIF(#REF!,"TURBIN")*100/P34)</f>
        <v>#REF!</v>
      </c>
      <c r="BX34" t="e">
        <f>IF(P34=0,0,COUNTIF(#REF!,"ANEM")*100/P34)</f>
        <v>#REF!</v>
      </c>
      <c r="BY34" t="e">
        <f>IF(P34=0,0,COUNTIF(#REF!,"ASC")*100/P34)</f>
        <v>#REF!</v>
      </c>
      <c r="BZ34" t="e">
        <f>IF(P34=0,0,COUNTIF(#REF!,"CUPS")*100/P34)</f>
        <v>#REF!</v>
      </c>
      <c r="CA34" t="e">
        <f>IF(P34=0,0,COUNTIF(#REF!,"DISCO")*100/P34)</f>
        <v>#REF!</v>
      </c>
      <c r="CB34" t="e">
        <f>IF(P34=0,0,COUNTIF(#REF!,"DYS")*100/P34)</f>
        <v>#REF!</v>
      </c>
      <c r="CC34" t="e">
        <f>IF(P34=0,0,COUNTIF(#REF!,"G")*100/P34)</f>
        <v>#REF!</v>
      </c>
      <c r="CD34" t="e">
        <f>IF(P34=0,0,COUNTIF(#REF!,"NoIDINV")*100/P34)</f>
        <v>#REF!</v>
      </c>
      <c r="CE34" t="e">
        <f>IF(P34=0,0,COUNTIF(#REF!,"OLV")*100/P34)</f>
        <v>#REF!</v>
      </c>
      <c r="CF34" t="e">
        <f>IF(P34=0,0,COUNTIF(#REF!,"SC")*100/P34)</f>
        <v>#REF!</v>
      </c>
      <c r="CG34" t="e">
        <f>IF(P34=0,0,COUNTIF(#REF!,"S")*100/P34)</f>
        <v>#REF!</v>
      </c>
      <c r="CH34" t="e">
        <f>IF(P34=0,0,COUNTIF(#REF!,"TERPS")*100/P34)</f>
        <v>#REF!</v>
      </c>
      <c r="CI34" t="e">
        <f>IF(P34=0,0,COUNTIF(#REF!,"Z")*100/P34)</f>
        <v>#REF!</v>
      </c>
      <c r="CK34" t="e">
        <f>IF(P34=0,0,COUNTIF(#REF!,"ASP")*100/P34)</f>
        <v>#REF!</v>
      </c>
      <c r="CL34" t="e">
        <f>IF(P34=0,0,COUNTIF(#REF!,"BG")*100/P34)</f>
        <v>#REF!</v>
      </c>
      <c r="CM34" t="e">
        <f>IF(P34=0,0,COUNTIF(#REF!,"Bood")*100/P34)</f>
        <v>#REF!</v>
      </c>
      <c r="CN34" t="e">
        <f>IF(P34=0,0,COUNTIF(#REF!,"BRYP")*100/P34)</f>
        <v>#REF!</v>
      </c>
      <c r="CO34" t="e">
        <f>IF(P34=0,0,COUNTIF(#REF!,"CLP")*100/P34)</f>
        <v>#REF!</v>
      </c>
      <c r="CP34" t="e">
        <f>IF(P34=0,0,COUNTIF(#REF!,"CHLDES")*100/P34)</f>
        <v>#REF!</v>
      </c>
      <c r="CQ34" t="e">
        <f>IF(P34=0,0,COUNTIF(#REF!,"DYCTY")*100/P34)</f>
        <v>#REF!</v>
      </c>
      <c r="CR34" t="e">
        <f>IF(P34=0,0,COUNTIF(#REF!,"DICT")*100/P34)</f>
        <v>#REF!</v>
      </c>
      <c r="CS34" t="e">
        <f>IF(P34=0,0,COUNTIF(#REF!,"GLXU")*100/P34)</f>
        <v>#REF!</v>
      </c>
      <c r="CT34" t="e">
        <f>IF(P34=0,0,COUNTIF(#REF!,"HALI")*100/P34)</f>
        <v>#REF!</v>
      </c>
      <c r="CU34" t="e">
        <f>IF(P34=0,0,COUNTIF(#REF!,"LIAG")*100/P34)</f>
        <v>#REF!</v>
      </c>
      <c r="CV34" t="e">
        <f>IF(P34=0,0,COUNTIF(#REF!,"LOBO")*100/P34)</f>
        <v>#REF!</v>
      </c>
      <c r="CW34" t="e">
        <f>IF(P34=0,0,COUNTIF(#REF!,"MAST")*100/P34)</f>
        <v>#REF!</v>
      </c>
      <c r="CX34" t="e">
        <f>IF(P34=0,0,COUNTIF(#REF!,"MICDTY")*100/P34)</f>
        <v>#REF!</v>
      </c>
      <c r="CY34" t="e">
        <f>IF(P34=0,0,COUNTIF(#REF!,"NEOM")*100/P34)</f>
        <v>#REF!</v>
      </c>
      <c r="CZ34" t="e">
        <f>IF(P34=0,0,COUNTIF(#REF!,"NOIDMAC")*100/P34)</f>
        <v>#REF!</v>
      </c>
      <c r="DA34" t="e">
        <f>IF(P34=0,0,COUNTIF(#REF!,"PAD")*100/P34)</f>
        <v>#REF!</v>
      </c>
      <c r="DB34" t="e">
        <f>IF(P34=0,0,COUNTIF(#REF!,"SARG")*100/P34)</f>
        <v>#REF!</v>
      </c>
      <c r="DC34" t="e">
        <f>IF(P34=0,0,COUNTIF(#REF!,"SCHIZ")*100/P34)</f>
        <v>#REF!</v>
      </c>
      <c r="DD34" t="e">
        <f>IF(P34=0,0,COUNTIF(#REF!,"TURB")*100/P34)</f>
        <v>#REF!</v>
      </c>
      <c r="DE34" t="e">
        <f>IF(P34=0,0,COUNTIF(#REF!,"TYDM")*100/P34)</f>
        <v>#REF!</v>
      </c>
      <c r="DG34" t="e">
        <f>IF(P34=0,0,COUNTIF(#REF!,"AMP")*100/P34)</f>
        <v>#REF!</v>
      </c>
      <c r="DH34" t="e">
        <f>IF(P34=0,0,COUNTIF(#REF!,"BCA1")*100/P34)</f>
        <v>#REF!</v>
      </c>
      <c r="DI34" t="e">
        <f>IF(P34=0,0,COUNTIF(#REF!,"JAN")*100/P34)</f>
        <v>#REF!</v>
      </c>
      <c r="DK34" s="29" t="e">
        <f>IF(P34=0,0,COUNTIF(#REF!,"CCA1")*100/P34)</f>
        <v>#REF!</v>
      </c>
      <c r="DM34" t="e">
        <f>IF(P34=0,0,COUNTIF(#REF!,"Sand")*100/P34)</f>
        <v>#REF!</v>
      </c>
      <c r="DO34" t="e">
        <f>IF(P34=0,0,COUNTIF(#REF!,"FCA1")*100/P34)</f>
        <v>#REF!</v>
      </c>
      <c r="DQ34" t="e">
        <f>IF(P34=0,0,COUNTIF(#REF!,"CHRYOBRN")*100/P34)</f>
        <v>#REF!</v>
      </c>
      <c r="DS34" s="29" t="e">
        <f>IF(P34=0,0,COUNTIF(#REF!,"TURF")*100/P34)</f>
        <v>#REF!</v>
      </c>
      <c r="DU34" t="e">
        <f>COUNTIF(#REF!,"Shadow")*100/5</f>
        <v>#REF!</v>
      </c>
      <c r="DV34" t="e">
        <f>COUNTIF(#REF!,"Tape")*100/5</f>
        <v>#REF!</v>
      </c>
      <c r="DW34" t="e">
        <f>COUNTIF(#REF!,"Wand")*100/5</f>
        <v>#REF!</v>
      </c>
      <c r="DY34" t="e">
        <f>IF(P34=0,0,COUNTIF(#REF!,"BC")*100/P34)</f>
        <v>#REF!</v>
      </c>
    </row>
    <row r="35" spans="1:129">
      <c r="A35">
        <v>33</v>
      </c>
      <c r="B35" t="s">
        <v>77</v>
      </c>
      <c r="F35" s="29" t="e">
        <f>IF(P35=0,0,COUNTIF(#REF!,"C")*100/P35)</f>
        <v>#REF!</v>
      </c>
      <c r="G35" t="e">
        <f>IF(P35=0,0,COUNTIF(#REF!,"OI")*100/P35)</f>
        <v>#REF!</v>
      </c>
      <c r="H35" t="e">
        <f>IF(P35=0,0,COUNTIF(#REF!,"MA")*100/P35)</f>
        <v>#REF!</v>
      </c>
      <c r="I35" t="e">
        <f>IF(P35=0,0,COUNTIF(#REF!,"BCA")*100/P35)</f>
        <v>#REF!</v>
      </c>
      <c r="J35" s="29" t="e">
        <f>IF(P35=0,0,COUNTIF(#REF!,"CCA")*100/P35)</f>
        <v>#REF!</v>
      </c>
      <c r="K35" t="e">
        <f>IF(P35=0,0,COUNTIF(#REF!,"SD")*100/P35)</f>
        <v>#REF!</v>
      </c>
      <c r="L35" s="29" t="e">
        <f>IF(P35=0,0,COUNTIF(#REF!,"FCA")*100/P35)</f>
        <v>#REF!</v>
      </c>
      <c r="M35" t="e">
        <f>IF(P35=0,0,COUNTIF(#REF!,"CHRYS")*100/P35)</f>
        <v>#REF!</v>
      </c>
      <c r="N35" s="29" t="e">
        <f>IF(P35=0,0,COUNTIF(#REF!,"T")*100/P35)</f>
        <v>#REF!</v>
      </c>
      <c r="O35" t="e">
        <f>IF(P35=0,0,COUNTIF(#REF!,"TWS")*100/P35)</f>
        <v>#REF!</v>
      </c>
      <c r="P35" t="e">
        <f>5-COUNTIF(#REF!,"TWS")</f>
        <v>#REF!</v>
      </c>
      <c r="S35" t="e">
        <f>IF(P35=0,0,COUNTIF(#REF!,"ACAN")*100/P35)</f>
        <v>#REF!</v>
      </c>
      <c r="T35" t="e">
        <f>IF(P35=0,0,COUNTIF(#REF!,"ACROP")*100/P35)</f>
        <v>#REF!</v>
      </c>
      <c r="U35" t="e">
        <f>IF(P35=0,0,COUNTIF(#REF!,"ACROPARB")*100/P35)</f>
        <v>#REF!</v>
      </c>
      <c r="V35" t="e">
        <f>IF(P35=0,0,COUNTIF(#REF!,"ACROST")*100/P35)</f>
        <v>#REF!</v>
      </c>
      <c r="W35" t="e">
        <f>IF(P35=0,0,COUNTIF(#REF!,"ACROTBL")*100/P35)</f>
        <v>#REF!</v>
      </c>
      <c r="X35" t="e">
        <f>IF(P35=0,0,COUNTIF(#REF!,"ASTRP")*100/P35)</f>
        <v>#REF!</v>
      </c>
      <c r="Y35" t="e">
        <f>IF(P35=0,0,COUNTIF(#REF!,"CAUL")*100/P35)</f>
        <v>#REF!</v>
      </c>
      <c r="Z35" t="e">
        <f>IF(P35=0,0,COUNTIF(#REF!,"COSC")*100/P35)</f>
        <v>#REF!</v>
      </c>
      <c r="AA35" t="e">
        <f>IF(P35=0,0,COUNTIF(#REF!,"CTEN")*100/P35)</f>
        <v>#REF!</v>
      </c>
      <c r="AB35" t="e">
        <f>IF(P35=0,0,COUNTIF(#REF!,"CYPH")*100/P35)</f>
        <v>#REF!</v>
      </c>
      <c r="AC35" t="e">
        <f>IF(P35=0,0,COUNTIF(#REF!,"DIPLO")*100/P35)</f>
        <v>#REF!</v>
      </c>
      <c r="AD35" t="e">
        <f>IF(P35=0,0,COUNTIF(#REF!,"ECHPO")*100/P35)</f>
        <v>#REF!</v>
      </c>
      <c r="AE35" t="e">
        <f>IF(P35=0,0,COUNTIF(#REF!,"ECHPHY")*100/P35)</f>
        <v>#REF!</v>
      </c>
      <c r="AF35" t="e">
        <f>IF(P35=0,0,COUNTIF(#REF!,"EUPH")*100/P35)</f>
        <v>#REF!</v>
      </c>
      <c r="AG35" t="e">
        <f>IF(P35=0,0,COUNTIF(#REF!,"FAV")*100/P35)</f>
        <v>#REF!</v>
      </c>
      <c r="AH35" t="e">
        <f>IF(P35=0,0,COUNTIF(#REF!,"FAVT")*100/P35)</f>
        <v>#REF!</v>
      </c>
      <c r="AI35" t="e">
        <f>IF(P35=0,0,COUNTIF(#REF!,"FUNG")*100/P35)</f>
        <v>#REF!</v>
      </c>
      <c r="AJ35" t="e">
        <f>IF(P35=0,0,COUNTIF(#REF!,"GAL")*100/P35)</f>
        <v>#REF!</v>
      </c>
      <c r="AK35" t="e">
        <f>IF(P35=0,0,COUNTIF(#REF!,"GARD")*100/P35)</f>
        <v>#REF!</v>
      </c>
      <c r="AL35" t="e">
        <f>IF(P35=0,0,COUNTIF(#REF!,"GON")*100/P35)</f>
        <v>#REF!</v>
      </c>
      <c r="AM35" t="e">
        <f>IF(P35=0,0,COUNTIF(#REF!,"GONIO")*100/P35)</f>
        <v>#REF!</v>
      </c>
      <c r="AN35" t="e">
        <f>IF(P35=0,0,COUNTIF(#REF!,"HELIO")*100/P35)</f>
        <v>#REF!</v>
      </c>
      <c r="AO35" t="e">
        <f>IF(P35=0,0,COUNTIF(#REF!,"HERP")*100/P35)</f>
        <v>#REF!</v>
      </c>
      <c r="AP35" t="e">
        <f>IF(P35=0,0,COUNTIF(#REF!,"HYD")*100/P35)</f>
        <v>#REF!</v>
      </c>
      <c r="AQ35" t="e">
        <f>IF(P35=0,0,COUNTIF(#REF!,"ISOP")*100/P35)</f>
        <v>#REF!</v>
      </c>
      <c r="AR35" t="e">
        <f>IF(P35=0,0,COUNTIF(#REF!,"LEPT")*100/P35)</f>
        <v>#REF!</v>
      </c>
      <c r="AS35" t="e">
        <f>IF(P35=0,0,COUNTIF(#REF!,"LEPTOR")*100/P35)</f>
        <v>#REF!</v>
      </c>
      <c r="AT35" t="e">
        <f>IF(P35=0,0,COUNTIF(#REF!,"LEPTOS")*100/P35)</f>
        <v>#REF!</v>
      </c>
      <c r="AU35" t="e">
        <f>IF(P35=0,0,COUNTIF(#REF!,"LOBOPH")*100/P35)</f>
        <v>#REF!</v>
      </c>
      <c r="AV35" t="e">
        <f>IF(P35=0,0,COUNTIF(#REF!,"MERU")*100/P35)</f>
        <v>#REF!</v>
      </c>
      <c r="AW35" t="e">
        <f>IF(P35=0,0,COUNTIF(#REF!,"MILL")*100/P35)</f>
        <v>#REF!</v>
      </c>
      <c r="AX35" t="e">
        <f>IF(P35=0,0,COUNTIF(#REF!,"MONT")*100/P35)</f>
        <v>#REF!</v>
      </c>
      <c r="AY35" t="e">
        <f>IF(P35=0,0,COUNTIF(#REF!,"MONTI")*100/P35)</f>
        <v>#REF!</v>
      </c>
      <c r="AZ35" t="e">
        <f>IF(P35=0,0,COUNTIF(#REF!,"MYCED")*100/P35)</f>
        <v>#REF!</v>
      </c>
      <c r="BA35" t="e">
        <f>IF(P35=0,0,COUNTIF(#REF!,"OULO")*100/P35)</f>
        <v>#REF!</v>
      </c>
      <c r="BB35" t="e">
        <f>IF(P35=0,0,COUNTIF(#REF!,"OXYP")*100/P35)</f>
        <v>#REF!</v>
      </c>
      <c r="BC35" t="e">
        <f>IF(P35=0,0,COUNTIF(#REF!,"PLSIA")*100/P35)</f>
        <v>#REF!</v>
      </c>
      <c r="BD35" t="e">
        <f>IF(P35=0,0,COUNTIF(#REF!,"PACHY")*100/P35)</f>
        <v>#REF!</v>
      </c>
      <c r="BE35" t="e">
        <f>IF(P35=0,0,COUNTIF(#REF!,"PAV")*100/P35)</f>
        <v>#REF!</v>
      </c>
      <c r="BF35" t="e">
        <f>IF(P35=0,0,COUNTIF(#REF!,"PECT")*100/P35)</f>
        <v>#REF!</v>
      </c>
      <c r="BG35" t="e">
        <f>IF(P35=0,0,COUNTIF(#REF!,"PHYSO")*100/P35)</f>
        <v>#REF!</v>
      </c>
      <c r="BH35" s="29" t="e">
        <f>IF(P35=0,0,COUNTIF(#REF!,"PLAT")*100/P35)</f>
        <v>#REF!</v>
      </c>
      <c r="BI35" t="e">
        <f>IF(P35=0,0,COUNTIF(#REF!,"PLERO")*100/P35)</f>
        <v>#REF!</v>
      </c>
      <c r="BJ35" t="e">
        <f>IF(P35=0,0,COUNTIF(#REF!,"POC")*100/P35)</f>
        <v>#REF!</v>
      </c>
      <c r="BK35" t="e">
        <f>IF(P35=0,0,COUNTIF(#REF!,"POR")*100/P35)</f>
        <v>#REF!</v>
      </c>
      <c r="BL35" t="e">
        <f>IF(P35=0,0,COUNTIF(#REF!,"PORCYL")*100/P35)</f>
        <v>#REF!</v>
      </c>
      <c r="BM35" t="e">
        <f>IF(P35=0,0,COUNTIF(#REF!,"PORMAS")*100/P35)</f>
        <v>#REF!</v>
      </c>
      <c r="BN35" t="e">
        <f>IF(P35=0,0,COUNTIF(#REF!,"PORRUS")*100/P35)</f>
        <v>#REF!</v>
      </c>
      <c r="BO35" t="e">
        <f>IF(P35=0,0,COUNTIF(#REF!,"PSAM")*100/P35)</f>
        <v>#REF!</v>
      </c>
      <c r="BP35" t="e">
        <f>IF(P35=0,0,COUNTIF(#REF!,"SANDO")*100/P35)</f>
        <v>#REF!</v>
      </c>
      <c r="BQ35" t="e">
        <f>IF(P35=0,0,COUNTIF(#REF!,"SCAP")*100/P35)</f>
        <v>#REF!</v>
      </c>
      <c r="BR35" t="e">
        <f>IF(P35=0,0,COUNTIF(#REF!,"SERIA")*100/P35)</f>
        <v>#REF!</v>
      </c>
      <c r="BS35" t="e">
        <f>IF(P35=0,0,COUNTIF(#REF!,"STYLC")*100/P35)</f>
        <v>#REF!</v>
      </c>
      <c r="BT35" t="e">
        <f>IF(P35=0,0,COUNTIF(#REF!,"STYLO")*100/P35)</f>
        <v>#REF!</v>
      </c>
      <c r="BU35" t="e">
        <f>IF(P35=0,0,COUNTIF(#REF!,"SYMP")*100/P35)</f>
        <v>#REF!</v>
      </c>
      <c r="BV35" t="e">
        <f>IF(P35=0,0,COUNTIF(#REF!,"TURBIN")*100/P35)</f>
        <v>#REF!</v>
      </c>
      <c r="BX35" t="e">
        <f>IF(P35=0,0,COUNTIF(#REF!,"ANEM")*100/P35)</f>
        <v>#REF!</v>
      </c>
      <c r="BY35" t="e">
        <f>IF(P35=0,0,COUNTIF(#REF!,"ASC")*100/P35)</f>
        <v>#REF!</v>
      </c>
      <c r="BZ35" t="e">
        <f>IF(P35=0,0,COUNTIF(#REF!,"CUPS")*100/P35)</f>
        <v>#REF!</v>
      </c>
      <c r="CA35" t="e">
        <f>IF(P35=0,0,COUNTIF(#REF!,"DISCO")*100/P35)</f>
        <v>#REF!</v>
      </c>
      <c r="CB35" t="e">
        <f>IF(P35=0,0,COUNTIF(#REF!,"DYS")*100/P35)</f>
        <v>#REF!</v>
      </c>
      <c r="CC35" t="e">
        <f>IF(P35=0,0,COUNTIF(#REF!,"G")*100/P35)</f>
        <v>#REF!</v>
      </c>
      <c r="CD35" t="e">
        <f>IF(P35=0,0,COUNTIF(#REF!,"NoIDINV")*100/P35)</f>
        <v>#REF!</v>
      </c>
      <c r="CE35" t="e">
        <f>IF(P35=0,0,COUNTIF(#REF!,"OLV")*100/P35)</f>
        <v>#REF!</v>
      </c>
      <c r="CF35" t="e">
        <f>IF(P35=0,0,COUNTIF(#REF!,"SC")*100/P35)</f>
        <v>#REF!</v>
      </c>
      <c r="CG35" t="e">
        <f>IF(P35=0,0,COUNTIF(#REF!,"S")*100/P35)</f>
        <v>#REF!</v>
      </c>
      <c r="CH35" t="e">
        <f>IF(P35=0,0,COUNTIF(#REF!,"TERPS")*100/P35)</f>
        <v>#REF!</v>
      </c>
      <c r="CI35" t="e">
        <f>IF(P35=0,0,COUNTIF(#REF!,"Z")*100/P35)</f>
        <v>#REF!</v>
      </c>
      <c r="CK35" t="e">
        <f>IF(P35=0,0,COUNTIF(#REF!,"ASP")*100/P35)</f>
        <v>#REF!</v>
      </c>
      <c r="CL35" t="e">
        <f>IF(P35=0,0,COUNTIF(#REF!,"BG")*100/P35)</f>
        <v>#REF!</v>
      </c>
      <c r="CM35" t="e">
        <f>IF(P35=0,0,COUNTIF(#REF!,"Bood")*100/P35)</f>
        <v>#REF!</v>
      </c>
      <c r="CN35" t="e">
        <f>IF(P35=0,0,COUNTIF(#REF!,"BRYP")*100/P35)</f>
        <v>#REF!</v>
      </c>
      <c r="CO35" t="e">
        <f>IF(P35=0,0,COUNTIF(#REF!,"CLP")*100/P35)</f>
        <v>#REF!</v>
      </c>
      <c r="CP35" t="e">
        <f>IF(P35=0,0,COUNTIF(#REF!,"CHLDES")*100/P35)</f>
        <v>#REF!</v>
      </c>
      <c r="CQ35" t="e">
        <f>IF(P35=0,0,COUNTIF(#REF!,"DYCTY")*100/P35)</f>
        <v>#REF!</v>
      </c>
      <c r="CR35" t="e">
        <f>IF(P35=0,0,COUNTIF(#REF!,"DICT")*100/P35)</f>
        <v>#REF!</v>
      </c>
      <c r="CS35" t="e">
        <f>IF(P35=0,0,COUNTIF(#REF!,"GLXU")*100/P35)</f>
        <v>#REF!</v>
      </c>
      <c r="CT35" t="e">
        <f>IF(P35=0,0,COUNTIF(#REF!,"HALI")*100/P35)</f>
        <v>#REF!</v>
      </c>
      <c r="CU35" t="e">
        <f>IF(P35=0,0,COUNTIF(#REF!,"LIAG")*100/P35)</f>
        <v>#REF!</v>
      </c>
      <c r="CV35" t="e">
        <f>IF(P35=0,0,COUNTIF(#REF!,"LOBO")*100/P35)</f>
        <v>#REF!</v>
      </c>
      <c r="CW35" t="e">
        <f>IF(P35=0,0,COUNTIF(#REF!,"MAST")*100/P35)</f>
        <v>#REF!</v>
      </c>
      <c r="CX35" t="e">
        <f>IF(P35=0,0,COUNTIF(#REF!,"MICDTY")*100/P35)</f>
        <v>#REF!</v>
      </c>
      <c r="CY35" t="e">
        <f>IF(P35=0,0,COUNTIF(#REF!,"NEOM")*100/P35)</f>
        <v>#REF!</v>
      </c>
      <c r="CZ35" t="e">
        <f>IF(P35=0,0,COUNTIF(#REF!,"NOIDMAC")*100/P35)</f>
        <v>#REF!</v>
      </c>
      <c r="DA35" t="e">
        <f>IF(P35=0,0,COUNTIF(#REF!,"PAD")*100/P35)</f>
        <v>#REF!</v>
      </c>
      <c r="DB35" t="e">
        <f>IF(P35=0,0,COUNTIF(#REF!,"SARG")*100/P35)</f>
        <v>#REF!</v>
      </c>
      <c r="DC35" t="e">
        <f>IF(P35=0,0,COUNTIF(#REF!,"SCHIZ")*100/P35)</f>
        <v>#REF!</v>
      </c>
      <c r="DD35" t="e">
        <f>IF(P35=0,0,COUNTIF(#REF!,"TURB")*100/P35)</f>
        <v>#REF!</v>
      </c>
      <c r="DE35" t="e">
        <f>IF(P35=0,0,COUNTIF(#REF!,"TYDM")*100/P35)</f>
        <v>#REF!</v>
      </c>
      <c r="DG35" t="e">
        <f>IF(P35=0,0,COUNTIF(#REF!,"AMP")*100/P35)</f>
        <v>#REF!</v>
      </c>
      <c r="DH35" t="e">
        <f>IF(P35=0,0,COUNTIF(#REF!,"BCA1")*100/P35)</f>
        <v>#REF!</v>
      </c>
      <c r="DI35" t="e">
        <f>IF(P35=0,0,COUNTIF(#REF!,"JAN")*100/P35)</f>
        <v>#REF!</v>
      </c>
      <c r="DK35" s="29" t="e">
        <f>IF(P35=0,0,COUNTIF(#REF!,"CCA1")*100/P35)</f>
        <v>#REF!</v>
      </c>
      <c r="DM35" t="e">
        <f>IF(P35=0,0,COUNTIF(#REF!,"Sand")*100/P35)</f>
        <v>#REF!</v>
      </c>
      <c r="DO35" s="29" t="e">
        <f>IF(P35=0,0,COUNTIF(#REF!,"FCA1")*100/P35)</f>
        <v>#REF!</v>
      </c>
      <c r="DQ35" t="e">
        <f>IF(P35=0,0,COUNTIF(#REF!,"CHRYOBRN")*100/P35)</f>
        <v>#REF!</v>
      </c>
      <c r="DS35" s="29" t="e">
        <f>IF(P35=0,0,COUNTIF(#REF!,"TURF")*100/P35)</f>
        <v>#REF!</v>
      </c>
      <c r="DU35" t="e">
        <f>COUNTIF(#REF!,"Shadow")*100/5</f>
        <v>#REF!</v>
      </c>
      <c r="DV35" t="e">
        <f>COUNTIF(#REF!,"Tape")*100/5</f>
        <v>#REF!</v>
      </c>
      <c r="DW35" t="e">
        <f>COUNTIF(#REF!,"Wand")*100/5</f>
        <v>#REF!</v>
      </c>
      <c r="DY35" t="e">
        <f>IF(P35=0,0,COUNTIF(#REF!,"BC")*100/P35)</f>
        <v>#REF!</v>
      </c>
    </row>
    <row r="36" spans="1:129">
      <c r="A36">
        <v>34</v>
      </c>
      <c r="B36" t="s">
        <v>78</v>
      </c>
      <c r="F36" t="e">
        <f>IF(P36=0,0,COUNTIF(#REF!,"C")*100/P36)</f>
        <v>#REF!</v>
      </c>
      <c r="G36" t="e">
        <f>IF(P36=0,0,COUNTIF(#REF!,"OI")*100/P36)</f>
        <v>#REF!</v>
      </c>
      <c r="H36" t="e">
        <f>IF(P36=0,0,COUNTIF(#REF!,"MA")*100/P36)</f>
        <v>#REF!</v>
      </c>
      <c r="I36" t="e">
        <f>IF(P36=0,0,COUNTIF(#REF!,"BCA")*100/P36)</f>
        <v>#REF!</v>
      </c>
      <c r="J36" s="29" t="e">
        <f>IF(P36=0,0,COUNTIF(#REF!,"CCA")*100/P36)</f>
        <v>#REF!</v>
      </c>
      <c r="K36" t="e">
        <f>IF(P36=0,0,COUNTIF(#REF!,"SD")*100/P36)</f>
        <v>#REF!</v>
      </c>
      <c r="L36" t="e">
        <f>IF(P36=0,0,COUNTIF(#REF!,"FCA")*100/P36)</f>
        <v>#REF!</v>
      </c>
      <c r="M36" t="e">
        <f>IF(P36=0,0,COUNTIF(#REF!,"CHRYS")*100/P36)</f>
        <v>#REF!</v>
      </c>
      <c r="N36" s="29" t="e">
        <f>IF(P36=0,0,COUNTIF(#REF!,"T")*100/P36)</f>
        <v>#REF!</v>
      </c>
      <c r="O36" t="e">
        <f>IF(P36=0,0,COUNTIF(#REF!,"TWS")*100/P36)</f>
        <v>#REF!</v>
      </c>
      <c r="P36" t="e">
        <f>5-COUNTIF(#REF!,"TWS")</f>
        <v>#REF!</v>
      </c>
      <c r="S36" t="e">
        <f>IF(P36=0,0,COUNTIF(#REF!,"ACAN")*100/P36)</f>
        <v>#REF!</v>
      </c>
      <c r="T36" t="e">
        <f>IF(P36=0,0,COUNTIF(#REF!,"ACROP")*100/P36)</f>
        <v>#REF!</v>
      </c>
      <c r="U36" t="e">
        <f>IF(P36=0,0,COUNTIF(#REF!,"ACROPARB")*100/P36)</f>
        <v>#REF!</v>
      </c>
      <c r="V36" t="e">
        <f>IF(P36=0,0,COUNTIF(#REF!,"ACROST")*100/P36)</f>
        <v>#REF!</v>
      </c>
      <c r="W36" t="e">
        <f>IF(P36=0,0,COUNTIF(#REF!,"ACROTBL")*100/P36)</f>
        <v>#REF!</v>
      </c>
      <c r="X36" t="e">
        <f>IF(P36=0,0,COUNTIF(#REF!,"ASTRP")*100/P36)</f>
        <v>#REF!</v>
      </c>
      <c r="Y36" t="e">
        <f>IF(P36=0,0,COUNTIF(#REF!,"CAUL")*100/P36)</f>
        <v>#REF!</v>
      </c>
      <c r="Z36" t="e">
        <f>IF(P36=0,0,COUNTIF(#REF!,"COSC")*100/P36)</f>
        <v>#REF!</v>
      </c>
      <c r="AA36" t="e">
        <f>IF(P36=0,0,COUNTIF(#REF!,"CTEN")*100/P36)</f>
        <v>#REF!</v>
      </c>
      <c r="AB36" t="e">
        <f>IF(P36=0,0,COUNTIF(#REF!,"CYPH")*100/P36)</f>
        <v>#REF!</v>
      </c>
      <c r="AC36" t="e">
        <f>IF(P36=0,0,COUNTIF(#REF!,"DIPLO")*100/P36)</f>
        <v>#REF!</v>
      </c>
      <c r="AD36" t="e">
        <f>IF(P36=0,0,COUNTIF(#REF!,"ECHPO")*100/P36)</f>
        <v>#REF!</v>
      </c>
      <c r="AE36" t="e">
        <f>IF(P36=0,0,COUNTIF(#REF!,"ECHPHY")*100/P36)</f>
        <v>#REF!</v>
      </c>
      <c r="AF36" t="e">
        <f>IF(P36=0,0,COUNTIF(#REF!,"EUPH")*100/P36)</f>
        <v>#REF!</v>
      </c>
      <c r="AG36" t="e">
        <f>IF(P36=0,0,COUNTIF(#REF!,"FAV")*100/P36)</f>
        <v>#REF!</v>
      </c>
      <c r="AH36" t="e">
        <f>IF(P36=0,0,COUNTIF(#REF!,"FAVT")*100/P36)</f>
        <v>#REF!</v>
      </c>
      <c r="AI36" t="e">
        <f>IF(P36=0,0,COUNTIF(#REF!,"FUNG")*100/P36)</f>
        <v>#REF!</v>
      </c>
      <c r="AJ36" t="e">
        <f>IF(P36=0,0,COUNTIF(#REF!,"GAL")*100/P36)</f>
        <v>#REF!</v>
      </c>
      <c r="AK36" t="e">
        <f>IF(P36=0,0,COUNTIF(#REF!,"GARD")*100/P36)</f>
        <v>#REF!</v>
      </c>
      <c r="AL36" t="e">
        <f>IF(P36=0,0,COUNTIF(#REF!,"GON")*100/P36)</f>
        <v>#REF!</v>
      </c>
      <c r="AM36" t="e">
        <f>IF(P36=0,0,COUNTIF(#REF!,"GONIO")*100/P36)</f>
        <v>#REF!</v>
      </c>
      <c r="AN36" t="e">
        <f>IF(P36=0,0,COUNTIF(#REF!,"HELIO")*100/P36)</f>
        <v>#REF!</v>
      </c>
      <c r="AO36" t="e">
        <f>IF(P36=0,0,COUNTIF(#REF!,"HERP")*100/P36)</f>
        <v>#REF!</v>
      </c>
      <c r="AP36" t="e">
        <f>IF(P36=0,0,COUNTIF(#REF!,"HYD")*100/P36)</f>
        <v>#REF!</v>
      </c>
      <c r="AQ36" t="e">
        <f>IF(P36=0,0,COUNTIF(#REF!,"ISOP")*100/P36)</f>
        <v>#REF!</v>
      </c>
      <c r="AR36" t="e">
        <f>IF(P36=0,0,COUNTIF(#REF!,"LEPT")*100/P36)</f>
        <v>#REF!</v>
      </c>
      <c r="AS36" t="e">
        <f>IF(P36=0,0,COUNTIF(#REF!,"LEPTOR")*100/P36)</f>
        <v>#REF!</v>
      </c>
      <c r="AT36" t="e">
        <f>IF(P36=0,0,COUNTIF(#REF!,"LEPTOS")*100/P36)</f>
        <v>#REF!</v>
      </c>
      <c r="AU36" t="e">
        <f>IF(P36=0,0,COUNTIF(#REF!,"LOBOPH")*100/P36)</f>
        <v>#REF!</v>
      </c>
      <c r="AV36" t="e">
        <f>IF(P36=0,0,COUNTIF(#REF!,"MERU")*100/P36)</f>
        <v>#REF!</v>
      </c>
      <c r="AW36" t="e">
        <f>IF(P36=0,0,COUNTIF(#REF!,"MILL")*100/P36)</f>
        <v>#REF!</v>
      </c>
      <c r="AX36" t="e">
        <f>IF(P36=0,0,COUNTIF(#REF!,"MONT")*100/P36)</f>
        <v>#REF!</v>
      </c>
      <c r="AY36" t="e">
        <f>IF(P36=0,0,COUNTIF(#REF!,"MONTI")*100/P36)</f>
        <v>#REF!</v>
      </c>
      <c r="AZ36" t="e">
        <f>IF(P36=0,0,COUNTIF(#REF!,"MYCED")*100/P36)</f>
        <v>#REF!</v>
      </c>
      <c r="BA36" t="e">
        <f>IF(P36=0,0,COUNTIF(#REF!,"OULO")*100/P36)</f>
        <v>#REF!</v>
      </c>
      <c r="BB36" t="e">
        <f>IF(P36=0,0,COUNTIF(#REF!,"OXYP")*100/P36)</f>
        <v>#REF!</v>
      </c>
      <c r="BC36" t="e">
        <f>IF(P36=0,0,COUNTIF(#REF!,"PLSIA")*100/P36)</f>
        <v>#REF!</v>
      </c>
      <c r="BD36" t="e">
        <f>IF(P36=0,0,COUNTIF(#REF!,"PACHY")*100/P36)</f>
        <v>#REF!</v>
      </c>
      <c r="BE36" t="e">
        <f>IF(P36=0,0,COUNTIF(#REF!,"PAV")*100/P36)</f>
        <v>#REF!</v>
      </c>
      <c r="BF36" t="e">
        <f>IF(P36=0,0,COUNTIF(#REF!,"PECT")*100/P36)</f>
        <v>#REF!</v>
      </c>
      <c r="BG36" t="e">
        <f>IF(P36=0,0,COUNTIF(#REF!,"PHYSO")*100/P36)</f>
        <v>#REF!</v>
      </c>
      <c r="BH36" t="e">
        <f>IF(P36=0,0,COUNTIF(#REF!,"PLAT")*100/P36)</f>
        <v>#REF!</v>
      </c>
      <c r="BI36" t="e">
        <f>IF(P36=0,0,COUNTIF(#REF!,"PLERO")*100/P36)</f>
        <v>#REF!</v>
      </c>
      <c r="BJ36" t="e">
        <f>IF(P36=0,0,COUNTIF(#REF!,"POC")*100/P36)</f>
        <v>#REF!</v>
      </c>
      <c r="BK36" t="e">
        <f>IF(P36=0,0,COUNTIF(#REF!,"POR")*100/P36)</f>
        <v>#REF!</v>
      </c>
      <c r="BL36" t="e">
        <f>IF(P36=0,0,COUNTIF(#REF!,"PORCYL")*100/P36)</f>
        <v>#REF!</v>
      </c>
      <c r="BM36" t="e">
        <f>IF(P36=0,0,COUNTIF(#REF!,"PORMAS")*100/P36)</f>
        <v>#REF!</v>
      </c>
      <c r="BN36" t="e">
        <f>IF(P36=0,0,COUNTIF(#REF!,"PORRUS")*100/P36)</f>
        <v>#REF!</v>
      </c>
      <c r="BO36" t="e">
        <f>IF(P36=0,0,COUNTIF(#REF!,"PSAM")*100/P36)</f>
        <v>#REF!</v>
      </c>
      <c r="BP36" t="e">
        <f>IF(P36=0,0,COUNTIF(#REF!,"SANDO")*100/P36)</f>
        <v>#REF!</v>
      </c>
      <c r="BQ36" t="e">
        <f>IF(P36=0,0,COUNTIF(#REF!,"SCAP")*100/P36)</f>
        <v>#REF!</v>
      </c>
      <c r="BR36" t="e">
        <f>IF(P36=0,0,COUNTIF(#REF!,"SERIA")*100/P36)</f>
        <v>#REF!</v>
      </c>
      <c r="BS36" t="e">
        <f>IF(P36=0,0,COUNTIF(#REF!,"STYLC")*100/P36)</f>
        <v>#REF!</v>
      </c>
      <c r="BT36" t="e">
        <f>IF(P36=0,0,COUNTIF(#REF!,"STYLO")*100/P36)</f>
        <v>#REF!</v>
      </c>
      <c r="BU36" t="e">
        <f>IF(P36=0,0,COUNTIF(#REF!,"SYMP")*100/P36)</f>
        <v>#REF!</v>
      </c>
      <c r="BV36" t="e">
        <f>IF(P36=0,0,COUNTIF(#REF!,"TURBIN")*100/P36)</f>
        <v>#REF!</v>
      </c>
      <c r="BX36" t="e">
        <f>IF(P36=0,0,COUNTIF(#REF!,"ANEM")*100/P36)</f>
        <v>#REF!</v>
      </c>
      <c r="BY36" t="e">
        <f>IF(P36=0,0,COUNTIF(#REF!,"ASC")*100/P36)</f>
        <v>#REF!</v>
      </c>
      <c r="BZ36" t="e">
        <f>IF(P36=0,0,COUNTIF(#REF!,"CUPS")*100/P36)</f>
        <v>#REF!</v>
      </c>
      <c r="CA36" t="e">
        <f>IF(P36=0,0,COUNTIF(#REF!,"DISCO")*100/P36)</f>
        <v>#REF!</v>
      </c>
      <c r="CB36" t="e">
        <f>IF(P36=0,0,COUNTIF(#REF!,"DYS")*100/P36)</f>
        <v>#REF!</v>
      </c>
      <c r="CC36" t="e">
        <f>IF(P36=0,0,COUNTIF(#REF!,"G")*100/P36)</f>
        <v>#REF!</v>
      </c>
      <c r="CD36" t="e">
        <f>IF(P36=0,0,COUNTIF(#REF!,"NoIDINV")*100/P36)</f>
        <v>#REF!</v>
      </c>
      <c r="CE36" t="e">
        <f>IF(P36=0,0,COUNTIF(#REF!,"OLV")*100/P36)</f>
        <v>#REF!</v>
      </c>
      <c r="CF36" t="e">
        <f>IF(P36=0,0,COUNTIF(#REF!,"SC")*100/P36)</f>
        <v>#REF!</v>
      </c>
      <c r="CG36" t="e">
        <f>IF(P36=0,0,COUNTIF(#REF!,"S")*100/P36)</f>
        <v>#REF!</v>
      </c>
      <c r="CH36" t="e">
        <f>IF(P36=0,0,COUNTIF(#REF!,"TERPS")*100/P36)</f>
        <v>#REF!</v>
      </c>
      <c r="CI36" t="e">
        <f>IF(P36=0,0,COUNTIF(#REF!,"Z")*100/P36)</f>
        <v>#REF!</v>
      </c>
      <c r="CK36" t="e">
        <f>IF(P36=0,0,COUNTIF(#REF!,"ASP")*100/P36)</f>
        <v>#REF!</v>
      </c>
      <c r="CL36" t="e">
        <f>IF(P36=0,0,COUNTIF(#REF!,"BG")*100/P36)</f>
        <v>#REF!</v>
      </c>
      <c r="CM36" t="e">
        <f>IF(P36=0,0,COUNTIF(#REF!,"Bood")*100/P36)</f>
        <v>#REF!</v>
      </c>
      <c r="CN36" t="e">
        <f>IF(P36=0,0,COUNTIF(#REF!,"BRYP")*100/P36)</f>
        <v>#REF!</v>
      </c>
      <c r="CO36" t="e">
        <f>IF(P36=0,0,COUNTIF(#REF!,"CLP")*100/P36)</f>
        <v>#REF!</v>
      </c>
      <c r="CP36" t="e">
        <f>IF(P36=0,0,COUNTIF(#REF!,"CHLDES")*100/P36)</f>
        <v>#REF!</v>
      </c>
      <c r="CQ36" t="e">
        <f>IF(P36=0,0,COUNTIF(#REF!,"DYCTY")*100/P36)</f>
        <v>#REF!</v>
      </c>
      <c r="CR36" t="e">
        <f>IF(P36=0,0,COUNTIF(#REF!,"DICT")*100/P36)</f>
        <v>#REF!</v>
      </c>
      <c r="CS36" t="e">
        <f>IF(P36=0,0,COUNTIF(#REF!,"GLXU")*100/P36)</f>
        <v>#REF!</v>
      </c>
      <c r="CT36" t="e">
        <f>IF(P36=0,0,COUNTIF(#REF!,"HALI")*100/P36)</f>
        <v>#REF!</v>
      </c>
      <c r="CU36" t="e">
        <f>IF(P36=0,0,COUNTIF(#REF!,"LIAG")*100/P36)</f>
        <v>#REF!</v>
      </c>
      <c r="CV36" t="e">
        <f>IF(P36=0,0,COUNTIF(#REF!,"LOBO")*100/P36)</f>
        <v>#REF!</v>
      </c>
      <c r="CW36" t="e">
        <f>IF(P36=0,0,COUNTIF(#REF!,"MAST")*100/P36)</f>
        <v>#REF!</v>
      </c>
      <c r="CX36" t="e">
        <f>IF(P36=0,0,COUNTIF(#REF!,"MICDTY")*100/P36)</f>
        <v>#REF!</v>
      </c>
      <c r="CY36" t="e">
        <f>IF(P36=0,0,COUNTIF(#REF!,"NEOM")*100/P36)</f>
        <v>#REF!</v>
      </c>
      <c r="CZ36" t="e">
        <f>IF(P36=0,0,COUNTIF(#REF!,"NOIDMAC")*100/P36)</f>
        <v>#REF!</v>
      </c>
      <c r="DA36" t="e">
        <f>IF(P36=0,0,COUNTIF(#REF!,"PAD")*100/P36)</f>
        <v>#REF!</v>
      </c>
      <c r="DB36" t="e">
        <f>IF(P36=0,0,COUNTIF(#REF!,"SARG")*100/P36)</f>
        <v>#REF!</v>
      </c>
      <c r="DC36" t="e">
        <f>IF(P36=0,0,COUNTIF(#REF!,"SCHIZ")*100/P36)</f>
        <v>#REF!</v>
      </c>
      <c r="DD36" t="e">
        <f>IF(P36=0,0,COUNTIF(#REF!,"TURB")*100/P36)</f>
        <v>#REF!</v>
      </c>
      <c r="DE36" t="e">
        <f>IF(P36=0,0,COUNTIF(#REF!,"TYDM")*100/P36)</f>
        <v>#REF!</v>
      </c>
      <c r="DG36" t="e">
        <f>IF(P36=0,0,COUNTIF(#REF!,"AMP")*100/P36)</f>
        <v>#REF!</v>
      </c>
      <c r="DH36" t="e">
        <f>IF(P36=0,0,COUNTIF(#REF!,"BCA1")*100/P36)</f>
        <v>#REF!</v>
      </c>
      <c r="DI36" t="e">
        <f>IF(P36=0,0,COUNTIF(#REF!,"JAN")*100/P36)</f>
        <v>#REF!</v>
      </c>
      <c r="DK36" s="29" t="e">
        <f>IF(P36=0,0,COUNTIF(#REF!,"CCA1")*100/P36)</f>
        <v>#REF!</v>
      </c>
      <c r="DM36" t="e">
        <f>IF(P36=0,0,COUNTIF(#REF!,"Sand")*100/P36)</f>
        <v>#REF!</v>
      </c>
      <c r="DO36" t="e">
        <f>IF(P36=0,0,COUNTIF(#REF!,"FCA1")*100/P36)</f>
        <v>#REF!</v>
      </c>
      <c r="DQ36" t="e">
        <f>IF(P36=0,0,COUNTIF(#REF!,"CHRYOBRN")*100/P36)</f>
        <v>#REF!</v>
      </c>
      <c r="DS36" s="29" t="e">
        <f>IF(P36=0,0,COUNTIF(#REF!,"TURF")*100/P36)</f>
        <v>#REF!</v>
      </c>
      <c r="DU36" t="e">
        <f>COUNTIF(#REF!,"Shadow")*100/5</f>
        <v>#REF!</v>
      </c>
      <c r="DV36" t="e">
        <f>COUNTIF(#REF!,"Tape")*100/5</f>
        <v>#REF!</v>
      </c>
      <c r="DW36" t="e">
        <f>COUNTIF(#REF!,"Wand")*100/5</f>
        <v>#REF!</v>
      </c>
      <c r="DY36" t="e">
        <f>IF(P36=0,0,COUNTIF(#REF!,"BC")*100/P36)</f>
        <v>#REF!</v>
      </c>
    </row>
    <row r="37" spans="1:129">
      <c r="A37">
        <v>35</v>
      </c>
      <c r="B37" t="s">
        <v>79</v>
      </c>
      <c r="F37" s="29" t="e">
        <f>IF(P37=0,0,COUNTIF(#REF!,"C")*100/P37)</f>
        <v>#REF!</v>
      </c>
      <c r="G37" t="e">
        <f>IF(P37=0,0,COUNTIF(#REF!,"OI")*100/P37)</f>
        <v>#REF!</v>
      </c>
      <c r="H37" t="e">
        <f>IF(P37=0,0,COUNTIF(#REF!,"MA")*100/P37)</f>
        <v>#REF!</v>
      </c>
      <c r="I37" t="e">
        <f>IF(P37=0,0,COUNTIF(#REF!,"BCA")*100/P37)</f>
        <v>#REF!</v>
      </c>
      <c r="J37" s="29" t="e">
        <f>IF(P37=0,0,COUNTIF(#REF!,"CCA")*100/P37)</f>
        <v>#REF!</v>
      </c>
      <c r="K37" t="e">
        <f>IF(P37=0,0,COUNTIF(#REF!,"SD")*100/P37)</f>
        <v>#REF!</v>
      </c>
      <c r="L37" t="e">
        <f>IF(P37=0,0,COUNTIF(#REF!,"FCA")*100/P37)</f>
        <v>#REF!</v>
      </c>
      <c r="M37" t="e">
        <f>IF(P37=0,0,COUNTIF(#REF!,"CHRYS")*100/P37)</f>
        <v>#REF!</v>
      </c>
      <c r="N37" s="29" t="e">
        <f>IF(P37=0,0,COUNTIF(#REF!,"T")*100/P37)</f>
        <v>#REF!</v>
      </c>
      <c r="O37" t="e">
        <f>IF(P37=0,0,COUNTIF(#REF!,"TWS")*100/P37)</f>
        <v>#REF!</v>
      </c>
      <c r="P37" t="e">
        <f>5-COUNTIF(#REF!,"TWS")</f>
        <v>#REF!</v>
      </c>
      <c r="S37" t="e">
        <f>IF(P37=0,0,COUNTIF(#REF!,"ACAN")*100/P37)</f>
        <v>#REF!</v>
      </c>
      <c r="T37" t="e">
        <f>IF(P37=0,0,COUNTIF(#REF!,"ACROP")*100/P37)</f>
        <v>#REF!</v>
      </c>
      <c r="U37" t="e">
        <f>IF(P37=0,0,COUNTIF(#REF!,"ACROPARB")*100/P37)</f>
        <v>#REF!</v>
      </c>
      <c r="V37" t="e">
        <f>IF(P37=0,0,COUNTIF(#REF!,"ACROST")*100/P37)</f>
        <v>#REF!</v>
      </c>
      <c r="W37" t="e">
        <f>IF(P37=0,0,COUNTIF(#REF!,"ACROTBL")*100/P37)</f>
        <v>#REF!</v>
      </c>
      <c r="X37" t="e">
        <f>IF(P37=0,0,COUNTIF(#REF!,"ASTRP")*100/P37)</f>
        <v>#REF!</v>
      </c>
      <c r="Y37" t="e">
        <f>IF(P37=0,0,COUNTIF(#REF!,"CAUL")*100/P37)</f>
        <v>#REF!</v>
      </c>
      <c r="Z37" t="e">
        <f>IF(P37=0,0,COUNTIF(#REF!,"COSC")*100/P37)</f>
        <v>#REF!</v>
      </c>
      <c r="AA37" t="e">
        <f>IF(P37=0,0,COUNTIF(#REF!,"CTEN")*100/P37)</f>
        <v>#REF!</v>
      </c>
      <c r="AB37" t="e">
        <f>IF(P37=0,0,COUNTIF(#REF!,"CYPH")*100/P37)</f>
        <v>#REF!</v>
      </c>
      <c r="AC37" t="e">
        <f>IF(P37=0,0,COUNTIF(#REF!,"DIPLO")*100/P37)</f>
        <v>#REF!</v>
      </c>
      <c r="AD37" s="29" t="e">
        <f>IF(P37=0,0,COUNTIF(#REF!,"ECHPO")*100/P37)</f>
        <v>#REF!</v>
      </c>
      <c r="AE37" t="e">
        <f>IF(P37=0,0,COUNTIF(#REF!,"ECHPHY")*100/P37)</f>
        <v>#REF!</v>
      </c>
      <c r="AF37" t="e">
        <f>IF(P37=0,0,COUNTIF(#REF!,"EUPH")*100/P37)</f>
        <v>#REF!</v>
      </c>
      <c r="AG37" t="e">
        <f>IF(P37=0,0,COUNTIF(#REF!,"FAV")*100/P37)</f>
        <v>#REF!</v>
      </c>
      <c r="AH37" t="e">
        <f>IF(P37=0,0,COUNTIF(#REF!,"FAVT")*100/P37)</f>
        <v>#REF!</v>
      </c>
      <c r="AI37" t="e">
        <f>IF(P37=0,0,COUNTIF(#REF!,"FUNG")*100/P37)</f>
        <v>#REF!</v>
      </c>
      <c r="AJ37" t="e">
        <f>IF(P37=0,0,COUNTIF(#REF!,"GAL")*100/P37)</f>
        <v>#REF!</v>
      </c>
      <c r="AK37" t="e">
        <f>IF(P37=0,0,COUNTIF(#REF!,"GARD")*100/P37)</f>
        <v>#REF!</v>
      </c>
      <c r="AL37" t="e">
        <f>IF(P37=0,0,COUNTIF(#REF!,"GON")*100/P37)</f>
        <v>#REF!</v>
      </c>
      <c r="AM37" t="e">
        <f>IF(P37=0,0,COUNTIF(#REF!,"GONIO")*100/P37)</f>
        <v>#REF!</v>
      </c>
      <c r="AN37" t="e">
        <f>IF(P37=0,0,COUNTIF(#REF!,"HELIO")*100/P37)</f>
        <v>#REF!</v>
      </c>
      <c r="AO37" t="e">
        <f>IF(P37=0,0,COUNTIF(#REF!,"HERP")*100/P37)</f>
        <v>#REF!</v>
      </c>
      <c r="AP37" t="e">
        <f>IF(P37=0,0,COUNTIF(#REF!,"HYD")*100/P37)</f>
        <v>#REF!</v>
      </c>
      <c r="AQ37" t="e">
        <f>IF(P37=0,0,COUNTIF(#REF!,"ISOP")*100/P37)</f>
        <v>#REF!</v>
      </c>
      <c r="AR37" t="e">
        <f>IF(P37=0,0,COUNTIF(#REF!,"LEPT")*100/P37)</f>
        <v>#REF!</v>
      </c>
      <c r="AS37" t="e">
        <f>IF(P37=0,0,COUNTIF(#REF!,"LEPTOR")*100/P37)</f>
        <v>#REF!</v>
      </c>
      <c r="AT37" t="e">
        <f>IF(P37=0,0,COUNTIF(#REF!,"LEPTOS")*100/P37)</f>
        <v>#REF!</v>
      </c>
      <c r="AU37" t="e">
        <f>IF(P37=0,0,COUNTIF(#REF!,"LOBOPH")*100/P37)</f>
        <v>#REF!</v>
      </c>
      <c r="AV37" t="e">
        <f>IF(P37=0,0,COUNTIF(#REF!,"MERU")*100/P37)</f>
        <v>#REF!</v>
      </c>
      <c r="AW37" t="e">
        <f>IF(P37=0,0,COUNTIF(#REF!,"MILL")*100/P37)</f>
        <v>#REF!</v>
      </c>
      <c r="AX37" t="e">
        <f>IF(P37=0,0,COUNTIF(#REF!,"MONT")*100/P37)</f>
        <v>#REF!</v>
      </c>
      <c r="AY37" t="e">
        <f>IF(P37=0,0,COUNTIF(#REF!,"MONTI")*100/P37)</f>
        <v>#REF!</v>
      </c>
      <c r="AZ37" t="e">
        <f>IF(P37=0,0,COUNTIF(#REF!,"MYCED")*100/P37)</f>
        <v>#REF!</v>
      </c>
      <c r="BA37" t="e">
        <f>IF(P37=0,0,COUNTIF(#REF!,"OULO")*100/P37)</f>
        <v>#REF!</v>
      </c>
      <c r="BB37" t="e">
        <f>IF(P37=0,0,COUNTIF(#REF!,"OXYP")*100/P37)</f>
        <v>#REF!</v>
      </c>
      <c r="BC37" t="e">
        <f>IF(P37=0,0,COUNTIF(#REF!,"PLSIA")*100/P37)</f>
        <v>#REF!</v>
      </c>
      <c r="BD37" t="e">
        <f>IF(P37=0,0,COUNTIF(#REF!,"PACHY")*100/P37)</f>
        <v>#REF!</v>
      </c>
      <c r="BE37" t="e">
        <f>IF(P37=0,0,COUNTIF(#REF!,"PAV")*100/P37)</f>
        <v>#REF!</v>
      </c>
      <c r="BF37" t="e">
        <f>IF(P37=0,0,COUNTIF(#REF!,"PECT")*100/P37)</f>
        <v>#REF!</v>
      </c>
      <c r="BG37" t="e">
        <f>IF(P37=0,0,COUNTIF(#REF!,"PHYSO")*100/P37)</f>
        <v>#REF!</v>
      </c>
      <c r="BH37" t="e">
        <f>IF(P37=0,0,COUNTIF(#REF!,"PLAT")*100/P37)</f>
        <v>#REF!</v>
      </c>
      <c r="BI37" t="e">
        <f>IF(P37=0,0,COUNTIF(#REF!,"PLERO")*100/P37)</f>
        <v>#REF!</v>
      </c>
      <c r="BJ37" t="e">
        <f>IF(P37=0,0,COUNTIF(#REF!,"POC")*100/P37)</f>
        <v>#REF!</v>
      </c>
      <c r="BK37" t="e">
        <f>IF(P37=0,0,COUNTIF(#REF!,"POR")*100/P37)</f>
        <v>#REF!</v>
      </c>
      <c r="BL37" t="e">
        <f>IF(P37=0,0,COUNTIF(#REF!,"PORCYL")*100/P37)</f>
        <v>#REF!</v>
      </c>
      <c r="BM37" t="e">
        <f>IF(P37=0,0,COUNTIF(#REF!,"PORMAS")*100/P37)</f>
        <v>#REF!</v>
      </c>
      <c r="BN37" t="e">
        <f>IF(P37=0,0,COUNTIF(#REF!,"PORRUS")*100/P37)</f>
        <v>#REF!</v>
      </c>
      <c r="BO37" t="e">
        <f>IF(P37=0,0,COUNTIF(#REF!,"PSAM")*100/P37)</f>
        <v>#REF!</v>
      </c>
      <c r="BP37" t="e">
        <f>IF(P37=0,0,COUNTIF(#REF!,"SANDO")*100/P37)</f>
        <v>#REF!</v>
      </c>
      <c r="BQ37" t="e">
        <f>IF(P37=0,0,COUNTIF(#REF!,"SCAP")*100/P37)</f>
        <v>#REF!</v>
      </c>
      <c r="BR37" t="e">
        <f>IF(P37=0,0,COUNTIF(#REF!,"SERIA")*100/P37)</f>
        <v>#REF!</v>
      </c>
      <c r="BS37" t="e">
        <f>IF(P37=0,0,COUNTIF(#REF!,"STYLC")*100/P37)</f>
        <v>#REF!</v>
      </c>
      <c r="BT37" t="e">
        <f>IF(P37=0,0,COUNTIF(#REF!,"STYLO")*100/P37)</f>
        <v>#REF!</v>
      </c>
      <c r="BU37" t="e">
        <f>IF(P37=0,0,COUNTIF(#REF!,"SYMP")*100/P37)</f>
        <v>#REF!</v>
      </c>
      <c r="BV37" t="e">
        <f>IF(P37=0,0,COUNTIF(#REF!,"TURBIN")*100/P37)</f>
        <v>#REF!</v>
      </c>
      <c r="BX37" t="e">
        <f>IF(P37=0,0,COUNTIF(#REF!,"ANEM")*100/P37)</f>
        <v>#REF!</v>
      </c>
      <c r="BY37" t="e">
        <f>IF(P37=0,0,COUNTIF(#REF!,"ASC")*100/P37)</f>
        <v>#REF!</v>
      </c>
      <c r="BZ37" t="e">
        <f>IF(P37=0,0,COUNTIF(#REF!,"CUPS")*100/P37)</f>
        <v>#REF!</v>
      </c>
      <c r="CA37" t="e">
        <f>IF(P37=0,0,COUNTIF(#REF!,"DISCO")*100/P37)</f>
        <v>#REF!</v>
      </c>
      <c r="CB37" t="e">
        <f>IF(P37=0,0,COUNTIF(#REF!,"DYS")*100/P37)</f>
        <v>#REF!</v>
      </c>
      <c r="CC37" t="e">
        <f>IF(P37=0,0,COUNTIF(#REF!,"G")*100/P37)</f>
        <v>#REF!</v>
      </c>
      <c r="CD37" t="e">
        <f>IF(P37=0,0,COUNTIF(#REF!,"NoIDINV")*100/P37)</f>
        <v>#REF!</v>
      </c>
      <c r="CE37" t="e">
        <f>IF(P37=0,0,COUNTIF(#REF!,"OLV")*100/P37)</f>
        <v>#REF!</v>
      </c>
      <c r="CF37" t="e">
        <f>IF(P37=0,0,COUNTIF(#REF!,"SC")*100/P37)</f>
        <v>#REF!</v>
      </c>
      <c r="CG37" t="e">
        <f>IF(P37=0,0,COUNTIF(#REF!,"S")*100/P37)</f>
        <v>#REF!</v>
      </c>
      <c r="CH37" t="e">
        <f>IF(P37=0,0,COUNTIF(#REF!,"TERPS")*100/P37)</f>
        <v>#REF!</v>
      </c>
      <c r="CI37" t="e">
        <f>IF(P37=0,0,COUNTIF(#REF!,"Z")*100/P37)</f>
        <v>#REF!</v>
      </c>
      <c r="CK37" t="e">
        <f>IF(P37=0,0,COUNTIF(#REF!,"ASP")*100/P37)</f>
        <v>#REF!</v>
      </c>
      <c r="CL37" t="e">
        <f>IF(P37=0,0,COUNTIF(#REF!,"BG")*100/P37)</f>
        <v>#REF!</v>
      </c>
      <c r="CM37" t="e">
        <f>IF(P37=0,0,COUNTIF(#REF!,"Bood")*100/P37)</f>
        <v>#REF!</v>
      </c>
      <c r="CN37" t="e">
        <f>IF(P37=0,0,COUNTIF(#REF!,"BRYP")*100/P37)</f>
        <v>#REF!</v>
      </c>
      <c r="CO37" t="e">
        <f>IF(P37=0,0,COUNTIF(#REF!,"CLP")*100/P37)</f>
        <v>#REF!</v>
      </c>
      <c r="CP37" t="e">
        <f>IF(P37=0,0,COUNTIF(#REF!,"CHLDES")*100/P37)</f>
        <v>#REF!</v>
      </c>
      <c r="CQ37" t="e">
        <f>IF(P37=0,0,COUNTIF(#REF!,"DYCTY")*100/P37)</f>
        <v>#REF!</v>
      </c>
      <c r="CR37" t="e">
        <f>IF(P37=0,0,COUNTIF(#REF!,"DICT")*100/P37)</f>
        <v>#REF!</v>
      </c>
      <c r="CS37" t="e">
        <f>IF(P37=0,0,COUNTIF(#REF!,"GLXU")*100/P37)</f>
        <v>#REF!</v>
      </c>
      <c r="CT37" t="e">
        <f>IF(P37=0,0,COUNTIF(#REF!,"HALI")*100/P37)</f>
        <v>#REF!</v>
      </c>
      <c r="CU37" t="e">
        <f>IF(P37=0,0,COUNTIF(#REF!,"LIAG")*100/P37)</f>
        <v>#REF!</v>
      </c>
      <c r="CV37" t="e">
        <f>IF(P37=0,0,COUNTIF(#REF!,"LOBO")*100/P37)</f>
        <v>#REF!</v>
      </c>
      <c r="CW37" t="e">
        <f>IF(P37=0,0,COUNTIF(#REF!,"MAST")*100/P37)</f>
        <v>#REF!</v>
      </c>
      <c r="CX37" t="e">
        <f>IF(P37=0,0,COUNTIF(#REF!,"MICDTY")*100/P37)</f>
        <v>#REF!</v>
      </c>
      <c r="CY37" t="e">
        <f>IF(P37=0,0,COUNTIF(#REF!,"NEOM")*100/P37)</f>
        <v>#REF!</v>
      </c>
      <c r="CZ37" t="e">
        <f>IF(P37=0,0,COUNTIF(#REF!,"NOIDMAC")*100/P37)</f>
        <v>#REF!</v>
      </c>
      <c r="DA37" t="e">
        <f>IF(P37=0,0,COUNTIF(#REF!,"PAD")*100/P37)</f>
        <v>#REF!</v>
      </c>
      <c r="DB37" t="e">
        <f>IF(P37=0,0,COUNTIF(#REF!,"SARG")*100/P37)</f>
        <v>#REF!</v>
      </c>
      <c r="DC37" t="e">
        <f>IF(P37=0,0,COUNTIF(#REF!,"SCHIZ")*100/P37)</f>
        <v>#REF!</v>
      </c>
      <c r="DD37" t="e">
        <f>IF(P37=0,0,COUNTIF(#REF!,"TURB")*100/P37)</f>
        <v>#REF!</v>
      </c>
      <c r="DE37" t="e">
        <f>IF(P37=0,0,COUNTIF(#REF!,"TYDM")*100/P37)</f>
        <v>#REF!</v>
      </c>
      <c r="DG37" t="e">
        <f>IF(P37=0,0,COUNTIF(#REF!,"AMP")*100/P37)</f>
        <v>#REF!</v>
      </c>
      <c r="DH37" t="e">
        <f>IF(P37=0,0,COUNTIF(#REF!,"BCA1")*100/P37)</f>
        <v>#REF!</v>
      </c>
      <c r="DI37" t="e">
        <f>IF(P37=0,0,COUNTIF(#REF!,"JAN")*100/P37)</f>
        <v>#REF!</v>
      </c>
      <c r="DK37" s="29" t="e">
        <f>IF(P37=0,0,COUNTIF(#REF!,"CCA1")*100/P37)</f>
        <v>#REF!</v>
      </c>
      <c r="DM37" t="e">
        <f>IF(P37=0,0,COUNTIF(#REF!,"Sand")*100/P37)</f>
        <v>#REF!</v>
      </c>
      <c r="DO37" t="e">
        <f>IF(P37=0,0,COUNTIF(#REF!,"FCA1")*100/P37)</f>
        <v>#REF!</v>
      </c>
      <c r="DQ37" t="e">
        <f>IF(P37=0,0,COUNTIF(#REF!,"CHRYOBRN")*100/P37)</f>
        <v>#REF!</v>
      </c>
      <c r="DS37" s="29" t="e">
        <f>IF(P37=0,0,COUNTIF(#REF!,"TURF")*100/P37)</f>
        <v>#REF!</v>
      </c>
      <c r="DU37" t="e">
        <f>COUNTIF(#REF!,"Shadow")*100/5</f>
        <v>#REF!</v>
      </c>
      <c r="DV37" t="e">
        <f>COUNTIF(#REF!,"Tape")*100/5</f>
        <v>#REF!</v>
      </c>
      <c r="DW37" t="e">
        <f>COUNTIF(#REF!,"Wand")*100/5</f>
        <v>#REF!</v>
      </c>
      <c r="DY37" t="e">
        <f>IF(P37=0,0,COUNTIF(#REF!,"BC")*100/P37)</f>
        <v>#REF!</v>
      </c>
    </row>
    <row r="38" spans="1:129">
      <c r="A38">
        <v>36</v>
      </c>
      <c r="B38" t="s">
        <v>80</v>
      </c>
      <c r="F38" s="29" t="e">
        <f>IF(P38=0,0,COUNTIF(#REF!,"C")*100/P38)</f>
        <v>#REF!</v>
      </c>
      <c r="G38" t="e">
        <f>IF(P38=0,0,COUNTIF(#REF!,"OI")*100/P38)</f>
        <v>#REF!</v>
      </c>
      <c r="H38" t="e">
        <f>IF(P38=0,0,COUNTIF(#REF!,"MA")*100/P38)</f>
        <v>#REF!</v>
      </c>
      <c r="I38" t="e">
        <f>IF(P38=0,0,COUNTIF(#REF!,"BCA")*100/P38)</f>
        <v>#REF!</v>
      </c>
      <c r="J38" s="29" t="e">
        <f>IF(P38=0,0,COUNTIF(#REF!,"CCA")*100/P38)</f>
        <v>#REF!</v>
      </c>
      <c r="K38" t="e">
        <f>IF(P38=0,0,COUNTIF(#REF!,"SD")*100/P38)</f>
        <v>#REF!</v>
      </c>
      <c r="L38" t="e">
        <f>IF(P38=0,0,COUNTIF(#REF!,"FCA")*100/P38)</f>
        <v>#REF!</v>
      </c>
      <c r="M38" t="e">
        <f>IF(P38=0,0,COUNTIF(#REF!,"CHRYS")*100/P38)</f>
        <v>#REF!</v>
      </c>
      <c r="N38" s="29" t="e">
        <f>IF(P38=0,0,COUNTIF(#REF!,"T")*100/P38)</f>
        <v>#REF!</v>
      </c>
      <c r="O38" t="e">
        <f>IF(P38=0,0,COUNTIF(#REF!,"TWS")*100/P38)</f>
        <v>#REF!</v>
      </c>
      <c r="P38" t="e">
        <f>5-COUNTIF(#REF!,"TWS")</f>
        <v>#REF!</v>
      </c>
      <c r="S38" t="e">
        <f>IF(P38=0,0,COUNTIF(#REF!,"ACAN")*100/P38)</f>
        <v>#REF!</v>
      </c>
      <c r="T38" t="e">
        <f>IF(P38=0,0,COUNTIF(#REF!,"ACROP")*100/P38)</f>
        <v>#REF!</v>
      </c>
      <c r="U38" t="e">
        <f>IF(P38=0,0,COUNTIF(#REF!,"ACROPARB")*100/P38)</f>
        <v>#REF!</v>
      </c>
      <c r="V38" t="e">
        <f>IF(P38=0,0,COUNTIF(#REF!,"ACROST")*100/P38)</f>
        <v>#REF!</v>
      </c>
      <c r="W38" t="e">
        <f>IF(P38=0,0,COUNTIF(#REF!,"ACROTBL")*100/P38)</f>
        <v>#REF!</v>
      </c>
      <c r="X38" t="e">
        <f>IF(P38=0,0,COUNTIF(#REF!,"ASTRP")*100/P38)</f>
        <v>#REF!</v>
      </c>
      <c r="Y38" t="e">
        <f>IF(P38=0,0,COUNTIF(#REF!,"CAUL")*100/P38)</f>
        <v>#REF!</v>
      </c>
      <c r="Z38" t="e">
        <f>IF(P38=0,0,COUNTIF(#REF!,"COSC")*100/P38)</f>
        <v>#REF!</v>
      </c>
      <c r="AA38" t="e">
        <f>IF(P38=0,0,COUNTIF(#REF!,"CTEN")*100/P38)</f>
        <v>#REF!</v>
      </c>
      <c r="AB38" t="e">
        <f>IF(P38=0,0,COUNTIF(#REF!,"CYPH")*100/P38)</f>
        <v>#REF!</v>
      </c>
      <c r="AC38" t="e">
        <f>IF(P38=0,0,COUNTIF(#REF!,"DIPLO")*100/P38)</f>
        <v>#REF!</v>
      </c>
      <c r="AD38" s="29" t="e">
        <f>IF(P38=0,0,COUNTIF(#REF!,"ECHPO")*100/P38)</f>
        <v>#REF!</v>
      </c>
      <c r="AE38" t="e">
        <f>IF(P38=0,0,COUNTIF(#REF!,"ECHPHY")*100/P38)</f>
        <v>#REF!</v>
      </c>
      <c r="AF38" t="e">
        <f>IF(P38=0,0,COUNTIF(#REF!,"EUPH")*100/P38)</f>
        <v>#REF!</v>
      </c>
      <c r="AG38" t="e">
        <f>IF(P38=0,0,COUNTIF(#REF!,"FAV")*100/P38)</f>
        <v>#REF!</v>
      </c>
      <c r="AH38" t="e">
        <f>IF(P38=0,0,COUNTIF(#REF!,"FAVT")*100/P38)</f>
        <v>#REF!</v>
      </c>
      <c r="AI38" t="e">
        <f>IF(P38=0,0,COUNTIF(#REF!,"FUNG")*100/P38)</f>
        <v>#REF!</v>
      </c>
      <c r="AJ38" t="e">
        <f>IF(P38=0,0,COUNTIF(#REF!,"GAL")*100/P38)</f>
        <v>#REF!</v>
      </c>
      <c r="AK38" t="e">
        <f>IF(P38=0,0,COUNTIF(#REF!,"GARD")*100/P38)</f>
        <v>#REF!</v>
      </c>
      <c r="AL38" t="e">
        <f>IF(P38=0,0,COUNTIF(#REF!,"GON")*100/P38)</f>
        <v>#REF!</v>
      </c>
      <c r="AM38" t="e">
        <f>IF(P38=0,0,COUNTIF(#REF!,"GONIO")*100/P38)</f>
        <v>#REF!</v>
      </c>
      <c r="AN38" t="e">
        <f>IF(P38=0,0,COUNTIF(#REF!,"HELIO")*100/P38)</f>
        <v>#REF!</v>
      </c>
      <c r="AO38" t="e">
        <f>IF(P38=0,0,COUNTIF(#REF!,"HERP")*100/P38)</f>
        <v>#REF!</v>
      </c>
      <c r="AP38" t="e">
        <f>IF(P38=0,0,COUNTIF(#REF!,"HYD")*100/P38)</f>
        <v>#REF!</v>
      </c>
      <c r="AQ38" t="e">
        <f>IF(P38=0,0,COUNTIF(#REF!,"ISOP")*100/P38)</f>
        <v>#REF!</v>
      </c>
      <c r="AR38" t="e">
        <f>IF(P38=0,0,COUNTIF(#REF!,"LEPT")*100/P38)</f>
        <v>#REF!</v>
      </c>
      <c r="AS38" t="e">
        <f>IF(P38=0,0,COUNTIF(#REF!,"LEPTOR")*100/P38)</f>
        <v>#REF!</v>
      </c>
      <c r="AT38" t="e">
        <f>IF(P38=0,0,COUNTIF(#REF!,"LEPTOS")*100/P38)</f>
        <v>#REF!</v>
      </c>
      <c r="AU38" t="e">
        <f>IF(P38=0,0,COUNTIF(#REF!,"LOBOPH")*100/P38)</f>
        <v>#REF!</v>
      </c>
      <c r="AV38" t="e">
        <f>IF(P38=0,0,COUNTIF(#REF!,"MERU")*100/P38)</f>
        <v>#REF!</v>
      </c>
      <c r="AW38" t="e">
        <f>IF(P38=0,0,COUNTIF(#REF!,"MILL")*100/P38)</f>
        <v>#REF!</v>
      </c>
      <c r="AX38" t="e">
        <f>IF(P38=0,0,COUNTIF(#REF!,"MONT")*100/P38)</f>
        <v>#REF!</v>
      </c>
      <c r="AY38" t="e">
        <f>IF(P38=0,0,COUNTIF(#REF!,"MONTI")*100/P38)</f>
        <v>#REF!</v>
      </c>
      <c r="AZ38" t="e">
        <f>IF(P38=0,0,COUNTIF(#REF!,"MYCED")*100/P38)</f>
        <v>#REF!</v>
      </c>
      <c r="BA38" t="e">
        <f>IF(P38=0,0,COUNTIF(#REF!,"OULO")*100/P38)</f>
        <v>#REF!</v>
      </c>
      <c r="BB38" t="e">
        <f>IF(P38=0,0,COUNTIF(#REF!,"OXYP")*100/P38)</f>
        <v>#REF!</v>
      </c>
      <c r="BC38" t="e">
        <f>IF(P38=0,0,COUNTIF(#REF!,"PLSIA")*100/P38)</f>
        <v>#REF!</v>
      </c>
      <c r="BD38" t="e">
        <f>IF(P38=0,0,COUNTIF(#REF!,"PACHY")*100/P38)</f>
        <v>#REF!</v>
      </c>
      <c r="BE38" t="e">
        <f>IF(P38=0,0,COUNTIF(#REF!,"PAV")*100/P38)</f>
        <v>#REF!</v>
      </c>
      <c r="BF38" t="e">
        <f>IF(P38=0,0,COUNTIF(#REF!,"PECT")*100/P38)</f>
        <v>#REF!</v>
      </c>
      <c r="BG38" t="e">
        <f>IF(P38=0,0,COUNTIF(#REF!,"PHYSO")*100/P38)</f>
        <v>#REF!</v>
      </c>
      <c r="BH38" s="29" t="e">
        <f>IF(P38=0,0,COUNTIF(#REF!,"PLAT")*100/P38)</f>
        <v>#REF!</v>
      </c>
      <c r="BI38" t="e">
        <f>IF(P38=0,0,COUNTIF(#REF!,"PLERO")*100/P38)</f>
        <v>#REF!</v>
      </c>
      <c r="BJ38" t="e">
        <f>IF(P38=0,0,COUNTIF(#REF!,"POC")*100/P38)</f>
        <v>#REF!</v>
      </c>
      <c r="BK38" t="e">
        <f>IF(P38=0,0,COUNTIF(#REF!,"POR")*100/P38)</f>
        <v>#REF!</v>
      </c>
      <c r="BL38" t="e">
        <f>IF(P38=0,0,COUNTIF(#REF!,"PORCYL")*100/P38)</f>
        <v>#REF!</v>
      </c>
      <c r="BM38" t="e">
        <f>IF(P38=0,0,COUNTIF(#REF!,"PORMAS")*100/P38)</f>
        <v>#REF!</v>
      </c>
      <c r="BN38" t="e">
        <f>IF(P38=0,0,COUNTIF(#REF!,"PORRUS")*100/P38)</f>
        <v>#REF!</v>
      </c>
      <c r="BO38" t="e">
        <f>IF(P38=0,0,COUNTIF(#REF!,"PSAM")*100/P38)</f>
        <v>#REF!</v>
      </c>
      <c r="BP38" t="e">
        <f>IF(P38=0,0,COUNTIF(#REF!,"SANDO")*100/P38)</f>
        <v>#REF!</v>
      </c>
      <c r="BQ38" t="e">
        <f>IF(P38=0,0,COUNTIF(#REF!,"SCAP")*100/P38)</f>
        <v>#REF!</v>
      </c>
      <c r="BR38" t="e">
        <f>IF(P38=0,0,COUNTIF(#REF!,"SERIA")*100/P38)</f>
        <v>#REF!</v>
      </c>
      <c r="BS38" t="e">
        <f>IF(P38=0,0,COUNTIF(#REF!,"STYLC")*100/P38)</f>
        <v>#REF!</v>
      </c>
      <c r="BT38" t="e">
        <f>IF(P38=0,0,COUNTIF(#REF!,"STYLO")*100/P38)</f>
        <v>#REF!</v>
      </c>
      <c r="BU38" t="e">
        <f>IF(P38=0,0,COUNTIF(#REF!,"SYMP")*100/P38)</f>
        <v>#REF!</v>
      </c>
      <c r="BV38" t="e">
        <f>IF(P38=0,0,COUNTIF(#REF!,"TURBIN")*100/P38)</f>
        <v>#REF!</v>
      </c>
      <c r="BX38" t="e">
        <f>IF(P38=0,0,COUNTIF(#REF!,"ANEM")*100/P38)</f>
        <v>#REF!</v>
      </c>
      <c r="BY38" t="e">
        <f>IF(P38=0,0,COUNTIF(#REF!,"ASC")*100/P38)</f>
        <v>#REF!</v>
      </c>
      <c r="BZ38" t="e">
        <f>IF(P38=0,0,COUNTIF(#REF!,"CUPS")*100/P38)</f>
        <v>#REF!</v>
      </c>
      <c r="CA38" t="e">
        <f>IF(P38=0,0,COUNTIF(#REF!,"DISCO")*100/P38)</f>
        <v>#REF!</v>
      </c>
      <c r="CB38" t="e">
        <f>IF(P38=0,0,COUNTIF(#REF!,"DYS")*100/P38)</f>
        <v>#REF!</v>
      </c>
      <c r="CC38" t="e">
        <f>IF(P38=0,0,COUNTIF(#REF!,"G")*100/P38)</f>
        <v>#REF!</v>
      </c>
      <c r="CD38" t="e">
        <f>IF(P38=0,0,COUNTIF(#REF!,"NoIDINV")*100/P38)</f>
        <v>#REF!</v>
      </c>
      <c r="CE38" t="e">
        <f>IF(P38=0,0,COUNTIF(#REF!,"OLV")*100/P38)</f>
        <v>#REF!</v>
      </c>
      <c r="CF38" t="e">
        <f>IF(P38=0,0,COUNTIF(#REF!,"SC")*100/P38)</f>
        <v>#REF!</v>
      </c>
      <c r="CG38" t="e">
        <f>IF(P38=0,0,COUNTIF(#REF!,"S")*100/P38)</f>
        <v>#REF!</v>
      </c>
      <c r="CH38" t="e">
        <f>IF(P38=0,0,COUNTIF(#REF!,"TERPS")*100/P38)</f>
        <v>#REF!</v>
      </c>
      <c r="CI38" t="e">
        <f>IF(P38=0,0,COUNTIF(#REF!,"Z")*100/P38)</f>
        <v>#REF!</v>
      </c>
      <c r="CK38" t="e">
        <f>IF(P38=0,0,COUNTIF(#REF!,"ASP")*100/P38)</f>
        <v>#REF!</v>
      </c>
      <c r="CL38" t="e">
        <f>IF(P38=0,0,COUNTIF(#REF!,"BG")*100/P38)</f>
        <v>#REF!</v>
      </c>
      <c r="CM38" t="e">
        <f>IF(P38=0,0,COUNTIF(#REF!,"Bood")*100/P38)</f>
        <v>#REF!</v>
      </c>
      <c r="CN38" t="e">
        <f>IF(P38=0,0,COUNTIF(#REF!,"BRYP")*100/P38)</f>
        <v>#REF!</v>
      </c>
      <c r="CO38" t="e">
        <f>IF(P38=0,0,COUNTIF(#REF!,"CLP")*100/P38)</f>
        <v>#REF!</v>
      </c>
      <c r="CP38" t="e">
        <f>IF(P38=0,0,COUNTIF(#REF!,"CHLDES")*100/P38)</f>
        <v>#REF!</v>
      </c>
      <c r="CQ38" t="e">
        <f>IF(P38=0,0,COUNTIF(#REF!,"DYCTY")*100/P38)</f>
        <v>#REF!</v>
      </c>
      <c r="CR38" t="e">
        <f>IF(P38=0,0,COUNTIF(#REF!,"DICT")*100/P38)</f>
        <v>#REF!</v>
      </c>
      <c r="CS38" t="e">
        <f>IF(P38=0,0,COUNTIF(#REF!,"GLXU")*100/P38)</f>
        <v>#REF!</v>
      </c>
      <c r="CT38" t="e">
        <f>IF(P38=0,0,COUNTIF(#REF!,"HALI")*100/P38)</f>
        <v>#REF!</v>
      </c>
      <c r="CU38" t="e">
        <f>IF(P38=0,0,COUNTIF(#REF!,"LIAG")*100/P38)</f>
        <v>#REF!</v>
      </c>
      <c r="CV38" t="e">
        <f>IF(P38=0,0,COUNTIF(#REF!,"LOBO")*100/P38)</f>
        <v>#REF!</v>
      </c>
      <c r="CW38" t="e">
        <f>IF(P38=0,0,COUNTIF(#REF!,"MAST")*100/P38)</f>
        <v>#REF!</v>
      </c>
      <c r="CX38" t="e">
        <f>IF(P38=0,0,COUNTIF(#REF!,"MICDTY")*100/P38)</f>
        <v>#REF!</v>
      </c>
      <c r="CY38" t="e">
        <f>IF(P38=0,0,COUNTIF(#REF!,"NEOM")*100/P38)</f>
        <v>#REF!</v>
      </c>
      <c r="CZ38" t="e">
        <f>IF(P38=0,0,COUNTIF(#REF!,"NOIDMAC")*100/P38)</f>
        <v>#REF!</v>
      </c>
      <c r="DA38" t="e">
        <f>IF(P38=0,0,COUNTIF(#REF!,"PAD")*100/P38)</f>
        <v>#REF!</v>
      </c>
      <c r="DB38" t="e">
        <f>IF(P38=0,0,COUNTIF(#REF!,"SARG")*100/P38)</f>
        <v>#REF!</v>
      </c>
      <c r="DC38" t="e">
        <f>IF(P38=0,0,COUNTIF(#REF!,"SCHIZ")*100/P38)</f>
        <v>#REF!</v>
      </c>
      <c r="DD38" t="e">
        <f>IF(P38=0,0,COUNTIF(#REF!,"TURB")*100/P38)</f>
        <v>#REF!</v>
      </c>
      <c r="DE38" t="e">
        <f>IF(P38=0,0,COUNTIF(#REF!,"TYDM")*100/P38)</f>
        <v>#REF!</v>
      </c>
      <c r="DG38" t="e">
        <f>IF(P38=0,0,COUNTIF(#REF!,"AMP")*100/P38)</f>
        <v>#REF!</v>
      </c>
      <c r="DH38" t="e">
        <f>IF(P38=0,0,COUNTIF(#REF!,"BCA1")*100/P38)</f>
        <v>#REF!</v>
      </c>
      <c r="DI38" t="e">
        <f>IF(P38=0,0,COUNTIF(#REF!,"JAN")*100/P38)</f>
        <v>#REF!</v>
      </c>
      <c r="DK38" s="29" t="e">
        <f>IF(P38=0,0,COUNTIF(#REF!,"CCA1")*100/P38)</f>
        <v>#REF!</v>
      </c>
      <c r="DM38" t="e">
        <f>IF(P38=0,0,COUNTIF(#REF!,"Sand")*100/P38)</f>
        <v>#REF!</v>
      </c>
      <c r="DO38" t="e">
        <f>IF(P38=0,0,COUNTIF(#REF!,"FCA1")*100/P38)</f>
        <v>#REF!</v>
      </c>
      <c r="DQ38" t="e">
        <f>IF(P38=0,0,COUNTIF(#REF!,"CHRYOBRN")*100/P38)</f>
        <v>#REF!</v>
      </c>
      <c r="DS38" s="29" t="e">
        <f>IF(P38=0,0,COUNTIF(#REF!,"TURF")*100/P38)</f>
        <v>#REF!</v>
      </c>
      <c r="DU38" t="e">
        <f>COUNTIF(#REF!,"Shadow")*100/5</f>
        <v>#REF!</v>
      </c>
      <c r="DV38" t="e">
        <f>COUNTIF(#REF!,"Tape")*100/5</f>
        <v>#REF!</v>
      </c>
      <c r="DW38" t="e">
        <f>COUNTIF(#REF!,"Wand")*100/5</f>
        <v>#REF!</v>
      </c>
      <c r="DY38" t="e">
        <f>IF(P38=0,0,COUNTIF(#REF!,"BC")*100/P38)</f>
        <v>#REF!</v>
      </c>
    </row>
    <row r="39" spans="1:129">
      <c r="A39">
        <v>37</v>
      </c>
      <c r="B39" t="s">
        <v>81</v>
      </c>
      <c r="F39" s="29" t="e">
        <f>IF(P39=0,0,COUNTIF(#REF!,"C")*100/P39)</f>
        <v>#REF!</v>
      </c>
      <c r="G39" t="e">
        <f>IF(P39=0,0,COUNTIF(#REF!,"OI")*100/P39)</f>
        <v>#REF!</v>
      </c>
      <c r="H39" t="e">
        <f>IF(P39=0,0,COUNTIF(#REF!,"MA")*100/P39)</f>
        <v>#REF!</v>
      </c>
      <c r="I39" t="e">
        <f>IF(P39=0,0,COUNTIF(#REF!,"BCA")*100/P39)</f>
        <v>#REF!</v>
      </c>
      <c r="J39" s="29" t="e">
        <f>IF(P39=0,0,COUNTIF(#REF!,"CCA")*100/P39)</f>
        <v>#REF!</v>
      </c>
      <c r="K39" t="e">
        <f>IF(P39=0,0,COUNTIF(#REF!,"SD")*100/P39)</f>
        <v>#REF!</v>
      </c>
      <c r="L39" s="29" t="e">
        <f>IF(P39=0,0,COUNTIF(#REF!,"FCA")*100/P39)</f>
        <v>#REF!</v>
      </c>
      <c r="M39" t="e">
        <f>IF(P39=0,0,COUNTIF(#REF!,"CHRYS")*100/P39)</f>
        <v>#REF!</v>
      </c>
      <c r="N39" s="29" t="e">
        <f>IF(P39=0,0,COUNTIF(#REF!,"T")*100/P39)</f>
        <v>#REF!</v>
      </c>
      <c r="O39" t="e">
        <f>IF(P39=0,0,COUNTIF(#REF!,"TWS")*100/P39)</f>
        <v>#REF!</v>
      </c>
      <c r="P39" t="e">
        <f>5-COUNTIF(#REF!,"TWS")</f>
        <v>#REF!</v>
      </c>
      <c r="S39" t="e">
        <f>IF(P39=0,0,COUNTIF(#REF!,"ACAN")*100/P39)</f>
        <v>#REF!</v>
      </c>
      <c r="T39" t="e">
        <f>IF(P39=0,0,COUNTIF(#REF!,"ACROP")*100/P39)</f>
        <v>#REF!</v>
      </c>
      <c r="U39" t="e">
        <f>IF(P39=0,0,COUNTIF(#REF!,"ACROPARB")*100/P39)</f>
        <v>#REF!</v>
      </c>
      <c r="V39" t="e">
        <f>IF(P39=0,0,COUNTIF(#REF!,"ACROST")*100/P39)</f>
        <v>#REF!</v>
      </c>
      <c r="W39" t="e">
        <f>IF(P39=0,0,COUNTIF(#REF!,"ACROTBL")*100/P39)</f>
        <v>#REF!</v>
      </c>
      <c r="X39" t="e">
        <f>IF(P39=0,0,COUNTIF(#REF!,"ASTRP")*100/P39)</f>
        <v>#REF!</v>
      </c>
      <c r="Y39" t="e">
        <f>IF(P39=0,0,COUNTIF(#REF!,"CAUL")*100/P39)</f>
        <v>#REF!</v>
      </c>
      <c r="Z39" t="e">
        <f>IF(P39=0,0,COUNTIF(#REF!,"COSC")*100/P39)</f>
        <v>#REF!</v>
      </c>
      <c r="AA39" t="e">
        <f>IF(P39=0,0,COUNTIF(#REF!,"CTEN")*100/P39)</f>
        <v>#REF!</v>
      </c>
      <c r="AB39" t="e">
        <f>IF(P39=0,0,COUNTIF(#REF!,"CYPH")*100/P39)</f>
        <v>#REF!</v>
      </c>
      <c r="AC39" t="e">
        <f>IF(P39=0,0,COUNTIF(#REF!,"DIPLO")*100/P39)</f>
        <v>#REF!</v>
      </c>
      <c r="AD39" t="e">
        <f>IF(P39=0,0,COUNTIF(#REF!,"ECHPO")*100/P39)</f>
        <v>#REF!</v>
      </c>
      <c r="AE39" t="e">
        <f>IF(P39=0,0,COUNTIF(#REF!,"ECHPHY")*100/P39)</f>
        <v>#REF!</v>
      </c>
      <c r="AF39" t="e">
        <f>IF(P39=0,0,COUNTIF(#REF!,"EUPH")*100/P39)</f>
        <v>#REF!</v>
      </c>
      <c r="AG39" t="e">
        <f>IF(P39=0,0,COUNTIF(#REF!,"FAV")*100/P39)</f>
        <v>#REF!</v>
      </c>
      <c r="AH39" t="e">
        <f>IF(P39=0,0,COUNTIF(#REF!,"FAVT")*100/P39)</f>
        <v>#REF!</v>
      </c>
      <c r="AI39" t="e">
        <f>IF(P39=0,0,COUNTIF(#REF!,"FUNG")*100/P39)</f>
        <v>#REF!</v>
      </c>
      <c r="AJ39" t="e">
        <f>IF(P39=0,0,COUNTIF(#REF!,"GAL")*100/P39)</f>
        <v>#REF!</v>
      </c>
      <c r="AK39" t="e">
        <f>IF(P39=0,0,COUNTIF(#REF!,"GARD")*100/P39)</f>
        <v>#REF!</v>
      </c>
      <c r="AL39" t="e">
        <f>IF(P39=0,0,COUNTIF(#REF!,"GON")*100/P39)</f>
        <v>#REF!</v>
      </c>
      <c r="AM39" t="e">
        <f>IF(P39=0,0,COUNTIF(#REF!,"GONIO")*100/P39)</f>
        <v>#REF!</v>
      </c>
      <c r="AN39" t="e">
        <f>IF(P39=0,0,COUNTIF(#REF!,"HELIO")*100/P39)</f>
        <v>#REF!</v>
      </c>
      <c r="AO39" t="e">
        <f>IF(P39=0,0,COUNTIF(#REF!,"HERP")*100/P39)</f>
        <v>#REF!</v>
      </c>
      <c r="AP39" t="e">
        <f>IF(P39=0,0,COUNTIF(#REF!,"HYD")*100/P39)</f>
        <v>#REF!</v>
      </c>
      <c r="AQ39" t="e">
        <f>IF(P39=0,0,COUNTIF(#REF!,"ISOP")*100/P39)</f>
        <v>#REF!</v>
      </c>
      <c r="AR39" t="e">
        <f>IF(P39=0,0,COUNTIF(#REF!,"LEPT")*100/P39)</f>
        <v>#REF!</v>
      </c>
      <c r="AS39" t="e">
        <f>IF(P39=0,0,COUNTIF(#REF!,"LEPTOR")*100/P39)</f>
        <v>#REF!</v>
      </c>
      <c r="AT39" t="e">
        <f>IF(P39=0,0,COUNTIF(#REF!,"LEPTOS")*100/P39)</f>
        <v>#REF!</v>
      </c>
      <c r="AU39" t="e">
        <f>IF(P39=0,0,COUNTIF(#REF!,"LOBOPH")*100/P39)</f>
        <v>#REF!</v>
      </c>
      <c r="AV39" t="e">
        <f>IF(P39=0,0,COUNTIF(#REF!,"MERU")*100/P39)</f>
        <v>#REF!</v>
      </c>
      <c r="AW39" t="e">
        <f>IF(P39=0,0,COUNTIF(#REF!,"MILL")*100/P39)</f>
        <v>#REF!</v>
      </c>
      <c r="AX39" t="e">
        <f>IF(P39=0,0,COUNTIF(#REF!,"MONT")*100/P39)</f>
        <v>#REF!</v>
      </c>
      <c r="AY39" t="e">
        <f>IF(P39=0,0,COUNTIF(#REF!,"MONTI")*100/P39)</f>
        <v>#REF!</v>
      </c>
      <c r="AZ39" t="e">
        <f>IF(P39=0,0,COUNTIF(#REF!,"MYCED")*100/P39)</f>
        <v>#REF!</v>
      </c>
      <c r="BA39" t="e">
        <f>IF(P39=0,0,COUNTIF(#REF!,"OULO")*100/P39)</f>
        <v>#REF!</v>
      </c>
      <c r="BB39" t="e">
        <f>IF(P39=0,0,COUNTIF(#REF!,"OXYP")*100/P39)</f>
        <v>#REF!</v>
      </c>
      <c r="BC39" t="e">
        <f>IF(P39=0,0,COUNTIF(#REF!,"PLSIA")*100/P39)</f>
        <v>#REF!</v>
      </c>
      <c r="BD39" t="e">
        <f>IF(P39=0,0,COUNTIF(#REF!,"PACHY")*100/P39)</f>
        <v>#REF!</v>
      </c>
      <c r="BE39" t="e">
        <f>IF(P39=0,0,COUNTIF(#REF!,"PAV")*100/P39)</f>
        <v>#REF!</v>
      </c>
      <c r="BF39" t="e">
        <f>IF(P39=0,0,COUNTIF(#REF!,"PECT")*100/P39)</f>
        <v>#REF!</v>
      </c>
      <c r="BG39" t="e">
        <f>IF(P39=0,0,COUNTIF(#REF!,"PHYSO")*100/P39)</f>
        <v>#REF!</v>
      </c>
      <c r="BH39" s="29" t="e">
        <f>IF(P39=0,0,COUNTIF(#REF!,"PLAT")*100/P39)</f>
        <v>#REF!</v>
      </c>
      <c r="BI39" t="e">
        <f>IF(P39=0,0,COUNTIF(#REF!,"PLERO")*100/P39)</f>
        <v>#REF!</v>
      </c>
      <c r="BJ39" t="e">
        <f>IF(P39=0,0,COUNTIF(#REF!,"POC")*100/P39)</f>
        <v>#REF!</v>
      </c>
      <c r="BK39" t="e">
        <f>IF(P39=0,0,COUNTIF(#REF!,"POR")*100/P39)</f>
        <v>#REF!</v>
      </c>
      <c r="BL39" t="e">
        <f>IF(P39=0,0,COUNTIF(#REF!,"PORCYL")*100/P39)</f>
        <v>#REF!</v>
      </c>
      <c r="BM39" t="e">
        <f>IF(P39=0,0,COUNTIF(#REF!,"PORMAS")*100/P39)</f>
        <v>#REF!</v>
      </c>
      <c r="BN39" t="e">
        <f>IF(P39=0,0,COUNTIF(#REF!,"PORRUS")*100/P39)</f>
        <v>#REF!</v>
      </c>
      <c r="BO39" t="e">
        <f>IF(P39=0,0,COUNTIF(#REF!,"PSAM")*100/P39)</f>
        <v>#REF!</v>
      </c>
      <c r="BP39" t="e">
        <f>IF(P39=0,0,COUNTIF(#REF!,"SANDO")*100/P39)</f>
        <v>#REF!</v>
      </c>
      <c r="BQ39" t="e">
        <f>IF(P39=0,0,COUNTIF(#REF!,"SCAP")*100/P39)</f>
        <v>#REF!</v>
      </c>
      <c r="BR39" t="e">
        <f>IF(P39=0,0,COUNTIF(#REF!,"SERIA")*100/P39)</f>
        <v>#REF!</v>
      </c>
      <c r="BS39" t="e">
        <f>IF(P39=0,0,COUNTIF(#REF!,"STYLC")*100/P39)</f>
        <v>#REF!</v>
      </c>
      <c r="BT39" s="29" t="e">
        <f>IF(P39=0,0,COUNTIF(#REF!,"STYLO")*100/P39)</f>
        <v>#REF!</v>
      </c>
      <c r="BU39" t="e">
        <f>IF(P39=0,0,COUNTIF(#REF!,"SYMP")*100/P39)</f>
        <v>#REF!</v>
      </c>
      <c r="BV39" t="e">
        <f>IF(P39=0,0,COUNTIF(#REF!,"TURBIN")*100/P39)</f>
        <v>#REF!</v>
      </c>
      <c r="BX39" t="e">
        <f>IF(P39=0,0,COUNTIF(#REF!,"ANEM")*100/P39)</f>
        <v>#REF!</v>
      </c>
      <c r="BY39" t="e">
        <f>IF(P39=0,0,COUNTIF(#REF!,"ASC")*100/P39)</f>
        <v>#REF!</v>
      </c>
      <c r="BZ39" t="e">
        <f>IF(P39=0,0,COUNTIF(#REF!,"CUPS")*100/P39)</f>
        <v>#REF!</v>
      </c>
      <c r="CA39" t="e">
        <f>IF(P39=0,0,COUNTIF(#REF!,"DISCO")*100/P39)</f>
        <v>#REF!</v>
      </c>
      <c r="CB39" t="e">
        <f>IF(P39=0,0,COUNTIF(#REF!,"DYS")*100/P39)</f>
        <v>#REF!</v>
      </c>
      <c r="CC39" t="e">
        <f>IF(P39=0,0,COUNTIF(#REF!,"G")*100/P39)</f>
        <v>#REF!</v>
      </c>
      <c r="CD39" t="e">
        <f>IF(P39=0,0,COUNTIF(#REF!,"NoIDINV")*100/P39)</f>
        <v>#REF!</v>
      </c>
      <c r="CE39" t="e">
        <f>IF(P39=0,0,COUNTIF(#REF!,"OLV")*100/P39)</f>
        <v>#REF!</v>
      </c>
      <c r="CF39" t="e">
        <f>IF(P39=0,0,COUNTIF(#REF!,"SC")*100/P39)</f>
        <v>#REF!</v>
      </c>
      <c r="CG39" t="e">
        <f>IF(P39=0,0,COUNTIF(#REF!,"S")*100/P39)</f>
        <v>#REF!</v>
      </c>
      <c r="CH39" t="e">
        <f>IF(P39=0,0,COUNTIF(#REF!,"TERPS")*100/P39)</f>
        <v>#REF!</v>
      </c>
      <c r="CI39" t="e">
        <f>IF(P39=0,0,COUNTIF(#REF!,"Z")*100/P39)</f>
        <v>#REF!</v>
      </c>
      <c r="CK39" t="e">
        <f>IF(P39=0,0,COUNTIF(#REF!,"ASP")*100/P39)</f>
        <v>#REF!</v>
      </c>
      <c r="CL39" t="e">
        <f>IF(P39=0,0,COUNTIF(#REF!,"BG")*100/P39)</f>
        <v>#REF!</v>
      </c>
      <c r="CM39" t="e">
        <f>IF(P39=0,0,COUNTIF(#REF!,"Bood")*100/P39)</f>
        <v>#REF!</v>
      </c>
      <c r="CN39" t="e">
        <f>IF(P39=0,0,COUNTIF(#REF!,"BRYP")*100/P39)</f>
        <v>#REF!</v>
      </c>
      <c r="CO39" t="e">
        <f>IF(P39=0,0,COUNTIF(#REF!,"CLP")*100/P39)</f>
        <v>#REF!</v>
      </c>
      <c r="CP39" t="e">
        <f>IF(P39=0,0,COUNTIF(#REF!,"CHLDES")*100/P39)</f>
        <v>#REF!</v>
      </c>
      <c r="CQ39" t="e">
        <f>IF(P39=0,0,COUNTIF(#REF!,"DYCTY")*100/P39)</f>
        <v>#REF!</v>
      </c>
      <c r="CR39" t="e">
        <f>IF(P39=0,0,COUNTIF(#REF!,"DICT")*100/P39)</f>
        <v>#REF!</v>
      </c>
      <c r="CS39" t="e">
        <f>IF(P39=0,0,COUNTIF(#REF!,"GLXU")*100/P39)</f>
        <v>#REF!</v>
      </c>
      <c r="CT39" t="e">
        <f>IF(P39=0,0,COUNTIF(#REF!,"HALI")*100/P39)</f>
        <v>#REF!</v>
      </c>
      <c r="CU39" t="e">
        <f>IF(P39=0,0,COUNTIF(#REF!,"LIAG")*100/P39)</f>
        <v>#REF!</v>
      </c>
      <c r="CV39" t="e">
        <f>IF(P39=0,0,COUNTIF(#REF!,"LOBO")*100/P39)</f>
        <v>#REF!</v>
      </c>
      <c r="CW39" t="e">
        <f>IF(P39=0,0,COUNTIF(#REF!,"MAST")*100/P39)</f>
        <v>#REF!</v>
      </c>
      <c r="CX39" t="e">
        <f>IF(P39=0,0,COUNTIF(#REF!,"MICDTY")*100/P39)</f>
        <v>#REF!</v>
      </c>
      <c r="CY39" t="e">
        <f>IF(P39=0,0,COUNTIF(#REF!,"NEOM")*100/P39)</f>
        <v>#REF!</v>
      </c>
      <c r="CZ39" t="e">
        <f>IF(P39=0,0,COUNTIF(#REF!,"NOIDMAC")*100/P39)</f>
        <v>#REF!</v>
      </c>
      <c r="DA39" t="e">
        <f>IF(P39=0,0,COUNTIF(#REF!,"PAD")*100/P39)</f>
        <v>#REF!</v>
      </c>
      <c r="DB39" t="e">
        <f>IF(P39=0,0,COUNTIF(#REF!,"SARG")*100/P39)</f>
        <v>#REF!</v>
      </c>
      <c r="DC39" t="e">
        <f>IF(P39=0,0,COUNTIF(#REF!,"SCHIZ")*100/P39)</f>
        <v>#REF!</v>
      </c>
      <c r="DD39" t="e">
        <f>IF(P39=0,0,COUNTIF(#REF!,"TURB")*100/P39)</f>
        <v>#REF!</v>
      </c>
      <c r="DE39" t="e">
        <f>IF(P39=0,0,COUNTIF(#REF!,"TYDM")*100/P39)</f>
        <v>#REF!</v>
      </c>
      <c r="DG39" t="e">
        <f>IF(P39=0,0,COUNTIF(#REF!,"AMP")*100/P39)</f>
        <v>#REF!</v>
      </c>
      <c r="DH39" t="e">
        <f>IF(P39=0,0,COUNTIF(#REF!,"BCA1")*100/P39)</f>
        <v>#REF!</v>
      </c>
      <c r="DI39" t="e">
        <f>IF(P39=0,0,COUNTIF(#REF!,"JAN")*100/P39)</f>
        <v>#REF!</v>
      </c>
      <c r="DK39" s="29" t="e">
        <f>IF(P39=0,0,COUNTIF(#REF!,"CCA1")*100/P39)</f>
        <v>#REF!</v>
      </c>
      <c r="DM39" t="e">
        <f>IF(P39=0,0,COUNTIF(#REF!,"Sand")*100/P39)</f>
        <v>#REF!</v>
      </c>
      <c r="DO39" s="29" t="e">
        <f>IF(P39=0,0,COUNTIF(#REF!,"FCA1")*100/P39)</f>
        <v>#REF!</v>
      </c>
      <c r="DQ39" t="e">
        <f>IF(P39=0,0,COUNTIF(#REF!,"CHRYOBRN")*100/P39)</f>
        <v>#REF!</v>
      </c>
      <c r="DS39" s="29" t="e">
        <f>IF(P39=0,0,COUNTIF(#REF!,"TURF")*100/P39)</f>
        <v>#REF!</v>
      </c>
      <c r="DU39" t="e">
        <f>COUNTIF(#REF!,"Shadow")*100/5</f>
        <v>#REF!</v>
      </c>
      <c r="DV39" t="e">
        <f>COUNTIF(#REF!,"Tape")*100/5</f>
        <v>#REF!</v>
      </c>
      <c r="DW39" t="e">
        <f>COUNTIF(#REF!,"Wand")*100/5</f>
        <v>#REF!</v>
      </c>
      <c r="DY39" t="e">
        <f>IF(P39=0,0,COUNTIF(#REF!,"BC")*100/P39)</f>
        <v>#REF!</v>
      </c>
    </row>
    <row r="40" spans="1:129">
      <c r="A40">
        <v>38</v>
      </c>
      <c r="B40" t="s">
        <v>82</v>
      </c>
      <c r="F40" t="e">
        <f>IF(P40=0,0,COUNTIF(#REF!,"C")*100/P40)</f>
        <v>#REF!</v>
      </c>
      <c r="G40" t="e">
        <f>IF(P40=0,0,COUNTIF(#REF!,"OI")*100/P40)</f>
        <v>#REF!</v>
      </c>
      <c r="H40" t="e">
        <f>IF(P40=0,0,COUNTIF(#REF!,"MA")*100/P40)</f>
        <v>#REF!</v>
      </c>
      <c r="I40" t="e">
        <f>IF(P40=0,0,COUNTIF(#REF!,"BCA")*100/P40)</f>
        <v>#REF!</v>
      </c>
      <c r="J40" s="29" t="e">
        <f>IF(P40=0,0,COUNTIF(#REF!,"CCA")*100/P40)</f>
        <v>#REF!</v>
      </c>
      <c r="K40" t="e">
        <f>IF(P40=0,0,COUNTIF(#REF!,"SD")*100/P40)</f>
        <v>#REF!</v>
      </c>
      <c r="L40" s="29" t="e">
        <f>IF(P40=0,0,COUNTIF(#REF!,"FCA")*100/P40)</f>
        <v>#REF!</v>
      </c>
      <c r="M40" t="e">
        <f>IF(P40=0,0,COUNTIF(#REF!,"CHRYS")*100/P40)</f>
        <v>#REF!</v>
      </c>
      <c r="N40" s="29" t="e">
        <f>IF(P40=0,0,COUNTIF(#REF!,"T")*100/P40)</f>
        <v>#REF!</v>
      </c>
      <c r="O40" t="e">
        <f>IF(P40=0,0,COUNTIF(#REF!,"TWS")*100/P40)</f>
        <v>#REF!</v>
      </c>
      <c r="P40" t="e">
        <f>5-COUNTIF(#REF!,"TWS")</f>
        <v>#REF!</v>
      </c>
      <c r="S40" t="e">
        <f>IF(P40=0,0,COUNTIF(#REF!,"ACAN")*100/P40)</f>
        <v>#REF!</v>
      </c>
      <c r="T40" t="e">
        <f>IF(P40=0,0,COUNTIF(#REF!,"ACROP")*100/P40)</f>
        <v>#REF!</v>
      </c>
      <c r="U40" t="e">
        <f>IF(P40=0,0,COUNTIF(#REF!,"ACROPARB")*100/P40)</f>
        <v>#REF!</v>
      </c>
      <c r="V40" t="e">
        <f>IF(P40=0,0,COUNTIF(#REF!,"ACROST")*100/P40)</f>
        <v>#REF!</v>
      </c>
      <c r="W40" t="e">
        <f>IF(P40=0,0,COUNTIF(#REF!,"ACROTBL")*100/P40)</f>
        <v>#REF!</v>
      </c>
      <c r="X40" t="e">
        <f>IF(P40=0,0,COUNTIF(#REF!,"ASTRP")*100/P40)</f>
        <v>#REF!</v>
      </c>
      <c r="Y40" t="e">
        <f>IF(P40=0,0,COUNTIF(#REF!,"CAUL")*100/P40)</f>
        <v>#REF!</v>
      </c>
      <c r="Z40" t="e">
        <f>IF(P40=0,0,COUNTIF(#REF!,"COSC")*100/P40)</f>
        <v>#REF!</v>
      </c>
      <c r="AA40" t="e">
        <f>IF(P40=0,0,COUNTIF(#REF!,"CTEN")*100/P40)</f>
        <v>#REF!</v>
      </c>
      <c r="AB40" t="e">
        <f>IF(P40=0,0,COUNTIF(#REF!,"CYPH")*100/P40)</f>
        <v>#REF!</v>
      </c>
      <c r="AC40" t="e">
        <f>IF(P40=0,0,COUNTIF(#REF!,"DIPLO")*100/P40)</f>
        <v>#REF!</v>
      </c>
      <c r="AD40" t="e">
        <f>IF(P40=0,0,COUNTIF(#REF!,"ECHPO")*100/P40)</f>
        <v>#REF!</v>
      </c>
      <c r="AE40" t="e">
        <f>IF(P40=0,0,COUNTIF(#REF!,"ECHPHY")*100/P40)</f>
        <v>#REF!</v>
      </c>
      <c r="AF40" t="e">
        <f>IF(P40=0,0,COUNTIF(#REF!,"EUPH")*100/P40)</f>
        <v>#REF!</v>
      </c>
      <c r="AG40" t="e">
        <f>IF(P40=0,0,COUNTIF(#REF!,"FAV")*100/P40)</f>
        <v>#REF!</v>
      </c>
      <c r="AH40" t="e">
        <f>IF(P40=0,0,COUNTIF(#REF!,"FAVT")*100/P40)</f>
        <v>#REF!</v>
      </c>
      <c r="AI40" t="e">
        <f>IF(P40=0,0,COUNTIF(#REF!,"FUNG")*100/P40)</f>
        <v>#REF!</v>
      </c>
      <c r="AJ40" t="e">
        <f>IF(P40=0,0,COUNTIF(#REF!,"GAL")*100/P40)</f>
        <v>#REF!</v>
      </c>
      <c r="AK40" t="e">
        <f>IF(P40=0,0,COUNTIF(#REF!,"GARD")*100/P40)</f>
        <v>#REF!</v>
      </c>
      <c r="AL40" t="e">
        <f>IF(P40=0,0,COUNTIF(#REF!,"GON")*100/P40)</f>
        <v>#REF!</v>
      </c>
      <c r="AM40" t="e">
        <f>IF(P40=0,0,COUNTIF(#REF!,"GONIO")*100/P40)</f>
        <v>#REF!</v>
      </c>
      <c r="AN40" t="e">
        <f>IF(P40=0,0,COUNTIF(#REF!,"HELIO")*100/P40)</f>
        <v>#REF!</v>
      </c>
      <c r="AO40" t="e">
        <f>IF(P40=0,0,COUNTIF(#REF!,"HERP")*100/P40)</f>
        <v>#REF!</v>
      </c>
      <c r="AP40" t="e">
        <f>IF(P40=0,0,COUNTIF(#REF!,"HYD")*100/P40)</f>
        <v>#REF!</v>
      </c>
      <c r="AQ40" t="e">
        <f>IF(P40=0,0,COUNTIF(#REF!,"ISOP")*100/P40)</f>
        <v>#REF!</v>
      </c>
      <c r="AR40" t="e">
        <f>IF(P40=0,0,COUNTIF(#REF!,"LEPT")*100/P40)</f>
        <v>#REF!</v>
      </c>
      <c r="AS40" t="e">
        <f>IF(P40=0,0,COUNTIF(#REF!,"LEPTOR")*100/P40)</f>
        <v>#REF!</v>
      </c>
      <c r="AT40" t="e">
        <f>IF(P40=0,0,COUNTIF(#REF!,"LEPTOS")*100/P40)</f>
        <v>#REF!</v>
      </c>
      <c r="AU40" t="e">
        <f>IF(P40=0,0,COUNTIF(#REF!,"LOBOPH")*100/P40)</f>
        <v>#REF!</v>
      </c>
      <c r="AV40" t="e">
        <f>IF(P40=0,0,COUNTIF(#REF!,"MERU")*100/P40)</f>
        <v>#REF!</v>
      </c>
      <c r="AW40" t="e">
        <f>IF(P40=0,0,COUNTIF(#REF!,"MILL")*100/P40)</f>
        <v>#REF!</v>
      </c>
      <c r="AX40" t="e">
        <f>IF(P40=0,0,COUNTIF(#REF!,"MONT")*100/P40)</f>
        <v>#REF!</v>
      </c>
      <c r="AY40" t="e">
        <f>IF(P40=0,0,COUNTIF(#REF!,"MONTI")*100/P40)</f>
        <v>#REF!</v>
      </c>
      <c r="AZ40" t="e">
        <f>IF(P40=0,0,COUNTIF(#REF!,"MYCED")*100/P40)</f>
        <v>#REF!</v>
      </c>
      <c r="BA40" t="e">
        <f>IF(P40=0,0,COUNTIF(#REF!,"OULO")*100/P40)</f>
        <v>#REF!</v>
      </c>
      <c r="BB40" t="e">
        <f>IF(P40=0,0,COUNTIF(#REF!,"OXYP")*100/P40)</f>
        <v>#REF!</v>
      </c>
      <c r="BC40" t="e">
        <f>IF(P40=0,0,COUNTIF(#REF!,"PLSIA")*100/P40)</f>
        <v>#REF!</v>
      </c>
      <c r="BD40" t="e">
        <f>IF(P40=0,0,COUNTIF(#REF!,"PACHY")*100/P40)</f>
        <v>#REF!</v>
      </c>
      <c r="BE40" t="e">
        <f>IF(P40=0,0,COUNTIF(#REF!,"PAV")*100/P40)</f>
        <v>#REF!</v>
      </c>
      <c r="BF40" t="e">
        <f>IF(P40=0,0,COUNTIF(#REF!,"PECT")*100/P40)</f>
        <v>#REF!</v>
      </c>
      <c r="BG40" t="e">
        <f>IF(P40=0,0,COUNTIF(#REF!,"PHYSO")*100/P40)</f>
        <v>#REF!</v>
      </c>
      <c r="BH40" t="e">
        <f>IF(P40=0,0,COUNTIF(#REF!,"PLAT")*100/P40)</f>
        <v>#REF!</v>
      </c>
      <c r="BI40" t="e">
        <f>IF(P40=0,0,COUNTIF(#REF!,"PLERO")*100/P40)</f>
        <v>#REF!</v>
      </c>
      <c r="BJ40" t="e">
        <f>IF(P40=0,0,COUNTIF(#REF!,"POC")*100/P40)</f>
        <v>#REF!</v>
      </c>
      <c r="BK40" t="e">
        <f>IF(P40=0,0,COUNTIF(#REF!,"POR")*100/P40)</f>
        <v>#REF!</v>
      </c>
      <c r="BL40" t="e">
        <f>IF(P40=0,0,COUNTIF(#REF!,"PORCYL")*100/P40)</f>
        <v>#REF!</v>
      </c>
      <c r="BM40" t="e">
        <f>IF(P40=0,0,COUNTIF(#REF!,"PORMAS")*100/P40)</f>
        <v>#REF!</v>
      </c>
      <c r="BN40" t="e">
        <f>IF(P40=0,0,COUNTIF(#REF!,"PORRUS")*100/P40)</f>
        <v>#REF!</v>
      </c>
      <c r="BO40" t="e">
        <f>IF(P40=0,0,COUNTIF(#REF!,"PSAM")*100/P40)</f>
        <v>#REF!</v>
      </c>
      <c r="BP40" t="e">
        <f>IF(P40=0,0,COUNTIF(#REF!,"SANDO")*100/P40)</f>
        <v>#REF!</v>
      </c>
      <c r="BQ40" t="e">
        <f>IF(P40=0,0,COUNTIF(#REF!,"SCAP")*100/P40)</f>
        <v>#REF!</v>
      </c>
      <c r="BR40" t="e">
        <f>IF(P40=0,0,COUNTIF(#REF!,"SERIA")*100/P40)</f>
        <v>#REF!</v>
      </c>
      <c r="BS40" t="e">
        <f>IF(P40=0,0,COUNTIF(#REF!,"STYLC")*100/P40)</f>
        <v>#REF!</v>
      </c>
      <c r="BT40" t="e">
        <f>IF(P40=0,0,COUNTIF(#REF!,"STYLO")*100/P40)</f>
        <v>#REF!</v>
      </c>
      <c r="BU40" t="e">
        <f>IF(P40=0,0,COUNTIF(#REF!,"SYMP")*100/P40)</f>
        <v>#REF!</v>
      </c>
      <c r="BV40" t="e">
        <f>IF(P40=0,0,COUNTIF(#REF!,"TURBIN")*100/P40)</f>
        <v>#REF!</v>
      </c>
      <c r="BX40" t="e">
        <f>IF(P40=0,0,COUNTIF(#REF!,"ANEM")*100/P40)</f>
        <v>#REF!</v>
      </c>
      <c r="BY40" t="e">
        <f>IF(P40=0,0,COUNTIF(#REF!,"ASC")*100/P40)</f>
        <v>#REF!</v>
      </c>
      <c r="BZ40" t="e">
        <f>IF(P40=0,0,COUNTIF(#REF!,"CUPS")*100/P40)</f>
        <v>#REF!</v>
      </c>
      <c r="CA40" t="e">
        <f>IF(P40=0,0,COUNTIF(#REF!,"DISCO")*100/P40)</f>
        <v>#REF!</v>
      </c>
      <c r="CB40" t="e">
        <f>IF(P40=0,0,COUNTIF(#REF!,"DYS")*100/P40)</f>
        <v>#REF!</v>
      </c>
      <c r="CC40" t="e">
        <f>IF(P40=0,0,COUNTIF(#REF!,"G")*100/P40)</f>
        <v>#REF!</v>
      </c>
      <c r="CD40" t="e">
        <f>IF(P40=0,0,COUNTIF(#REF!,"NoIDINV")*100/P40)</f>
        <v>#REF!</v>
      </c>
      <c r="CE40" t="e">
        <f>IF(P40=0,0,COUNTIF(#REF!,"OLV")*100/P40)</f>
        <v>#REF!</v>
      </c>
      <c r="CF40" t="e">
        <f>IF(P40=0,0,COUNTIF(#REF!,"SC")*100/P40)</f>
        <v>#REF!</v>
      </c>
      <c r="CG40" t="e">
        <f>IF(P40=0,0,COUNTIF(#REF!,"S")*100/P40)</f>
        <v>#REF!</v>
      </c>
      <c r="CH40" t="e">
        <f>IF(P40=0,0,COUNTIF(#REF!,"TERPS")*100/P40)</f>
        <v>#REF!</v>
      </c>
      <c r="CI40" t="e">
        <f>IF(P40=0,0,COUNTIF(#REF!,"Z")*100/P40)</f>
        <v>#REF!</v>
      </c>
      <c r="CK40" t="e">
        <f>IF(P40=0,0,COUNTIF(#REF!,"ASP")*100/P40)</f>
        <v>#REF!</v>
      </c>
      <c r="CL40" t="e">
        <f>IF(P40=0,0,COUNTIF(#REF!,"BG")*100/P40)</f>
        <v>#REF!</v>
      </c>
      <c r="CM40" t="e">
        <f>IF(P40=0,0,COUNTIF(#REF!,"Bood")*100/P40)</f>
        <v>#REF!</v>
      </c>
      <c r="CN40" t="e">
        <f>IF(P40=0,0,COUNTIF(#REF!,"BRYP")*100/P40)</f>
        <v>#REF!</v>
      </c>
      <c r="CO40" t="e">
        <f>IF(P40=0,0,COUNTIF(#REF!,"CLP")*100/P40)</f>
        <v>#REF!</v>
      </c>
      <c r="CP40" t="e">
        <f>IF(P40=0,0,COUNTIF(#REF!,"CHLDES")*100/P40)</f>
        <v>#REF!</v>
      </c>
      <c r="CQ40" t="e">
        <f>IF(P40=0,0,COUNTIF(#REF!,"DYCTY")*100/P40)</f>
        <v>#REF!</v>
      </c>
      <c r="CR40" t="e">
        <f>IF(P40=0,0,COUNTIF(#REF!,"DICT")*100/P40)</f>
        <v>#REF!</v>
      </c>
      <c r="CS40" t="e">
        <f>IF(P40=0,0,COUNTIF(#REF!,"GLXU")*100/P40)</f>
        <v>#REF!</v>
      </c>
      <c r="CT40" t="e">
        <f>IF(P40=0,0,COUNTIF(#REF!,"HALI")*100/P40)</f>
        <v>#REF!</v>
      </c>
      <c r="CU40" t="e">
        <f>IF(P40=0,0,COUNTIF(#REF!,"LIAG")*100/P40)</f>
        <v>#REF!</v>
      </c>
      <c r="CV40" t="e">
        <f>IF(P40=0,0,COUNTIF(#REF!,"LOBO")*100/P40)</f>
        <v>#REF!</v>
      </c>
      <c r="CW40" t="e">
        <f>IF(P40=0,0,COUNTIF(#REF!,"MAST")*100/P40)</f>
        <v>#REF!</v>
      </c>
      <c r="CX40" t="e">
        <f>IF(P40=0,0,COUNTIF(#REF!,"MICDTY")*100/P40)</f>
        <v>#REF!</v>
      </c>
      <c r="CY40" t="e">
        <f>IF(P40=0,0,COUNTIF(#REF!,"NEOM")*100/P40)</f>
        <v>#REF!</v>
      </c>
      <c r="CZ40" t="e">
        <f>IF(P40=0,0,COUNTIF(#REF!,"NOIDMAC")*100/P40)</f>
        <v>#REF!</v>
      </c>
      <c r="DA40" t="e">
        <f>IF(P40=0,0,COUNTIF(#REF!,"PAD")*100/P40)</f>
        <v>#REF!</v>
      </c>
      <c r="DB40" t="e">
        <f>IF(P40=0,0,COUNTIF(#REF!,"SARG")*100/P40)</f>
        <v>#REF!</v>
      </c>
      <c r="DC40" t="e">
        <f>IF(P40=0,0,COUNTIF(#REF!,"SCHIZ")*100/P40)</f>
        <v>#REF!</v>
      </c>
      <c r="DD40" t="e">
        <f>IF(P40=0,0,COUNTIF(#REF!,"TURB")*100/P40)</f>
        <v>#REF!</v>
      </c>
      <c r="DE40" t="e">
        <f>IF(P40=0,0,COUNTIF(#REF!,"TYDM")*100/P40)</f>
        <v>#REF!</v>
      </c>
      <c r="DG40" t="e">
        <f>IF(P40=0,0,COUNTIF(#REF!,"AMP")*100/P40)</f>
        <v>#REF!</v>
      </c>
      <c r="DH40" t="e">
        <f>IF(P40=0,0,COUNTIF(#REF!,"BCA1")*100/P40)</f>
        <v>#REF!</v>
      </c>
      <c r="DI40" t="e">
        <f>IF(P40=0,0,COUNTIF(#REF!,"JAN")*100/P40)</f>
        <v>#REF!</v>
      </c>
      <c r="DK40" s="29" t="e">
        <f>IF(P40=0,0,COUNTIF(#REF!,"CCA1")*100/P40)</f>
        <v>#REF!</v>
      </c>
      <c r="DM40" t="e">
        <f>IF(P40=0,0,COUNTIF(#REF!,"Sand")*100/P40)</f>
        <v>#REF!</v>
      </c>
      <c r="DO40" s="29" t="e">
        <f>IF(P40=0,0,COUNTIF(#REF!,"FCA1")*100/P40)</f>
        <v>#REF!</v>
      </c>
      <c r="DQ40" t="e">
        <f>IF(P40=0,0,COUNTIF(#REF!,"CHRYOBRN")*100/P40)</f>
        <v>#REF!</v>
      </c>
      <c r="DS40" s="29" t="e">
        <f>IF(P40=0,0,COUNTIF(#REF!,"TURF")*100/P40)</f>
        <v>#REF!</v>
      </c>
      <c r="DU40" t="e">
        <f>COUNTIF(#REF!,"Shadow")*100/5</f>
        <v>#REF!</v>
      </c>
      <c r="DV40" t="e">
        <f>COUNTIF(#REF!,"Tape")*100/5</f>
        <v>#REF!</v>
      </c>
      <c r="DW40" t="e">
        <f>COUNTIF(#REF!,"Wand")*100/5</f>
        <v>#REF!</v>
      </c>
      <c r="DY40" t="e">
        <f>IF(P40=0,0,COUNTIF(#REF!,"BC")*100/P40)</f>
        <v>#REF!</v>
      </c>
    </row>
    <row r="41" spans="1:129">
      <c r="A41">
        <v>39</v>
      </c>
      <c r="B41" t="s">
        <v>83</v>
      </c>
      <c r="F41" t="e">
        <f>IF(P41=0,0,COUNTIF(#REF!,"C")*100/P41)</f>
        <v>#REF!</v>
      </c>
      <c r="G41" t="e">
        <f>IF(P41=0,0,COUNTIF(#REF!,"OI")*100/P41)</f>
        <v>#REF!</v>
      </c>
      <c r="H41" t="e">
        <f>IF(P41=0,0,COUNTIF(#REF!,"MA")*100/P41)</f>
        <v>#REF!</v>
      </c>
      <c r="I41" t="e">
        <f>IF(P41=0,0,COUNTIF(#REF!,"BCA")*100/P41)</f>
        <v>#REF!</v>
      </c>
      <c r="J41" s="29" t="e">
        <f>IF(P41=0,0,COUNTIF(#REF!,"CCA")*100/P41)</f>
        <v>#REF!</v>
      </c>
      <c r="K41" t="e">
        <f>IF(P41=0,0,COUNTIF(#REF!,"SD")*100/P41)</f>
        <v>#REF!</v>
      </c>
      <c r="L41" t="e">
        <f>IF(P41=0,0,COUNTIF(#REF!,"FCA")*100/P41)</f>
        <v>#REF!</v>
      </c>
      <c r="M41" t="e">
        <f>IF(P41=0,0,COUNTIF(#REF!,"CHRYS")*100/P41)</f>
        <v>#REF!</v>
      </c>
      <c r="N41" s="29" t="e">
        <f>IF(P41=0,0,COUNTIF(#REF!,"T")*100/P41)</f>
        <v>#REF!</v>
      </c>
      <c r="O41" t="e">
        <f>IF(P41=0,0,COUNTIF(#REF!,"TWS")*100/P41)</f>
        <v>#REF!</v>
      </c>
      <c r="P41" t="e">
        <f>5-COUNTIF(#REF!,"TWS")</f>
        <v>#REF!</v>
      </c>
      <c r="S41" t="e">
        <f>IF(P41=0,0,COUNTIF(#REF!,"ACAN")*100/P41)</f>
        <v>#REF!</v>
      </c>
      <c r="T41" t="e">
        <f>IF(P41=0,0,COUNTIF(#REF!,"ACROP")*100/P41)</f>
        <v>#REF!</v>
      </c>
      <c r="U41" t="e">
        <f>IF(P41=0,0,COUNTIF(#REF!,"ACROPARB")*100/P41)</f>
        <v>#REF!</v>
      </c>
      <c r="V41" t="e">
        <f>IF(P41=0,0,COUNTIF(#REF!,"ACROST")*100/P41)</f>
        <v>#REF!</v>
      </c>
      <c r="W41" t="e">
        <f>IF(P41=0,0,COUNTIF(#REF!,"ACROTBL")*100/P41)</f>
        <v>#REF!</v>
      </c>
      <c r="X41" t="e">
        <f>IF(P41=0,0,COUNTIF(#REF!,"ASTRP")*100/P41)</f>
        <v>#REF!</v>
      </c>
      <c r="Y41" t="e">
        <f>IF(P41=0,0,COUNTIF(#REF!,"CAUL")*100/P41)</f>
        <v>#REF!</v>
      </c>
      <c r="Z41" t="e">
        <f>IF(P41=0,0,COUNTIF(#REF!,"COSC")*100/P41)</f>
        <v>#REF!</v>
      </c>
      <c r="AA41" t="e">
        <f>IF(P41=0,0,COUNTIF(#REF!,"CTEN")*100/P41)</f>
        <v>#REF!</v>
      </c>
      <c r="AB41" t="e">
        <f>IF(P41=0,0,COUNTIF(#REF!,"CYPH")*100/P41)</f>
        <v>#REF!</v>
      </c>
      <c r="AC41" t="e">
        <f>IF(P41=0,0,COUNTIF(#REF!,"DIPLO")*100/P41)</f>
        <v>#REF!</v>
      </c>
      <c r="AD41" t="e">
        <f>IF(P41=0,0,COUNTIF(#REF!,"ECHPO")*100/P41)</f>
        <v>#REF!</v>
      </c>
      <c r="AE41" t="e">
        <f>IF(P41=0,0,COUNTIF(#REF!,"ECHPHY")*100/P41)</f>
        <v>#REF!</v>
      </c>
      <c r="AF41" t="e">
        <f>IF(P41=0,0,COUNTIF(#REF!,"EUPH")*100/P41)</f>
        <v>#REF!</v>
      </c>
      <c r="AG41" t="e">
        <f>IF(P41=0,0,COUNTIF(#REF!,"FAV")*100/P41)</f>
        <v>#REF!</v>
      </c>
      <c r="AH41" t="e">
        <f>IF(P41=0,0,COUNTIF(#REF!,"FAVT")*100/P41)</f>
        <v>#REF!</v>
      </c>
      <c r="AI41" t="e">
        <f>IF(P41=0,0,COUNTIF(#REF!,"FUNG")*100/P41)</f>
        <v>#REF!</v>
      </c>
      <c r="AJ41" t="e">
        <f>IF(P41=0,0,COUNTIF(#REF!,"GAL")*100/P41)</f>
        <v>#REF!</v>
      </c>
      <c r="AK41" t="e">
        <f>IF(P41=0,0,COUNTIF(#REF!,"GARD")*100/P41)</f>
        <v>#REF!</v>
      </c>
      <c r="AL41" t="e">
        <f>IF(P41=0,0,COUNTIF(#REF!,"GON")*100/P41)</f>
        <v>#REF!</v>
      </c>
      <c r="AM41" t="e">
        <f>IF(P41=0,0,COUNTIF(#REF!,"GONIO")*100/P41)</f>
        <v>#REF!</v>
      </c>
      <c r="AN41" t="e">
        <f>IF(P41=0,0,COUNTIF(#REF!,"HELIO")*100/P41)</f>
        <v>#REF!</v>
      </c>
      <c r="AO41" t="e">
        <f>IF(P41=0,0,COUNTIF(#REF!,"HERP")*100/P41)</f>
        <v>#REF!</v>
      </c>
      <c r="AP41" t="e">
        <f>IF(P41=0,0,COUNTIF(#REF!,"HYD")*100/P41)</f>
        <v>#REF!</v>
      </c>
      <c r="AQ41" t="e">
        <f>IF(P41=0,0,COUNTIF(#REF!,"ISOP")*100/P41)</f>
        <v>#REF!</v>
      </c>
      <c r="AR41" t="e">
        <f>IF(P41=0,0,COUNTIF(#REF!,"LEPT")*100/P41)</f>
        <v>#REF!</v>
      </c>
      <c r="AS41" t="e">
        <f>IF(P41=0,0,COUNTIF(#REF!,"LEPTOR")*100/P41)</f>
        <v>#REF!</v>
      </c>
      <c r="AT41" t="e">
        <f>IF(P41=0,0,COUNTIF(#REF!,"LEPTOS")*100/P41)</f>
        <v>#REF!</v>
      </c>
      <c r="AU41" t="e">
        <f>IF(P41=0,0,COUNTIF(#REF!,"LOBOPH")*100/P41)</f>
        <v>#REF!</v>
      </c>
      <c r="AV41" t="e">
        <f>IF(P41=0,0,COUNTIF(#REF!,"MERU")*100/P41)</f>
        <v>#REF!</v>
      </c>
      <c r="AW41" t="e">
        <f>IF(P41=0,0,COUNTIF(#REF!,"MILL")*100/P41)</f>
        <v>#REF!</v>
      </c>
      <c r="AX41" t="e">
        <f>IF(P41=0,0,COUNTIF(#REF!,"MONT")*100/P41)</f>
        <v>#REF!</v>
      </c>
      <c r="AY41" t="e">
        <f>IF(P41=0,0,COUNTIF(#REF!,"MONTI")*100/P41)</f>
        <v>#REF!</v>
      </c>
      <c r="AZ41" t="e">
        <f>IF(P41=0,0,COUNTIF(#REF!,"MYCED")*100/P41)</f>
        <v>#REF!</v>
      </c>
      <c r="BA41" t="e">
        <f>IF(P41=0,0,COUNTIF(#REF!,"OULO")*100/P41)</f>
        <v>#REF!</v>
      </c>
      <c r="BB41" t="e">
        <f>IF(P41=0,0,COUNTIF(#REF!,"OXYP")*100/P41)</f>
        <v>#REF!</v>
      </c>
      <c r="BC41" t="e">
        <f>IF(P41=0,0,COUNTIF(#REF!,"PLSIA")*100/P41)</f>
        <v>#REF!</v>
      </c>
      <c r="BD41" t="e">
        <f>IF(P41=0,0,COUNTIF(#REF!,"PACHY")*100/P41)</f>
        <v>#REF!</v>
      </c>
      <c r="BE41" t="e">
        <f>IF(P41=0,0,COUNTIF(#REF!,"PAV")*100/P41)</f>
        <v>#REF!</v>
      </c>
      <c r="BF41" t="e">
        <f>IF(P41=0,0,COUNTIF(#REF!,"PECT")*100/P41)</f>
        <v>#REF!</v>
      </c>
      <c r="BG41" t="e">
        <f>IF(P41=0,0,COUNTIF(#REF!,"PHYSO")*100/P41)</f>
        <v>#REF!</v>
      </c>
      <c r="BH41" t="e">
        <f>IF(P41=0,0,COUNTIF(#REF!,"PLAT")*100/P41)</f>
        <v>#REF!</v>
      </c>
      <c r="BI41" t="e">
        <f>IF(P41=0,0,COUNTIF(#REF!,"PLERO")*100/P41)</f>
        <v>#REF!</v>
      </c>
      <c r="BJ41" t="e">
        <f>IF(P41=0,0,COUNTIF(#REF!,"POC")*100/P41)</f>
        <v>#REF!</v>
      </c>
      <c r="BK41" t="e">
        <f>IF(P41=0,0,COUNTIF(#REF!,"POR")*100/P41)</f>
        <v>#REF!</v>
      </c>
      <c r="BL41" t="e">
        <f>IF(P41=0,0,COUNTIF(#REF!,"PORCYL")*100/P41)</f>
        <v>#REF!</v>
      </c>
      <c r="BM41" t="e">
        <f>IF(P41=0,0,COUNTIF(#REF!,"PORMAS")*100/P41)</f>
        <v>#REF!</v>
      </c>
      <c r="BN41" t="e">
        <f>IF(P41=0,0,COUNTIF(#REF!,"PORRUS")*100/P41)</f>
        <v>#REF!</v>
      </c>
      <c r="BO41" t="e">
        <f>IF(P41=0,0,COUNTIF(#REF!,"PSAM")*100/P41)</f>
        <v>#REF!</v>
      </c>
      <c r="BP41" t="e">
        <f>IF(P41=0,0,COUNTIF(#REF!,"SANDO")*100/P41)</f>
        <v>#REF!</v>
      </c>
      <c r="BQ41" t="e">
        <f>IF(P41=0,0,COUNTIF(#REF!,"SCAP")*100/P41)</f>
        <v>#REF!</v>
      </c>
      <c r="BR41" t="e">
        <f>IF(P41=0,0,COUNTIF(#REF!,"SERIA")*100/P41)</f>
        <v>#REF!</v>
      </c>
      <c r="BS41" t="e">
        <f>IF(P41=0,0,COUNTIF(#REF!,"STYLC")*100/P41)</f>
        <v>#REF!</v>
      </c>
      <c r="BT41" t="e">
        <f>IF(P41=0,0,COUNTIF(#REF!,"STYLO")*100/P41)</f>
        <v>#REF!</v>
      </c>
      <c r="BU41" t="e">
        <f>IF(P41=0,0,COUNTIF(#REF!,"SYMP")*100/P41)</f>
        <v>#REF!</v>
      </c>
      <c r="BV41" t="e">
        <f>IF(P41=0,0,COUNTIF(#REF!,"TURBIN")*100/P41)</f>
        <v>#REF!</v>
      </c>
      <c r="BX41" t="e">
        <f>IF(P41=0,0,COUNTIF(#REF!,"ANEM")*100/P41)</f>
        <v>#REF!</v>
      </c>
      <c r="BY41" t="e">
        <f>IF(P41=0,0,COUNTIF(#REF!,"ASC")*100/P41)</f>
        <v>#REF!</v>
      </c>
      <c r="BZ41" t="e">
        <f>IF(P41=0,0,COUNTIF(#REF!,"CUPS")*100/P41)</f>
        <v>#REF!</v>
      </c>
      <c r="CA41" t="e">
        <f>IF(P41=0,0,COUNTIF(#REF!,"DISCO")*100/P41)</f>
        <v>#REF!</v>
      </c>
      <c r="CB41" t="e">
        <f>IF(P41=0,0,COUNTIF(#REF!,"DYS")*100/P41)</f>
        <v>#REF!</v>
      </c>
      <c r="CC41" t="e">
        <f>IF(P41=0,0,COUNTIF(#REF!,"G")*100/P41)</f>
        <v>#REF!</v>
      </c>
      <c r="CD41" t="e">
        <f>IF(P41=0,0,COUNTIF(#REF!,"NoIDINV")*100/P41)</f>
        <v>#REF!</v>
      </c>
      <c r="CE41" t="e">
        <f>IF(P41=0,0,COUNTIF(#REF!,"OLV")*100/P41)</f>
        <v>#REF!</v>
      </c>
      <c r="CF41" t="e">
        <f>IF(P41=0,0,COUNTIF(#REF!,"SC")*100/P41)</f>
        <v>#REF!</v>
      </c>
      <c r="CG41" t="e">
        <f>IF(P41=0,0,COUNTIF(#REF!,"S")*100/P41)</f>
        <v>#REF!</v>
      </c>
      <c r="CH41" t="e">
        <f>IF(P41=0,0,COUNTIF(#REF!,"TERPS")*100/P41)</f>
        <v>#REF!</v>
      </c>
      <c r="CI41" t="e">
        <f>IF(P41=0,0,COUNTIF(#REF!,"Z")*100/P41)</f>
        <v>#REF!</v>
      </c>
      <c r="CK41" t="e">
        <f>IF(P41=0,0,COUNTIF(#REF!,"ASP")*100/P41)</f>
        <v>#REF!</v>
      </c>
      <c r="CL41" t="e">
        <f>IF(P41=0,0,COUNTIF(#REF!,"BG")*100/P41)</f>
        <v>#REF!</v>
      </c>
      <c r="CM41" t="e">
        <f>IF(P41=0,0,COUNTIF(#REF!,"Bood")*100/P41)</f>
        <v>#REF!</v>
      </c>
      <c r="CN41" t="e">
        <f>IF(P41=0,0,COUNTIF(#REF!,"BRYP")*100/P41)</f>
        <v>#REF!</v>
      </c>
      <c r="CO41" t="e">
        <f>IF(P41=0,0,COUNTIF(#REF!,"CLP")*100/P41)</f>
        <v>#REF!</v>
      </c>
      <c r="CP41" t="e">
        <f>IF(P41=0,0,COUNTIF(#REF!,"CHLDES")*100/P41)</f>
        <v>#REF!</v>
      </c>
      <c r="CQ41" t="e">
        <f>IF(P41=0,0,COUNTIF(#REF!,"DYCTY")*100/P41)</f>
        <v>#REF!</v>
      </c>
      <c r="CR41" t="e">
        <f>IF(P41=0,0,COUNTIF(#REF!,"DICT")*100/P41)</f>
        <v>#REF!</v>
      </c>
      <c r="CS41" t="e">
        <f>IF(P41=0,0,COUNTIF(#REF!,"GLXU")*100/P41)</f>
        <v>#REF!</v>
      </c>
      <c r="CT41" t="e">
        <f>IF(P41=0,0,COUNTIF(#REF!,"HALI")*100/P41)</f>
        <v>#REF!</v>
      </c>
      <c r="CU41" t="e">
        <f>IF(P41=0,0,COUNTIF(#REF!,"LIAG")*100/P41)</f>
        <v>#REF!</v>
      </c>
      <c r="CV41" t="e">
        <f>IF(P41=0,0,COUNTIF(#REF!,"LOBO")*100/P41)</f>
        <v>#REF!</v>
      </c>
      <c r="CW41" t="e">
        <f>IF(P41=0,0,COUNTIF(#REF!,"MAST")*100/P41)</f>
        <v>#REF!</v>
      </c>
      <c r="CX41" t="e">
        <f>IF(P41=0,0,COUNTIF(#REF!,"MICDTY")*100/P41)</f>
        <v>#REF!</v>
      </c>
      <c r="CY41" t="e">
        <f>IF(P41=0,0,COUNTIF(#REF!,"NEOM")*100/P41)</f>
        <v>#REF!</v>
      </c>
      <c r="CZ41" t="e">
        <f>IF(P41=0,0,COUNTIF(#REF!,"NOIDMAC")*100/P41)</f>
        <v>#REF!</v>
      </c>
      <c r="DA41" t="e">
        <f>IF(P41=0,0,COUNTIF(#REF!,"PAD")*100/P41)</f>
        <v>#REF!</v>
      </c>
      <c r="DB41" t="e">
        <f>IF(P41=0,0,COUNTIF(#REF!,"SARG")*100/P41)</f>
        <v>#REF!</v>
      </c>
      <c r="DC41" t="e">
        <f>IF(P41=0,0,COUNTIF(#REF!,"SCHIZ")*100/P41)</f>
        <v>#REF!</v>
      </c>
      <c r="DD41" t="e">
        <f>IF(P41=0,0,COUNTIF(#REF!,"TURB")*100/P41)</f>
        <v>#REF!</v>
      </c>
      <c r="DE41" t="e">
        <f>IF(P41=0,0,COUNTIF(#REF!,"TYDM")*100/P41)</f>
        <v>#REF!</v>
      </c>
      <c r="DG41" t="e">
        <f>IF(P41=0,0,COUNTIF(#REF!,"AMP")*100/P41)</f>
        <v>#REF!</v>
      </c>
      <c r="DH41" t="e">
        <f>IF(P41=0,0,COUNTIF(#REF!,"BCA1")*100/P41)</f>
        <v>#REF!</v>
      </c>
      <c r="DI41" t="e">
        <f>IF(P41=0,0,COUNTIF(#REF!,"JAN")*100/P41)</f>
        <v>#REF!</v>
      </c>
      <c r="DK41" s="29" t="e">
        <f>IF(P41=0,0,COUNTIF(#REF!,"CCA1")*100/P41)</f>
        <v>#REF!</v>
      </c>
      <c r="DM41" t="e">
        <f>IF(P41=0,0,COUNTIF(#REF!,"Sand")*100/P41)</f>
        <v>#REF!</v>
      </c>
      <c r="DO41" t="e">
        <f>IF(P41=0,0,COUNTIF(#REF!,"FCA1")*100/P41)</f>
        <v>#REF!</v>
      </c>
      <c r="DQ41" t="e">
        <f>IF(P41=0,0,COUNTIF(#REF!,"CHRYOBRN")*100/P41)</f>
        <v>#REF!</v>
      </c>
      <c r="DS41" s="29" t="e">
        <f>IF(P41=0,0,COUNTIF(#REF!,"TURF")*100/P41)</f>
        <v>#REF!</v>
      </c>
      <c r="DU41" t="e">
        <f>COUNTIF(#REF!,"Shadow")*100/5</f>
        <v>#REF!</v>
      </c>
      <c r="DV41" t="e">
        <f>COUNTIF(#REF!,"Tape")*100/5</f>
        <v>#REF!</v>
      </c>
      <c r="DW41" t="e">
        <f>COUNTIF(#REF!,"Wand")*100/5</f>
        <v>#REF!</v>
      </c>
      <c r="DY41" t="e">
        <f>IF(P41=0,0,COUNTIF(#REF!,"BC")*100/P41)</f>
        <v>#REF!</v>
      </c>
    </row>
    <row r="42" spans="1:129">
      <c r="A42">
        <v>40</v>
      </c>
      <c r="B42" t="s">
        <v>84</v>
      </c>
      <c r="F42" t="e">
        <f>IF(P42=0,0,COUNTIF(#REF!,"C")*100/P42)</f>
        <v>#REF!</v>
      </c>
      <c r="G42" t="e">
        <f>IF(P42=0,0,COUNTIF(#REF!,"OI")*100/P42)</f>
        <v>#REF!</v>
      </c>
      <c r="H42" t="e">
        <f>IF(P42=0,0,COUNTIF(#REF!,"MA")*100/P42)</f>
        <v>#REF!</v>
      </c>
      <c r="I42" s="29" t="e">
        <f>IF(P42=0,0,COUNTIF(#REF!,"BCA")*100/P42)</f>
        <v>#REF!</v>
      </c>
      <c r="J42" s="29" t="e">
        <f>IF(P42=0,0,COUNTIF(#REF!,"CCA")*100/P42)</f>
        <v>#REF!</v>
      </c>
      <c r="K42" t="e">
        <f>IF(P42=0,0,COUNTIF(#REF!,"SD")*100/P42)</f>
        <v>#REF!</v>
      </c>
      <c r="L42" t="e">
        <f>IF(P42=0,0,COUNTIF(#REF!,"FCA")*100/P42)</f>
        <v>#REF!</v>
      </c>
      <c r="M42" t="e">
        <f>IF(P42=0,0,COUNTIF(#REF!,"CHRYS")*100/P42)</f>
        <v>#REF!</v>
      </c>
      <c r="N42" t="e">
        <f>IF(P42=0,0,COUNTIF(#REF!,"T")*100/P42)</f>
        <v>#REF!</v>
      </c>
      <c r="O42" t="e">
        <f>IF(P42=0,0,COUNTIF(#REF!,"TWS")*100/P42)</f>
        <v>#REF!</v>
      </c>
      <c r="P42" t="e">
        <f>5-COUNTIF(#REF!,"TWS")</f>
        <v>#REF!</v>
      </c>
      <c r="S42" t="e">
        <f>IF(P42=0,0,COUNTIF(#REF!,"ACAN")*100/P42)</f>
        <v>#REF!</v>
      </c>
      <c r="T42" t="e">
        <f>IF(P42=0,0,COUNTIF(#REF!,"ACROP")*100/P42)</f>
        <v>#REF!</v>
      </c>
      <c r="U42" t="e">
        <f>IF(P42=0,0,COUNTIF(#REF!,"ACROPARB")*100/P42)</f>
        <v>#REF!</v>
      </c>
      <c r="V42" t="e">
        <f>IF(P42=0,0,COUNTIF(#REF!,"ACROST")*100/P42)</f>
        <v>#REF!</v>
      </c>
      <c r="W42" t="e">
        <f>IF(P42=0,0,COUNTIF(#REF!,"ACROTBL")*100/P42)</f>
        <v>#REF!</v>
      </c>
      <c r="X42" t="e">
        <f>IF(P42=0,0,COUNTIF(#REF!,"ASTRP")*100/P42)</f>
        <v>#REF!</v>
      </c>
      <c r="Y42" t="e">
        <f>IF(P42=0,0,COUNTIF(#REF!,"CAUL")*100/P42)</f>
        <v>#REF!</v>
      </c>
      <c r="Z42" t="e">
        <f>IF(P42=0,0,COUNTIF(#REF!,"COSC")*100/P42)</f>
        <v>#REF!</v>
      </c>
      <c r="AA42" t="e">
        <f>IF(P42=0,0,COUNTIF(#REF!,"CTEN")*100/P42)</f>
        <v>#REF!</v>
      </c>
      <c r="AB42" t="e">
        <f>IF(P42=0,0,COUNTIF(#REF!,"CYPH")*100/P42)</f>
        <v>#REF!</v>
      </c>
      <c r="AC42" t="e">
        <f>IF(P42=0,0,COUNTIF(#REF!,"DIPLO")*100/P42)</f>
        <v>#REF!</v>
      </c>
      <c r="AD42" t="e">
        <f>IF(P42=0,0,COUNTIF(#REF!,"ECHPO")*100/P42)</f>
        <v>#REF!</v>
      </c>
      <c r="AE42" t="e">
        <f>IF(P42=0,0,COUNTIF(#REF!,"ECHPHY")*100/P42)</f>
        <v>#REF!</v>
      </c>
      <c r="AF42" t="e">
        <f>IF(P42=0,0,COUNTIF(#REF!,"EUPH")*100/P42)</f>
        <v>#REF!</v>
      </c>
      <c r="AG42" t="e">
        <f>IF(P42=0,0,COUNTIF(#REF!,"FAV")*100/P42)</f>
        <v>#REF!</v>
      </c>
      <c r="AH42" t="e">
        <f>IF(P42=0,0,COUNTIF(#REF!,"FAVT")*100/P42)</f>
        <v>#REF!</v>
      </c>
      <c r="AI42" t="e">
        <f>IF(P42=0,0,COUNTIF(#REF!,"FUNG")*100/P42)</f>
        <v>#REF!</v>
      </c>
      <c r="AJ42" t="e">
        <f>IF(P42=0,0,COUNTIF(#REF!,"GAL")*100/P42)</f>
        <v>#REF!</v>
      </c>
      <c r="AK42" t="e">
        <f>IF(P42=0,0,COUNTIF(#REF!,"GARD")*100/P42)</f>
        <v>#REF!</v>
      </c>
      <c r="AL42" t="e">
        <f>IF(P42=0,0,COUNTIF(#REF!,"GON")*100/P42)</f>
        <v>#REF!</v>
      </c>
      <c r="AM42" t="e">
        <f>IF(P42=0,0,COUNTIF(#REF!,"GONIO")*100/P42)</f>
        <v>#REF!</v>
      </c>
      <c r="AN42" t="e">
        <f>IF(P42=0,0,COUNTIF(#REF!,"HELIO")*100/P42)</f>
        <v>#REF!</v>
      </c>
      <c r="AO42" t="e">
        <f>IF(P42=0,0,COUNTIF(#REF!,"HERP")*100/P42)</f>
        <v>#REF!</v>
      </c>
      <c r="AP42" t="e">
        <f>IF(P42=0,0,COUNTIF(#REF!,"HYD")*100/P42)</f>
        <v>#REF!</v>
      </c>
      <c r="AQ42" t="e">
        <f>IF(P42=0,0,COUNTIF(#REF!,"ISOP")*100/P42)</f>
        <v>#REF!</v>
      </c>
      <c r="AR42" t="e">
        <f>IF(P42=0,0,COUNTIF(#REF!,"LEPT")*100/P42)</f>
        <v>#REF!</v>
      </c>
      <c r="AS42" t="e">
        <f>IF(P42=0,0,COUNTIF(#REF!,"LEPTOR")*100/P42)</f>
        <v>#REF!</v>
      </c>
      <c r="AT42" t="e">
        <f>IF(P42=0,0,COUNTIF(#REF!,"LEPTOS")*100/P42)</f>
        <v>#REF!</v>
      </c>
      <c r="AU42" t="e">
        <f>IF(P42=0,0,COUNTIF(#REF!,"LOBOPH")*100/P42)</f>
        <v>#REF!</v>
      </c>
      <c r="AV42" t="e">
        <f>IF(P42=0,0,COUNTIF(#REF!,"MERU")*100/P42)</f>
        <v>#REF!</v>
      </c>
      <c r="AW42" t="e">
        <f>IF(P42=0,0,COUNTIF(#REF!,"MILL")*100/P42)</f>
        <v>#REF!</v>
      </c>
      <c r="AX42" t="e">
        <f>IF(P42=0,0,COUNTIF(#REF!,"MONT")*100/P42)</f>
        <v>#REF!</v>
      </c>
      <c r="AY42" t="e">
        <f>IF(P42=0,0,COUNTIF(#REF!,"MONTI")*100/P42)</f>
        <v>#REF!</v>
      </c>
      <c r="AZ42" t="e">
        <f>IF(P42=0,0,COUNTIF(#REF!,"MYCED")*100/P42)</f>
        <v>#REF!</v>
      </c>
      <c r="BA42" t="e">
        <f>IF(P42=0,0,COUNTIF(#REF!,"OULO")*100/P42)</f>
        <v>#REF!</v>
      </c>
      <c r="BB42" t="e">
        <f>IF(P42=0,0,COUNTIF(#REF!,"OXYP")*100/P42)</f>
        <v>#REF!</v>
      </c>
      <c r="BC42" t="e">
        <f>IF(P42=0,0,COUNTIF(#REF!,"PLSIA")*100/P42)</f>
        <v>#REF!</v>
      </c>
      <c r="BD42" t="e">
        <f>IF(P42=0,0,COUNTIF(#REF!,"PACHY")*100/P42)</f>
        <v>#REF!</v>
      </c>
      <c r="BE42" t="e">
        <f>IF(P42=0,0,COUNTIF(#REF!,"PAV")*100/P42)</f>
        <v>#REF!</v>
      </c>
      <c r="BF42" t="e">
        <f>IF(P42=0,0,COUNTIF(#REF!,"PECT")*100/P42)</f>
        <v>#REF!</v>
      </c>
      <c r="BG42" t="e">
        <f>IF(P42=0,0,COUNTIF(#REF!,"PHYSO")*100/P42)</f>
        <v>#REF!</v>
      </c>
      <c r="BH42" t="e">
        <f>IF(P42=0,0,COUNTIF(#REF!,"PLAT")*100/P42)</f>
        <v>#REF!</v>
      </c>
      <c r="BI42" t="e">
        <f>IF(P42=0,0,COUNTIF(#REF!,"PLERO")*100/P42)</f>
        <v>#REF!</v>
      </c>
      <c r="BJ42" t="e">
        <f>IF(P42=0,0,COUNTIF(#REF!,"POC")*100/P42)</f>
        <v>#REF!</v>
      </c>
      <c r="BK42" t="e">
        <f>IF(P42=0,0,COUNTIF(#REF!,"POR")*100/P42)</f>
        <v>#REF!</v>
      </c>
      <c r="BL42" t="e">
        <f>IF(P42=0,0,COUNTIF(#REF!,"PORCYL")*100/P42)</f>
        <v>#REF!</v>
      </c>
      <c r="BM42" t="e">
        <f>IF(P42=0,0,COUNTIF(#REF!,"PORMAS")*100/P42)</f>
        <v>#REF!</v>
      </c>
      <c r="BN42" t="e">
        <f>IF(P42=0,0,COUNTIF(#REF!,"PORRUS")*100/P42)</f>
        <v>#REF!</v>
      </c>
      <c r="BO42" t="e">
        <f>IF(P42=0,0,COUNTIF(#REF!,"PSAM")*100/P42)</f>
        <v>#REF!</v>
      </c>
      <c r="BP42" t="e">
        <f>IF(P42=0,0,COUNTIF(#REF!,"SANDO")*100/P42)</f>
        <v>#REF!</v>
      </c>
      <c r="BQ42" t="e">
        <f>IF(P42=0,0,COUNTIF(#REF!,"SCAP")*100/P42)</f>
        <v>#REF!</v>
      </c>
      <c r="BR42" t="e">
        <f>IF(P42=0,0,COUNTIF(#REF!,"SERIA")*100/P42)</f>
        <v>#REF!</v>
      </c>
      <c r="BS42" t="e">
        <f>IF(P42=0,0,COUNTIF(#REF!,"STYLC")*100/P42)</f>
        <v>#REF!</v>
      </c>
      <c r="BT42" t="e">
        <f>IF(P42=0,0,COUNTIF(#REF!,"STYLO")*100/P42)</f>
        <v>#REF!</v>
      </c>
      <c r="BU42" t="e">
        <f>IF(P42=0,0,COUNTIF(#REF!,"SYMP")*100/P42)</f>
        <v>#REF!</v>
      </c>
      <c r="BV42" t="e">
        <f>IF(P42=0,0,COUNTIF(#REF!,"TURBIN")*100/P42)</f>
        <v>#REF!</v>
      </c>
      <c r="BX42" t="e">
        <f>IF(P42=0,0,COUNTIF(#REF!,"ANEM")*100/P42)</f>
        <v>#REF!</v>
      </c>
      <c r="BY42" t="e">
        <f>IF(P42=0,0,COUNTIF(#REF!,"ASC")*100/P42)</f>
        <v>#REF!</v>
      </c>
      <c r="BZ42" t="e">
        <f>IF(P42=0,0,COUNTIF(#REF!,"CUPS")*100/P42)</f>
        <v>#REF!</v>
      </c>
      <c r="CA42" t="e">
        <f>IF(P42=0,0,COUNTIF(#REF!,"DISCO")*100/P42)</f>
        <v>#REF!</v>
      </c>
      <c r="CB42" t="e">
        <f>IF(P42=0,0,COUNTIF(#REF!,"DYS")*100/P42)</f>
        <v>#REF!</v>
      </c>
      <c r="CC42" t="e">
        <f>IF(P42=0,0,COUNTIF(#REF!,"G")*100/P42)</f>
        <v>#REF!</v>
      </c>
      <c r="CD42" t="e">
        <f>IF(P42=0,0,COUNTIF(#REF!,"NoIDINV")*100/P42)</f>
        <v>#REF!</v>
      </c>
      <c r="CE42" t="e">
        <f>IF(P42=0,0,COUNTIF(#REF!,"OLV")*100/P42)</f>
        <v>#REF!</v>
      </c>
      <c r="CF42" t="e">
        <f>IF(P42=0,0,COUNTIF(#REF!,"SC")*100/P42)</f>
        <v>#REF!</v>
      </c>
      <c r="CG42" t="e">
        <f>IF(P42=0,0,COUNTIF(#REF!,"S")*100/P42)</f>
        <v>#REF!</v>
      </c>
      <c r="CH42" t="e">
        <f>IF(P42=0,0,COUNTIF(#REF!,"TERPS")*100/P42)</f>
        <v>#REF!</v>
      </c>
      <c r="CI42" t="e">
        <f>IF(P42=0,0,COUNTIF(#REF!,"Z")*100/P42)</f>
        <v>#REF!</v>
      </c>
      <c r="CK42" t="e">
        <f>IF(P42=0,0,COUNTIF(#REF!,"ASP")*100/P42)</f>
        <v>#REF!</v>
      </c>
      <c r="CL42" t="e">
        <f>IF(P42=0,0,COUNTIF(#REF!,"BG")*100/P42)</f>
        <v>#REF!</v>
      </c>
      <c r="CM42" t="e">
        <f>IF(P42=0,0,COUNTIF(#REF!,"Bood")*100/P42)</f>
        <v>#REF!</v>
      </c>
      <c r="CN42" t="e">
        <f>IF(P42=0,0,COUNTIF(#REF!,"BRYP")*100/P42)</f>
        <v>#REF!</v>
      </c>
      <c r="CO42" t="e">
        <f>IF(P42=0,0,COUNTIF(#REF!,"CLP")*100/P42)</f>
        <v>#REF!</v>
      </c>
      <c r="CP42" t="e">
        <f>IF(P42=0,0,COUNTIF(#REF!,"CHLDES")*100/P42)</f>
        <v>#REF!</v>
      </c>
      <c r="CQ42" t="e">
        <f>IF(P42=0,0,COUNTIF(#REF!,"DYCTY")*100/P42)</f>
        <v>#REF!</v>
      </c>
      <c r="CR42" t="e">
        <f>IF(P42=0,0,COUNTIF(#REF!,"DICT")*100/P42)</f>
        <v>#REF!</v>
      </c>
      <c r="CS42" t="e">
        <f>IF(P42=0,0,COUNTIF(#REF!,"GLXU")*100/P42)</f>
        <v>#REF!</v>
      </c>
      <c r="CT42" t="e">
        <f>IF(P42=0,0,COUNTIF(#REF!,"HALI")*100/P42)</f>
        <v>#REF!</v>
      </c>
      <c r="CU42" t="e">
        <f>IF(P42=0,0,COUNTIF(#REF!,"LIAG")*100/P42)</f>
        <v>#REF!</v>
      </c>
      <c r="CV42" t="e">
        <f>IF(P42=0,0,COUNTIF(#REF!,"LOBO")*100/P42)</f>
        <v>#REF!</v>
      </c>
      <c r="CW42" t="e">
        <f>IF(P42=0,0,COUNTIF(#REF!,"MAST")*100/P42)</f>
        <v>#REF!</v>
      </c>
      <c r="CX42" t="e">
        <f>IF(P42=0,0,COUNTIF(#REF!,"MICDTY")*100/P42)</f>
        <v>#REF!</v>
      </c>
      <c r="CY42" t="e">
        <f>IF(P42=0,0,COUNTIF(#REF!,"NEOM")*100/P42)</f>
        <v>#REF!</v>
      </c>
      <c r="CZ42" t="e">
        <f>IF(P42=0,0,COUNTIF(#REF!,"NOIDMAC")*100/P42)</f>
        <v>#REF!</v>
      </c>
      <c r="DA42" t="e">
        <f>IF(P42=0,0,COUNTIF(#REF!,"PAD")*100/P42)</f>
        <v>#REF!</v>
      </c>
      <c r="DB42" t="e">
        <f>IF(P42=0,0,COUNTIF(#REF!,"SARG")*100/P42)</f>
        <v>#REF!</v>
      </c>
      <c r="DC42" t="e">
        <f>IF(P42=0,0,COUNTIF(#REF!,"SCHIZ")*100/P42)</f>
        <v>#REF!</v>
      </c>
      <c r="DD42" t="e">
        <f>IF(P42=0,0,COUNTIF(#REF!,"TURB")*100/P42)</f>
        <v>#REF!</v>
      </c>
      <c r="DE42" t="e">
        <f>IF(P42=0,0,COUNTIF(#REF!,"TYDM")*100/P42)</f>
        <v>#REF!</v>
      </c>
      <c r="DG42" t="e">
        <f>IF(P42=0,0,COUNTIF(#REF!,"AMP")*100/P42)</f>
        <v>#REF!</v>
      </c>
      <c r="DH42" s="29" t="e">
        <f>IF(P42=0,0,COUNTIF(#REF!,"BCA1")*100/P42)</f>
        <v>#REF!</v>
      </c>
      <c r="DI42" t="e">
        <f>IF(P42=0,0,COUNTIF(#REF!,"JAN")*100/P42)</f>
        <v>#REF!</v>
      </c>
      <c r="DK42" s="29" t="e">
        <f>IF(P42=0,0,COUNTIF(#REF!,"CCA1")*100/P42)</f>
        <v>#REF!</v>
      </c>
      <c r="DM42" t="e">
        <f>IF(P42=0,0,COUNTIF(#REF!,"Sand")*100/P42)</f>
        <v>#REF!</v>
      </c>
      <c r="DO42" t="e">
        <f>IF(P42=0,0,COUNTIF(#REF!,"FCA1")*100/P42)</f>
        <v>#REF!</v>
      </c>
      <c r="DQ42" t="e">
        <f>IF(P42=0,0,COUNTIF(#REF!,"CHRYOBRN")*100/P42)</f>
        <v>#REF!</v>
      </c>
      <c r="DS42" t="e">
        <f>IF(P42=0,0,COUNTIF(#REF!,"TURF")*100/P42)</f>
        <v>#REF!</v>
      </c>
      <c r="DU42" t="e">
        <f>COUNTIF(#REF!,"Shadow")*100/5</f>
        <v>#REF!</v>
      </c>
      <c r="DV42" t="e">
        <f>COUNTIF(#REF!,"Tape")*100/5</f>
        <v>#REF!</v>
      </c>
      <c r="DW42" t="e">
        <f>COUNTIF(#REF!,"Wand")*100/5</f>
        <v>#REF!</v>
      </c>
      <c r="DY42" t="e">
        <f>IF(P42=0,0,COUNTIF(#REF!,"BC")*100/P42)</f>
        <v>#REF!</v>
      </c>
    </row>
    <row r="43" spans="1:129">
      <c r="A43">
        <v>41</v>
      </c>
      <c r="B43" t="s">
        <v>85</v>
      </c>
      <c r="F43" t="e">
        <f>IF(P43=0,0,COUNTIF(#REF!,"C")*100/P43)</f>
        <v>#REF!</v>
      </c>
      <c r="G43" t="e">
        <f>IF(P43=0,0,COUNTIF(#REF!,"OI")*100/P43)</f>
        <v>#REF!</v>
      </c>
      <c r="H43" t="e">
        <f>IF(P43=0,0,COUNTIF(#REF!,"MA")*100/P43)</f>
        <v>#REF!</v>
      </c>
      <c r="I43" t="e">
        <f>IF(P43=0,0,COUNTIF(#REF!,"BCA")*100/P43)</f>
        <v>#REF!</v>
      </c>
      <c r="J43" s="29" t="e">
        <f>IF(P43=0,0,COUNTIF(#REF!,"CCA")*100/P43)</f>
        <v>#REF!</v>
      </c>
      <c r="K43" t="e">
        <f>IF(P43=0,0,COUNTIF(#REF!,"SD")*100/P43)</f>
        <v>#REF!</v>
      </c>
      <c r="L43" s="29" t="e">
        <f>IF(P43=0,0,COUNTIF(#REF!,"FCA")*100/P43)</f>
        <v>#REF!</v>
      </c>
      <c r="M43" t="e">
        <f>IF(P43=0,0,COUNTIF(#REF!,"CHRYS")*100/P43)</f>
        <v>#REF!</v>
      </c>
      <c r="N43" t="e">
        <f>IF(P43=0,0,COUNTIF(#REF!,"T")*100/P43)</f>
        <v>#REF!</v>
      </c>
      <c r="O43" t="e">
        <f>IF(P43=0,0,COUNTIF(#REF!,"TWS")*100/P43)</f>
        <v>#REF!</v>
      </c>
      <c r="P43" t="e">
        <f>5-COUNTIF(#REF!,"TWS")</f>
        <v>#REF!</v>
      </c>
      <c r="S43" t="e">
        <f>IF(P43=0,0,COUNTIF(#REF!,"ACAN")*100/P43)</f>
        <v>#REF!</v>
      </c>
      <c r="T43" t="e">
        <f>IF(P43=0,0,COUNTIF(#REF!,"ACROP")*100/P43)</f>
        <v>#REF!</v>
      </c>
      <c r="U43" t="e">
        <f>IF(P43=0,0,COUNTIF(#REF!,"ACROPARB")*100/P43)</f>
        <v>#REF!</v>
      </c>
      <c r="V43" t="e">
        <f>IF(P43=0,0,COUNTIF(#REF!,"ACROST")*100/P43)</f>
        <v>#REF!</v>
      </c>
      <c r="W43" t="e">
        <f>IF(P43=0,0,COUNTIF(#REF!,"ACROTBL")*100/P43)</f>
        <v>#REF!</v>
      </c>
      <c r="X43" t="e">
        <f>IF(P43=0,0,COUNTIF(#REF!,"ASTRP")*100/P43)</f>
        <v>#REF!</v>
      </c>
      <c r="Y43" t="e">
        <f>IF(P43=0,0,COUNTIF(#REF!,"CAUL")*100/P43)</f>
        <v>#REF!</v>
      </c>
      <c r="Z43" t="e">
        <f>IF(P43=0,0,COUNTIF(#REF!,"COSC")*100/P43)</f>
        <v>#REF!</v>
      </c>
      <c r="AA43" t="e">
        <f>IF(P43=0,0,COUNTIF(#REF!,"CTEN")*100/P43)</f>
        <v>#REF!</v>
      </c>
      <c r="AB43" t="e">
        <f>IF(P43=0,0,COUNTIF(#REF!,"CYPH")*100/P43)</f>
        <v>#REF!</v>
      </c>
      <c r="AC43" t="e">
        <f>IF(P43=0,0,COUNTIF(#REF!,"DIPLO")*100/P43)</f>
        <v>#REF!</v>
      </c>
      <c r="AD43" t="e">
        <f>IF(P43=0,0,COUNTIF(#REF!,"ECHPO")*100/P43)</f>
        <v>#REF!</v>
      </c>
      <c r="AE43" t="e">
        <f>IF(P43=0,0,COUNTIF(#REF!,"ECHPHY")*100/P43)</f>
        <v>#REF!</v>
      </c>
      <c r="AF43" t="e">
        <f>IF(P43=0,0,COUNTIF(#REF!,"EUPH")*100/P43)</f>
        <v>#REF!</v>
      </c>
      <c r="AG43" t="e">
        <f>IF(P43=0,0,COUNTIF(#REF!,"FAV")*100/P43)</f>
        <v>#REF!</v>
      </c>
      <c r="AH43" t="e">
        <f>IF(P43=0,0,COUNTIF(#REF!,"FAVT")*100/P43)</f>
        <v>#REF!</v>
      </c>
      <c r="AI43" t="e">
        <f>IF(P43=0,0,COUNTIF(#REF!,"FUNG")*100/P43)</f>
        <v>#REF!</v>
      </c>
      <c r="AJ43" t="e">
        <f>IF(P43=0,0,COUNTIF(#REF!,"GAL")*100/P43)</f>
        <v>#REF!</v>
      </c>
      <c r="AK43" t="e">
        <f>IF(P43=0,0,COUNTIF(#REF!,"GARD")*100/P43)</f>
        <v>#REF!</v>
      </c>
      <c r="AL43" t="e">
        <f>IF(P43=0,0,COUNTIF(#REF!,"GON")*100/P43)</f>
        <v>#REF!</v>
      </c>
      <c r="AM43" t="e">
        <f>IF(P43=0,0,COUNTIF(#REF!,"GONIO")*100/P43)</f>
        <v>#REF!</v>
      </c>
      <c r="AN43" t="e">
        <f>IF(P43=0,0,COUNTIF(#REF!,"HELIO")*100/P43)</f>
        <v>#REF!</v>
      </c>
      <c r="AO43" t="e">
        <f>IF(P43=0,0,COUNTIF(#REF!,"HERP")*100/P43)</f>
        <v>#REF!</v>
      </c>
      <c r="AP43" t="e">
        <f>IF(P43=0,0,COUNTIF(#REF!,"HYD")*100/P43)</f>
        <v>#REF!</v>
      </c>
      <c r="AQ43" t="e">
        <f>IF(P43=0,0,COUNTIF(#REF!,"ISOP")*100/P43)</f>
        <v>#REF!</v>
      </c>
      <c r="AR43" t="e">
        <f>IF(P43=0,0,COUNTIF(#REF!,"LEPT")*100/P43)</f>
        <v>#REF!</v>
      </c>
      <c r="AS43" t="e">
        <f>IF(P43=0,0,COUNTIF(#REF!,"LEPTOR")*100/P43)</f>
        <v>#REF!</v>
      </c>
      <c r="AT43" t="e">
        <f>IF(P43=0,0,COUNTIF(#REF!,"LEPTOS")*100/P43)</f>
        <v>#REF!</v>
      </c>
      <c r="AU43" t="e">
        <f>IF(P43=0,0,COUNTIF(#REF!,"LOBOPH")*100/P43)</f>
        <v>#REF!</v>
      </c>
      <c r="AV43" t="e">
        <f>IF(P43=0,0,COUNTIF(#REF!,"MERU")*100/P43)</f>
        <v>#REF!</v>
      </c>
      <c r="AW43" t="e">
        <f>IF(P43=0,0,COUNTIF(#REF!,"MILL")*100/P43)</f>
        <v>#REF!</v>
      </c>
      <c r="AX43" t="e">
        <f>IF(P43=0,0,COUNTIF(#REF!,"MONT")*100/P43)</f>
        <v>#REF!</v>
      </c>
      <c r="AY43" t="e">
        <f>IF(P43=0,0,COUNTIF(#REF!,"MONTI")*100/P43)</f>
        <v>#REF!</v>
      </c>
      <c r="AZ43" t="e">
        <f>IF(P43=0,0,COUNTIF(#REF!,"MYCED")*100/P43)</f>
        <v>#REF!</v>
      </c>
      <c r="BA43" t="e">
        <f>IF(P43=0,0,COUNTIF(#REF!,"OULO")*100/P43)</f>
        <v>#REF!</v>
      </c>
      <c r="BB43" t="e">
        <f>IF(P43=0,0,COUNTIF(#REF!,"OXYP")*100/P43)</f>
        <v>#REF!</v>
      </c>
      <c r="BC43" t="e">
        <f>IF(P43=0,0,COUNTIF(#REF!,"PLSIA")*100/P43)</f>
        <v>#REF!</v>
      </c>
      <c r="BD43" t="e">
        <f>IF(P43=0,0,COUNTIF(#REF!,"PACHY")*100/P43)</f>
        <v>#REF!</v>
      </c>
      <c r="BE43" t="e">
        <f>IF(P43=0,0,COUNTIF(#REF!,"PAV")*100/P43)</f>
        <v>#REF!</v>
      </c>
      <c r="BF43" t="e">
        <f>IF(P43=0,0,COUNTIF(#REF!,"PECT")*100/P43)</f>
        <v>#REF!</v>
      </c>
      <c r="BG43" t="e">
        <f>IF(P43=0,0,COUNTIF(#REF!,"PHYSO")*100/P43)</f>
        <v>#REF!</v>
      </c>
      <c r="BH43" t="e">
        <f>IF(P43=0,0,COUNTIF(#REF!,"PLAT")*100/P43)</f>
        <v>#REF!</v>
      </c>
      <c r="BI43" t="e">
        <f>IF(P43=0,0,COUNTIF(#REF!,"PLERO")*100/P43)</f>
        <v>#REF!</v>
      </c>
      <c r="BJ43" t="e">
        <f>IF(P43=0,0,COUNTIF(#REF!,"POC")*100/P43)</f>
        <v>#REF!</v>
      </c>
      <c r="BK43" t="e">
        <f>IF(P43=0,0,COUNTIF(#REF!,"POR")*100/P43)</f>
        <v>#REF!</v>
      </c>
      <c r="BL43" t="e">
        <f>IF(P43=0,0,COUNTIF(#REF!,"PORCYL")*100/P43)</f>
        <v>#REF!</v>
      </c>
      <c r="BM43" t="e">
        <f>IF(P43=0,0,COUNTIF(#REF!,"PORMAS")*100/P43)</f>
        <v>#REF!</v>
      </c>
      <c r="BN43" t="e">
        <f>IF(P43=0,0,COUNTIF(#REF!,"PORRUS")*100/P43)</f>
        <v>#REF!</v>
      </c>
      <c r="BO43" t="e">
        <f>IF(P43=0,0,COUNTIF(#REF!,"PSAM")*100/P43)</f>
        <v>#REF!</v>
      </c>
      <c r="BP43" t="e">
        <f>IF(P43=0,0,COUNTIF(#REF!,"SANDO")*100/P43)</f>
        <v>#REF!</v>
      </c>
      <c r="BQ43" t="e">
        <f>IF(P43=0,0,COUNTIF(#REF!,"SCAP")*100/P43)</f>
        <v>#REF!</v>
      </c>
      <c r="BR43" t="e">
        <f>IF(P43=0,0,COUNTIF(#REF!,"SERIA")*100/P43)</f>
        <v>#REF!</v>
      </c>
      <c r="BS43" t="e">
        <f>IF(P43=0,0,COUNTIF(#REF!,"STYLC")*100/P43)</f>
        <v>#REF!</v>
      </c>
      <c r="BT43" t="e">
        <f>IF(P43=0,0,COUNTIF(#REF!,"STYLO")*100/P43)</f>
        <v>#REF!</v>
      </c>
      <c r="BU43" t="e">
        <f>IF(P43=0,0,COUNTIF(#REF!,"SYMP")*100/P43)</f>
        <v>#REF!</v>
      </c>
      <c r="BV43" t="e">
        <f>IF(P43=0,0,COUNTIF(#REF!,"TURBIN")*100/P43)</f>
        <v>#REF!</v>
      </c>
      <c r="BX43" t="e">
        <f>IF(P43=0,0,COUNTIF(#REF!,"ANEM")*100/P43)</f>
        <v>#REF!</v>
      </c>
      <c r="BY43" t="e">
        <f>IF(P43=0,0,COUNTIF(#REF!,"ASC")*100/P43)</f>
        <v>#REF!</v>
      </c>
      <c r="BZ43" t="e">
        <f>IF(P43=0,0,COUNTIF(#REF!,"CUPS")*100/P43)</f>
        <v>#REF!</v>
      </c>
      <c r="CA43" t="e">
        <f>IF(P43=0,0,COUNTIF(#REF!,"DISCO")*100/P43)</f>
        <v>#REF!</v>
      </c>
      <c r="CB43" t="e">
        <f>IF(P43=0,0,COUNTIF(#REF!,"DYS")*100/P43)</f>
        <v>#REF!</v>
      </c>
      <c r="CC43" t="e">
        <f>IF(P43=0,0,COUNTIF(#REF!,"G")*100/P43)</f>
        <v>#REF!</v>
      </c>
      <c r="CD43" t="e">
        <f>IF(P43=0,0,COUNTIF(#REF!,"NoIDINV")*100/P43)</f>
        <v>#REF!</v>
      </c>
      <c r="CE43" t="e">
        <f>IF(P43=0,0,COUNTIF(#REF!,"OLV")*100/P43)</f>
        <v>#REF!</v>
      </c>
      <c r="CF43" t="e">
        <f>IF(P43=0,0,COUNTIF(#REF!,"SC")*100/P43)</f>
        <v>#REF!</v>
      </c>
      <c r="CG43" t="e">
        <f>IF(P43=0,0,COUNTIF(#REF!,"S")*100/P43)</f>
        <v>#REF!</v>
      </c>
      <c r="CH43" t="e">
        <f>IF(P43=0,0,COUNTIF(#REF!,"TERPS")*100/P43)</f>
        <v>#REF!</v>
      </c>
      <c r="CI43" t="e">
        <f>IF(P43=0,0,COUNTIF(#REF!,"Z")*100/P43)</f>
        <v>#REF!</v>
      </c>
      <c r="CK43" t="e">
        <f>IF(P43=0,0,COUNTIF(#REF!,"ASP")*100/P43)</f>
        <v>#REF!</v>
      </c>
      <c r="CL43" t="e">
        <f>IF(P43=0,0,COUNTIF(#REF!,"BG")*100/P43)</f>
        <v>#REF!</v>
      </c>
      <c r="CM43" t="e">
        <f>IF(P43=0,0,COUNTIF(#REF!,"Bood")*100/P43)</f>
        <v>#REF!</v>
      </c>
      <c r="CN43" t="e">
        <f>IF(P43=0,0,COUNTIF(#REF!,"BRYP")*100/P43)</f>
        <v>#REF!</v>
      </c>
      <c r="CO43" t="e">
        <f>IF(P43=0,0,COUNTIF(#REF!,"CLP")*100/P43)</f>
        <v>#REF!</v>
      </c>
      <c r="CP43" t="e">
        <f>IF(P43=0,0,COUNTIF(#REF!,"CHLDES")*100/P43)</f>
        <v>#REF!</v>
      </c>
      <c r="CQ43" t="e">
        <f>IF(P43=0,0,COUNTIF(#REF!,"DYCTY")*100/P43)</f>
        <v>#REF!</v>
      </c>
      <c r="CR43" t="e">
        <f>IF(P43=0,0,COUNTIF(#REF!,"DICT")*100/P43)</f>
        <v>#REF!</v>
      </c>
      <c r="CS43" t="e">
        <f>IF(P43=0,0,COUNTIF(#REF!,"GLXU")*100/P43)</f>
        <v>#REF!</v>
      </c>
      <c r="CT43" t="e">
        <f>IF(P43=0,0,COUNTIF(#REF!,"HALI")*100/P43)</f>
        <v>#REF!</v>
      </c>
      <c r="CU43" t="e">
        <f>IF(P43=0,0,COUNTIF(#REF!,"LIAG")*100/P43)</f>
        <v>#REF!</v>
      </c>
      <c r="CV43" t="e">
        <f>IF(P43=0,0,COUNTIF(#REF!,"LOBO")*100/P43)</f>
        <v>#REF!</v>
      </c>
      <c r="CW43" t="e">
        <f>IF(P43=0,0,COUNTIF(#REF!,"MAST")*100/P43)</f>
        <v>#REF!</v>
      </c>
      <c r="CX43" t="e">
        <f>IF(P43=0,0,COUNTIF(#REF!,"MICDTY")*100/P43)</f>
        <v>#REF!</v>
      </c>
      <c r="CY43" t="e">
        <f>IF(P43=0,0,COUNTIF(#REF!,"NEOM")*100/P43)</f>
        <v>#REF!</v>
      </c>
      <c r="CZ43" t="e">
        <f>IF(P43=0,0,COUNTIF(#REF!,"NOIDMAC")*100/P43)</f>
        <v>#REF!</v>
      </c>
      <c r="DA43" t="e">
        <f>IF(P43=0,0,COUNTIF(#REF!,"PAD")*100/P43)</f>
        <v>#REF!</v>
      </c>
      <c r="DB43" t="e">
        <f>IF(P43=0,0,COUNTIF(#REF!,"SARG")*100/P43)</f>
        <v>#REF!</v>
      </c>
      <c r="DC43" t="e">
        <f>IF(P43=0,0,COUNTIF(#REF!,"SCHIZ")*100/P43)</f>
        <v>#REF!</v>
      </c>
      <c r="DD43" t="e">
        <f>IF(P43=0,0,COUNTIF(#REF!,"TURB")*100/P43)</f>
        <v>#REF!</v>
      </c>
      <c r="DE43" t="e">
        <f>IF(P43=0,0,COUNTIF(#REF!,"TYDM")*100/P43)</f>
        <v>#REF!</v>
      </c>
      <c r="DG43" t="e">
        <f>IF(P43=0,0,COUNTIF(#REF!,"AMP")*100/P43)</f>
        <v>#REF!</v>
      </c>
      <c r="DH43" t="e">
        <f>IF(P43=0,0,COUNTIF(#REF!,"BCA1")*100/P43)</f>
        <v>#REF!</v>
      </c>
      <c r="DI43" t="e">
        <f>IF(P43=0,0,COUNTIF(#REF!,"JAN")*100/P43)</f>
        <v>#REF!</v>
      </c>
      <c r="DK43" s="29" t="e">
        <f>IF(P43=0,0,COUNTIF(#REF!,"CCA1")*100/P43)</f>
        <v>#REF!</v>
      </c>
      <c r="DM43" t="e">
        <f>IF(P43=0,0,COUNTIF(#REF!,"Sand")*100/P43)</f>
        <v>#REF!</v>
      </c>
      <c r="DO43" s="29" t="e">
        <f>IF(P43=0,0,COUNTIF(#REF!,"FCA1")*100/P43)</f>
        <v>#REF!</v>
      </c>
      <c r="DQ43" t="e">
        <f>IF(P43=0,0,COUNTIF(#REF!,"CHRYOBRN")*100/P43)</f>
        <v>#REF!</v>
      </c>
      <c r="DS43" t="e">
        <f>IF(P43=0,0,COUNTIF(#REF!,"TURF")*100/P43)</f>
        <v>#REF!</v>
      </c>
      <c r="DU43" t="e">
        <f>COUNTIF(#REF!,"Shadow")*100/5</f>
        <v>#REF!</v>
      </c>
      <c r="DV43" t="e">
        <f>COUNTIF(#REF!,"Tape")*100/5</f>
        <v>#REF!</v>
      </c>
      <c r="DW43" t="e">
        <f>COUNTIF(#REF!,"Wand")*100/5</f>
        <v>#REF!</v>
      </c>
      <c r="DY43" t="e">
        <f>IF(P43=0,0,COUNTIF(#REF!,"BC")*100/P43)</f>
        <v>#REF!</v>
      </c>
    </row>
    <row r="44" spans="1:129">
      <c r="A44">
        <v>42</v>
      </c>
      <c r="B44" t="s">
        <v>86</v>
      </c>
      <c r="F44" s="29" t="e">
        <f>IF(P44=0,0,COUNTIF(#REF!,"C")*100/P44)</f>
        <v>#REF!</v>
      </c>
      <c r="G44" t="e">
        <f>IF(P44=0,0,COUNTIF(#REF!,"OI")*100/P44)</f>
        <v>#REF!</v>
      </c>
      <c r="H44" t="e">
        <f>IF(P44=0,0,COUNTIF(#REF!,"MA")*100/P44)</f>
        <v>#REF!</v>
      </c>
      <c r="I44" t="e">
        <f>IF(P44=0,0,COUNTIF(#REF!,"BCA")*100/P44)</f>
        <v>#REF!</v>
      </c>
      <c r="J44" t="e">
        <f>IF(P44=0,0,COUNTIF(#REF!,"CCA")*100/P44)</f>
        <v>#REF!</v>
      </c>
      <c r="K44" t="e">
        <f>IF(P44=0,0,COUNTIF(#REF!,"SD")*100/P44)</f>
        <v>#REF!</v>
      </c>
      <c r="L44" t="e">
        <f>IF(P44=0,0,COUNTIF(#REF!,"FCA")*100/P44)</f>
        <v>#REF!</v>
      </c>
      <c r="M44" t="e">
        <f>IF(P44=0,0,COUNTIF(#REF!,"CHRYS")*100/P44)</f>
        <v>#REF!</v>
      </c>
      <c r="N44" t="e">
        <f>IF(P44=0,0,COUNTIF(#REF!,"T")*100/P44)</f>
        <v>#REF!</v>
      </c>
      <c r="O44" t="e">
        <f>IF(P44=0,0,COUNTIF(#REF!,"TWS")*100/P44)</f>
        <v>#REF!</v>
      </c>
      <c r="P44" t="e">
        <f>5-COUNTIF(#REF!,"TWS")</f>
        <v>#REF!</v>
      </c>
      <c r="S44" t="e">
        <f>IF(P44=0,0,COUNTIF(#REF!,"ACAN")*100/P44)</f>
        <v>#REF!</v>
      </c>
      <c r="T44" t="e">
        <f>IF(P44=0,0,COUNTIF(#REF!,"ACROP")*100/P44)</f>
        <v>#REF!</v>
      </c>
      <c r="U44" t="e">
        <f>IF(P44=0,0,COUNTIF(#REF!,"ACROPARB")*100/P44)</f>
        <v>#REF!</v>
      </c>
      <c r="V44" t="e">
        <f>IF(P44=0,0,COUNTIF(#REF!,"ACROST")*100/P44)</f>
        <v>#REF!</v>
      </c>
      <c r="W44" s="29" t="e">
        <f>IF(P44=0,0,COUNTIF(#REF!,"ACROTBL")*100/P44)</f>
        <v>#REF!</v>
      </c>
      <c r="X44" t="e">
        <f>IF(P44=0,0,COUNTIF(#REF!,"ASTRP")*100/P44)</f>
        <v>#REF!</v>
      </c>
      <c r="Y44" t="e">
        <f>IF(P44=0,0,COUNTIF(#REF!,"CAUL")*100/P44)</f>
        <v>#REF!</v>
      </c>
      <c r="Z44" t="e">
        <f>IF(P44=0,0,COUNTIF(#REF!,"COSC")*100/P44)</f>
        <v>#REF!</v>
      </c>
      <c r="AA44" t="e">
        <f>IF(P44=0,0,COUNTIF(#REF!,"CTEN")*100/P44)</f>
        <v>#REF!</v>
      </c>
      <c r="AB44" t="e">
        <f>IF(P44=0,0,COUNTIF(#REF!,"CYPH")*100/P44)</f>
        <v>#REF!</v>
      </c>
      <c r="AC44" t="e">
        <f>IF(P44=0,0,COUNTIF(#REF!,"DIPLO")*100/P44)</f>
        <v>#REF!</v>
      </c>
      <c r="AD44" t="e">
        <f>IF(P44=0,0,COUNTIF(#REF!,"ECHPO")*100/P44)</f>
        <v>#REF!</v>
      </c>
      <c r="AE44" t="e">
        <f>IF(P44=0,0,COUNTIF(#REF!,"ECHPHY")*100/P44)</f>
        <v>#REF!</v>
      </c>
      <c r="AF44" t="e">
        <f>IF(P44=0,0,COUNTIF(#REF!,"EUPH")*100/P44)</f>
        <v>#REF!</v>
      </c>
      <c r="AG44" t="e">
        <f>IF(P44=0,0,COUNTIF(#REF!,"FAV")*100/P44)</f>
        <v>#REF!</v>
      </c>
      <c r="AH44" t="e">
        <f>IF(P44=0,0,COUNTIF(#REF!,"FAVT")*100/P44)</f>
        <v>#REF!</v>
      </c>
      <c r="AI44" t="e">
        <f>IF(P44=0,0,COUNTIF(#REF!,"FUNG")*100/P44)</f>
        <v>#REF!</v>
      </c>
      <c r="AJ44" t="e">
        <f>IF(P44=0,0,COUNTIF(#REF!,"GAL")*100/P44)</f>
        <v>#REF!</v>
      </c>
      <c r="AK44" t="e">
        <f>IF(P44=0,0,COUNTIF(#REF!,"GARD")*100/P44)</f>
        <v>#REF!</v>
      </c>
      <c r="AL44" s="29" t="e">
        <f>IF(P44=0,0,COUNTIF(#REF!,"GON")*100/P44)</f>
        <v>#REF!</v>
      </c>
      <c r="AM44" t="e">
        <f>IF(P44=0,0,COUNTIF(#REF!,"GONIO")*100/P44)</f>
        <v>#REF!</v>
      </c>
      <c r="AN44" t="e">
        <f>IF(P44=0,0,COUNTIF(#REF!,"HELIO")*100/P44)</f>
        <v>#REF!</v>
      </c>
      <c r="AO44" t="e">
        <f>IF(P44=0,0,COUNTIF(#REF!,"HERP")*100/P44)</f>
        <v>#REF!</v>
      </c>
      <c r="AP44" t="e">
        <f>IF(P44=0,0,COUNTIF(#REF!,"HYD")*100/P44)</f>
        <v>#REF!</v>
      </c>
      <c r="AQ44" t="e">
        <f>IF(P44=0,0,COUNTIF(#REF!,"ISOP")*100/P44)</f>
        <v>#REF!</v>
      </c>
      <c r="AR44" t="e">
        <f>IF(P44=0,0,COUNTIF(#REF!,"LEPT")*100/P44)</f>
        <v>#REF!</v>
      </c>
      <c r="AS44" t="e">
        <f>IF(P44=0,0,COUNTIF(#REF!,"LEPTOR")*100/P44)</f>
        <v>#REF!</v>
      </c>
      <c r="AT44" t="e">
        <f>IF(P44=0,0,COUNTIF(#REF!,"LEPTOS")*100/P44)</f>
        <v>#REF!</v>
      </c>
      <c r="AU44" s="29" t="e">
        <f>IF(P44=0,0,COUNTIF(#REF!,"LOBOPH")*100/P44)</f>
        <v>#REF!</v>
      </c>
      <c r="AV44" t="e">
        <f>IF(P44=0,0,COUNTIF(#REF!,"MERU")*100/P44)</f>
        <v>#REF!</v>
      </c>
      <c r="AW44" t="e">
        <f>IF(P44=0,0,COUNTIF(#REF!,"MILL")*100/P44)</f>
        <v>#REF!</v>
      </c>
      <c r="AX44" t="e">
        <f>IF(P44=0,0,COUNTIF(#REF!,"MONT")*100/P44)</f>
        <v>#REF!</v>
      </c>
      <c r="AY44" t="e">
        <f>IF(P44=0,0,COUNTIF(#REF!,"MONTI")*100/P44)</f>
        <v>#REF!</v>
      </c>
      <c r="AZ44" t="e">
        <f>IF(P44=0,0,COUNTIF(#REF!,"MYCED")*100/P44)</f>
        <v>#REF!</v>
      </c>
      <c r="BA44" t="e">
        <f>IF(P44=0,0,COUNTIF(#REF!,"OULO")*100/P44)</f>
        <v>#REF!</v>
      </c>
      <c r="BB44" t="e">
        <f>IF(P44=0,0,COUNTIF(#REF!,"OXYP")*100/P44)</f>
        <v>#REF!</v>
      </c>
      <c r="BC44" t="e">
        <f>IF(P44=0,0,COUNTIF(#REF!,"PLSIA")*100/P44)</f>
        <v>#REF!</v>
      </c>
      <c r="BD44" t="e">
        <f>IF(P44=0,0,COUNTIF(#REF!,"PACHY")*100/P44)</f>
        <v>#REF!</v>
      </c>
      <c r="BE44" t="e">
        <f>IF(P44=0,0,COUNTIF(#REF!,"PAV")*100/P44)</f>
        <v>#REF!</v>
      </c>
      <c r="BF44" t="e">
        <f>IF(P44=0,0,COUNTIF(#REF!,"PECT")*100/P44)</f>
        <v>#REF!</v>
      </c>
      <c r="BG44" t="e">
        <f>IF(P44=0,0,COUNTIF(#REF!,"PHYSO")*100/P44)</f>
        <v>#REF!</v>
      </c>
      <c r="BH44" t="e">
        <f>IF(P44=0,0,COUNTIF(#REF!,"PLAT")*100/P44)</f>
        <v>#REF!</v>
      </c>
      <c r="BI44" t="e">
        <f>IF(P44=0,0,COUNTIF(#REF!,"PLERO")*100/P44)</f>
        <v>#REF!</v>
      </c>
      <c r="BJ44" t="e">
        <f>IF(P44=0,0,COUNTIF(#REF!,"POC")*100/P44)</f>
        <v>#REF!</v>
      </c>
      <c r="BK44" t="e">
        <f>IF(P44=0,0,COUNTIF(#REF!,"POR")*100/P44)</f>
        <v>#REF!</v>
      </c>
      <c r="BL44" t="e">
        <f>IF(P44=0,0,COUNTIF(#REF!,"PORCYL")*100/P44)</f>
        <v>#REF!</v>
      </c>
      <c r="BM44" t="e">
        <f>IF(P44=0,0,COUNTIF(#REF!,"PORMAS")*100/P44)</f>
        <v>#REF!</v>
      </c>
      <c r="BN44" t="e">
        <f>IF(P44=0,0,COUNTIF(#REF!,"PORRUS")*100/P44)</f>
        <v>#REF!</v>
      </c>
      <c r="BO44" t="e">
        <f>IF(P44=0,0,COUNTIF(#REF!,"PSAM")*100/P44)</f>
        <v>#REF!</v>
      </c>
      <c r="BP44" t="e">
        <f>IF(P44=0,0,COUNTIF(#REF!,"SANDO")*100/P44)</f>
        <v>#REF!</v>
      </c>
      <c r="BQ44" t="e">
        <f>IF(P44=0,0,COUNTIF(#REF!,"SCAP")*100/P44)</f>
        <v>#REF!</v>
      </c>
      <c r="BR44" t="e">
        <f>IF(P44=0,0,COUNTIF(#REF!,"SERIA")*100/P44)</f>
        <v>#REF!</v>
      </c>
      <c r="BS44" t="e">
        <f>IF(P44=0,0,COUNTIF(#REF!,"STYLC")*100/P44)</f>
        <v>#REF!</v>
      </c>
      <c r="BT44" t="e">
        <f>IF(P44=0,0,COUNTIF(#REF!,"STYLO")*100/P44)</f>
        <v>#REF!</v>
      </c>
      <c r="BU44" t="e">
        <f>IF(P44=0,0,COUNTIF(#REF!,"SYMP")*100/P44)</f>
        <v>#REF!</v>
      </c>
      <c r="BV44" t="e">
        <f>IF(P44=0,0,COUNTIF(#REF!,"TURBIN")*100/P44)</f>
        <v>#REF!</v>
      </c>
      <c r="BX44" t="e">
        <f>IF(P44=0,0,COUNTIF(#REF!,"ANEM")*100/P44)</f>
        <v>#REF!</v>
      </c>
      <c r="BY44" t="e">
        <f>IF(P44=0,0,COUNTIF(#REF!,"ASC")*100/P44)</f>
        <v>#REF!</v>
      </c>
      <c r="BZ44" t="e">
        <f>IF(P44=0,0,COUNTIF(#REF!,"CUPS")*100/P44)</f>
        <v>#REF!</v>
      </c>
      <c r="CA44" t="e">
        <f>IF(P44=0,0,COUNTIF(#REF!,"DISCO")*100/P44)</f>
        <v>#REF!</v>
      </c>
      <c r="CB44" t="e">
        <f>IF(P44=0,0,COUNTIF(#REF!,"DYS")*100/P44)</f>
        <v>#REF!</v>
      </c>
      <c r="CC44" t="e">
        <f>IF(P44=0,0,COUNTIF(#REF!,"G")*100/P44)</f>
        <v>#REF!</v>
      </c>
      <c r="CD44" t="e">
        <f>IF(P44=0,0,COUNTIF(#REF!,"NoIDINV")*100/P44)</f>
        <v>#REF!</v>
      </c>
      <c r="CE44" t="e">
        <f>IF(P44=0,0,COUNTIF(#REF!,"OLV")*100/P44)</f>
        <v>#REF!</v>
      </c>
      <c r="CF44" t="e">
        <f>IF(P44=0,0,COUNTIF(#REF!,"SC")*100/P44)</f>
        <v>#REF!</v>
      </c>
      <c r="CG44" t="e">
        <f>IF(P44=0,0,COUNTIF(#REF!,"S")*100/P44)</f>
        <v>#REF!</v>
      </c>
      <c r="CH44" t="e">
        <f>IF(P44=0,0,COUNTIF(#REF!,"TERPS")*100/P44)</f>
        <v>#REF!</v>
      </c>
      <c r="CI44" t="e">
        <f>IF(P44=0,0,COUNTIF(#REF!,"Z")*100/P44)</f>
        <v>#REF!</v>
      </c>
      <c r="CK44" t="e">
        <f>IF(P44=0,0,COUNTIF(#REF!,"ASP")*100/P44)</f>
        <v>#REF!</v>
      </c>
      <c r="CL44" t="e">
        <f>IF(P44=0,0,COUNTIF(#REF!,"BG")*100/P44)</f>
        <v>#REF!</v>
      </c>
      <c r="CM44" t="e">
        <f>IF(P44=0,0,COUNTIF(#REF!,"Bood")*100/P44)</f>
        <v>#REF!</v>
      </c>
      <c r="CN44" t="e">
        <f>IF(P44=0,0,COUNTIF(#REF!,"BRYP")*100/P44)</f>
        <v>#REF!</v>
      </c>
      <c r="CO44" t="e">
        <f>IF(P44=0,0,COUNTIF(#REF!,"CLP")*100/P44)</f>
        <v>#REF!</v>
      </c>
      <c r="CP44" t="e">
        <f>IF(P44=0,0,COUNTIF(#REF!,"CHLDES")*100/P44)</f>
        <v>#REF!</v>
      </c>
      <c r="CQ44" t="e">
        <f>IF(P44=0,0,COUNTIF(#REF!,"DYCTY")*100/P44)</f>
        <v>#REF!</v>
      </c>
      <c r="CR44" t="e">
        <f>IF(P44=0,0,COUNTIF(#REF!,"DICT")*100/P44)</f>
        <v>#REF!</v>
      </c>
      <c r="CS44" t="e">
        <f>IF(P44=0,0,COUNTIF(#REF!,"GLXU")*100/P44)</f>
        <v>#REF!</v>
      </c>
      <c r="CT44" t="e">
        <f>IF(P44=0,0,COUNTIF(#REF!,"HALI")*100/P44)</f>
        <v>#REF!</v>
      </c>
      <c r="CU44" t="e">
        <f>IF(P44=0,0,COUNTIF(#REF!,"LIAG")*100/P44)</f>
        <v>#REF!</v>
      </c>
      <c r="CV44" t="e">
        <f>IF(P44=0,0,COUNTIF(#REF!,"LOBO")*100/P44)</f>
        <v>#REF!</v>
      </c>
      <c r="CW44" t="e">
        <f>IF(P44=0,0,COUNTIF(#REF!,"MAST")*100/P44)</f>
        <v>#REF!</v>
      </c>
      <c r="CX44" t="e">
        <f>IF(P44=0,0,COUNTIF(#REF!,"MICDTY")*100/P44)</f>
        <v>#REF!</v>
      </c>
      <c r="CY44" t="e">
        <f>IF(P44=0,0,COUNTIF(#REF!,"NEOM")*100/P44)</f>
        <v>#REF!</v>
      </c>
      <c r="CZ44" t="e">
        <f>IF(P44=0,0,COUNTIF(#REF!,"NOIDMAC")*100/P44)</f>
        <v>#REF!</v>
      </c>
      <c r="DA44" t="e">
        <f>IF(P44=0,0,COUNTIF(#REF!,"PAD")*100/P44)</f>
        <v>#REF!</v>
      </c>
      <c r="DB44" t="e">
        <f>IF(P44=0,0,COUNTIF(#REF!,"SARG")*100/P44)</f>
        <v>#REF!</v>
      </c>
      <c r="DC44" t="e">
        <f>IF(P44=0,0,COUNTIF(#REF!,"SCHIZ")*100/P44)</f>
        <v>#REF!</v>
      </c>
      <c r="DD44" t="e">
        <f>IF(P44=0,0,COUNTIF(#REF!,"TURB")*100/P44)</f>
        <v>#REF!</v>
      </c>
      <c r="DE44" t="e">
        <f>IF(P44=0,0,COUNTIF(#REF!,"TYDM")*100/P44)</f>
        <v>#REF!</v>
      </c>
      <c r="DG44" t="e">
        <f>IF(P44=0,0,COUNTIF(#REF!,"AMP")*100/P44)</f>
        <v>#REF!</v>
      </c>
      <c r="DH44" t="e">
        <f>IF(P44=0,0,COUNTIF(#REF!,"BCA1")*100/P44)</f>
        <v>#REF!</v>
      </c>
      <c r="DI44" t="e">
        <f>IF(P44=0,0,COUNTIF(#REF!,"JAN")*100/P44)</f>
        <v>#REF!</v>
      </c>
      <c r="DK44" t="e">
        <f>IF(P44=0,0,COUNTIF(#REF!,"CCA1")*100/P44)</f>
        <v>#REF!</v>
      </c>
      <c r="DM44" t="e">
        <f>IF(P44=0,0,COUNTIF(#REF!,"Sand")*100/P44)</f>
        <v>#REF!</v>
      </c>
      <c r="DO44" t="e">
        <f>IF(P44=0,0,COUNTIF(#REF!,"FCA1")*100/P44)</f>
        <v>#REF!</v>
      </c>
      <c r="DQ44" t="e">
        <f>IF(P44=0,0,COUNTIF(#REF!,"CHRYOBRN")*100/P44)</f>
        <v>#REF!</v>
      </c>
      <c r="DS44" t="e">
        <f>IF(P44=0,0,COUNTIF(#REF!,"TURF")*100/P44)</f>
        <v>#REF!</v>
      </c>
      <c r="DU44" t="e">
        <f>COUNTIF(#REF!,"Shadow")*100/5</f>
        <v>#REF!</v>
      </c>
      <c r="DV44" t="e">
        <f>COUNTIF(#REF!,"Tape")*100/5</f>
        <v>#REF!</v>
      </c>
      <c r="DW44" t="e">
        <f>COUNTIF(#REF!,"Wand")*100/5</f>
        <v>#REF!</v>
      </c>
      <c r="DY44" t="e">
        <f>IF(P44=0,0,COUNTIF(#REF!,"BC")*100/P44)</f>
        <v>#REF!</v>
      </c>
    </row>
    <row r="45" spans="1:129">
      <c r="A45">
        <v>43</v>
      </c>
      <c r="B45" t="s">
        <v>87</v>
      </c>
      <c r="F45" s="29" t="e">
        <f>IF(P45=0,0,COUNTIF(#REF!,"C")*100/P45)</f>
        <v>#REF!</v>
      </c>
      <c r="G45" t="e">
        <f>IF(P45=0,0,COUNTIF(#REF!,"OI")*100/P45)</f>
        <v>#REF!</v>
      </c>
      <c r="H45" t="e">
        <f>IF(P45=0,0,COUNTIF(#REF!,"MA")*100/P45)</f>
        <v>#REF!</v>
      </c>
      <c r="I45" t="e">
        <f>IF(P45=0,0,COUNTIF(#REF!,"BCA")*100/P45)</f>
        <v>#REF!</v>
      </c>
      <c r="J45" s="29" t="e">
        <f>IF(P45=0,0,COUNTIF(#REF!,"CCA")*100/P45)</f>
        <v>#REF!</v>
      </c>
      <c r="K45" t="e">
        <f>IF(P45=0,0,COUNTIF(#REF!,"SD")*100/P45)</f>
        <v>#REF!</v>
      </c>
      <c r="L45" t="e">
        <f>IF(P45=0,0,COUNTIF(#REF!,"FCA")*100/P45)</f>
        <v>#REF!</v>
      </c>
      <c r="M45" t="e">
        <f>IF(P45=0,0,COUNTIF(#REF!,"CHRYS")*100/P45)</f>
        <v>#REF!</v>
      </c>
      <c r="N45" s="29" t="e">
        <f>IF(P45=0,0,COUNTIF(#REF!,"T")*100/P45)</f>
        <v>#REF!</v>
      </c>
      <c r="O45" t="e">
        <f>IF(P45=0,0,COUNTIF(#REF!,"TWS")*100/P45)</f>
        <v>#REF!</v>
      </c>
      <c r="P45" t="e">
        <f>5-COUNTIF(#REF!,"TWS")</f>
        <v>#REF!</v>
      </c>
      <c r="S45" t="e">
        <f>IF(P45=0,0,COUNTIF(#REF!,"ACAN")*100/P45)</f>
        <v>#REF!</v>
      </c>
      <c r="T45" t="e">
        <f>IF(P45=0,0,COUNTIF(#REF!,"ACROP")*100/P45)</f>
        <v>#REF!</v>
      </c>
      <c r="U45" t="e">
        <f>IF(P45=0,0,COUNTIF(#REF!,"ACROPARB")*100/P45)</f>
        <v>#REF!</v>
      </c>
      <c r="V45" t="e">
        <f>IF(P45=0,0,COUNTIF(#REF!,"ACROST")*100/P45)</f>
        <v>#REF!</v>
      </c>
      <c r="W45" s="29" t="e">
        <f>IF(P45=0,0,COUNTIF(#REF!,"ACROTBL")*100/P45)</f>
        <v>#REF!</v>
      </c>
      <c r="X45" t="e">
        <f>IF(P45=0,0,COUNTIF(#REF!,"ASTRP")*100/P45)</f>
        <v>#REF!</v>
      </c>
      <c r="Y45" t="e">
        <f>IF(P45=0,0,COUNTIF(#REF!,"CAUL")*100/P45)</f>
        <v>#REF!</v>
      </c>
      <c r="Z45" t="e">
        <f>IF(P45=0,0,COUNTIF(#REF!,"COSC")*100/P45)</f>
        <v>#REF!</v>
      </c>
      <c r="AA45" t="e">
        <f>IF(P45=0,0,COUNTIF(#REF!,"CTEN")*100/P45)</f>
        <v>#REF!</v>
      </c>
      <c r="AB45" t="e">
        <f>IF(P45=0,0,COUNTIF(#REF!,"CYPH")*100/P45)</f>
        <v>#REF!</v>
      </c>
      <c r="AC45" t="e">
        <f>IF(P45=0,0,COUNTIF(#REF!,"DIPLO")*100/P45)</f>
        <v>#REF!</v>
      </c>
      <c r="AD45" t="e">
        <f>IF(P45=0,0,COUNTIF(#REF!,"ECHPO")*100/P45)</f>
        <v>#REF!</v>
      </c>
      <c r="AE45" t="e">
        <f>IF(P45=0,0,COUNTIF(#REF!,"ECHPHY")*100/P45)</f>
        <v>#REF!</v>
      </c>
      <c r="AF45" t="e">
        <f>IF(P45=0,0,COUNTIF(#REF!,"EUPH")*100/P45)</f>
        <v>#REF!</v>
      </c>
      <c r="AG45" t="e">
        <f>IF(P45=0,0,COUNTIF(#REF!,"FAV")*100/P45)</f>
        <v>#REF!</v>
      </c>
      <c r="AH45" t="e">
        <f>IF(P45=0,0,COUNTIF(#REF!,"FAVT")*100/P45)</f>
        <v>#REF!</v>
      </c>
      <c r="AI45" t="e">
        <f>IF(P45=0,0,COUNTIF(#REF!,"FUNG")*100/P45)</f>
        <v>#REF!</v>
      </c>
      <c r="AJ45" t="e">
        <f>IF(P45=0,0,COUNTIF(#REF!,"GAL")*100/P45)</f>
        <v>#REF!</v>
      </c>
      <c r="AK45" t="e">
        <f>IF(P45=0,0,COUNTIF(#REF!,"GARD")*100/P45)</f>
        <v>#REF!</v>
      </c>
      <c r="AL45" t="e">
        <f>IF(P45=0,0,COUNTIF(#REF!,"GON")*100/P45)</f>
        <v>#REF!</v>
      </c>
      <c r="AM45" t="e">
        <f>IF(P45=0,0,COUNTIF(#REF!,"GONIO")*100/P45)</f>
        <v>#REF!</v>
      </c>
      <c r="AN45" t="e">
        <f>IF(P45=0,0,COUNTIF(#REF!,"HELIO")*100/P45)</f>
        <v>#REF!</v>
      </c>
      <c r="AO45" t="e">
        <f>IF(P45=0,0,COUNTIF(#REF!,"HERP")*100/P45)</f>
        <v>#REF!</v>
      </c>
      <c r="AP45" t="e">
        <f>IF(P45=0,0,COUNTIF(#REF!,"HYD")*100/P45)</f>
        <v>#REF!</v>
      </c>
      <c r="AQ45" t="e">
        <f>IF(P45=0,0,COUNTIF(#REF!,"ISOP")*100/P45)</f>
        <v>#REF!</v>
      </c>
      <c r="AR45" t="e">
        <f>IF(P45=0,0,COUNTIF(#REF!,"LEPT")*100/P45)</f>
        <v>#REF!</v>
      </c>
      <c r="AS45" t="e">
        <f>IF(P45=0,0,COUNTIF(#REF!,"LEPTOR")*100/P45)</f>
        <v>#REF!</v>
      </c>
      <c r="AT45" t="e">
        <f>IF(P45=0,0,COUNTIF(#REF!,"LEPTOS")*100/P45)</f>
        <v>#REF!</v>
      </c>
      <c r="AU45" t="e">
        <f>IF(P45=0,0,COUNTIF(#REF!,"LOBOPH")*100/P45)</f>
        <v>#REF!</v>
      </c>
      <c r="AV45" t="e">
        <f>IF(P45=0,0,COUNTIF(#REF!,"MERU")*100/P45)</f>
        <v>#REF!</v>
      </c>
      <c r="AW45" t="e">
        <f>IF(P45=0,0,COUNTIF(#REF!,"MILL")*100/P45)</f>
        <v>#REF!</v>
      </c>
      <c r="AX45" t="e">
        <f>IF(P45=0,0,COUNTIF(#REF!,"MONT")*100/P45)</f>
        <v>#REF!</v>
      </c>
      <c r="AY45" t="e">
        <f>IF(P45=0,0,COUNTIF(#REF!,"MONTI")*100/P45)</f>
        <v>#REF!</v>
      </c>
      <c r="AZ45" t="e">
        <f>IF(P45=0,0,COUNTIF(#REF!,"MYCED")*100/P45)</f>
        <v>#REF!</v>
      </c>
      <c r="BA45" t="e">
        <f>IF(P45=0,0,COUNTIF(#REF!,"OULO")*100/P45)</f>
        <v>#REF!</v>
      </c>
      <c r="BB45" t="e">
        <f>IF(P45=0,0,COUNTIF(#REF!,"OXYP")*100/P45)</f>
        <v>#REF!</v>
      </c>
      <c r="BC45" t="e">
        <f>IF(P45=0,0,COUNTIF(#REF!,"PLSIA")*100/P45)</f>
        <v>#REF!</v>
      </c>
      <c r="BD45" t="e">
        <f>IF(P45=0,0,COUNTIF(#REF!,"PACHY")*100/P45)</f>
        <v>#REF!</v>
      </c>
      <c r="BE45" t="e">
        <f>IF(P45=0,0,COUNTIF(#REF!,"PAV")*100/P45)</f>
        <v>#REF!</v>
      </c>
      <c r="BF45" t="e">
        <f>IF(P45=0,0,COUNTIF(#REF!,"PECT")*100/P45)</f>
        <v>#REF!</v>
      </c>
      <c r="BG45" t="e">
        <f>IF(P45=0,0,COUNTIF(#REF!,"PHYSO")*100/P45)</f>
        <v>#REF!</v>
      </c>
      <c r="BH45" t="e">
        <f>IF(P45=0,0,COUNTIF(#REF!,"PLAT")*100/P45)</f>
        <v>#REF!</v>
      </c>
      <c r="BI45" t="e">
        <f>IF(P45=0,0,COUNTIF(#REF!,"PLERO")*100/P45)</f>
        <v>#REF!</v>
      </c>
      <c r="BJ45" t="e">
        <f>IF(P45=0,0,COUNTIF(#REF!,"POC")*100/P45)</f>
        <v>#REF!</v>
      </c>
      <c r="BK45" t="e">
        <f>IF(P45=0,0,COUNTIF(#REF!,"POR")*100/P45)</f>
        <v>#REF!</v>
      </c>
      <c r="BL45" t="e">
        <f>IF(P45=0,0,COUNTIF(#REF!,"PORCYL")*100/P45)</f>
        <v>#REF!</v>
      </c>
      <c r="BM45" t="e">
        <f>IF(P45=0,0,COUNTIF(#REF!,"PORMAS")*100/P45)</f>
        <v>#REF!</v>
      </c>
      <c r="BN45" t="e">
        <f>IF(P45=0,0,COUNTIF(#REF!,"PORRUS")*100/P45)</f>
        <v>#REF!</v>
      </c>
      <c r="BO45" t="e">
        <f>IF(P45=0,0,COUNTIF(#REF!,"PSAM")*100/P45)</f>
        <v>#REF!</v>
      </c>
      <c r="BP45" t="e">
        <f>IF(P45=0,0,COUNTIF(#REF!,"SANDO")*100/P45)</f>
        <v>#REF!</v>
      </c>
      <c r="BQ45" t="e">
        <f>IF(P45=0,0,COUNTIF(#REF!,"SCAP")*100/P45)</f>
        <v>#REF!</v>
      </c>
      <c r="BR45" t="e">
        <f>IF(P45=0,0,COUNTIF(#REF!,"SERIA")*100/P45)</f>
        <v>#REF!</v>
      </c>
      <c r="BS45" t="e">
        <f>IF(P45=0,0,COUNTIF(#REF!,"STYLC")*100/P45)</f>
        <v>#REF!</v>
      </c>
      <c r="BT45" t="e">
        <f>IF(P45=0,0,COUNTIF(#REF!,"STYLO")*100/P45)</f>
        <v>#REF!</v>
      </c>
      <c r="BU45" t="e">
        <f>IF(P45=0,0,COUNTIF(#REF!,"SYMP")*100/P45)</f>
        <v>#REF!</v>
      </c>
      <c r="BV45" t="e">
        <f>IF(P45=0,0,COUNTIF(#REF!,"TURBIN")*100/P45)</f>
        <v>#REF!</v>
      </c>
      <c r="BX45" t="e">
        <f>IF(P45=0,0,COUNTIF(#REF!,"ANEM")*100/P45)</f>
        <v>#REF!</v>
      </c>
      <c r="BY45" t="e">
        <f>IF(P45=0,0,COUNTIF(#REF!,"ASC")*100/P45)</f>
        <v>#REF!</v>
      </c>
      <c r="BZ45" t="e">
        <f>IF(P45=0,0,COUNTIF(#REF!,"CUPS")*100/P45)</f>
        <v>#REF!</v>
      </c>
      <c r="CA45" t="e">
        <f>IF(P45=0,0,COUNTIF(#REF!,"DISCO")*100/P45)</f>
        <v>#REF!</v>
      </c>
      <c r="CB45" t="e">
        <f>IF(P45=0,0,COUNTIF(#REF!,"DYS")*100/P45)</f>
        <v>#REF!</v>
      </c>
      <c r="CC45" t="e">
        <f>IF(P45=0,0,COUNTIF(#REF!,"G")*100/P45)</f>
        <v>#REF!</v>
      </c>
      <c r="CD45" t="e">
        <f>IF(P45=0,0,COUNTIF(#REF!,"NoIDINV")*100/P45)</f>
        <v>#REF!</v>
      </c>
      <c r="CE45" t="e">
        <f>IF(P45=0,0,COUNTIF(#REF!,"OLV")*100/P45)</f>
        <v>#REF!</v>
      </c>
      <c r="CF45" t="e">
        <f>IF(P45=0,0,COUNTIF(#REF!,"SC")*100/P45)</f>
        <v>#REF!</v>
      </c>
      <c r="CG45" t="e">
        <f>IF(P45=0,0,COUNTIF(#REF!,"S")*100/P45)</f>
        <v>#REF!</v>
      </c>
      <c r="CH45" t="e">
        <f>IF(P45=0,0,COUNTIF(#REF!,"TERPS")*100/P45)</f>
        <v>#REF!</v>
      </c>
      <c r="CI45" t="e">
        <f>IF(P45=0,0,COUNTIF(#REF!,"Z")*100/P45)</f>
        <v>#REF!</v>
      </c>
      <c r="CK45" t="e">
        <f>IF(P45=0,0,COUNTIF(#REF!,"ASP")*100/P45)</f>
        <v>#REF!</v>
      </c>
      <c r="CL45" t="e">
        <f>IF(P45=0,0,COUNTIF(#REF!,"BG")*100/P45)</f>
        <v>#REF!</v>
      </c>
      <c r="CM45" t="e">
        <f>IF(P45=0,0,COUNTIF(#REF!,"Bood")*100/P45)</f>
        <v>#REF!</v>
      </c>
      <c r="CN45" t="e">
        <f>IF(P45=0,0,COUNTIF(#REF!,"BRYP")*100/P45)</f>
        <v>#REF!</v>
      </c>
      <c r="CO45" t="e">
        <f>IF(P45=0,0,COUNTIF(#REF!,"CLP")*100/P45)</f>
        <v>#REF!</v>
      </c>
      <c r="CP45" t="e">
        <f>IF(P45=0,0,COUNTIF(#REF!,"CHLDES")*100/P45)</f>
        <v>#REF!</v>
      </c>
      <c r="CQ45" t="e">
        <f>IF(P45=0,0,COUNTIF(#REF!,"DYCTY")*100/P45)</f>
        <v>#REF!</v>
      </c>
      <c r="CR45" t="e">
        <f>IF(P45=0,0,COUNTIF(#REF!,"DICT")*100/P45)</f>
        <v>#REF!</v>
      </c>
      <c r="CS45" t="e">
        <f>IF(P45=0,0,COUNTIF(#REF!,"GLXU")*100/P45)</f>
        <v>#REF!</v>
      </c>
      <c r="CT45" t="e">
        <f>IF(P45=0,0,COUNTIF(#REF!,"HALI")*100/P45)</f>
        <v>#REF!</v>
      </c>
      <c r="CU45" t="e">
        <f>IF(P45=0,0,COUNTIF(#REF!,"LIAG")*100/P45)</f>
        <v>#REF!</v>
      </c>
      <c r="CV45" t="e">
        <f>IF(P45=0,0,COUNTIF(#REF!,"LOBO")*100/P45)</f>
        <v>#REF!</v>
      </c>
      <c r="CW45" t="e">
        <f>IF(P45=0,0,COUNTIF(#REF!,"MAST")*100/P45)</f>
        <v>#REF!</v>
      </c>
      <c r="CX45" t="e">
        <f>IF(P45=0,0,COUNTIF(#REF!,"MICDTY")*100/P45)</f>
        <v>#REF!</v>
      </c>
      <c r="CY45" t="e">
        <f>IF(P45=0,0,COUNTIF(#REF!,"NEOM")*100/P45)</f>
        <v>#REF!</v>
      </c>
      <c r="CZ45" t="e">
        <f>IF(P45=0,0,COUNTIF(#REF!,"NOIDMAC")*100/P45)</f>
        <v>#REF!</v>
      </c>
      <c r="DA45" t="e">
        <f>IF(P45=0,0,COUNTIF(#REF!,"PAD")*100/P45)</f>
        <v>#REF!</v>
      </c>
      <c r="DB45" t="e">
        <f>IF(P45=0,0,COUNTIF(#REF!,"SARG")*100/P45)</f>
        <v>#REF!</v>
      </c>
      <c r="DC45" t="e">
        <f>IF(P45=0,0,COUNTIF(#REF!,"SCHIZ")*100/P45)</f>
        <v>#REF!</v>
      </c>
      <c r="DD45" t="e">
        <f>IF(P45=0,0,COUNTIF(#REF!,"TURB")*100/P45)</f>
        <v>#REF!</v>
      </c>
      <c r="DE45" t="e">
        <f>IF(P45=0,0,COUNTIF(#REF!,"TYDM")*100/P45)</f>
        <v>#REF!</v>
      </c>
      <c r="DG45" t="e">
        <f>IF(P45=0,0,COUNTIF(#REF!,"AMP")*100/P45)</f>
        <v>#REF!</v>
      </c>
      <c r="DH45" t="e">
        <f>IF(P45=0,0,COUNTIF(#REF!,"BCA1")*100/P45)</f>
        <v>#REF!</v>
      </c>
      <c r="DI45" t="e">
        <f>IF(P45=0,0,COUNTIF(#REF!,"JAN")*100/P45)</f>
        <v>#REF!</v>
      </c>
      <c r="DK45" s="29" t="e">
        <f>IF(P45=0,0,COUNTIF(#REF!,"CCA1")*100/P45)</f>
        <v>#REF!</v>
      </c>
      <c r="DM45" t="e">
        <f>IF(P45=0,0,COUNTIF(#REF!,"Sand")*100/P45)</f>
        <v>#REF!</v>
      </c>
      <c r="DO45" t="e">
        <f>IF(P45=0,0,COUNTIF(#REF!,"FCA1")*100/P45)</f>
        <v>#REF!</v>
      </c>
      <c r="DQ45" t="e">
        <f>IF(P45=0,0,COUNTIF(#REF!,"CHRYOBRN")*100/P45)</f>
        <v>#REF!</v>
      </c>
      <c r="DS45" s="29" t="e">
        <f>IF(P45=0,0,COUNTIF(#REF!,"TURF")*100/P45)</f>
        <v>#REF!</v>
      </c>
      <c r="DU45" t="e">
        <f>COUNTIF(#REF!,"Shadow")*100/5</f>
        <v>#REF!</v>
      </c>
      <c r="DV45" t="e">
        <f>COUNTIF(#REF!,"Tape")*100/5</f>
        <v>#REF!</v>
      </c>
      <c r="DW45" t="e">
        <f>COUNTIF(#REF!,"Wand")*100/5</f>
        <v>#REF!</v>
      </c>
      <c r="DY45" t="e">
        <f>IF(P45=0,0,COUNTIF(#REF!,"BC")*100/P45)</f>
        <v>#REF!</v>
      </c>
    </row>
    <row r="46" spans="1:129">
      <c r="A46">
        <v>44</v>
      </c>
      <c r="B46" t="s">
        <v>88</v>
      </c>
      <c r="F46" s="29" t="e">
        <f>IF(P46=0,0,COUNTIF(#REF!,"C")*100/P46)</f>
        <v>#REF!</v>
      </c>
      <c r="G46" t="e">
        <f>IF(P46=0,0,COUNTIF(#REF!,"OI")*100/P46)</f>
        <v>#REF!</v>
      </c>
      <c r="H46" t="e">
        <f>IF(P46=0,0,COUNTIF(#REF!,"MA")*100/P46)</f>
        <v>#REF!</v>
      </c>
      <c r="I46" t="e">
        <f>IF(P46=0,0,COUNTIF(#REF!,"BCA")*100/P46)</f>
        <v>#REF!</v>
      </c>
      <c r="J46" s="29" t="e">
        <f>IF(P46=0,0,COUNTIF(#REF!,"CCA")*100/P46)</f>
        <v>#REF!</v>
      </c>
      <c r="K46" t="e">
        <f>IF(P46=0,0,COUNTIF(#REF!,"SD")*100/P46)</f>
        <v>#REF!</v>
      </c>
      <c r="L46" s="29" t="e">
        <f>IF(P46=0,0,COUNTIF(#REF!,"FCA")*100/P46)</f>
        <v>#REF!</v>
      </c>
      <c r="M46" t="e">
        <f>IF(P46=0,0,COUNTIF(#REF!,"CHRYS")*100/P46)</f>
        <v>#REF!</v>
      </c>
      <c r="N46" s="29" t="e">
        <f>IF(P46=0,0,COUNTIF(#REF!,"T")*100/P46)</f>
        <v>#REF!</v>
      </c>
      <c r="O46" t="e">
        <f>IF(P46=0,0,COUNTIF(#REF!,"TWS")*100/P46)</f>
        <v>#REF!</v>
      </c>
      <c r="P46" t="e">
        <f>5-COUNTIF(#REF!,"TWS")</f>
        <v>#REF!</v>
      </c>
      <c r="S46" t="e">
        <f>IF(P46=0,0,COUNTIF(#REF!,"ACAN")*100/P46)</f>
        <v>#REF!</v>
      </c>
      <c r="T46" s="29" t="e">
        <f>IF(P46=0,0,COUNTIF(#REF!,"ACROP")*100/P46)</f>
        <v>#REF!</v>
      </c>
      <c r="U46" t="e">
        <f>IF(P46=0,0,COUNTIF(#REF!,"ACROPARB")*100/P46)</f>
        <v>#REF!</v>
      </c>
      <c r="V46" t="e">
        <f>IF(P46=0,0,COUNTIF(#REF!,"ACROST")*100/P46)</f>
        <v>#REF!</v>
      </c>
      <c r="W46" t="e">
        <f>IF(P46=0,0,COUNTIF(#REF!,"ACROTBL")*100/P46)</f>
        <v>#REF!</v>
      </c>
      <c r="X46" t="e">
        <f>IF(P46=0,0,COUNTIF(#REF!,"ASTRP")*100/P46)</f>
        <v>#REF!</v>
      </c>
      <c r="Y46" t="e">
        <f>IF(P46=0,0,COUNTIF(#REF!,"CAUL")*100/P46)</f>
        <v>#REF!</v>
      </c>
      <c r="Z46" t="e">
        <f>IF(P46=0,0,COUNTIF(#REF!,"COSC")*100/P46)</f>
        <v>#REF!</v>
      </c>
      <c r="AA46" t="e">
        <f>IF(P46=0,0,COUNTIF(#REF!,"CTEN")*100/P46)</f>
        <v>#REF!</v>
      </c>
      <c r="AB46" t="e">
        <f>IF(P46=0,0,COUNTIF(#REF!,"CYPH")*100/P46)</f>
        <v>#REF!</v>
      </c>
      <c r="AC46" t="e">
        <f>IF(P46=0,0,COUNTIF(#REF!,"DIPLO")*100/P46)</f>
        <v>#REF!</v>
      </c>
      <c r="AD46" t="e">
        <f>IF(P46=0,0,COUNTIF(#REF!,"ECHPO")*100/P46)</f>
        <v>#REF!</v>
      </c>
      <c r="AE46" t="e">
        <f>IF(P46=0,0,COUNTIF(#REF!,"ECHPHY")*100/P46)</f>
        <v>#REF!</v>
      </c>
      <c r="AF46" t="e">
        <f>IF(P46=0,0,COUNTIF(#REF!,"EUPH")*100/P46)</f>
        <v>#REF!</v>
      </c>
      <c r="AG46" t="e">
        <f>IF(P46=0,0,COUNTIF(#REF!,"FAV")*100/P46)</f>
        <v>#REF!</v>
      </c>
      <c r="AH46" t="e">
        <f>IF(P46=0,0,COUNTIF(#REF!,"FAVT")*100/P46)</f>
        <v>#REF!</v>
      </c>
      <c r="AI46" t="e">
        <f>IF(P46=0,0,COUNTIF(#REF!,"FUNG")*100/P46)</f>
        <v>#REF!</v>
      </c>
      <c r="AJ46" t="e">
        <f>IF(P46=0,0,COUNTIF(#REF!,"GAL")*100/P46)</f>
        <v>#REF!</v>
      </c>
      <c r="AK46" t="e">
        <f>IF(P46=0,0,COUNTIF(#REF!,"GARD")*100/P46)</f>
        <v>#REF!</v>
      </c>
      <c r="AL46" t="e">
        <f>IF(P46=0,0,COUNTIF(#REF!,"GON")*100/P46)</f>
        <v>#REF!</v>
      </c>
      <c r="AM46" t="e">
        <f>IF(P46=0,0,COUNTIF(#REF!,"GONIO")*100/P46)</f>
        <v>#REF!</v>
      </c>
      <c r="AN46" t="e">
        <f>IF(P46=0,0,COUNTIF(#REF!,"HELIO")*100/P46)</f>
        <v>#REF!</v>
      </c>
      <c r="AO46" t="e">
        <f>IF(P46=0,0,COUNTIF(#REF!,"HERP")*100/P46)</f>
        <v>#REF!</v>
      </c>
      <c r="AP46" t="e">
        <f>IF(P46=0,0,COUNTIF(#REF!,"HYD")*100/P46)</f>
        <v>#REF!</v>
      </c>
      <c r="AQ46" t="e">
        <f>IF(P46=0,0,COUNTIF(#REF!,"ISOP")*100/P46)</f>
        <v>#REF!</v>
      </c>
      <c r="AR46" t="e">
        <f>IF(P46=0,0,COUNTIF(#REF!,"LEPT")*100/P46)</f>
        <v>#REF!</v>
      </c>
      <c r="AS46" t="e">
        <f>IF(P46=0,0,COUNTIF(#REF!,"LEPTOR")*100/P46)</f>
        <v>#REF!</v>
      </c>
      <c r="AT46" t="e">
        <f>IF(P46=0,0,COUNTIF(#REF!,"LEPTOS")*100/P46)</f>
        <v>#REF!</v>
      </c>
      <c r="AU46" t="e">
        <f>IF(P46=0,0,COUNTIF(#REF!,"LOBOPH")*100/P46)</f>
        <v>#REF!</v>
      </c>
      <c r="AV46" t="e">
        <f>IF(P46=0,0,COUNTIF(#REF!,"MERU")*100/P46)</f>
        <v>#REF!</v>
      </c>
      <c r="AW46" t="e">
        <f>IF(P46=0,0,COUNTIF(#REF!,"MILL")*100/P46)</f>
        <v>#REF!</v>
      </c>
      <c r="AX46" t="e">
        <f>IF(P46=0,0,COUNTIF(#REF!,"MONT")*100/P46)</f>
        <v>#REF!</v>
      </c>
      <c r="AY46" t="e">
        <f>IF(P46=0,0,COUNTIF(#REF!,"MONTI")*100/P46)</f>
        <v>#REF!</v>
      </c>
      <c r="AZ46" t="e">
        <f>IF(P46=0,0,COUNTIF(#REF!,"MYCED")*100/P46)</f>
        <v>#REF!</v>
      </c>
      <c r="BA46" t="e">
        <f>IF(P46=0,0,COUNTIF(#REF!,"OULO")*100/P46)</f>
        <v>#REF!</v>
      </c>
      <c r="BB46" t="e">
        <f>IF(P46=0,0,COUNTIF(#REF!,"OXYP")*100/P46)</f>
        <v>#REF!</v>
      </c>
      <c r="BC46" t="e">
        <f>IF(P46=0,0,COUNTIF(#REF!,"PLSIA")*100/P46)</f>
        <v>#REF!</v>
      </c>
      <c r="BD46" t="e">
        <f>IF(P46=0,0,COUNTIF(#REF!,"PACHY")*100/P46)</f>
        <v>#REF!</v>
      </c>
      <c r="BE46" t="e">
        <f>IF(P46=0,0,COUNTIF(#REF!,"PAV")*100/P46)</f>
        <v>#REF!</v>
      </c>
      <c r="BF46" t="e">
        <f>IF(P46=0,0,COUNTIF(#REF!,"PECT")*100/P46)</f>
        <v>#REF!</v>
      </c>
      <c r="BG46" t="e">
        <f>IF(P46=0,0,COUNTIF(#REF!,"PHYSO")*100/P46)</f>
        <v>#REF!</v>
      </c>
      <c r="BH46" t="e">
        <f>IF(P46=0,0,COUNTIF(#REF!,"PLAT")*100/P46)</f>
        <v>#REF!</v>
      </c>
      <c r="BI46" t="e">
        <f>IF(P46=0,0,COUNTIF(#REF!,"PLERO")*100/P46)</f>
        <v>#REF!</v>
      </c>
      <c r="BJ46" t="e">
        <f>IF(P46=0,0,COUNTIF(#REF!,"POC")*100/P46)</f>
        <v>#REF!</v>
      </c>
      <c r="BK46" t="e">
        <f>IF(P46=0,0,COUNTIF(#REF!,"POR")*100/P46)</f>
        <v>#REF!</v>
      </c>
      <c r="BL46" t="e">
        <f>IF(P46=0,0,COUNTIF(#REF!,"PORCYL")*100/P46)</f>
        <v>#REF!</v>
      </c>
      <c r="BM46" t="e">
        <f>IF(P46=0,0,COUNTIF(#REF!,"PORMAS")*100/P46)</f>
        <v>#REF!</v>
      </c>
      <c r="BN46" t="e">
        <f>IF(P46=0,0,COUNTIF(#REF!,"PORRUS")*100/P46)</f>
        <v>#REF!</v>
      </c>
      <c r="BO46" t="e">
        <f>IF(P46=0,0,COUNTIF(#REF!,"PSAM")*100/P46)</f>
        <v>#REF!</v>
      </c>
      <c r="BP46" t="e">
        <f>IF(P46=0,0,COUNTIF(#REF!,"SANDO")*100/P46)</f>
        <v>#REF!</v>
      </c>
      <c r="BQ46" t="e">
        <f>IF(P46=0,0,COUNTIF(#REF!,"SCAP")*100/P46)</f>
        <v>#REF!</v>
      </c>
      <c r="BR46" t="e">
        <f>IF(P46=0,0,COUNTIF(#REF!,"SERIA")*100/P46)</f>
        <v>#REF!</v>
      </c>
      <c r="BS46" t="e">
        <f>IF(P46=0,0,COUNTIF(#REF!,"STYLC")*100/P46)</f>
        <v>#REF!</v>
      </c>
      <c r="BT46" t="e">
        <f>IF(P46=0,0,COUNTIF(#REF!,"STYLO")*100/P46)</f>
        <v>#REF!</v>
      </c>
      <c r="BU46" t="e">
        <f>IF(P46=0,0,COUNTIF(#REF!,"SYMP")*100/P46)</f>
        <v>#REF!</v>
      </c>
      <c r="BV46" t="e">
        <f>IF(P46=0,0,COUNTIF(#REF!,"TURBIN")*100/P46)</f>
        <v>#REF!</v>
      </c>
      <c r="BX46" t="e">
        <f>IF(P46=0,0,COUNTIF(#REF!,"ANEM")*100/P46)</f>
        <v>#REF!</v>
      </c>
      <c r="BY46" t="e">
        <f>IF(P46=0,0,COUNTIF(#REF!,"ASC")*100/P46)</f>
        <v>#REF!</v>
      </c>
      <c r="BZ46" t="e">
        <f>IF(P46=0,0,COUNTIF(#REF!,"CUPS")*100/P46)</f>
        <v>#REF!</v>
      </c>
      <c r="CA46" t="e">
        <f>IF(P46=0,0,COUNTIF(#REF!,"DISCO")*100/P46)</f>
        <v>#REF!</v>
      </c>
      <c r="CB46" t="e">
        <f>IF(P46=0,0,COUNTIF(#REF!,"DYS")*100/P46)</f>
        <v>#REF!</v>
      </c>
      <c r="CC46" t="e">
        <f>IF(P46=0,0,COUNTIF(#REF!,"G")*100/P46)</f>
        <v>#REF!</v>
      </c>
      <c r="CD46" t="e">
        <f>IF(P46=0,0,COUNTIF(#REF!,"NoIDINV")*100/P46)</f>
        <v>#REF!</v>
      </c>
      <c r="CE46" t="e">
        <f>IF(P46=0,0,COUNTIF(#REF!,"OLV")*100/P46)</f>
        <v>#REF!</v>
      </c>
      <c r="CF46" t="e">
        <f>IF(P46=0,0,COUNTIF(#REF!,"SC")*100/P46)</f>
        <v>#REF!</v>
      </c>
      <c r="CG46" t="e">
        <f>IF(P46=0,0,COUNTIF(#REF!,"S")*100/P46)</f>
        <v>#REF!</v>
      </c>
      <c r="CH46" t="e">
        <f>IF(P46=0,0,COUNTIF(#REF!,"TERPS")*100/P46)</f>
        <v>#REF!</v>
      </c>
      <c r="CI46" t="e">
        <f>IF(P46=0,0,COUNTIF(#REF!,"Z")*100/P46)</f>
        <v>#REF!</v>
      </c>
      <c r="CK46" t="e">
        <f>IF(P46=0,0,COUNTIF(#REF!,"ASP")*100/P46)</f>
        <v>#REF!</v>
      </c>
      <c r="CL46" t="e">
        <f>IF(P46=0,0,COUNTIF(#REF!,"BG")*100/P46)</f>
        <v>#REF!</v>
      </c>
      <c r="CM46" t="e">
        <f>IF(P46=0,0,COUNTIF(#REF!,"Bood")*100/P46)</f>
        <v>#REF!</v>
      </c>
      <c r="CN46" t="e">
        <f>IF(P46=0,0,COUNTIF(#REF!,"BRYP")*100/P46)</f>
        <v>#REF!</v>
      </c>
      <c r="CO46" t="e">
        <f>IF(P46=0,0,COUNTIF(#REF!,"CLP")*100/P46)</f>
        <v>#REF!</v>
      </c>
      <c r="CP46" t="e">
        <f>IF(P46=0,0,COUNTIF(#REF!,"CHLDES")*100/P46)</f>
        <v>#REF!</v>
      </c>
      <c r="CQ46" t="e">
        <f>IF(P46=0,0,COUNTIF(#REF!,"DYCTY")*100/P46)</f>
        <v>#REF!</v>
      </c>
      <c r="CR46" t="e">
        <f>IF(P46=0,0,COUNTIF(#REF!,"DICT")*100/P46)</f>
        <v>#REF!</v>
      </c>
      <c r="CS46" t="e">
        <f>IF(P46=0,0,COUNTIF(#REF!,"GLXU")*100/P46)</f>
        <v>#REF!</v>
      </c>
      <c r="CT46" t="e">
        <f>IF(P46=0,0,COUNTIF(#REF!,"HALI")*100/P46)</f>
        <v>#REF!</v>
      </c>
      <c r="CU46" t="e">
        <f>IF(P46=0,0,COUNTIF(#REF!,"LIAG")*100/P46)</f>
        <v>#REF!</v>
      </c>
      <c r="CV46" t="e">
        <f>IF(P46=0,0,COUNTIF(#REF!,"LOBO")*100/P46)</f>
        <v>#REF!</v>
      </c>
      <c r="CW46" t="e">
        <f>IF(P46=0,0,COUNTIF(#REF!,"MAST")*100/P46)</f>
        <v>#REF!</v>
      </c>
      <c r="CX46" t="e">
        <f>IF(P46=0,0,COUNTIF(#REF!,"MICDTY")*100/P46)</f>
        <v>#REF!</v>
      </c>
      <c r="CY46" t="e">
        <f>IF(P46=0,0,COUNTIF(#REF!,"NEOM")*100/P46)</f>
        <v>#REF!</v>
      </c>
      <c r="CZ46" t="e">
        <f>IF(P46=0,0,COUNTIF(#REF!,"NOIDMAC")*100/P46)</f>
        <v>#REF!</v>
      </c>
      <c r="DA46" t="e">
        <f>IF(P46=0,0,COUNTIF(#REF!,"PAD")*100/P46)</f>
        <v>#REF!</v>
      </c>
      <c r="DB46" t="e">
        <f>IF(P46=0,0,COUNTIF(#REF!,"SARG")*100/P46)</f>
        <v>#REF!</v>
      </c>
      <c r="DC46" t="e">
        <f>IF(P46=0,0,COUNTIF(#REF!,"SCHIZ")*100/P46)</f>
        <v>#REF!</v>
      </c>
      <c r="DD46" t="e">
        <f>IF(P46=0,0,COUNTIF(#REF!,"TURB")*100/P46)</f>
        <v>#REF!</v>
      </c>
      <c r="DE46" t="e">
        <f>IF(P46=0,0,COUNTIF(#REF!,"TYDM")*100/P46)</f>
        <v>#REF!</v>
      </c>
      <c r="DG46" t="e">
        <f>IF(P46=0,0,COUNTIF(#REF!,"AMP")*100/P46)</f>
        <v>#REF!</v>
      </c>
      <c r="DH46" t="e">
        <f>IF(P46=0,0,COUNTIF(#REF!,"BCA1")*100/P46)</f>
        <v>#REF!</v>
      </c>
      <c r="DI46" t="e">
        <f>IF(P46=0,0,COUNTIF(#REF!,"JAN")*100/P46)</f>
        <v>#REF!</v>
      </c>
      <c r="DK46" s="29" t="e">
        <f>IF(P46=0,0,COUNTIF(#REF!,"CCA1")*100/P46)</f>
        <v>#REF!</v>
      </c>
      <c r="DM46" t="e">
        <f>IF(P46=0,0,COUNTIF(#REF!,"Sand")*100/P46)</f>
        <v>#REF!</v>
      </c>
      <c r="DO46" s="29" t="e">
        <f>IF(P46=0,0,COUNTIF(#REF!,"FCA1")*100/P46)</f>
        <v>#REF!</v>
      </c>
      <c r="DQ46" t="e">
        <f>IF(P46=0,0,COUNTIF(#REF!,"CHRYOBRN")*100/P46)</f>
        <v>#REF!</v>
      </c>
      <c r="DS46" s="29" t="e">
        <f>IF(P46=0,0,COUNTIF(#REF!,"TURF")*100/P46)</f>
        <v>#REF!</v>
      </c>
      <c r="DU46" t="e">
        <f>COUNTIF(#REF!,"Shadow")*100/5</f>
        <v>#REF!</v>
      </c>
      <c r="DV46" t="e">
        <f>COUNTIF(#REF!,"Tape")*100/5</f>
        <v>#REF!</v>
      </c>
      <c r="DW46" t="e">
        <f>COUNTIF(#REF!,"Wand")*100/5</f>
        <v>#REF!</v>
      </c>
      <c r="DY46" t="e">
        <f>IF(P46=0,0,COUNTIF(#REF!,"BC")*100/P46)</f>
        <v>#REF!</v>
      </c>
    </row>
    <row r="47" spans="1:129">
      <c r="A47">
        <v>45</v>
      </c>
      <c r="B47" t="s">
        <v>90</v>
      </c>
      <c r="F47" s="29" t="e">
        <f>IF(P47=0,0,COUNTIF(#REF!,"C")*100/P47)</f>
        <v>#REF!</v>
      </c>
      <c r="G47" t="e">
        <f>IF(P47=0,0,COUNTIF(#REF!,"OI")*100/P47)</f>
        <v>#REF!</v>
      </c>
      <c r="H47" t="e">
        <f>IF(P47=0,0,COUNTIF(#REF!,"MA")*100/P47)</f>
        <v>#REF!</v>
      </c>
      <c r="I47" t="e">
        <f>IF(P47=0,0,COUNTIF(#REF!,"BCA")*100/P47)</f>
        <v>#REF!</v>
      </c>
      <c r="J47" t="e">
        <f>IF(P47=0,0,COUNTIF(#REF!,"CCA")*100/P47)</f>
        <v>#REF!</v>
      </c>
      <c r="K47" t="e">
        <f>IF(P47=0,0,COUNTIF(#REF!,"SD")*100/P47)</f>
        <v>#REF!</v>
      </c>
      <c r="L47" s="29" t="e">
        <f>IF(P47=0,0,COUNTIF(#REF!,"FCA")*100/P47)</f>
        <v>#REF!</v>
      </c>
      <c r="M47" t="e">
        <f>IF(P47=0,0,COUNTIF(#REF!,"CHRYS")*100/P47)</f>
        <v>#REF!</v>
      </c>
      <c r="N47" s="29" t="e">
        <f>IF(P47=0,0,COUNTIF(#REF!,"T")*100/P47)</f>
        <v>#REF!</v>
      </c>
      <c r="O47" t="e">
        <f>IF(P47=0,0,COUNTIF(#REF!,"TWS")*100/P47)</f>
        <v>#REF!</v>
      </c>
      <c r="P47" t="e">
        <f>5-COUNTIF(#REF!,"TWS")</f>
        <v>#REF!</v>
      </c>
      <c r="S47" t="e">
        <f>IF(P47=0,0,COUNTIF(#REF!,"ACAN")*100/P47)</f>
        <v>#REF!</v>
      </c>
      <c r="T47" s="29" t="e">
        <f>IF(P47=0,0,COUNTIF(#REF!,"ACROP")*100/P47)</f>
        <v>#REF!</v>
      </c>
      <c r="U47" t="e">
        <f>IF(P47=0,0,COUNTIF(#REF!,"ACROPARB")*100/P47)</f>
        <v>#REF!</v>
      </c>
      <c r="V47" t="e">
        <f>IF(P47=0,0,COUNTIF(#REF!,"ACROST")*100/P47)</f>
        <v>#REF!</v>
      </c>
      <c r="W47" t="e">
        <f>IF(P47=0,0,COUNTIF(#REF!,"ACROTBL")*100/P47)</f>
        <v>#REF!</v>
      </c>
      <c r="X47" t="e">
        <f>IF(P47=0,0,COUNTIF(#REF!,"ASTRP")*100/P47)</f>
        <v>#REF!</v>
      </c>
      <c r="Y47" t="e">
        <f>IF(P47=0,0,COUNTIF(#REF!,"CAUL")*100/P47)</f>
        <v>#REF!</v>
      </c>
      <c r="Z47" t="e">
        <f>IF(P47=0,0,COUNTIF(#REF!,"COSC")*100/P47)</f>
        <v>#REF!</v>
      </c>
      <c r="AA47" t="e">
        <f>IF(P47=0,0,COUNTIF(#REF!,"CTEN")*100/P47)</f>
        <v>#REF!</v>
      </c>
      <c r="AB47" t="e">
        <f>IF(P47=0,0,COUNTIF(#REF!,"CYPH")*100/P47)</f>
        <v>#REF!</v>
      </c>
      <c r="AC47" t="e">
        <f>IF(P47=0,0,COUNTIF(#REF!,"DIPLO")*100/P47)</f>
        <v>#REF!</v>
      </c>
      <c r="AD47" t="e">
        <f>IF(P47=0,0,COUNTIF(#REF!,"ECHPO")*100/P47)</f>
        <v>#REF!</v>
      </c>
      <c r="AE47" t="e">
        <f>IF(P47=0,0,COUNTIF(#REF!,"ECHPHY")*100/P47)</f>
        <v>#REF!</v>
      </c>
      <c r="AF47" t="e">
        <f>IF(P47=0,0,COUNTIF(#REF!,"EUPH")*100/P47)</f>
        <v>#REF!</v>
      </c>
      <c r="AG47" t="e">
        <f>IF(P47=0,0,COUNTIF(#REF!,"FAV")*100/P47)</f>
        <v>#REF!</v>
      </c>
      <c r="AH47" t="e">
        <f>IF(P47=0,0,COUNTIF(#REF!,"FAVT")*100/P47)</f>
        <v>#REF!</v>
      </c>
      <c r="AI47" t="e">
        <f>IF(P47=0,0,COUNTIF(#REF!,"FUNG")*100/P47)</f>
        <v>#REF!</v>
      </c>
      <c r="AJ47" t="e">
        <f>IF(P47=0,0,COUNTIF(#REF!,"GAL")*100/P47)</f>
        <v>#REF!</v>
      </c>
      <c r="AK47" t="e">
        <f>IF(P47=0,0,COUNTIF(#REF!,"GARD")*100/P47)</f>
        <v>#REF!</v>
      </c>
      <c r="AL47" t="e">
        <f>IF(P47=0,0,COUNTIF(#REF!,"GON")*100/P47)</f>
        <v>#REF!</v>
      </c>
      <c r="AM47" t="e">
        <f>IF(P47=0,0,COUNTIF(#REF!,"GONIO")*100/P47)</f>
        <v>#REF!</v>
      </c>
      <c r="AN47" t="e">
        <f>IF(P47=0,0,COUNTIF(#REF!,"HELIO")*100/P47)</f>
        <v>#REF!</v>
      </c>
      <c r="AO47" t="e">
        <f>IF(P47=0,0,COUNTIF(#REF!,"HERP")*100/P47)</f>
        <v>#REF!</v>
      </c>
      <c r="AP47" t="e">
        <f>IF(P47=0,0,COUNTIF(#REF!,"HYD")*100/P47)</f>
        <v>#REF!</v>
      </c>
      <c r="AQ47" t="e">
        <f>IF(P47=0,0,COUNTIF(#REF!,"ISOP")*100/P47)</f>
        <v>#REF!</v>
      </c>
      <c r="AR47" t="e">
        <f>IF(P47=0,0,COUNTIF(#REF!,"LEPT")*100/P47)</f>
        <v>#REF!</v>
      </c>
      <c r="AS47" t="e">
        <f>IF(P47=0,0,COUNTIF(#REF!,"LEPTOR")*100/P47)</f>
        <v>#REF!</v>
      </c>
      <c r="AT47" t="e">
        <f>IF(P47=0,0,COUNTIF(#REF!,"LEPTOS")*100/P47)</f>
        <v>#REF!</v>
      </c>
      <c r="AU47" t="e">
        <f>IF(P47=0,0,COUNTIF(#REF!,"LOBOPH")*100/P47)</f>
        <v>#REF!</v>
      </c>
      <c r="AV47" t="e">
        <f>IF(P47=0,0,COUNTIF(#REF!,"MERU")*100/P47)</f>
        <v>#REF!</v>
      </c>
      <c r="AW47" t="e">
        <f>IF(P47=0,0,COUNTIF(#REF!,"MILL")*100/P47)</f>
        <v>#REF!</v>
      </c>
      <c r="AX47" t="e">
        <f>IF(P47=0,0,COUNTIF(#REF!,"MONT")*100/P47)</f>
        <v>#REF!</v>
      </c>
      <c r="AY47" t="e">
        <f>IF(P47=0,0,COUNTIF(#REF!,"MONTI")*100/P47)</f>
        <v>#REF!</v>
      </c>
      <c r="AZ47" t="e">
        <f>IF(P47=0,0,COUNTIF(#REF!,"MYCED")*100/P47)</f>
        <v>#REF!</v>
      </c>
      <c r="BA47" t="e">
        <f>IF(P47=0,0,COUNTIF(#REF!,"OULO")*100/P47)</f>
        <v>#REF!</v>
      </c>
      <c r="BB47" t="e">
        <f>IF(P47=0,0,COUNTIF(#REF!,"OXYP")*100/P47)</f>
        <v>#REF!</v>
      </c>
      <c r="BC47" t="e">
        <f>IF(P47=0,0,COUNTIF(#REF!,"PLSIA")*100/P47)</f>
        <v>#REF!</v>
      </c>
      <c r="BD47" t="e">
        <f>IF(P47=0,0,COUNTIF(#REF!,"PACHY")*100/P47)</f>
        <v>#REF!</v>
      </c>
      <c r="BE47" t="e">
        <f>IF(P47=0,0,COUNTIF(#REF!,"PAV")*100/P47)</f>
        <v>#REF!</v>
      </c>
      <c r="BF47" t="e">
        <f>IF(P47=0,0,COUNTIF(#REF!,"PECT")*100/P47)</f>
        <v>#REF!</v>
      </c>
      <c r="BG47" t="e">
        <f>IF(P47=0,0,COUNTIF(#REF!,"PHYSO")*100/P47)</f>
        <v>#REF!</v>
      </c>
      <c r="BH47" t="e">
        <f>IF(P47=0,0,COUNTIF(#REF!,"PLAT")*100/P47)</f>
        <v>#REF!</v>
      </c>
      <c r="BI47" t="e">
        <f>IF(P47=0,0,COUNTIF(#REF!,"PLERO")*100/P47)</f>
        <v>#REF!</v>
      </c>
      <c r="BJ47" t="e">
        <f>IF(P47=0,0,COUNTIF(#REF!,"POC")*100/P47)</f>
        <v>#REF!</v>
      </c>
      <c r="BK47" t="e">
        <f>IF(P47=0,0,COUNTIF(#REF!,"POR")*100/P47)</f>
        <v>#REF!</v>
      </c>
      <c r="BL47" t="e">
        <f>IF(P47=0,0,COUNTIF(#REF!,"PORCYL")*100/P47)</f>
        <v>#REF!</v>
      </c>
      <c r="BM47" t="e">
        <f>IF(P47=0,0,COUNTIF(#REF!,"PORMAS")*100/P47)</f>
        <v>#REF!</v>
      </c>
      <c r="BN47" t="e">
        <f>IF(P47=0,0,COUNTIF(#REF!,"PORRUS")*100/P47)</f>
        <v>#REF!</v>
      </c>
      <c r="BO47" t="e">
        <f>IF(P47=0,0,COUNTIF(#REF!,"PSAM")*100/P47)</f>
        <v>#REF!</v>
      </c>
      <c r="BP47" t="e">
        <f>IF(P47=0,0,COUNTIF(#REF!,"SANDO")*100/P47)</f>
        <v>#REF!</v>
      </c>
      <c r="BQ47" t="e">
        <f>IF(P47=0,0,COUNTIF(#REF!,"SCAP")*100/P47)</f>
        <v>#REF!</v>
      </c>
      <c r="BR47" t="e">
        <f>IF(P47=0,0,COUNTIF(#REF!,"SERIA")*100/P47)</f>
        <v>#REF!</v>
      </c>
      <c r="BS47" t="e">
        <f>IF(P47=0,0,COUNTIF(#REF!,"STYLC")*100/P47)</f>
        <v>#REF!</v>
      </c>
      <c r="BT47" t="e">
        <f>IF(P47=0,0,COUNTIF(#REF!,"STYLO")*100/P47)</f>
        <v>#REF!</v>
      </c>
      <c r="BU47" t="e">
        <f>IF(P47=0,0,COUNTIF(#REF!,"SYMP")*100/P47)</f>
        <v>#REF!</v>
      </c>
      <c r="BV47" t="e">
        <f>IF(P47=0,0,COUNTIF(#REF!,"TURBIN")*100/P47)</f>
        <v>#REF!</v>
      </c>
      <c r="BX47" t="e">
        <f>IF(P47=0,0,COUNTIF(#REF!,"ANEM")*100/P47)</f>
        <v>#REF!</v>
      </c>
      <c r="BY47" t="e">
        <f>IF(P47=0,0,COUNTIF(#REF!,"ASC")*100/P47)</f>
        <v>#REF!</v>
      </c>
      <c r="BZ47" t="e">
        <f>IF(P47=0,0,COUNTIF(#REF!,"CUPS")*100/P47)</f>
        <v>#REF!</v>
      </c>
      <c r="CA47" t="e">
        <f>IF(P47=0,0,COUNTIF(#REF!,"DISCO")*100/P47)</f>
        <v>#REF!</v>
      </c>
      <c r="CB47" t="e">
        <f>IF(P47=0,0,COUNTIF(#REF!,"DYS")*100/P47)</f>
        <v>#REF!</v>
      </c>
      <c r="CC47" t="e">
        <f>IF(P47=0,0,COUNTIF(#REF!,"G")*100/P47)</f>
        <v>#REF!</v>
      </c>
      <c r="CD47" t="e">
        <f>IF(P47=0,0,COUNTIF(#REF!,"NoIDINV")*100/P47)</f>
        <v>#REF!</v>
      </c>
      <c r="CE47" t="e">
        <f>IF(P47=0,0,COUNTIF(#REF!,"OLV")*100/P47)</f>
        <v>#REF!</v>
      </c>
      <c r="CF47" t="e">
        <f>IF(P47=0,0,COUNTIF(#REF!,"SC")*100/P47)</f>
        <v>#REF!</v>
      </c>
      <c r="CG47" t="e">
        <f>IF(P47=0,0,COUNTIF(#REF!,"S")*100/P47)</f>
        <v>#REF!</v>
      </c>
      <c r="CH47" t="e">
        <f>IF(P47=0,0,COUNTIF(#REF!,"TERPS")*100/P47)</f>
        <v>#REF!</v>
      </c>
      <c r="CI47" t="e">
        <f>IF(P47=0,0,COUNTIF(#REF!,"Z")*100/P47)</f>
        <v>#REF!</v>
      </c>
      <c r="CK47" t="e">
        <f>IF(P47=0,0,COUNTIF(#REF!,"ASP")*100/P47)</f>
        <v>#REF!</v>
      </c>
      <c r="CL47" t="e">
        <f>IF(P47=0,0,COUNTIF(#REF!,"BG")*100/P47)</f>
        <v>#REF!</v>
      </c>
      <c r="CM47" t="e">
        <f>IF(P47=0,0,COUNTIF(#REF!,"Bood")*100/P47)</f>
        <v>#REF!</v>
      </c>
      <c r="CN47" t="e">
        <f>IF(P47=0,0,COUNTIF(#REF!,"BRYP")*100/P47)</f>
        <v>#REF!</v>
      </c>
      <c r="CO47" t="e">
        <f>IF(P47=0,0,COUNTIF(#REF!,"CLP")*100/P47)</f>
        <v>#REF!</v>
      </c>
      <c r="CP47" t="e">
        <f>IF(P47=0,0,COUNTIF(#REF!,"CHLDES")*100/P47)</f>
        <v>#REF!</v>
      </c>
      <c r="CQ47" t="e">
        <f>IF(P47=0,0,COUNTIF(#REF!,"DYCTY")*100/P47)</f>
        <v>#REF!</v>
      </c>
      <c r="CR47" t="e">
        <f>IF(P47=0,0,COUNTIF(#REF!,"DICT")*100/P47)</f>
        <v>#REF!</v>
      </c>
      <c r="CS47" t="e">
        <f>IF(P47=0,0,COUNTIF(#REF!,"GLXU")*100/P47)</f>
        <v>#REF!</v>
      </c>
      <c r="CT47" t="e">
        <f>IF(P47=0,0,COUNTIF(#REF!,"HALI")*100/P47)</f>
        <v>#REF!</v>
      </c>
      <c r="CU47" t="e">
        <f>IF(P47=0,0,COUNTIF(#REF!,"LIAG")*100/P47)</f>
        <v>#REF!</v>
      </c>
      <c r="CV47" t="e">
        <f>IF(P47=0,0,COUNTIF(#REF!,"LOBO")*100/P47)</f>
        <v>#REF!</v>
      </c>
      <c r="CW47" t="e">
        <f>IF(P47=0,0,COUNTIF(#REF!,"MAST")*100/P47)</f>
        <v>#REF!</v>
      </c>
      <c r="CX47" t="e">
        <f>IF(P47=0,0,COUNTIF(#REF!,"MICDTY")*100/P47)</f>
        <v>#REF!</v>
      </c>
      <c r="CY47" t="e">
        <f>IF(P47=0,0,COUNTIF(#REF!,"NEOM")*100/P47)</f>
        <v>#REF!</v>
      </c>
      <c r="CZ47" t="e">
        <f>IF(P47=0,0,COUNTIF(#REF!,"NOIDMAC")*100/P47)</f>
        <v>#REF!</v>
      </c>
      <c r="DA47" t="e">
        <f>IF(P47=0,0,COUNTIF(#REF!,"PAD")*100/P47)</f>
        <v>#REF!</v>
      </c>
      <c r="DB47" t="e">
        <f>IF(P47=0,0,COUNTIF(#REF!,"SARG")*100/P47)</f>
        <v>#REF!</v>
      </c>
      <c r="DC47" t="e">
        <f>IF(P47=0,0,COUNTIF(#REF!,"SCHIZ")*100/P47)</f>
        <v>#REF!</v>
      </c>
      <c r="DD47" t="e">
        <f>IF(P47=0,0,COUNTIF(#REF!,"TURB")*100/P47)</f>
        <v>#REF!</v>
      </c>
      <c r="DE47" t="e">
        <f>IF(P47=0,0,COUNTIF(#REF!,"TYDM")*100/P47)</f>
        <v>#REF!</v>
      </c>
      <c r="DG47" t="e">
        <f>IF(P47=0,0,COUNTIF(#REF!,"AMP")*100/P47)</f>
        <v>#REF!</v>
      </c>
      <c r="DH47" t="e">
        <f>IF(P47=0,0,COUNTIF(#REF!,"BCA1")*100/P47)</f>
        <v>#REF!</v>
      </c>
      <c r="DI47" t="e">
        <f>IF(P47=0,0,COUNTIF(#REF!,"JAN")*100/P47)</f>
        <v>#REF!</v>
      </c>
      <c r="DK47" t="e">
        <f>IF(P47=0,0,COUNTIF(#REF!,"CCA1")*100/P47)</f>
        <v>#REF!</v>
      </c>
      <c r="DM47" t="e">
        <f>IF(P47=0,0,COUNTIF(#REF!,"Sand")*100/P47)</f>
        <v>#REF!</v>
      </c>
      <c r="DO47" s="29" t="e">
        <f>IF(P47=0,0,COUNTIF(#REF!,"FCA1")*100/P47)</f>
        <v>#REF!</v>
      </c>
      <c r="DQ47" t="e">
        <f>IF(P47=0,0,COUNTIF(#REF!,"CHRYOBRN")*100/P47)</f>
        <v>#REF!</v>
      </c>
      <c r="DS47" s="29" t="e">
        <f>IF(P47=0,0,COUNTIF(#REF!,"TURF")*100/P47)</f>
        <v>#REF!</v>
      </c>
      <c r="DU47" t="e">
        <f>COUNTIF(#REF!,"Shadow")*100/5</f>
        <v>#REF!</v>
      </c>
      <c r="DV47" t="e">
        <f>COUNTIF(#REF!,"Tape")*100/5</f>
        <v>#REF!</v>
      </c>
      <c r="DW47" t="e">
        <f>COUNTIF(#REF!,"Wand")*100/5</f>
        <v>#REF!</v>
      </c>
      <c r="DY47" t="e">
        <f>IF(P47=0,0,COUNTIF(#REF!,"BC")*100/P47)</f>
        <v>#REF!</v>
      </c>
    </row>
    <row r="48" spans="1:129">
      <c r="A48">
        <v>46</v>
      </c>
      <c r="B48" t="s">
        <v>91</v>
      </c>
      <c r="F48" t="e">
        <f>IF(P48=0,0,COUNTIF(#REF!,"C")*100/P48)</f>
        <v>#REF!</v>
      </c>
      <c r="G48" t="e">
        <f>IF(P48=0,0,COUNTIF(#REF!,"OI")*100/P48)</f>
        <v>#REF!</v>
      </c>
      <c r="H48" t="e">
        <f>IF(P48=0,0,COUNTIF(#REF!,"MA")*100/P48)</f>
        <v>#REF!</v>
      </c>
      <c r="I48" t="e">
        <f>IF(P48=0,0,COUNTIF(#REF!,"BCA")*100/P48)</f>
        <v>#REF!</v>
      </c>
      <c r="J48" s="29" t="e">
        <f>IF(P48=0,0,COUNTIF(#REF!,"CCA")*100/P48)</f>
        <v>#REF!</v>
      </c>
      <c r="K48" t="e">
        <f>IF(P48=0,0,COUNTIF(#REF!,"SD")*100/P48)</f>
        <v>#REF!</v>
      </c>
      <c r="L48" t="e">
        <f>IF(P48=0,0,COUNTIF(#REF!,"FCA")*100/P48)</f>
        <v>#REF!</v>
      </c>
      <c r="M48" t="e">
        <f>IF(P48=0,0,COUNTIF(#REF!,"CHRYS")*100/P48)</f>
        <v>#REF!</v>
      </c>
      <c r="N48" s="29" t="e">
        <f>IF(P48=0,0,COUNTIF(#REF!,"T")*100/P48)</f>
        <v>#REF!</v>
      </c>
      <c r="O48" t="e">
        <f>IF(P48=0,0,COUNTIF(#REF!,"TWS")*100/P48)</f>
        <v>#REF!</v>
      </c>
      <c r="P48" t="e">
        <f>5-COUNTIF(#REF!,"TWS")</f>
        <v>#REF!</v>
      </c>
      <c r="S48" t="e">
        <f>IF(P48=0,0,COUNTIF(#REF!,"ACAN")*100/P48)</f>
        <v>#REF!</v>
      </c>
      <c r="T48" t="e">
        <f>IF(P48=0,0,COUNTIF(#REF!,"ACROP")*100/P48)</f>
        <v>#REF!</v>
      </c>
      <c r="U48" t="e">
        <f>IF(P48=0,0,COUNTIF(#REF!,"ACROPARB")*100/P48)</f>
        <v>#REF!</v>
      </c>
      <c r="V48" t="e">
        <f>IF(P48=0,0,COUNTIF(#REF!,"ACROST")*100/P48)</f>
        <v>#REF!</v>
      </c>
      <c r="W48" t="e">
        <f>IF(P48=0,0,COUNTIF(#REF!,"ACROTBL")*100/P48)</f>
        <v>#REF!</v>
      </c>
      <c r="X48" t="e">
        <f>IF(P48=0,0,COUNTIF(#REF!,"ASTRP")*100/P48)</f>
        <v>#REF!</v>
      </c>
      <c r="Y48" t="e">
        <f>IF(P48=0,0,COUNTIF(#REF!,"CAUL")*100/P48)</f>
        <v>#REF!</v>
      </c>
      <c r="Z48" t="e">
        <f>IF(P48=0,0,COUNTIF(#REF!,"COSC")*100/P48)</f>
        <v>#REF!</v>
      </c>
      <c r="AA48" t="e">
        <f>IF(P48=0,0,COUNTIF(#REF!,"CTEN")*100/P48)</f>
        <v>#REF!</v>
      </c>
      <c r="AB48" t="e">
        <f>IF(P48=0,0,COUNTIF(#REF!,"CYPH")*100/P48)</f>
        <v>#REF!</v>
      </c>
      <c r="AC48" t="e">
        <f>IF(P48=0,0,COUNTIF(#REF!,"DIPLO")*100/P48)</f>
        <v>#REF!</v>
      </c>
      <c r="AD48" t="e">
        <f>IF(P48=0,0,COUNTIF(#REF!,"ECHPO")*100/P48)</f>
        <v>#REF!</v>
      </c>
      <c r="AE48" t="e">
        <f>IF(P48=0,0,COUNTIF(#REF!,"ECHPHY")*100/P48)</f>
        <v>#REF!</v>
      </c>
      <c r="AF48" t="e">
        <f>IF(P48=0,0,COUNTIF(#REF!,"EUPH")*100/P48)</f>
        <v>#REF!</v>
      </c>
      <c r="AG48" t="e">
        <f>IF(P48=0,0,COUNTIF(#REF!,"FAV")*100/P48)</f>
        <v>#REF!</v>
      </c>
      <c r="AH48" t="e">
        <f>IF(P48=0,0,COUNTIF(#REF!,"FAVT")*100/P48)</f>
        <v>#REF!</v>
      </c>
      <c r="AI48" t="e">
        <f>IF(P48=0,0,COUNTIF(#REF!,"FUNG")*100/P48)</f>
        <v>#REF!</v>
      </c>
      <c r="AJ48" t="e">
        <f>IF(P48=0,0,COUNTIF(#REF!,"GAL")*100/P48)</f>
        <v>#REF!</v>
      </c>
      <c r="AK48" t="e">
        <f>IF(P48=0,0,COUNTIF(#REF!,"GARD")*100/P48)</f>
        <v>#REF!</v>
      </c>
      <c r="AL48" t="e">
        <f>IF(P48=0,0,COUNTIF(#REF!,"GON")*100/P48)</f>
        <v>#REF!</v>
      </c>
      <c r="AM48" t="e">
        <f>IF(P48=0,0,COUNTIF(#REF!,"GONIO")*100/P48)</f>
        <v>#REF!</v>
      </c>
      <c r="AN48" t="e">
        <f>IF(P48=0,0,COUNTIF(#REF!,"HELIO")*100/P48)</f>
        <v>#REF!</v>
      </c>
      <c r="AO48" t="e">
        <f>IF(P48=0,0,COUNTIF(#REF!,"HERP")*100/P48)</f>
        <v>#REF!</v>
      </c>
      <c r="AP48" t="e">
        <f>IF(P48=0,0,COUNTIF(#REF!,"HYD")*100/P48)</f>
        <v>#REF!</v>
      </c>
      <c r="AQ48" t="e">
        <f>IF(P48=0,0,COUNTIF(#REF!,"ISOP")*100/P48)</f>
        <v>#REF!</v>
      </c>
      <c r="AR48" t="e">
        <f>IF(P48=0,0,COUNTIF(#REF!,"LEPT")*100/P48)</f>
        <v>#REF!</v>
      </c>
      <c r="AS48" t="e">
        <f>IF(P48=0,0,COUNTIF(#REF!,"LEPTOR")*100/P48)</f>
        <v>#REF!</v>
      </c>
      <c r="AT48" t="e">
        <f>IF(P48=0,0,COUNTIF(#REF!,"LEPTOS")*100/P48)</f>
        <v>#REF!</v>
      </c>
      <c r="AU48" t="e">
        <f>IF(P48=0,0,COUNTIF(#REF!,"LOBOPH")*100/P48)</f>
        <v>#REF!</v>
      </c>
      <c r="AV48" t="e">
        <f>IF(P48=0,0,COUNTIF(#REF!,"MERU")*100/P48)</f>
        <v>#REF!</v>
      </c>
      <c r="AW48" t="e">
        <f>IF(P48=0,0,COUNTIF(#REF!,"MILL")*100/P48)</f>
        <v>#REF!</v>
      </c>
      <c r="AX48" t="e">
        <f>IF(P48=0,0,COUNTIF(#REF!,"MONT")*100/P48)</f>
        <v>#REF!</v>
      </c>
      <c r="AY48" t="e">
        <f>IF(P48=0,0,COUNTIF(#REF!,"MONTI")*100/P48)</f>
        <v>#REF!</v>
      </c>
      <c r="AZ48" t="e">
        <f>IF(P48=0,0,COUNTIF(#REF!,"MYCED")*100/P48)</f>
        <v>#REF!</v>
      </c>
      <c r="BA48" t="e">
        <f>IF(P48=0,0,COUNTIF(#REF!,"OULO")*100/P48)</f>
        <v>#REF!</v>
      </c>
      <c r="BB48" t="e">
        <f>IF(P48=0,0,COUNTIF(#REF!,"OXYP")*100/P48)</f>
        <v>#REF!</v>
      </c>
      <c r="BC48" t="e">
        <f>IF(P48=0,0,COUNTIF(#REF!,"PLSIA")*100/P48)</f>
        <v>#REF!</v>
      </c>
      <c r="BD48" t="e">
        <f>IF(P48=0,0,COUNTIF(#REF!,"PACHY")*100/P48)</f>
        <v>#REF!</v>
      </c>
      <c r="BE48" t="e">
        <f>IF(P48=0,0,COUNTIF(#REF!,"PAV")*100/P48)</f>
        <v>#REF!</v>
      </c>
      <c r="BF48" t="e">
        <f>IF(P48=0,0,COUNTIF(#REF!,"PECT")*100/P48)</f>
        <v>#REF!</v>
      </c>
      <c r="BG48" t="e">
        <f>IF(P48=0,0,COUNTIF(#REF!,"PHYSO")*100/P48)</f>
        <v>#REF!</v>
      </c>
      <c r="BH48" t="e">
        <f>IF(P48=0,0,COUNTIF(#REF!,"PLAT")*100/P48)</f>
        <v>#REF!</v>
      </c>
      <c r="BI48" t="e">
        <f>IF(P48=0,0,COUNTIF(#REF!,"PLERO")*100/P48)</f>
        <v>#REF!</v>
      </c>
      <c r="BJ48" t="e">
        <f>IF(P48=0,0,COUNTIF(#REF!,"POC")*100/P48)</f>
        <v>#REF!</v>
      </c>
      <c r="BK48" t="e">
        <f>IF(P48=0,0,COUNTIF(#REF!,"POR")*100/P48)</f>
        <v>#REF!</v>
      </c>
      <c r="BL48" t="e">
        <f>IF(P48=0,0,COUNTIF(#REF!,"PORCYL")*100/P48)</f>
        <v>#REF!</v>
      </c>
      <c r="BM48" t="e">
        <f>IF(P48=0,0,COUNTIF(#REF!,"PORMAS")*100/P48)</f>
        <v>#REF!</v>
      </c>
      <c r="BN48" t="e">
        <f>IF(P48=0,0,COUNTIF(#REF!,"PORRUS")*100/P48)</f>
        <v>#REF!</v>
      </c>
      <c r="BO48" t="e">
        <f>IF(P48=0,0,COUNTIF(#REF!,"PSAM")*100/P48)</f>
        <v>#REF!</v>
      </c>
      <c r="BP48" t="e">
        <f>IF(P48=0,0,COUNTIF(#REF!,"SANDO")*100/P48)</f>
        <v>#REF!</v>
      </c>
      <c r="BQ48" t="e">
        <f>IF(P48=0,0,COUNTIF(#REF!,"SCAP")*100/P48)</f>
        <v>#REF!</v>
      </c>
      <c r="BR48" t="e">
        <f>IF(P48=0,0,COUNTIF(#REF!,"SERIA")*100/P48)</f>
        <v>#REF!</v>
      </c>
      <c r="BS48" t="e">
        <f>IF(P48=0,0,COUNTIF(#REF!,"STYLC")*100/P48)</f>
        <v>#REF!</v>
      </c>
      <c r="BT48" t="e">
        <f>IF(P48=0,0,COUNTIF(#REF!,"STYLO")*100/P48)</f>
        <v>#REF!</v>
      </c>
      <c r="BU48" t="e">
        <f>IF(P48=0,0,COUNTIF(#REF!,"SYMP")*100/P48)</f>
        <v>#REF!</v>
      </c>
      <c r="BV48" t="e">
        <f>IF(P48=0,0,COUNTIF(#REF!,"TURBIN")*100/P48)</f>
        <v>#REF!</v>
      </c>
      <c r="BX48" t="e">
        <f>IF(P48=0,0,COUNTIF(#REF!,"ANEM")*100/P48)</f>
        <v>#REF!</v>
      </c>
      <c r="BY48" t="e">
        <f>IF(P48=0,0,COUNTIF(#REF!,"ASC")*100/P48)</f>
        <v>#REF!</v>
      </c>
      <c r="BZ48" t="e">
        <f>IF(P48=0,0,COUNTIF(#REF!,"CUPS")*100/P48)</f>
        <v>#REF!</v>
      </c>
      <c r="CA48" t="e">
        <f>IF(P48=0,0,COUNTIF(#REF!,"DISCO")*100/P48)</f>
        <v>#REF!</v>
      </c>
      <c r="CB48" t="e">
        <f>IF(P48=0,0,COUNTIF(#REF!,"DYS")*100/P48)</f>
        <v>#REF!</v>
      </c>
      <c r="CC48" t="e">
        <f>IF(P48=0,0,COUNTIF(#REF!,"G")*100/P48)</f>
        <v>#REF!</v>
      </c>
      <c r="CD48" t="e">
        <f>IF(P48=0,0,COUNTIF(#REF!,"NoIDINV")*100/P48)</f>
        <v>#REF!</v>
      </c>
      <c r="CE48" t="e">
        <f>IF(P48=0,0,COUNTIF(#REF!,"OLV")*100/P48)</f>
        <v>#REF!</v>
      </c>
      <c r="CF48" t="e">
        <f>IF(P48=0,0,COUNTIF(#REF!,"SC")*100/P48)</f>
        <v>#REF!</v>
      </c>
      <c r="CG48" t="e">
        <f>IF(P48=0,0,COUNTIF(#REF!,"S")*100/P48)</f>
        <v>#REF!</v>
      </c>
      <c r="CH48" t="e">
        <f>IF(P48=0,0,COUNTIF(#REF!,"TERPS")*100/P48)</f>
        <v>#REF!</v>
      </c>
      <c r="CI48" t="e">
        <f>IF(P48=0,0,COUNTIF(#REF!,"Z")*100/P48)</f>
        <v>#REF!</v>
      </c>
      <c r="CK48" t="e">
        <f>IF(P48=0,0,COUNTIF(#REF!,"ASP")*100/P48)</f>
        <v>#REF!</v>
      </c>
      <c r="CL48" t="e">
        <f>IF(P48=0,0,COUNTIF(#REF!,"BG")*100/P48)</f>
        <v>#REF!</v>
      </c>
      <c r="CM48" t="e">
        <f>IF(P48=0,0,COUNTIF(#REF!,"Bood")*100/P48)</f>
        <v>#REF!</v>
      </c>
      <c r="CN48" t="e">
        <f>IF(P48=0,0,COUNTIF(#REF!,"BRYP")*100/P48)</f>
        <v>#REF!</v>
      </c>
      <c r="CO48" t="e">
        <f>IF(P48=0,0,COUNTIF(#REF!,"CLP")*100/P48)</f>
        <v>#REF!</v>
      </c>
      <c r="CP48" t="e">
        <f>IF(P48=0,0,COUNTIF(#REF!,"CHLDES")*100/P48)</f>
        <v>#REF!</v>
      </c>
      <c r="CQ48" t="e">
        <f>IF(P48=0,0,COUNTIF(#REF!,"DYCTY")*100/P48)</f>
        <v>#REF!</v>
      </c>
      <c r="CR48" t="e">
        <f>IF(P48=0,0,COUNTIF(#REF!,"DICT")*100/P48)</f>
        <v>#REF!</v>
      </c>
      <c r="CS48" t="e">
        <f>IF(P48=0,0,COUNTIF(#REF!,"GLXU")*100/P48)</f>
        <v>#REF!</v>
      </c>
      <c r="CT48" t="e">
        <f>IF(P48=0,0,COUNTIF(#REF!,"HALI")*100/P48)</f>
        <v>#REF!</v>
      </c>
      <c r="CU48" t="e">
        <f>IF(P48=0,0,COUNTIF(#REF!,"LIAG")*100/P48)</f>
        <v>#REF!</v>
      </c>
      <c r="CV48" t="e">
        <f>IF(P48=0,0,COUNTIF(#REF!,"LOBO")*100/P48)</f>
        <v>#REF!</v>
      </c>
      <c r="CW48" t="e">
        <f>IF(P48=0,0,COUNTIF(#REF!,"MAST")*100/P48)</f>
        <v>#REF!</v>
      </c>
      <c r="CX48" t="e">
        <f>IF(P48=0,0,COUNTIF(#REF!,"MICDTY")*100/P48)</f>
        <v>#REF!</v>
      </c>
      <c r="CY48" t="e">
        <f>IF(P48=0,0,COUNTIF(#REF!,"NEOM")*100/P48)</f>
        <v>#REF!</v>
      </c>
      <c r="CZ48" t="e">
        <f>IF(P48=0,0,COUNTIF(#REF!,"NOIDMAC")*100/P48)</f>
        <v>#REF!</v>
      </c>
      <c r="DA48" t="e">
        <f>IF(P48=0,0,COUNTIF(#REF!,"PAD")*100/P48)</f>
        <v>#REF!</v>
      </c>
      <c r="DB48" t="e">
        <f>IF(P48=0,0,COUNTIF(#REF!,"SARG")*100/P48)</f>
        <v>#REF!</v>
      </c>
      <c r="DC48" t="e">
        <f>IF(P48=0,0,COUNTIF(#REF!,"SCHIZ")*100/P48)</f>
        <v>#REF!</v>
      </c>
      <c r="DD48" t="e">
        <f>IF(P48=0,0,COUNTIF(#REF!,"TURB")*100/P48)</f>
        <v>#REF!</v>
      </c>
      <c r="DE48" t="e">
        <f>IF(P48=0,0,COUNTIF(#REF!,"TYDM")*100/P48)</f>
        <v>#REF!</v>
      </c>
      <c r="DG48" t="e">
        <f>IF(P48=0,0,COUNTIF(#REF!,"AMP")*100/P48)</f>
        <v>#REF!</v>
      </c>
      <c r="DH48" t="e">
        <f>IF(P48=0,0,COUNTIF(#REF!,"BCA1")*100/P48)</f>
        <v>#REF!</v>
      </c>
      <c r="DI48" t="e">
        <f>IF(P48=0,0,COUNTIF(#REF!,"JAN")*100/P48)</f>
        <v>#REF!</v>
      </c>
      <c r="DK48" s="29" t="e">
        <f>IF(P48=0,0,COUNTIF(#REF!,"CCA1")*100/P48)</f>
        <v>#REF!</v>
      </c>
      <c r="DM48" t="e">
        <f>IF(P48=0,0,COUNTIF(#REF!,"Sand")*100/P48)</f>
        <v>#REF!</v>
      </c>
      <c r="DO48" t="e">
        <f>IF(P48=0,0,COUNTIF(#REF!,"FCA1")*100/P48)</f>
        <v>#REF!</v>
      </c>
      <c r="DQ48" t="e">
        <f>IF(P48=0,0,COUNTIF(#REF!,"CHRYOBRN")*100/P48)</f>
        <v>#REF!</v>
      </c>
      <c r="DS48" s="29" t="e">
        <f>IF(P48=0,0,COUNTIF(#REF!,"TURF")*100/P48)</f>
        <v>#REF!</v>
      </c>
      <c r="DU48" t="e">
        <f>COUNTIF(#REF!,"Shadow")*100/5</f>
        <v>#REF!</v>
      </c>
      <c r="DV48" t="e">
        <f>COUNTIF(#REF!,"Tape")*100/5</f>
        <v>#REF!</v>
      </c>
      <c r="DW48" t="e">
        <f>COUNTIF(#REF!,"Wand")*100/5</f>
        <v>#REF!</v>
      </c>
      <c r="DY48" t="e">
        <f>IF(P48=0,0,COUNTIF(#REF!,"BC")*100/P48)</f>
        <v>#REF!</v>
      </c>
    </row>
    <row r="49" spans="1:129">
      <c r="A49">
        <v>47</v>
      </c>
      <c r="B49" t="s">
        <v>92</v>
      </c>
      <c r="F49" t="e">
        <f>IF(P49=0,0,COUNTIF(#REF!,"C")*100/P49)</f>
        <v>#REF!</v>
      </c>
      <c r="G49" t="e">
        <f>IF(P49=0,0,COUNTIF(#REF!,"OI")*100/P49)</f>
        <v>#REF!</v>
      </c>
      <c r="H49" t="e">
        <f>IF(P49=0,0,COUNTIF(#REF!,"MA")*100/P49)</f>
        <v>#REF!</v>
      </c>
      <c r="I49" t="e">
        <f>IF(P49=0,0,COUNTIF(#REF!,"BCA")*100/P49)</f>
        <v>#REF!</v>
      </c>
      <c r="J49" s="29" t="e">
        <f>IF(P49=0,0,COUNTIF(#REF!,"CCA")*100/P49)</f>
        <v>#REF!</v>
      </c>
      <c r="K49" t="e">
        <f>IF(P49=0,0,COUNTIF(#REF!,"SD")*100/P49)</f>
        <v>#REF!</v>
      </c>
      <c r="L49" s="29" t="e">
        <f>IF(P49=0,0,COUNTIF(#REF!,"FCA")*100/P49)</f>
        <v>#REF!</v>
      </c>
      <c r="M49" t="e">
        <f>IF(P49=0,0,COUNTIF(#REF!,"CHRYS")*100/P49)</f>
        <v>#REF!</v>
      </c>
      <c r="N49" s="29" t="e">
        <f>IF(P49=0,0,COUNTIF(#REF!,"T")*100/P49)</f>
        <v>#REF!</v>
      </c>
      <c r="O49" t="e">
        <f>IF(P49=0,0,COUNTIF(#REF!,"TWS")*100/P49)</f>
        <v>#REF!</v>
      </c>
      <c r="P49" t="e">
        <f>5-COUNTIF(#REF!,"TWS")</f>
        <v>#REF!</v>
      </c>
      <c r="S49" t="e">
        <f>IF(P49=0,0,COUNTIF(#REF!,"ACAN")*100/P49)</f>
        <v>#REF!</v>
      </c>
      <c r="T49" t="e">
        <f>IF(P49=0,0,COUNTIF(#REF!,"ACROP")*100/P49)</f>
        <v>#REF!</v>
      </c>
      <c r="U49" t="e">
        <f>IF(P49=0,0,COUNTIF(#REF!,"ACROPARB")*100/P49)</f>
        <v>#REF!</v>
      </c>
      <c r="V49" t="e">
        <f>IF(P49=0,0,COUNTIF(#REF!,"ACROST")*100/P49)</f>
        <v>#REF!</v>
      </c>
      <c r="W49" t="e">
        <f>IF(P49=0,0,COUNTIF(#REF!,"ACROTBL")*100/P49)</f>
        <v>#REF!</v>
      </c>
      <c r="X49" t="e">
        <f>IF(P49=0,0,COUNTIF(#REF!,"ASTRP")*100/P49)</f>
        <v>#REF!</v>
      </c>
      <c r="Y49" t="e">
        <f>IF(P49=0,0,COUNTIF(#REF!,"CAUL")*100/P49)</f>
        <v>#REF!</v>
      </c>
      <c r="Z49" t="e">
        <f>IF(P49=0,0,COUNTIF(#REF!,"COSC")*100/P49)</f>
        <v>#REF!</v>
      </c>
      <c r="AA49" t="e">
        <f>IF(P49=0,0,COUNTIF(#REF!,"CTEN")*100/P49)</f>
        <v>#REF!</v>
      </c>
      <c r="AB49" t="e">
        <f>IF(P49=0,0,COUNTIF(#REF!,"CYPH")*100/P49)</f>
        <v>#REF!</v>
      </c>
      <c r="AC49" t="e">
        <f>IF(P49=0,0,COUNTIF(#REF!,"DIPLO")*100/P49)</f>
        <v>#REF!</v>
      </c>
      <c r="AD49" t="e">
        <f>IF(P49=0,0,COUNTIF(#REF!,"ECHPO")*100/P49)</f>
        <v>#REF!</v>
      </c>
      <c r="AE49" t="e">
        <f>IF(P49=0,0,COUNTIF(#REF!,"ECHPHY")*100/P49)</f>
        <v>#REF!</v>
      </c>
      <c r="AF49" t="e">
        <f>IF(P49=0,0,COUNTIF(#REF!,"EUPH")*100/P49)</f>
        <v>#REF!</v>
      </c>
      <c r="AG49" t="e">
        <f>IF(P49=0,0,COUNTIF(#REF!,"FAV")*100/P49)</f>
        <v>#REF!</v>
      </c>
      <c r="AH49" t="e">
        <f>IF(P49=0,0,COUNTIF(#REF!,"FAVT")*100/P49)</f>
        <v>#REF!</v>
      </c>
      <c r="AI49" t="e">
        <f>IF(P49=0,0,COUNTIF(#REF!,"FUNG")*100/P49)</f>
        <v>#REF!</v>
      </c>
      <c r="AJ49" t="e">
        <f>IF(P49=0,0,COUNTIF(#REF!,"GAL")*100/P49)</f>
        <v>#REF!</v>
      </c>
      <c r="AK49" t="e">
        <f>IF(P49=0,0,COUNTIF(#REF!,"GARD")*100/P49)</f>
        <v>#REF!</v>
      </c>
      <c r="AL49" t="e">
        <f>IF(P49=0,0,COUNTIF(#REF!,"GON")*100/P49)</f>
        <v>#REF!</v>
      </c>
      <c r="AM49" t="e">
        <f>IF(P49=0,0,COUNTIF(#REF!,"GONIO")*100/P49)</f>
        <v>#REF!</v>
      </c>
      <c r="AN49" t="e">
        <f>IF(P49=0,0,COUNTIF(#REF!,"HELIO")*100/P49)</f>
        <v>#REF!</v>
      </c>
      <c r="AO49" t="e">
        <f>IF(P49=0,0,COUNTIF(#REF!,"HERP")*100/P49)</f>
        <v>#REF!</v>
      </c>
      <c r="AP49" t="e">
        <f>IF(P49=0,0,COUNTIF(#REF!,"HYD")*100/P49)</f>
        <v>#REF!</v>
      </c>
      <c r="AQ49" t="e">
        <f>IF(P49=0,0,COUNTIF(#REF!,"ISOP")*100/P49)</f>
        <v>#REF!</v>
      </c>
      <c r="AR49" t="e">
        <f>IF(P49=0,0,COUNTIF(#REF!,"LEPT")*100/P49)</f>
        <v>#REF!</v>
      </c>
      <c r="AS49" t="e">
        <f>IF(P49=0,0,COUNTIF(#REF!,"LEPTOR")*100/P49)</f>
        <v>#REF!</v>
      </c>
      <c r="AT49" t="e">
        <f>IF(P49=0,0,COUNTIF(#REF!,"LEPTOS")*100/P49)</f>
        <v>#REF!</v>
      </c>
      <c r="AU49" t="e">
        <f>IF(P49=0,0,COUNTIF(#REF!,"LOBOPH")*100/P49)</f>
        <v>#REF!</v>
      </c>
      <c r="AV49" t="e">
        <f>IF(P49=0,0,COUNTIF(#REF!,"MERU")*100/P49)</f>
        <v>#REF!</v>
      </c>
      <c r="AW49" t="e">
        <f>IF(P49=0,0,COUNTIF(#REF!,"MILL")*100/P49)</f>
        <v>#REF!</v>
      </c>
      <c r="AX49" t="e">
        <f>IF(P49=0,0,COUNTIF(#REF!,"MONT")*100/P49)</f>
        <v>#REF!</v>
      </c>
      <c r="AY49" t="e">
        <f>IF(P49=0,0,COUNTIF(#REF!,"MONTI")*100/P49)</f>
        <v>#REF!</v>
      </c>
      <c r="AZ49" t="e">
        <f>IF(P49=0,0,COUNTIF(#REF!,"MYCED")*100/P49)</f>
        <v>#REF!</v>
      </c>
      <c r="BA49" t="e">
        <f>IF(P49=0,0,COUNTIF(#REF!,"OULO")*100/P49)</f>
        <v>#REF!</v>
      </c>
      <c r="BB49" t="e">
        <f>IF(P49=0,0,COUNTIF(#REF!,"OXYP")*100/P49)</f>
        <v>#REF!</v>
      </c>
      <c r="BC49" t="e">
        <f>IF(P49=0,0,COUNTIF(#REF!,"PLSIA")*100/P49)</f>
        <v>#REF!</v>
      </c>
      <c r="BD49" t="e">
        <f>IF(P49=0,0,COUNTIF(#REF!,"PACHY")*100/P49)</f>
        <v>#REF!</v>
      </c>
      <c r="BE49" t="e">
        <f>IF(P49=0,0,COUNTIF(#REF!,"PAV")*100/P49)</f>
        <v>#REF!</v>
      </c>
      <c r="BF49" t="e">
        <f>IF(P49=0,0,COUNTIF(#REF!,"PECT")*100/P49)</f>
        <v>#REF!</v>
      </c>
      <c r="BG49" t="e">
        <f>IF(P49=0,0,COUNTIF(#REF!,"PHYSO")*100/P49)</f>
        <v>#REF!</v>
      </c>
      <c r="BH49" t="e">
        <f>IF(P49=0,0,COUNTIF(#REF!,"PLAT")*100/P49)</f>
        <v>#REF!</v>
      </c>
      <c r="BI49" t="e">
        <f>IF(P49=0,0,COUNTIF(#REF!,"PLERO")*100/P49)</f>
        <v>#REF!</v>
      </c>
      <c r="BJ49" t="e">
        <f>IF(P49=0,0,COUNTIF(#REF!,"POC")*100/P49)</f>
        <v>#REF!</v>
      </c>
      <c r="BK49" t="e">
        <f>IF(P49=0,0,COUNTIF(#REF!,"POR")*100/P49)</f>
        <v>#REF!</v>
      </c>
      <c r="BL49" t="e">
        <f>IF(P49=0,0,COUNTIF(#REF!,"PORCYL")*100/P49)</f>
        <v>#REF!</v>
      </c>
      <c r="BM49" t="e">
        <f>IF(P49=0,0,COUNTIF(#REF!,"PORMAS")*100/P49)</f>
        <v>#REF!</v>
      </c>
      <c r="BN49" t="e">
        <f>IF(P49=0,0,COUNTIF(#REF!,"PORRUS")*100/P49)</f>
        <v>#REF!</v>
      </c>
      <c r="BO49" t="e">
        <f>IF(P49=0,0,COUNTIF(#REF!,"PSAM")*100/P49)</f>
        <v>#REF!</v>
      </c>
      <c r="BP49" t="e">
        <f>IF(P49=0,0,COUNTIF(#REF!,"SANDO")*100/P49)</f>
        <v>#REF!</v>
      </c>
      <c r="BQ49" t="e">
        <f>IF(P49=0,0,COUNTIF(#REF!,"SCAP")*100/P49)</f>
        <v>#REF!</v>
      </c>
      <c r="BR49" t="e">
        <f>IF(P49=0,0,COUNTIF(#REF!,"SERIA")*100/P49)</f>
        <v>#REF!</v>
      </c>
      <c r="BS49" t="e">
        <f>IF(P49=0,0,COUNTIF(#REF!,"STYLC")*100/P49)</f>
        <v>#REF!</v>
      </c>
      <c r="BT49" t="e">
        <f>IF(P49=0,0,COUNTIF(#REF!,"STYLO")*100/P49)</f>
        <v>#REF!</v>
      </c>
      <c r="BU49" t="e">
        <f>IF(P49=0,0,COUNTIF(#REF!,"SYMP")*100/P49)</f>
        <v>#REF!</v>
      </c>
      <c r="BV49" t="e">
        <f>IF(P49=0,0,COUNTIF(#REF!,"TURBIN")*100/P49)</f>
        <v>#REF!</v>
      </c>
      <c r="BX49" t="e">
        <f>IF(P49=0,0,COUNTIF(#REF!,"ANEM")*100/P49)</f>
        <v>#REF!</v>
      </c>
      <c r="BY49" t="e">
        <f>IF(P49=0,0,COUNTIF(#REF!,"ASC")*100/P49)</f>
        <v>#REF!</v>
      </c>
      <c r="BZ49" t="e">
        <f>IF(P49=0,0,COUNTIF(#REF!,"CUPS")*100/P49)</f>
        <v>#REF!</v>
      </c>
      <c r="CA49" t="e">
        <f>IF(P49=0,0,COUNTIF(#REF!,"DISCO")*100/P49)</f>
        <v>#REF!</v>
      </c>
      <c r="CB49" t="e">
        <f>IF(P49=0,0,COUNTIF(#REF!,"DYS")*100/P49)</f>
        <v>#REF!</v>
      </c>
      <c r="CC49" t="e">
        <f>IF(P49=0,0,COUNTIF(#REF!,"G")*100/P49)</f>
        <v>#REF!</v>
      </c>
      <c r="CD49" t="e">
        <f>IF(P49=0,0,COUNTIF(#REF!,"NoIDINV")*100/P49)</f>
        <v>#REF!</v>
      </c>
      <c r="CE49" t="e">
        <f>IF(P49=0,0,COUNTIF(#REF!,"OLV")*100/P49)</f>
        <v>#REF!</v>
      </c>
      <c r="CF49" t="e">
        <f>IF(P49=0,0,COUNTIF(#REF!,"SC")*100/P49)</f>
        <v>#REF!</v>
      </c>
      <c r="CG49" t="e">
        <f>IF(P49=0,0,COUNTIF(#REF!,"S")*100/P49)</f>
        <v>#REF!</v>
      </c>
      <c r="CH49" t="e">
        <f>IF(P49=0,0,COUNTIF(#REF!,"TERPS")*100/P49)</f>
        <v>#REF!</v>
      </c>
      <c r="CI49" t="e">
        <f>IF(P49=0,0,COUNTIF(#REF!,"Z")*100/P49)</f>
        <v>#REF!</v>
      </c>
      <c r="CK49" t="e">
        <f>IF(P49=0,0,COUNTIF(#REF!,"ASP")*100/P49)</f>
        <v>#REF!</v>
      </c>
      <c r="CL49" t="e">
        <f>IF(P49=0,0,COUNTIF(#REF!,"BG")*100/P49)</f>
        <v>#REF!</v>
      </c>
      <c r="CM49" t="e">
        <f>IF(P49=0,0,COUNTIF(#REF!,"Bood")*100/P49)</f>
        <v>#REF!</v>
      </c>
      <c r="CN49" t="e">
        <f>IF(P49=0,0,COUNTIF(#REF!,"BRYP")*100/P49)</f>
        <v>#REF!</v>
      </c>
      <c r="CO49" t="e">
        <f>IF(P49=0,0,COUNTIF(#REF!,"CLP")*100/P49)</f>
        <v>#REF!</v>
      </c>
      <c r="CP49" t="e">
        <f>IF(P49=0,0,COUNTIF(#REF!,"CHLDES")*100/P49)</f>
        <v>#REF!</v>
      </c>
      <c r="CQ49" t="e">
        <f>IF(P49=0,0,COUNTIF(#REF!,"DYCTY")*100/P49)</f>
        <v>#REF!</v>
      </c>
      <c r="CR49" t="e">
        <f>IF(P49=0,0,COUNTIF(#REF!,"DICT")*100/P49)</f>
        <v>#REF!</v>
      </c>
      <c r="CS49" t="e">
        <f>IF(P49=0,0,COUNTIF(#REF!,"GLXU")*100/P49)</f>
        <v>#REF!</v>
      </c>
      <c r="CT49" t="e">
        <f>IF(P49=0,0,COUNTIF(#REF!,"HALI")*100/P49)</f>
        <v>#REF!</v>
      </c>
      <c r="CU49" t="e">
        <f>IF(P49=0,0,COUNTIF(#REF!,"LIAG")*100/P49)</f>
        <v>#REF!</v>
      </c>
      <c r="CV49" t="e">
        <f>IF(P49=0,0,COUNTIF(#REF!,"LOBO")*100/P49)</f>
        <v>#REF!</v>
      </c>
      <c r="CW49" t="e">
        <f>IF(P49=0,0,COUNTIF(#REF!,"MAST")*100/P49)</f>
        <v>#REF!</v>
      </c>
      <c r="CX49" t="e">
        <f>IF(P49=0,0,COUNTIF(#REF!,"MICDTY")*100/P49)</f>
        <v>#REF!</v>
      </c>
      <c r="CY49" t="e">
        <f>IF(P49=0,0,COUNTIF(#REF!,"NEOM")*100/P49)</f>
        <v>#REF!</v>
      </c>
      <c r="CZ49" t="e">
        <f>IF(P49=0,0,COUNTIF(#REF!,"NOIDMAC")*100/P49)</f>
        <v>#REF!</v>
      </c>
      <c r="DA49" t="e">
        <f>IF(P49=0,0,COUNTIF(#REF!,"PAD")*100/P49)</f>
        <v>#REF!</v>
      </c>
      <c r="DB49" t="e">
        <f>IF(P49=0,0,COUNTIF(#REF!,"SARG")*100/P49)</f>
        <v>#REF!</v>
      </c>
      <c r="DC49" t="e">
        <f>IF(P49=0,0,COUNTIF(#REF!,"SCHIZ")*100/P49)</f>
        <v>#REF!</v>
      </c>
      <c r="DD49" t="e">
        <f>IF(P49=0,0,COUNTIF(#REF!,"TURB")*100/P49)</f>
        <v>#REF!</v>
      </c>
      <c r="DE49" t="e">
        <f>IF(P49=0,0,COUNTIF(#REF!,"TYDM")*100/P49)</f>
        <v>#REF!</v>
      </c>
      <c r="DG49" t="e">
        <f>IF(P49=0,0,COUNTIF(#REF!,"AMP")*100/P49)</f>
        <v>#REF!</v>
      </c>
      <c r="DH49" t="e">
        <f>IF(P49=0,0,COUNTIF(#REF!,"BCA1")*100/P49)</f>
        <v>#REF!</v>
      </c>
      <c r="DI49" t="e">
        <f>IF(P49=0,0,COUNTIF(#REF!,"JAN")*100/P49)</f>
        <v>#REF!</v>
      </c>
      <c r="DK49" s="29" t="e">
        <f>IF(P49=0,0,COUNTIF(#REF!,"CCA1")*100/P49)</f>
        <v>#REF!</v>
      </c>
      <c r="DM49" t="e">
        <f>IF(P49=0,0,COUNTIF(#REF!,"Sand")*100/P49)</f>
        <v>#REF!</v>
      </c>
      <c r="DO49" s="29" t="e">
        <f>IF(P49=0,0,COUNTIF(#REF!,"FCA1")*100/P49)</f>
        <v>#REF!</v>
      </c>
      <c r="DQ49" t="e">
        <f>IF(P49=0,0,COUNTIF(#REF!,"CHRYOBRN")*100/P49)</f>
        <v>#REF!</v>
      </c>
      <c r="DS49" s="29" t="e">
        <f>IF(P49=0,0,COUNTIF(#REF!,"TURF")*100/P49)</f>
        <v>#REF!</v>
      </c>
      <c r="DU49" t="e">
        <f>COUNTIF(#REF!,"Shadow")*100/5</f>
        <v>#REF!</v>
      </c>
      <c r="DV49" t="e">
        <f>COUNTIF(#REF!,"Tape")*100/5</f>
        <v>#REF!</v>
      </c>
      <c r="DW49" t="e">
        <f>COUNTIF(#REF!,"Wand")*100/5</f>
        <v>#REF!</v>
      </c>
      <c r="DY49" t="e">
        <f>IF(P49=0,0,COUNTIF(#REF!,"BC")*100/P49)</f>
        <v>#REF!</v>
      </c>
    </row>
    <row r="50" spans="1:129">
      <c r="A50">
        <v>48</v>
      </c>
      <c r="B50" t="s">
        <v>93</v>
      </c>
      <c r="F50" s="29" t="e">
        <f>IF(P50=0,0,COUNTIF(#REF!,"C")*100/P50)</f>
        <v>#REF!</v>
      </c>
      <c r="G50" t="e">
        <f>IF(P50=0,0,COUNTIF(#REF!,"OI")*100/P50)</f>
        <v>#REF!</v>
      </c>
      <c r="H50" t="e">
        <f>IF(P50=0,0,COUNTIF(#REF!,"MA")*100/P50)</f>
        <v>#REF!</v>
      </c>
      <c r="I50" t="e">
        <f>IF(P50=0,0,COUNTIF(#REF!,"BCA")*100/P50)</f>
        <v>#REF!</v>
      </c>
      <c r="J50" s="29" t="e">
        <f>IF(P50=0,0,COUNTIF(#REF!,"CCA")*100/P50)</f>
        <v>#REF!</v>
      </c>
      <c r="K50" t="e">
        <f>IF(P50=0,0,COUNTIF(#REF!,"SD")*100/P50)</f>
        <v>#REF!</v>
      </c>
      <c r="L50" t="e">
        <f>IF(P50=0,0,COUNTIF(#REF!,"FCA")*100/P50)</f>
        <v>#REF!</v>
      </c>
      <c r="M50" t="e">
        <f>IF(P50=0,0,COUNTIF(#REF!,"CHRYS")*100/P50)</f>
        <v>#REF!</v>
      </c>
      <c r="N50" s="29" t="e">
        <f>IF(P50=0,0,COUNTIF(#REF!,"T")*100/P50)</f>
        <v>#REF!</v>
      </c>
      <c r="O50" t="e">
        <f>IF(P50=0,0,COUNTIF(#REF!,"TWS")*100/P50)</f>
        <v>#REF!</v>
      </c>
      <c r="P50" t="e">
        <f>5-COUNTIF(#REF!,"TWS")</f>
        <v>#REF!</v>
      </c>
      <c r="S50" t="e">
        <f>IF(P50=0,0,COUNTIF(#REF!,"ACAN")*100/P50)</f>
        <v>#REF!</v>
      </c>
      <c r="T50" t="e">
        <f>IF(P50=0,0,COUNTIF(#REF!,"ACROP")*100/P50)</f>
        <v>#REF!</v>
      </c>
      <c r="U50" t="e">
        <f>IF(P50=0,0,COUNTIF(#REF!,"ACROPARB")*100/P50)</f>
        <v>#REF!</v>
      </c>
      <c r="V50" t="e">
        <f>IF(P50=0,0,COUNTIF(#REF!,"ACROST")*100/P50)</f>
        <v>#REF!</v>
      </c>
      <c r="W50" t="e">
        <f>IF(P50=0,0,COUNTIF(#REF!,"ACROTBL")*100/P50)</f>
        <v>#REF!</v>
      </c>
      <c r="X50" t="e">
        <f>IF(P50=0,0,COUNTIF(#REF!,"ASTRP")*100/P50)</f>
        <v>#REF!</v>
      </c>
      <c r="Y50" t="e">
        <f>IF(P50=0,0,COUNTIF(#REF!,"CAUL")*100/P50)</f>
        <v>#REF!</v>
      </c>
      <c r="Z50" t="e">
        <f>IF(P50=0,0,COUNTIF(#REF!,"COSC")*100/P50)</f>
        <v>#REF!</v>
      </c>
      <c r="AA50" t="e">
        <f>IF(P50=0,0,COUNTIF(#REF!,"CTEN")*100/P50)</f>
        <v>#REF!</v>
      </c>
      <c r="AB50" t="e">
        <f>IF(P50=0,0,COUNTIF(#REF!,"CYPH")*100/P50)</f>
        <v>#REF!</v>
      </c>
      <c r="AC50" t="e">
        <f>IF(P50=0,0,COUNTIF(#REF!,"DIPLO")*100/P50)</f>
        <v>#REF!</v>
      </c>
      <c r="AD50" t="e">
        <f>IF(P50=0,0,COUNTIF(#REF!,"ECHPO")*100/P50)</f>
        <v>#REF!</v>
      </c>
      <c r="AE50" t="e">
        <f>IF(P50=0,0,COUNTIF(#REF!,"ECHPHY")*100/P50)</f>
        <v>#REF!</v>
      </c>
      <c r="AF50" t="e">
        <f>IF(P50=0,0,COUNTIF(#REF!,"EUPH")*100/P50)</f>
        <v>#REF!</v>
      </c>
      <c r="AG50" t="e">
        <f>IF(P50=0,0,COUNTIF(#REF!,"FAV")*100/P50)</f>
        <v>#REF!</v>
      </c>
      <c r="AH50" t="e">
        <f>IF(P50=0,0,COUNTIF(#REF!,"FAVT")*100/P50)</f>
        <v>#REF!</v>
      </c>
      <c r="AI50" t="e">
        <f>IF(P50=0,0,COUNTIF(#REF!,"FUNG")*100/P50)</f>
        <v>#REF!</v>
      </c>
      <c r="AJ50" t="e">
        <f>IF(P50=0,0,COUNTIF(#REF!,"GAL")*100/P50)</f>
        <v>#REF!</v>
      </c>
      <c r="AK50" t="e">
        <f>IF(P50=0,0,COUNTIF(#REF!,"GARD")*100/P50)</f>
        <v>#REF!</v>
      </c>
      <c r="AL50" t="e">
        <f>IF(P50=0,0,COUNTIF(#REF!,"GON")*100/P50)</f>
        <v>#REF!</v>
      </c>
      <c r="AM50" t="e">
        <f>IF(P50=0,0,COUNTIF(#REF!,"GONIO")*100/P50)</f>
        <v>#REF!</v>
      </c>
      <c r="AN50" t="e">
        <f>IF(P50=0,0,COUNTIF(#REF!,"HELIO")*100/P50)</f>
        <v>#REF!</v>
      </c>
      <c r="AO50" t="e">
        <f>IF(P50=0,0,COUNTIF(#REF!,"HERP")*100/P50)</f>
        <v>#REF!</v>
      </c>
      <c r="AP50" t="e">
        <f>IF(P50=0,0,COUNTIF(#REF!,"HYD")*100/P50)</f>
        <v>#REF!</v>
      </c>
      <c r="AQ50" t="e">
        <f>IF(P50=0,0,COUNTIF(#REF!,"ISOP")*100/P50)</f>
        <v>#REF!</v>
      </c>
      <c r="AR50" t="e">
        <f>IF(P50=0,0,COUNTIF(#REF!,"LEPT")*100/P50)</f>
        <v>#REF!</v>
      </c>
      <c r="AS50" t="e">
        <f>IF(P50=0,0,COUNTIF(#REF!,"LEPTOR")*100/P50)</f>
        <v>#REF!</v>
      </c>
      <c r="AT50" t="e">
        <f>IF(P50=0,0,COUNTIF(#REF!,"LEPTOS")*100/P50)</f>
        <v>#REF!</v>
      </c>
      <c r="AU50" t="e">
        <f>IF(P50=0,0,COUNTIF(#REF!,"LOBOPH")*100/P50)</f>
        <v>#REF!</v>
      </c>
      <c r="AV50" t="e">
        <f>IF(P50=0,0,COUNTIF(#REF!,"MERU")*100/P50)</f>
        <v>#REF!</v>
      </c>
      <c r="AW50" t="e">
        <f>IF(P50=0,0,COUNTIF(#REF!,"MILL")*100/P50)</f>
        <v>#REF!</v>
      </c>
      <c r="AX50" t="e">
        <f>IF(P50=0,0,COUNTIF(#REF!,"MONT")*100/P50)</f>
        <v>#REF!</v>
      </c>
      <c r="AY50" t="e">
        <f>IF(P50=0,0,COUNTIF(#REF!,"MONTI")*100/P50)</f>
        <v>#REF!</v>
      </c>
      <c r="AZ50" t="e">
        <f>IF(P50=0,0,COUNTIF(#REF!,"MYCED")*100/P50)</f>
        <v>#REF!</v>
      </c>
      <c r="BA50" t="e">
        <f>IF(P50=0,0,COUNTIF(#REF!,"OULO")*100/P50)</f>
        <v>#REF!</v>
      </c>
      <c r="BB50" t="e">
        <f>IF(P50=0,0,COUNTIF(#REF!,"OXYP")*100/P50)</f>
        <v>#REF!</v>
      </c>
      <c r="BC50" t="e">
        <f>IF(P50=0,0,COUNTIF(#REF!,"PLSIA")*100/P50)</f>
        <v>#REF!</v>
      </c>
      <c r="BD50" t="e">
        <f>IF(P50=0,0,COUNTIF(#REF!,"PACHY")*100/P50)</f>
        <v>#REF!</v>
      </c>
      <c r="BE50" t="e">
        <f>IF(P50=0,0,COUNTIF(#REF!,"PAV")*100/P50)</f>
        <v>#REF!</v>
      </c>
      <c r="BF50" t="e">
        <f>IF(P50=0,0,COUNTIF(#REF!,"PECT")*100/P50)</f>
        <v>#REF!</v>
      </c>
      <c r="BG50" t="e">
        <f>IF(P50=0,0,COUNTIF(#REF!,"PHYSO")*100/P50)</f>
        <v>#REF!</v>
      </c>
      <c r="BH50" s="29" t="e">
        <f>IF(P50=0,0,COUNTIF(#REF!,"PLAT")*100/P50)</f>
        <v>#REF!</v>
      </c>
      <c r="BI50" t="e">
        <f>IF(P50=0,0,COUNTIF(#REF!,"PLERO")*100/P50)</f>
        <v>#REF!</v>
      </c>
      <c r="BJ50" t="e">
        <f>IF(P50=0,0,COUNTIF(#REF!,"POC")*100/P50)</f>
        <v>#REF!</v>
      </c>
      <c r="BK50" t="e">
        <f>IF(P50=0,0,COUNTIF(#REF!,"POR")*100/P50)</f>
        <v>#REF!</v>
      </c>
      <c r="BL50" t="e">
        <f>IF(P50=0,0,COUNTIF(#REF!,"PORCYL")*100/P50)</f>
        <v>#REF!</v>
      </c>
      <c r="BM50" t="e">
        <f>IF(P50=0,0,COUNTIF(#REF!,"PORMAS")*100/P50)</f>
        <v>#REF!</v>
      </c>
      <c r="BN50" t="e">
        <f>IF(P50=0,0,COUNTIF(#REF!,"PORRUS")*100/P50)</f>
        <v>#REF!</v>
      </c>
      <c r="BO50" t="e">
        <f>IF(P50=0,0,COUNTIF(#REF!,"PSAM")*100/P50)</f>
        <v>#REF!</v>
      </c>
      <c r="BP50" t="e">
        <f>IF(P50=0,0,COUNTIF(#REF!,"SANDO")*100/P50)</f>
        <v>#REF!</v>
      </c>
      <c r="BQ50" t="e">
        <f>IF(P50=0,0,COUNTIF(#REF!,"SCAP")*100/P50)</f>
        <v>#REF!</v>
      </c>
      <c r="BR50" t="e">
        <f>IF(P50=0,0,COUNTIF(#REF!,"SERIA")*100/P50)</f>
        <v>#REF!</v>
      </c>
      <c r="BS50" t="e">
        <f>IF(P50=0,0,COUNTIF(#REF!,"STYLC")*100/P50)</f>
        <v>#REF!</v>
      </c>
      <c r="BT50" t="e">
        <f>IF(P50=0,0,COUNTIF(#REF!,"STYLO")*100/P50)</f>
        <v>#REF!</v>
      </c>
      <c r="BU50" t="e">
        <f>IF(P50=0,0,COUNTIF(#REF!,"SYMP")*100/P50)</f>
        <v>#REF!</v>
      </c>
      <c r="BV50" t="e">
        <f>IF(P50=0,0,COUNTIF(#REF!,"TURBIN")*100/P50)</f>
        <v>#REF!</v>
      </c>
      <c r="BX50" t="e">
        <f>IF(P50=0,0,COUNTIF(#REF!,"ANEM")*100/P50)</f>
        <v>#REF!</v>
      </c>
      <c r="BY50" t="e">
        <f>IF(P50=0,0,COUNTIF(#REF!,"ASC")*100/P50)</f>
        <v>#REF!</v>
      </c>
      <c r="BZ50" t="e">
        <f>IF(P50=0,0,COUNTIF(#REF!,"CUPS")*100/P50)</f>
        <v>#REF!</v>
      </c>
      <c r="CA50" t="e">
        <f>IF(P50=0,0,COUNTIF(#REF!,"DISCO")*100/P50)</f>
        <v>#REF!</v>
      </c>
      <c r="CB50" t="e">
        <f>IF(P50=0,0,COUNTIF(#REF!,"DYS")*100/P50)</f>
        <v>#REF!</v>
      </c>
      <c r="CC50" t="e">
        <f>IF(P50=0,0,COUNTIF(#REF!,"G")*100/P50)</f>
        <v>#REF!</v>
      </c>
      <c r="CD50" t="e">
        <f>IF(P50=0,0,COUNTIF(#REF!,"NoIDINV")*100/P50)</f>
        <v>#REF!</v>
      </c>
      <c r="CE50" t="e">
        <f>IF(P50=0,0,COUNTIF(#REF!,"OLV")*100/P50)</f>
        <v>#REF!</v>
      </c>
      <c r="CF50" t="e">
        <f>IF(P50=0,0,COUNTIF(#REF!,"SC")*100/P50)</f>
        <v>#REF!</v>
      </c>
      <c r="CG50" t="e">
        <f>IF(P50=0,0,COUNTIF(#REF!,"S")*100/P50)</f>
        <v>#REF!</v>
      </c>
      <c r="CH50" t="e">
        <f>IF(P50=0,0,COUNTIF(#REF!,"TERPS")*100/P50)</f>
        <v>#REF!</v>
      </c>
      <c r="CI50" t="e">
        <f>IF(P50=0,0,COUNTIF(#REF!,"Z")*100/P50)</f>
        <v>#REF!</v>
      </c>
      <c r="CK50" t="e">
        <f>IF(P50=0,0,COUNTIF(#REF!,"ASP")*100/P50)</f>
        <v>#REF!</v>
      </c>
      <c r="CL50" t="e">
        <f>IF(P50=0,0,COUNTIF(#REF!,"BG")*100/P50)</f>
        <v>#REF!</v>
      </c>
      <c r="CM50" t="e">
        <f>IF(P50=0,0,COUNTIF(#REF!,"Bood")*100/P50)</f>
        <v>#REF!</v>
      </c>
      <c r="CN50" t="e">
        <f>IF(P50=0,0,COUNTIF(#REF!,"BRYP")*100/P50)</f>
        <v>#REF!</v>
      </c>
      <c r="CO50" t="e">
        <f>IF(P50=0,0,COUNTIF(#REF!,"CLP")*100/P50)</f>
        <v>#REF!</v>
      </c>
      <c r="CP50" t="e">
        <f>IF(P50=0,0,COUNTIF(#REF!,"CHLDES")*100/P50)</f>
        <v>#REF!</v>
      </c>
      <c r="CQ50" t="e">
        <f>IF(P50=0,0,COUNTIF(#REF!,"DYCTY")*100/P50)</f>
        <v>#REF!</v>
      </c>
      <c r="CR50" t="e">
        <f>IF(P50=0,0,COUNTIF(#REF!,"DICT")*100/P50)</f>
        <v>#REF!</v>
      </c>
      <c r="CS50" t="e">
        <f>IF(P50=0,0,COUNTIF(#REF!,"GLXU")*100/P50)</f>
        <v>#REF!</v>
      </c>
      <c r="CT50" t="e">
        <f>IF(P50=0,0,COUNTIF(#REF!,"HALI")*100/P50)</f>
        <v>#REF!</v>
      </c>
      <c r="CU50" t="e">
        <f>IF(P50=0,0,COUNTIF(#REF!,"LIAG")*100/P50)</f>
        <v>#REF!</v>
      </c>
      <c r="CV50" t="e">
        <f>IF(P50=0,0,COUNTIF(#REF!,"LOBO")*100/P50)</f>
        <v>#REF!</v>
      </c>
      <c r="CW50" t="e">
        <f>IF(P50=0,0,COUNTIF(#REF!,"MAST")*100/P50)</f>
        <v>#REF!</v>
      </c>
      <c r="CX50" t="e">
        <f>IF(P50=0,0,COUNTIF(#REF!,"MICDTY")*100/P50)</f>
        <v>#REF!</v>
      </c>
      <c r="CY50" t="e">
        <f>IF(P50=0,0,COUNTIF(#REF!,"NEOM")*100/P50)</f>
        <v>#REF!</v>
      </c>
      <c r="CZ50" t="e">
        <f>IF(P50=0,0,COUNTIF(#REF!,"NOIDMAC")*100/P50)</f>
        <v>#REF!</v>
      </c>
      <c r="DA50" t="e">
        <f>IF(P50=0,0,COUNTIF(#REF!,"PAD")*100/P50)</f>
        <v>#REF!</v>
      </c>
      <c r="DB50" t="e">
        <f>IF(P50=0,0,COUNTIF(#REF!,"SARG")*100/P50)</f>
        <v>#REF!</v>
      </c>
      <c r="DC50" t="e">
        <f>IF(P50=0,0,COUNTIF(#REF!,"SCHIZ")*100/P50)</f>
        <v>#REF!</v>
      </c>
      <c r="DD50" t="e">
        <f>IF(P50=0,0,COUNTIF(#REF!,"TURB")*100/P50)</f>
        <v>#REF!</v>
      </c>
      <c r="DE50" t="e">
        <f>IF(P50=0,0,COUNTIF(#REF!,"TYDM")*100/P50)</f>
        <v>#REF!</v>
      </c>
      <c r="DG50" t="e">
        <f>IF(P50=0,0,COUNTIF(#REF!,"AMP")*100/P50)</f>
        <v>#REF!</v>
      </c>
      <c r="DH50" t="e">
        <f>IF(P50=0,0,COUNTIF(#REF!,"BCA1")*100/P50)</f>
        <v>#REF!</v>
      </c>
      <c r="DI50" t="e">
        <f>IF(P50=0,0,COUNTIF(#REF!,"JAN")*100/P50)</f>
        <v>#REF!</v>
      </c>
      <c r="DK50" s="29" t="e">
        <f>IF(P50=0,0,COUNTIF(#REF!,"CCA1")*100/P50)</f>
        <v>#REF!</v>
      </c>
      <c r="DM50" t="e">
        <f>IF(P50=0,0,COUNTIF(#REF!,"Sand")*100/P50)</f>
        <v>#REF!</v>
      </c>
      <c r="DO50" t="e">
        <f>IF(P50=0,0,COUNTIF(#REF!,"FCA1")*100/P50)</f>
        <v>#REF!</v>
      </c>
      <c r="DQ50" t="e">
        <f>IF(P50=0,0,COUNTIF(#REF!,"CHRYOBRN")*100/P50)</f>
        <v>#REF!</v>
      </c>
      <c r="DS50" s="29" t="e">
        <f>IF(P50=0,0,COUNTIF(#REF!,"TURF")*100/P50)</f>
        <v>#REF!</v>
      </c>
      <c r="DU50" t="e">
        <f>COUNTIF(#REF!,"Shadow")*100/5</f>
        <v>#REF!</v>
      </c>
      <c r="DV50" t="e">
        <f>COUNTIF(#REF!,"Tape")*100/5</f>
        <v>#REF!</v>
      </c>
      <c r="DW50" t="e">
        <f>COUNTIF(#REF!,"Wand")*100/5</f>
        <v>#REF!</v>
      </c>
      <c r="DY50" t="e">
        <f>IF(P50=0,0,COUNTIF(#REF!,"BC")*100/P50)</f>
        <v>#REF!</v>
      </c>
    </row>
    <row r="51" spans="1:129">
      <c r="A51">
        <v>49</v>
      </c>
      <c r="B51" t="s">
        <v>94</v>
      </c>
      <c r="F51" s="29" t="e">
        <f>IF(P51=0,0,COUNTIF(#REF!,"C")*100/P51)</f>
        <v>#REF!</v>
      </c>
      <c r="G51" t="e">
        <f>IF(P51=0,0,COUNTIF(#REF!,"OI")*100/P51)</f>
        <v>#REF!</v>
      </c>
      <c r="H51" t="e">
        <f>IF(P51=0,0,COUNTIF(#REF!,"MA")*100/P51)</f>
        <v>#REF!</v>
      </c>
      <c r="I51" t="e">
        <f>IF(P51=0,0,COUNTIF(#REF!,"BCA")*100/P51)</f>
        <v>#REF!</v>
      </c>
      <c r="J51" t="e">
        <f>IF(P51=0,0,COUNTIF(#REF!,"CCA")*100/P51)</f>
        <v>#REF!</v>
      </c>
      <c r="K51" t="e">
        <f>IF(P51=0,0,COUNTIF(#REF!,"SD")*100/P51)</f>
        <v>#REF!</v>
      </c>
      <c r="L51" t="e">
        <f>IF(P51=0,0,COUNTIF(#REF!,"FCA")*100/P51)</f>
        <v>#REF!</v>
      </c>
      <c r="M51" t="e">
        <f>IF(P51=0,0,COUNTIF(#REF!,"CHRYS")*100/P51)</f>
        <v>#REF!</v>
      </c>
      <c r="N51" s="29" t="e">
        <f>IF(P51=0,0,COUNTIF(#REF!,"T")*100/P51)</f>
        <v>#REF!</v>
      </c>
      <c r="O51" t="e">
        <f>IF(P51=0,0,COUNTIF(#REF!,"TWS")*100/P51)</f>
        <v>#REF!</v>
      </c>
      <c r="P51" t="e">
        <f>5-COUNTIF(#REF!,"TWS")</f>
        <v>#REF!</v>
      </c>
      <c r="S51" t="e">
        <f>IF(P51=0,0,COUNTIF(#REF!,"ACAN")*100/P51)</f>
        <v>#REF!</v>
      </c>
      <c r="T51" t="e">
        <f>IF(P51=0,0,COUNTIF(#REF!,"ACROP")*100/P51)</f>
        <v>#REF!</v>
      </c>
      <c r="U51" t="e">
        <f>IF(P51=0,0,COUNTIF(#REF!,"ACROPARB")*100/P51)</f>
        <v>#REF!</v>
      </c>
      <c r="V51" t="e">
        <f>IF(P51=0,0,COUNTIF(#REF!,"ACROST")*100/P51)</f>
        <v>#REF!</v>
      </c>
      <c r="W51" s="29" t="e">
        <f>IF(P51=0,0,COUNTIF(#REF!,"ACROTBL")*100/P51)</f>
        <v>#REF!</v>
      </c>
      <c r="X51" t="e">
        <f>IF(P51=0,0,COUNTIF(#REF!,"ASTRP")*100/P51)</f>
        <v>#REF!</v>
      </c>
      <c r="Y51" t="e">
        <f>IF(P51=0,0,COUNTIF(#REF!,"CAUL")*100/P51)</f>
        <v>#REF!</v>
      </c>
      <c r="Z51" t="e">
        <f>IF(P51=0,0,COUNTIF(#REF!,"COSC")*100/P51)</f>
        <v>#REF!</v>
      </c>
      <c r="AA51" t="e">
        <f>IF(P51=0,0,COUNTIF(#REF!,"CTEN")*100/P51)</f>
        <v>#REF!</v>
      </c>
      <c r="AB51" t="e">
        <f>IF(P51=0,0,COUNTIF(#REF!,"CYPH")*100/P51)</f>
        <v>#REF!</v>
      </c>
      <c r="AC51" t="e">
        <f>IF(P51=0,0,COUNTIF(#REF!,"DIPLO")*100/P51)</f>
        <v>#REF!</v>
      </c>
      <c r="AD51" t="e">
        <f>IF(P51=0,0,COUNTIF(#REF!,"ECHPO")*100/P51)</f>
        <v>#REF!</v>
      </c>
      <c r="AE51" t="e">
        <f>IF(P51=0,0,COUNTIF(#REF!,"ECHPHY")*100/P51)</f>
        <v>#REF!</v>
      </c>
      <c r="AF51" t="e">
        <f>IF(P51=0,0,COUNTIF(#REF!,"EUPH")*100/P51)</f>
        <v>#REF!</v>
      </c>
      <c r="AG51" t="e">
        <f>IF(P51=0,0,COUNTIF(#REF!,"FAV")*100/P51)</f>
        <v>#REF!</v>
      </c>
      <c r="AH51" t="e">
        <f>IF(P51=0,0,COUNTIF(#REF!,"FAVT")*100/P51)</f>
        <v>#REF!</v>
      </c>
      <c r="AI51" t="e">
        <f>IF(P51=0,0,COUNTIF(#REF!,"FUNG")*100/P51)</f>
        <v>#REF!</v>
      </c>
      <c r="AJ51" t="e">
        <f>IF(P51=0,0,COUNTIF(#REF!,"GAL")*100/P51)</f>
        <v>#REF!</v>
      </c>
      <c r="AK51" t="e">
        <f>IF(P51=0,0,COUNTIF(#REF!,"GARD")*100/P51)</f>
        <v>#REF!</v>
      </c>
      <c r="AL51" t="e">
        <f>IF(P51=0,0,COUNTIF(#REF!,"GON")*100/P51)</f>
        <v>#REF!</v>
      </c>
      <c r="AM51" t="e">
        <f>IF(P51=0,0,COUNTIF(#REF!,"GONIO")*100/P51)</f>
        <v>#REF!</v>
      </c>
      <c r="AN51" t="e">
        <f>IF(P51=0,0,COUNTIF(#REF!,"HELIO")*100/P51)</f>
        <v>#REF!</v>
      </c>
      <c r="AO51" t="e">
        <f>IF(P51=0,0,COUNTIF(#REF!,"HERP")*100/P51)</f>
        <v>#REF!</v>
      </c>
      <c r="AP51" t="e">
        <f>IF(P51=0,0,COUNTIF(#REF!,"HYD")*100/P51)</f>
        <v>#REF!</v>
      </c>
      <c r="AQ51" t="e">
        <f>IF(P51=0,0,COUNTIF(#REF!,"ISOP")*100/P51)</f>
        <v>#REF!</v>
      </c>
      <c r="AR51" t="e">
        <f>IF(P51=0,0,COUNTIF(#REF!,"LEPT")*100/P51)</f>
        <v>#REF!</v>
      </c>
      <c r="AS51" t="e">
        <f>IF(P51=0,0,COUNTIF(#REF!,"LEPTOR")*100/P51)</f>
        <v>#REF!</v>
      </c>
      <c r="AT51" t="e">
        <f>IF(P51=0,0,COUNTIF(#REF!,"LEPTOS")*100/P51)</f>
        <v>#REF!</v>
      </c>
      <c r="AU51" t="e">
        <f>IF(P51=0,0,COUNTIF(#REF!,"LOBOPH")*100/P51)</f>
        <v>#REF!</v>
      </c>
      <c r="AV51" t="e">
        <f>IF(P51=0,0,COUNTIF(#REF!,"MERU")*100/P51)</f>
        <v>#REF!</v>
      </c>
      <c r="AW51" t="e">
        <f>IF(P51=0,0,COUNTIF(#REF!,"MILL")*100/P51)</f>
        <v>#REF!</v>
      </c>
      <c r="AX51" t="e">
        <f>IF(P51=0,0,COUNTIF(#REF!,"MONT")*100/P51)</f>
        <v>#REF!</v>
      </c>
      <c r="AY51" t="e">
        <f>IF(P51=0,0,COUNTIF(#REF!,"MONTI")*100/P51)</f>
        <v>#REF!</v>
      </c>
      <c r="AZ51" t="e">
        <f>IF(P51=0,0,COUNTIF(#REF!,"MYCED")*100/P51)</f>
        <v>#REF!</v>
      </c>
      <c r="BA51" t="e">
        <f>IF(P51=0,0,COUNTIF(#REF!,"OULO")*100/P51)</f>
        <v>#REF!</v>
      </c>
      <c r="BB51" t="e">
        <f>IF(P51=0,0,COUNTIF(#REF!,"OXYP")*100/P51)</f>
        <v>#REF!</v>
      </c>
      <c r="BC51" t="e">
        <f>IF(P51=0,0,COUNTIF(#REF!,"PLSIA")*100/P51)</f>
        <v>#REF!</v>
      </c>
      <c r="BD51" t="e">
        <f>IF(P51=0,0,COUNTIF(#REF!,"PACHY")*100/P51)</f>
        <v>#REF!</v>
      </c>
      <c r="BE51" t="e">
        <f>IF(P51=0,0,COUNTIF(#REF!,"PAV")*100/P51)</f>
        <v>#REF!</v>
      </c>
      <c r="BF51" t="e">
        <f>IF(P51=0,0,COUNTIF(#REF!,"PECT")*100/P51)</f>
        <v>#REF!</v>
      </c>
      <c r="BG51" t="e">
        <f>IF(P51=0,0,COUNTIF(#REF!,"PHYSO")*100/P51)</f>
        <v>#REF!</v>
      </c>
      <c r="BH51" t="e">
        <f>IF(P51=0,0,COUNTIF(#REF!,"PLAT")*100/P51)</f>
        <v>#REF!</v>
      </c>
      <c r="BI51" t="e">
        <f>IF(P51=0,0,COUNTIF(#REF!,"PLERO")*100/P51)</f>
        <v>#REF!</v>
      </c>
      <c r="BJ51" t="e">
        <f>IF(P51=0,0,COUNTIF(#REF!,"POC")*100/P51)</f>
        <v>#REF!</v>
      </c>
      <c r="BK51" t="e">
        <f>IF(P51=0,0,COUNTIF(#REF!,"POR")*100/P51)</f>
        <v>#REF!</v>
      </c>
      <c r="BL51" t="e">
        <f>IF(P51=0,0,COUNTIF(#REF!,"PORCYL")*100/P51)</f>
        <v>#REF!</v>
      </c>
      <c r="BM51" t="e">
        <f>IF(P51=0,0,COUNTIF(#REF!,"PORMAS")*100/P51)</f>
        <v>#REF!</v>
      </c>
      <c r="BN51" s="29" t="e">
        <f>IF(P51=0,0,COUNTIF(#REF!,"PORRUS")*100/P51)</f>
        <v>#REF!</v>
      </c>
      <c r="BO51" t="e">
        <f>IF(P51=0,0,COUNTIF(#REF!,"PSAM")*100/P51)</f>
        <v>#REF!</v>
      </c>
      <c r="BP51" t="e">
        <f>IF(P51=0,0,COUNTIF(#REF!,"SANDO")*100/P51)</f>
        <v>#REF!</v>
      </c>
      <c r="BQ51" t="e">
        <f>IF(P51=0,0,COUNTIF(#REF!,"SCAP")*100/P51)</f>
        <v>#REF!</v>
      </c>
      <c r="BR51" t="e">
        <f>IF(P51=0,0,COUNTIF(#REF!,"SERIA")*100/P51)</f>
        <v>#REF!</v>
      </c>
      <c r="BS51" t="e">
        <f>IF(P51=0,0,COUNTIF(#REF!,"STYLC")*100/P51)</f>
        <v>#REF!</v>
      </c>
      <c r="BT51" t="e">
        <f>IF(P51=0,0,COUNTIF(#REF!,"STYLO")*100/P51)</f>
        <v>#REF!</v>
      </c>
      <c r="BU51" t="e">
        <f>IF(P51=0,0,COUNTIF(#REF!,"SYMP")*100/P51)</f>
        <v>#REF!</v>
      </c>
      <c r="BV51" t="e">
        <f>IF(P51=0,0,COUNTIF(#REF!,"TURBIN")*100/P51)</f>
        <v>#REF!</v>
      </c>
      <c r="BX51" t="e">
        <f>IF(P51=0,0,COUNTIF(#REF!,"ANEM")*100/P51)</f>
        <v>#REF!</v>
      </c>
      <c r="BY51" t="e">
        <f>IF(P51=0,0,COUNTIF(#REF!,"ASC")*100/P51)</f>
        <v>#REF!</v>
      </c>
      <c r="BZ51" t="e">
        <f>IF(P51=0,0,COUNTIF(#REF!,"CUPS")*100/P51)</f>
        <v>#REF!</v>
      </c>
      <c r="CA51" t="e">
        <f>IF(P51=0,0,COUNTIF(#REF!,"DISCO")*100/P51)</f>
        <v>#REF!</v>
      </c>
      <c r="CB51" t="e">
        <f>IF(P51=0,0,COUNTIF(#REF!,"DYS")*100/P51)</f>
        <v>#REF!</v>
      </c>
      <c r="CC51" t="e">
        <f>IF(P51=0,0,COUNTIF(#REF!,"G")*100/P51)</f>
        <v>#REF!</v>
      </c>
      <c r="CD51" t="e">
        <f>IF(P51=0,0,COUNTIF(#REF!,"NoIDINV")*100/P51)</f>
        <v>#REF!</v>
      </c>
      <c r="CE51" t="e">
        <f>IF(P51=0,0,COUNTIF(#REF!,"OLV")*100/P51)</f>
        <v>#REF!</v>
      </c>
      <c r="CF51" t="e">
        <f>IF(P51=0,0,COUNTIF(#REF!,"SC")*100/P51)</f>
        <v>#REF!</v>
      </c>
      <c r="CG51" t="e">
        <f>IF(P51=0,0,COUNTIF(#REF!,"S")*100/P51)</f>
        <v>#REF!</v>
      </c>
      <c r="CH51" t="e">
        <f>IF(P51=0,0,COUNTIF(#REF!,"TERPS")*100/P51)</f>
        <v>#REF!</v>
      </c>
      <c r="CI51" t="e">
        <f>IF(P51=0,0,COUNTIF(#REF!,"Z")*100/P51)</f>
        <v>#REF!</v>
      </c>
      <c r="CK51" t="e">
        <f>IF(P51=0,0,COUNTIF(#REF!,"ASP")*100/P51)</f>
        <v>#REF!</v>
      </c>
      <c r="CL51" t="e">
        <f>IF(P51=0,0,COUNTIF(#REF!,"BG")*100/P51)</f>
        <v>#REF!</v>
      </c>
      <c r="CM51" t="e">
        <f>IF(P51=0,0,COUNTIF(#REF!,"Bood")*100/P51)</f>
        <v>#REF!</v>
      </c>
      <c r="CN51" t="e">
        <f>IF(P51=0,0,COUNTIF(#REF!,"BRYP")*100/P51)</f>
        <v>#REF!</v>
      </c>
      <c r="CO51" t="e">
        <f>IF(P51=0,0,COUNTIF(#REF!,"CLP")*100/P51)</f>
        <v>#REF!</v>
      </c>
      <c r="CP51" t="e">
        <f>IF(P51=0,0,COUNTIF(#REF!,"CHLDES")*100/P51)</f>
        <v>#REF!</v>
      </c>
      <c r="CQ51" t="e">
        <f>IF(P51=0,0,COUNTIF(#REF!,"DYCTY")*100/P51)</f>
        <v>#REF!</v>
      </c>
      <c r="CR51" t="e">
        <f>IF(P51=0,0,COUNTIF(#REF!,"DICT")*100/P51)</f>
        <v>#REF!</v>
      </c>
      <c r="CS51" t="e">
        <f>IF(P51=0,0,COUNTIF(#REF!,"GLXU")*100/P51)</f>
        <v>#REF!</v>
      </c>
      <c r="CT51" t="e">
        <f>IF(P51=0,0,COUNTIF(#REF!,"HALI")*100/P51)</f>
        <v>#REF!</v>
      </c>
      <c r="CU51" t="e">
        <f>IF(P51=0,0,COUNTIF(#REF!,"LIAG")*100/P51)</f>
        <v>#REF!</v>
      </c>
      <c r="CV51" t="e">
        <f>IF(P51=0,0,COUNTIF(#REF!,"LOBO")*100/P51)</f>
        <v>#REF!</v>
      </c>
      <c r="CW51" t="e">
        <f>IF(P51=0,0,COUNTIF(#REF!,"MAST")*100/P51)</f>
        <v>#REF!</v>
      </c>
      <c r="CX51" t="e">
        <f>IF(P51=0,0,COUNTIF(#REF!,"MICDTY")*100/P51)</f>
        <v>#REF!</v>
      </c>
      <c r="CY51" t="e">
        <f>IF(P51=0,0,COUNTIF(#REF!,"NEOM")*100/P51)</f>
        <v>#REF!</v>
      </c>
      <c r="CZ51" t="e">
        <f>IF(P51=0,0,COUNTIF(#REF!,"NOIDMAC")*100/P51)</f>
        <v>#REF!</v>
      </c>
      <c r="DA51" t="e">
        <f>IF(P51=0,0,COUNTIF(#REF!,"PAD")*100/P51)</f>
        <v>#REF!</v>
      </c>
      <c r="DB51" t="e">
        <f>IF(P51=0,0,COUNTIF(#REF!,"SARG")*100/P51)</f>
        <v>#REF!</v>
      </c>
      <c r="DC51" t="e">
        <f>IF(P51=0,0,COUNTIF(#REF!,"SCHIZ")*100/P51)</f>
        <v>#REF!</v>
      </c>
      <c r="DD51" t="e">
        <f>IF(P51=0,0,COUNTIF(#REF!,"TURB")*100/P51)</f>
        <v>#REF!</v>
      </c>
      <c r="DE51" t="e">
        <f>IF(P51=0,0,COUNTIF(#REF!,"TYDM")*100/P51)</f>
        <v>#REF!</v>
      </c>
      <c r="DG51" t="e">
        <f>IF(P51=0,0,COUNTIF(#REF!,"AMP")*100/P51)</f>
        <v>#REF!</v>
      </c>
      <c r="DH51" t="e">
        <f>IF(P51=0,0,COUNTIF(#REF!,"BCA1")*100/P51)</f>
        <v>#REF!</v>
      </c>
      <c r="DI51" t="e">
        <f>IF(P51=0,0,COUNTIF(#REF!,"JAN")*100/P51)</f>
        <v>#REF!</v>
      </c>
      <c r="DK51" t="e">
        <f>IF(P51=0,0,COUNTIF(#REF!,"CCA1")*100/P51)</f>
        <v>#REF!</v>
      </c>
      <c r="DM51" t="e">
        <f>IF(P51=0,0,COUNTIF(#REF!,"Sand")*100/P51)</f>
        <v>#REF!</v>
      </c>
      <c r="DO51" t="e">
        <f>IF(P51=0,0,COUNTIF(#REF!,"FCA1")*100/P51)</f>
        <v>#REF!</v>
      </c>
      <c r="DQ51" t="e">
        <f>IF(P51=0,0,COUNTIF(#REF!,"CHRYOBRN")*100/P51)</f>
        <v>#REF!</v>
      </c>
      <c r="DS51" s="29" t="e">
        <f>IF(P51=0,0,COUNTIF(#REF!,"TURF")*100/P51)</f>
        <v>#REF!</v>
      </c>
      <c r="DU51" t="e">
        <f>COUNTIF(#REF!,"Shadow")*100/5</f>
        <v>#REF!</v>
      </c>
      <c r="DV51" t="e">
        <f>COUNTIF(#REF!,"Tape")*100/5</f>
        <v>#REF!</v>
      </c>
      <c r="DW51" t="e">
        <f>COUNTIF(#REF!,"Wand")*100/5</f>
        <v>#REF!</v>
      </c>
      <c r="DY51" t="e">
        <f>IF(P51=0,0,COUNTIF(#REF!,"BC")*100/P51)</f>
        <v>#REF!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52"/>
  <sheetViews>
    <sheetView workbookViewId="0"/>
  </sheetViews>
  <sheetFormatPr baseColWidth="10" defaultColWidth="8.83203125" defaultRowHeight="14" x14ac:dyDescent="0"/>
  <cols>
    <col min="1" max="1" width="2.83203125" bestFit="1" customWidth="1"/>
    <col min="2" max="2" width="12.83203125" bestFit="1" customWidth="1"/>
    <col min="3" max="4" width="1.83203125" bestFit="1" customWidth="1"/>
    <col min="5" max="5" width="3.33203125" style="17" bestFit="1" customWidth="1"/>
    <col min="6" max="6" width="5.33203125" bestFit="1" customWidth="1"/>
    <col min="7" max="8" width="3.33203125" bestFit="1" customWidth="1"/>
    <col min="9" max="10" width="4.33203125" bestFit="1" customWidth="1"/>
    <col min="11" max="11" width="3.33203125" bestFit="1" customWidth="1"/>
    <col min="12" max="12" width="4.33203125" bestFit="1" customWidth="1"/>
    <col min="13" max="13" width="3.33203125" bestFit="1" customWidth="1"/>
    <col min="14" max="14" width="4.33203125" bestFit="1" customWidth="1"/>
    <col min="15" max="16" width="3.33203125" bestFit="1" customWidth="1"/>
    <col min="17" max="17" width="3.33203125" style="17" bestFit="1" customWidth="1"/>
    <col min="18" max="18" width="3.33203125" style="10" bestFit="1" customWidth="1"/>
    <col min="19" max="19" width="3.33203125" bestFit="1" customWidth="1"/>
    <col min="20" max="20" width="4.33203125" bestFit="1" customWidth="1"/>
    <col min="21" max="22" width="3.33203125" bestFit="1" customWidth="1"/>
    <col min="23" max="24" width="4.33203125" bestFit="1" customWidth="1"/>
    <col min="25" max="29" width="3.33203125" bestFit="1" customWidth="1"/>
    <col min="30" max="30" width="4.33203125" bestFit="1" customWidth="1"/>
    <col min="31" max="32" width="3.33203125" bestFit="1" customWidth="1"/>
    <col min="33" max="34" width="4.33203125" bestFit="1" customWidth="1"/>
    <col min="35" max="35" width="3.33203125" bestFit="1" customWidth="1"/>
    <col min="36" max="36" width="4.33203125" bestFit="1" customWidth="1"/>
    <col min="37" max="37" width="3.33203125" bestFit="1" customWidth="1"/>
    <col min="38" max="38" width="4.33203125" bestFit="1" customWidth="1"/>
    <col min="39" max="41" width="3.33203125" bestFit="1" customWidth="1"/>
    <col min="42" max="45" width="4.33203125" bestFit="1" customWidth="1"/>
    <col min="46" max="46" width="3.33203125" bestFit="1" customWidth="1"/>
    <col min="47" max="47" width="4.33203125" bestFit="1" customWidth="1"/>
    <col min="48" max="50" width="3.33203125" bestFit="1" customWidth="1"/>
    <col min="51" max="51" width="4.33203125" bestFit="1" customWidth="1"/>
    <col min="52" max="59" width="3.33203125" bestFit="1" customWidth="1"/>
    <col min="60" max="60" width="4.33203125" bestFit="1" customWidth="1"/>
    <col min="61" max="61" width="3.33203125" bestFit="1" customWidth="1"/>
    <col min="62" max="63" width="4.33203125" bestFit="1" customWidth="1"/>
    <col min="64" max="64" width="3.33203125" bestFit="1" customWidth="1"/>
    <col min="65" max="66" width="4.33203125" bestFit="1" customWidth="1"/>
    <col min="67" max="71" width="3.33203125" bestFit="1" customWidth="1"/>
    <col min="72" max="72" width="4.33203125" bestFit="1" customWidth="1"/>
    <col min="73" max="74" width="3.33203125" bestFit="1" customWidth="1"/>
    <col min="75" max="75" width="3.33203125" style="10" bestFit="1" customWidth="1"/>
    <col min="76" max="87" width="3.33203125" bestFit="1" customWidth="1"/>
    <col min="88" max="88" width="3.33203125" style="10" bestFit="1" customWidth="1"/>
    <col min="89" max="109" width="3.33203125" bestFit="1" customWidth="1"/>
    <col min="110" max="110" width="3.33203125" style="10" bestFit="1" customWidth="1"/>
    <col min="111" max="111" width="3.33203125" bestFit="1" customWidth="1"/>
    <col min="112" max="112" width="4.33203125" bestFit="1" customWidth="1"/>
    <col min="113" max="113" width="3.33203125" bestFit="1" customWidth="1"/>
    <col min="114" max="114" width="3.33203125" style="10" bestFit="1" customWidth="1"/>
    <col min="115" max="115" width="4.33203125" bestFit="1" customWidth="1"/>
    <col min="116" max="116" width="3.33203125" style="10" bestFit="1" customWidth="1"/>
    <col min="117" max="117" width="3.33203125" bestFit="1" customWidth="1"/>
    <col min="118" max="118" width="3.33203125" style="10" bestFit="1" customWidth="1"/>
    <col min="119" max="119" width="4.33203125" bestFit="1" customWidth="1"/>
    <col min="120" max="120" width="3.33203125" style="10" bestFit="1" customWidth="1"/>
    <col min="121" max="121" width="3.33203125" bestFit="1" customWidth="1"/>
    <col min="122" max="122" width="3.33203125" style="10" bestFit="1" customWidth="1"/>
    <col min="123" max="123" width="4.33203125" bestFit="1" customWidth="1"/>
    <col min="124" max="124" width="3.33203125" style="10" bestFit="1" customWidth="1"/>
    <col min="125" max="127" width="3.33203125" bestFit="1" customWidth="1"/>
    <col min="128" max="128" width="3.33203125" style="17" bestFit="1" customWidth="1"/>
    <col min="129" max="129" width="3.33203125" bestFit="1" customWidth="1"/>
  </cols>
  <sheetData>
    <row r="1" spans="1:129" ht="59">
      <c r="F1" s="15" t="s">
        <v>23</v>
      </c>
      <c r="G1" s="15" t="s">
        <v>99</v>
      </c>
      <c r="H1" s="15" t="s">
        <v>101</v>
      </c>
      <c r="I1" s="15" t="s">
        <v>42</v>
      </c>
      <c r="J1" s="15" t="s">
        <v>30</v>
      </c>
      <c r="K1" s="15" t="s">
        <v>105</v>
      </c>
      <c r="L1" s="15" t="s">
        <v>26</v>
      </c>
      <c r="M1" s="15" t="s">
        <v>108</v>
      </c>
      <c r="N1" s="15" t="s">
        <v>28</v>
      </c>
      <c r="O1" s="15" t="s">
        <v>45</v>
      </c>
      <c r="S1" s="15" t="s">
        <v>114</v>
      </c>
      <c r="T1" s="15" t="s">
        <v>89</v>
      </c>
      <c r="U1" s="15" t="s">
        <v>117</v>
      </c>
      <c r="V1" s="15" t="s">
        <v>119</v>
      </c>
      <c r="W1" s="15" t="s">
        <v>22</v>
      </c>
      <c r="X1" s="15" t="s">
        <v>122</v>
      </c>
      <c r="Y1" s="15" t="s">
        <v>124</v>
      </c>
      <c r="Z1" s="15" t="s">
        <v>126</v>
      </c>
      <c r="AA1" s="15" t="s">
        <v>128</v>
      </c>
      <c r="AB1" s="15" t="s">
        <v>66</v>
      </c>
      <c r="AC1" s="15" t="s">
        <v>131</v>
      </c>
      <c r="AD1" s="15" t="s">
        <v>35</v>
      </c>
      <c r="AE1" s="15" t="s">
        <v>134</v>
      </c>
      <c r="AF1" s="15" t="s">
        <v>136</v>
      </c>
      <c r="AG1" s="15" t="s">
        <v>59</v>
      </c>
      <c r="AH1" s="15" t="s">
        <v>139</v>
      </c>
      <c r="AI1" s="15" t="s">
        <v>141</v>
      </c>
      <c r="AJ1" s="15" t="s">
        <v>37</v>
      </c>
      <c r="AK1" s="15" t="s">
        <v>144</v>
      </c>
      <c r="AL1" s="15" t="s">
        <v>64</v>
      </c>
      <c r="AM1" s="15" t="s">
        <v>147</v>
      </c>
      <c r="AN1" s="15" t="s">
        <v>149</v>
      </c>
      <c r="AO1" s="15" t="s">
        <v>151</v>
      </c>
      <c r="AP1" s="15" t="s">
        <v>153</v>
      </c>
      <c r="AQ1" s="15" t="s">
        <v>155</v>
      </c>
      <c r="AR1" s="15" t="s">
        <v>157</v>
      </c>
      <c r="AS1" s="15" t="s">
        <v>31</v>
      </c>
      <c r="AT1" s="15" t="s">
        <v>160</v>
      </c>
      <c r="AU1" s="15" t="s">
        <v>55</v>
      </c>
      <c r="AV1" s="15" t="s">
        <v>38</v>
      </c>
      <c r="AW1" s="15" t="s">
        <v>164</v>
      </c>
      <c r="AX1" s="15" t="s">
        <v>166</v>
      </c>
      <c r="AY1" s="15" t="s">
        <v>168</v>
      </c>
      <c r="AZ1" s="15" t="s">
        <v>72</v>
      </c>
      <c r="BA1" s="15" t="s">
        <v>171</v>
      </c>
      <c r="BB1" s="15" t="s">
        <v>173</v>
      </c>
      <c r="BC1" s="15" t="s">
        <v>175</v>
      </c>
      <c r="BD1" s="15" t="s">
        <v>33</v>
      </c>
      <c r="BE1" s="15" t="s">
        <v>178</v>
      </c>
      <c r="BF1" s="15" t="s">
        <v>180</v>
      </c>
      <c r="BG1" s="15" t="s">
        <v>182</v>
      </c>
      <c r="BH1" s="15" t="s">
        <v>69</v>
      </c>
      <c r="BI1" s="15" t="s">
        <v>185</v>
      </c>
      <c r="BJ1" s="15" t="s">
        <v>187</v>
      </c>
      <c r="BK1" s="15" t="s">
        <v>189</v>
      </c>
      <c r="BL1" s="15" t="s">
        <v>191</v>
      </c>
      <c r="BM1" s="15" t="s">
        <v>193</v>
      </c>
      <c r="BN1" s="15" t="s">
        <v>95</v>
      </c>
      <c r="BO1" s="15" t="s">
        <v>196</v>
      </c>
      <c r="BP1" s="15" t="s">
        <v>198</v>
      </c>
      <c r="BQ1" s="15" t="s">
        <v>200</v>
      </c>
      <c r="BR1" s="15" t="s">
        <v>202</v>
      </c>
      <c r="BS1" s="15" t="s">
        <v>204</v>
      </c>
      <c r="BT1" s="15" t="s">
        <v>51</v>
      </c>
      <c r="BU1" s="15" t="s">
        <v>207</v>
      </c>
      <c r="BV1" s="15" t="s">
        <v>209</v>
      </c>
      <c r="BX1" s="15" t="s">
        <v>211</v>
      </c>
      <c r="BY1" s="15" t="s">
        <v>213</v>
      </c>
      <c r="BZ1" s="15" t="s">
        <v>215</v>
      </c>
      <c r="CA1" s="15" t="s">
        <v>217</v>
      </c>
      <c r="CB1" s="15" t="s">
        <v>219</v>
      </c>
      <c r="CC1" s="15" t="s">
        <v>221</v>
      </c>
      <c r="CD1" s="15" t="s">
        <v>223</v>
      </c>
      <c r="CE1" s="15" t="s">
        <v>225</v>
      </c>
      <c r="CF1" s="15" t="s">
        <v>227</v>
      </c>
      <c r="CG1" s="15" t="s">
        <v>229</v>
      </c>
      <c r="CH1" s="15" t="s">
        <v>231</v>
      </c>
      <c r="CI1" s="15" t="s">
        <v>233</v>
      </c>
      <c r="CK1" s="15" t="s">
        <v>235</v>
      </c>
      <c r="CL1" s="15" t="s">
        <v>237</v>
      </c>
      <c r="CM1" s="15" t="s">
        <v>239</v>
      </c>
      <c r="CN1" s="15" t="s">
        <v>241</v>
      </c>
      <c r="CO1" s="15" t="s">
        <v>243</v>
      </c>
      <c r="CP1" s="15" t="s">
        <v>245</v>
      </c>
      <c r="CQ1" s="15" t="s">
        <v>247</v>
      </c>
      <c r="CR1" s="15" t="s">
        <v>249</v>
      </c>
      <c r="CS1" s="15" t="s">
        <v>251</v>
      </c>
      <c r="CT1" s="15" t="s">
        <v>253</v>
      </c>
      <c r="CU1" s="15" t="s">
        <v>255</v>
      </c>
      <c r="CV1" s="15" t="s">
        <v>257</v>
      </c>
      <c r="CW1" s="15" t="s">
        <v>259</v>
      </c>
      <c r="CX1" s="15" t="s">
        <v>261</v>
      </c>
      <c r="CY1" s="15" t="s">
        <v>263</v>
      </c>
      <c r="CZ1" s="15" t="s">
        <v>265</v>
      </c>
      <c r="DA1" s="15" t="s">
        <v>267</v>
      </c>
      <c r="DB1" s="15" t="s">
        <v>269</v>
      </c>
      <c r="DC1" s="15" t="s">
        <v>271</v>
      </c>
      <c r="DD1" s="15" t="s">
        <v>273</v>
      </c>
      <c r="DE1" s="15" t="s">
        <v>275</v>
      </c>
      <c r="DG1" s="15" t="s">
        <v>277</v>
      </c>
      <c r="DH1" s="15" t="s">
        <v>41</v>
      </c>
      <c r="DI1" s="15" t="s">
        <v>280</v>
      </c>
      <c r="DK1" s="15" t="s">
        <v>29</v>
      </c>
      <c r="DM1" s="15" t="s">
        <v>104</v>
      </c>
      <c r="DO1" s="15" t="s">
        <v>25</v>
      </c>
      <c r="DQ1" s="15" t="s">
        <v>285</v>
      </c>
      <c r="DS1" s="15" t="s">
        <v>27</v>
      </c>
      <c r="DU1" s="15" t="s">
        <v>288</v>
      </c>
      <c r="DV1" s="15" t="s">
        <v>290</v>
      </c>
      <c r="DW1" s="15" t="s">
        <v>292</v>
      </c>
      <c r="DY1" s="15" t="s">
        <v>295</v>
      </c>
    </row>
    <row r="2" spans="1:129" ht="215">
      <c r="B2" s="1" t="s">
        <v>0</v>
      </c>
      <c r="C2" s="1" t="s">
        <v>1</v>
      </c>
      <c r="D2" s="1" t="s">
        <v>2</v>
      </c>
      <c r="E2" s="16" t="s">
        <v>96</v>
      </c>
      <c r="F2" s="18" t="s">
        <v>97</v>
      </c>
      <c r="G2" s="19" t="s">
        <v>98</v>
      </c>
      <c r="H2" s="20" t="s">
        <v>100</v>
      </c>
      <c r="I2" s="21" t="s">
        <v>102</v>
      </c>
      <c r="J2" s="22" t="s">
        <v>103</v>
      </c>
      <c r="K2" s="23" t="s">
        <v>104</v>
      </c>
      <c r="L2" s="24" t="s">
        <v>106</v>
      </c>
      <c r="M2" s="25" t="s">
        <v>107</v>
      </c>
      <c r="N2" s="26" t="s">
        <v>109</v>
      </c>
      <c r="O2" s="27" t="s">
        <v>110</v>
      </c>
      <c r="P2" s="15" t="s">
        <v>111</v>
      </c>
      <c r="Q2" s="16" t="s">
        <v>112</v>
      </c>
      <c r="R2" s="28" t="s">
        <v>97</v>
      </c>
      <c r="S2" s="15" t="s">
        <v>113</v>
      </c>
      <c r="T2" s="15" t="s">
        <v>115</v>
      </c>
      <c r="U2" s="15" t="s">
        <v>116</v>
      </c>
      <c r="V2" s="15" t="s">
        <v>118</v>
      </c>
      <c r="W2" s="15" t="s">
        <v>120</v>
      </c>
      <c r="X2" s="15" t="s">
        <v>121</v>
      </c>
      <c r="Y2" s="15" t="s">
        <v>123</v>
      </c>
      <c r="Z2" s="15" t="s">
        <v>125</v>
      </c>
      <c r="AA2" s="15" t="s">
        <v>127</v>
      </c>
      <c r="AB2" s="15" t="s">
        <v>129</v>
      </c>
      <c r="AC2" s="15" t="s">
        <v>130</v>
      </c>
      <c r="AD2" s="15" t="s">
        <v>132</v>
      </c>
      <c r="AE2" s="15" t="s">
        <v>133</v>
      </c>
      <c r="AF2" s="15" t="s">
        <v>135</v>
      </c>
      <c r="AG2" s="15" t="s">
        <v>137</v>
      </c>
      <c r="AH2" s="15" t="s">
        <v>138</v>
      </c>
      <c r="AI2" s="15" t="s">
        <v>140</v>
      </c>
      <c r="AJ2" s="15" t="s">
        <v>142</v>
      </c>
      <c r="AK2" s="15" t="s">
        <v>143</v>
      </c>
      <c r="AL2" s="15" t="s">
        <v>145</v>
      </c>
      <c r="AM2" s="15" t="s">
        <v>146</v>
      </c>
      <c r="AN2" s="15" t="s">
        <v>148</v>
      </c>
      <c r="AO2" s="15" t="s">
        <v>150</v>
      </c>
      <c r="AP2" s="15" t="s">
        <v>152</v>
      </c>
      <c r="AQ2" s="15" t="s">
        <v>154</v>
      </c>
      <c r="AR2" s="15" t="s">
        <v>156</v>
      </c>
      <c r="AS2" s="15" t="s">
        <v>158</v>
      </c>
      <c r="AT2" s="15" t="s">
        <v>159</v>
      </c>
      <c r="AU2" s="15" t="s">
        <v>161</v>
      </c>
      <c r="AV2" s="15" t="s">
        <v>162</v>
      </c>
      <c r="AW2" s="15" t="s">
        <v>163</v>
      </c>
      <c r="AX2" s="15" t="s">
        <v>165</v>
      </c>
      <c r="AY2" s="15" t="s">
        <v>167</v>
      </c>
      <c r="AZ2" s="15" t="s">
        <v>169</v>
      </c>
      <c r="BA2" s="15" t="s">
        <v>170</v>
      </c>
      <c r="BB2" s="15" t="s">
        <v>172</v>
      </c>
      <c r="BC2" s="15" t="s">
        <v>174</v>
      </c>
      <c r="BD2" s="15" t="s">
        <v>176</v>
      </c>
      <c r="BE2" s="15" t="s">
        <v>177</v>
      </c>
      <c r="BF2" s="15" t="s">
        <v>179</v>
      </c>
      <c r="BG2" s="15" t="s">
        <v>181</v>
      </c>
      <c r="BH2" s="15" t="s">
        <v>183</v>
      </c>
      <c r="BI2" s="15" t="s">
        <v>184</v>
      </c>
      <c r="BJ2" s="15" t="s">
        <v>186</v>
      </c>
      <c r="BK2" s="15" t="s">
        <v>188</v>
      </c>
      <c r="BL2" s="15" t="s">
        <v>190</v>
      </c>
      <c r="BM2" s="15" t="s">
        <v>192</v>
      </c>
      <c r="BN2" s="15" t="s">
        <v>194</v>
      </c>
      <c r="BO2" s="15" t="s">
        <v>195</v>
      </c>
      <c r="BP2" s="15" t="s">
        <v>197</v>
      </c>
      <c r="BQ2" s="15" t="s">
        <v>199</v>
      </c>
      <c r="BR2" s="15" t="s">
        <v>201</v>
      </c>
      <c r="BS2" s="15" t="s">
        <v>203</v>
      </c>
      <c r="BT2" s="15" t="s">
        <v>205</v>
      </c>
      <c r="BU2" s="15" t="s">
        <v>206</v>
      </c>
      <c r="BV2" s="15" t="s">
        <v>208</v>
      </c>
      <c r="BW2" s="28" t="s">
        <v>98</v>
      </c>
      <c r="BX2" s="15" t="s">
        <v>210</v>
      </c>
      <c r="BY2" s="15" t="s">
        <v>212</v>
      </c>
      <c r="BZ2" s="15" t="s">
        <v>214</v>
      </c>
      <c r="CA2" s="15" t="s">
        <v>216</v>
      </c>
      <c r="CB2" s="15" t="s">
        <v>218</v>
      </c>
      <c r="CC2" s="15" t="s">
        <v>220</v>
      </c>
      <c r="CD2" s="15" t="s">
        <v>222</v>
      </c>
      <c r="CE2" s="15" t="s">
        <v>224</v>
      </c>
      <c r="CF2" s="15" t="s">
        <v>226</v>
      </c>
      <c r="CG2" s="15" t="s">
        <v>228</v>
      </c>
      <c r="CH2" s="15" t="s">
        <v>230</v>
      </c>
      <c r="CI2" s="15" t="s">
        <v>232</v>
      </c>
      <c r="CJ2" s="28" t="s">
        <v>100</v>
      </c>
      <c r="CK2" s="15" t="s">
        <v>234</v>
      </c>
      <c r="CL2" s="15" t="s">
        <v>236</v>
      </c>
      <c r="CM2" s="15" t="s">
        <v>238</v>
      </c>
      <c r="CN2" s="15" t="s">
        <v>240</v>
      </c>
      <c r="CO2" s="15" t="s">
        <v>242</v>
      </c>
      <c r="CP2" s="15" t="s">
        <v>244</v>
      </c>
      <c r="CQ2" s="15" t="s">
        <v>246</v>
      </c>
      <c r="CR2" s="15" t="s">
        <v>248</v>
      </c>
      <c r="CS2" s="15" t="s">
        <v>250</v>
      </c>
      <c r="CT2" s="15" t="s">
        <v>252</v>
      </c>
      <c r="CU2" s="15" t="s">
        <v>254</v>
      </c>
      <c r="CV2" s="15" t="s">
        <v>256</v>
      </c>
      <c r="CW2" s="15" t="s">
        <v>258</v>
      </c>
      <c r="CX2" s="15" t="s">
        <v>260</v>
      </c>
      <c r="CY2" s="15" t="s">
        <v>262</v>
      </c>
      <c r="CZ2" s="15" t="s">
        <v>264</v>
      </c>
      <c r="DA2" s="15" t="s">
        <v>266</v>
      </c>
      <c r="DB2" s="15" t="s">
        <v>268</v>
      </c>
      <c r="DC2" s="15" t="s">
        <v>270</v>
      </c>
      <c r="DD2" s="15" t="s">
        <v>272</v>
      </c>
      <c r="DE2" s="15" t="s">
        <v>274</v>
      </c>
      <c r="DF2" s="28" t="s">
        <v>102</v>
      </c>
      <c r="DG2" s="15" t="s">
        <v>276</v>
      </c>
      <c r="DH2" s="15" t="s">
        <v>278</v>
      </c>
      <c r="DI2" s="15" t="s">
        <v>279</v>
      </c>
      <c r="DJ2" s="28" t="s">
        <v>103</v>
      </c>
      <c r="DK2" s="15" t="s">
        <v>281</v>
      </c>
      <c r="DL2" s="28" t="s">
        <v>104</v>
      </c>
      <c r="DM2" s="15" t="s">
        <v>282</v>
      </c>
      <c r="DN2" s="28" t="s">
        <v>106</v>
      </c>
      <c r="DO2" s="15" t="s">
        <v>283</v>
      </c>
      <c r="DP2" s="28" t="s">
        <v>107</v>
      </c>
      <c r="DQ2" s="15" t="s">
        <v>284</v>
      </c>
      <c r="DR2" s="28" t="s">
        <v>109</v>
      </c>
      <c r="DS2" s="15" t="s">
        <v>286</v>
      </c>
      <c r="DT2" s="28" t="s">
        <v>110</v>
      </c>
      <c r="DU2" s="15" t="s">
        <v>287</v>
      </c>
      <c r="DV2" s="15" t="s">
        <v>289</v>
      </c>
      <c r="DW2" s="15" t="s">
        <v>291</v>
      </c>
      <c r="DX2" s="16" t="s">
        <v>293</v>
      </c>
      <c r="DY2" s="15" t="s">
        <v>294</v>
      </c>
    </row>
    <row r="3" spans="1:129">
      <c r="A3">
        <v>1</v>
      </c>
      <c r="B3" t="s">
        <v>430</v>
      </c>
      <c r="F3" s="29">
        <f>IF(P3=0,0,COUNTIF('Transect 2_imgsummary'!J3:N3,"C")*100/P3)</f>
        <v>100</v>
      </c>
      <c r="G3">
        <f>IF(P3=0,0,COUNTIF('Transect 2_imgsummary'!J3:N3,"OI")*100/P3)</f>
        <v>0</v>
      </c>
      <c r="H3">
        <f>IF(P3=0,0,COUNTIF('Transect 2_imgsummary'!J3:N3,"MA")*100/P3)</f>
        <v>0</v>
      </c>
      <c r="I3">
        <f>IF(P3=0,0,COUNTIF('Transect 2_imgsummary'!J3:N3,"BCA")*100/P3)</f>
        <v>0</v>
      </c>
      <c r="J3">
        <f>IF(P3=0,0,COUNTIF('Transect 2_imgsummary'!J3:N3,"CCA")*100/P3)</f>
        <v>0</v>
      </c>
      <c r="K3">
        <f>IF(P3=0,0,COUNTIF('Transect 2_imgsummary'!J3:N3,"SD")*100/P3)</f>
        <v>0</v>
      </c>
      <c r="L3">
        <f>IF(P3=0,0,COUNTIF('Transect 2_imgsummary'!J3:N3,"FCA")*100/P3)</f>
        <v>0</v>
      </c>
      <c r="M3">
        <f>IF(P3=0,0,COUNTIF('Transect 2_imgsummary'!J3:N3,"CHRYS")*100/P3)</f>
        <v>0</v>
      </c>
      <c r="N3">
        <f>IF(P3=0,0,COUNTIF('Transect 2_imgsummary'!J3:N3,"T")*100/P3)</f>
        <v>0</v>
      </c>
      <c r="O3">
        <f>IF(P3=0,0,COUNTIF('Transect 2_imgsummary'!J3:N3,"TWS")*100/P3)</f>
        <v>0</v>
      </c>
      <c r="P3">
        <f>5-COUNTIF('Transect 2_imgsummary'!J3:N3,"TWS")</f>
        <v>5</v>
      </c>
      <c r="S3">
        <f>IF(P3=0,0,COUNTIF('Transect 2_imgsummary'!E3:I3,"ACAN")*100/P3)</f>
        <v>0</v>
      </c>
      <c r="T3">
        <f>IF(P3=0,0,COUNTIF('Transect 2_imgsummary'!E3:I3,"ACROP")*100/P3)</f>
        <v>0</v>
      </c>
      <c r="U3">
        <f>IF(P3=0,0,COUNTIF('Transect 2_imgsummary'!E3:I3,"ACROPARB")*100/P3)</f>
        <v>0</v>
      </c>
      <c r="V3">
        <f>IF(P3=0,0,COUNTIF('Transect 2_imgsummary'!E3:I3,"ACROST")*100/P3)</f>
        <v>0</v>
      </c>
      <c r="W3" s="29">
        <f>IF(P3=0,0,COUNTIF('Transect 2_imgsummary'!E3:I3,"ACROTBL")*100/P3)</f>
        <v>80</v>
      </c>
      <c r="X3">
        <f>IF(P3=0,0,COUNTIF('Transect 2_imgsummary'!E3:I3,"ASTRP")*100/P3)</f>
        <v>0</v>
      </c>
      <c r="Y3">
        <f>IF(P3=0,0,COUNTIF('Transect 2_imgsummary'!E3:I3,"CAUL")*100/P3)</f>
        <v>0</v>
      </c>
      <c r="Z3">
        <f>IF(P3=0,0,COUNTIF('Transect 2_imgsummary'!E3:I3,"COSC")*100/P3)</f>
        <v>0</v>
      </c>
      <c r="AA3">
        <f>IF(P3=0,0,COUNTIF('Transect 2_imgsummary'!E3:I3,"CTEN")*100/P3)</f>
        <v>0</v>
      </c>
      <c r="AB3">
        <f>IF(P3=0,0,COUNTIF('Transect 2_imgsummary'!E3:I3,"CYPH")*100/P3)</f>
        <v>0</v>
      </c>
      <c r="AC3">
        <f>IF(P3=0,0,COUNTIF('Transect 2_imgsummary'!E3:I3,"DIPLO")*100/P3)</f>
        <v>0</v>
      </c>
      <c r="AD3">
        <f>IF(P3=0,0,COUNTIF('Transect 2_imgsummary'!E3:I3,"ECHPO")*100/P3)</f>
        <v>0</v>
      </c>
      <c r="AE3">
        <f>IF(P3=0,0,COUNTIF('Transect 2_imgsummary'!E3:I3,"ECHPHY")*100/P3)</f>
        <v>0</v>
      </c>
      <c r="AF3">
        <f>IF(P3=0,0,COUNTIF('Transect 2_imgsummary'!E3:I3,"EUPH")*100/P3)</f>
        <v>0</v>
      </c>
      <c r="AG3">
        <f>IF(P3=0,0,COUNTIF('Transect 2_imgsummary'!E3:I3,"FAV")*100/P3)</f>
        <v>0</v>
      </c>
      <c r="AH3">
        <f>IF(P3=0,0,COUNTIF('Transect 2_imgsummary'!E3:I3,"FAVT")*100/P3)</f>
        <v>0</v>
      </c>
      <c r="AI3">
        <f>IF(P3=0,0,COUNTIF('Transect 2_imgsummary'!E3:I3,"FUNG")*100/P3)</f>
        <v>0</v>
      </c>
      <c r="AJ3">
        <f>IF(P3=0,0,COUNTIF('Transect 2_imgsummary'!E3:I3,"GAL")*100/P3)</f>
        <v>0</v>
      </c>
      <c r="AK3">
        <f>IF(P3=0,0,COUNTIF('Transect 2_imgsummary'!E3:I3,"GARD")*100/P3)</f>
        <v>0</v>
      </c>
      <c r="AL3">
        <f>IF(P3=0,0,COUNTIF('Transect 2_imgsummary'!E3:I3,"GON")*100/P3)</f>
        <v>0</v>
      </c>
      <c r="AM3">
        <f>IF(P3=0,0,COUNTIF('Transect 2_imgsummary'!E3:I3,"GONIO")*100/P3)</f>
        <v>0</v>
      </c>
      <c r="AN3">
        <f>IF(P3=0,0,COUNTIF('Transect 2_imgsummary'!E3:I3,"HELIO")*100/P3)</f>
        <v>0</v>
      </c>
      <c r="AO3">
        <f>IF(P3=0,0,COUNTIF('Transect 2_imgsummary'!E3:I3,"HERP")*100/P3)</f>
        <v>0</v>
      </c>
      <c r="AP3">
        <f>IF(P3=0,0,COUNTIF('Transect 2_imgsummary'!E3:I3,"HYD")*100/P3)</f>
        <v>0</v>
      </c>
      <c r="AQ3" s="29">
        <f>IF(P3=0,0,COUNTIF('Transect 2_imgsummary'!E3:I3,"ISOP")*100/P3)</f>
        <v>20</v>
      </c>
      <c r="AR3">
        <f>IF(P3=0,0,COUNTIF('Transect 2_imgsummary'!E3:I3,"LEPT")*100/P3)</f>
        <v>0</v>
      </c>
      <c r="AS3">
        <f>IF(P3=0,0,COUNTIF('Transect 2_imgsummary'!E3:I3,"LEPTOR")*100/P3)</f>
        <v>0</v>
      </c>
      <c r="AT3">
        <f>IF(P3=0,0,COUNTIF('Transect 2_imgsummary'!E3:I3,"LEPTOS")*100/P3)</f>
        <v>0</v>
      </c>
      <c r="AU3">
        <f>IF(P3=0,0,COUNTIF('Transect 2_imgsummary'!E3:I3,"LOBOPH")*100/P3)</f>
        <v>0</v>
      </c>
      <c r="AV3">
        <f>IF(P3=0,0,COUNTIF('Transect 2_imgsummary'!E3:I3,"MERU")*100/P3)</f>
        <v>0</v>
      </c>
      <c r="AW3">
        <f>IF(P3=0,0,COUNTIF('Transect 2_imgsummary'!E3:I3,"MILL")*100/P3)</f>
        <v>0</v>
      </c>
      <c r="AX3">
        <f>IF(P3=0,0,COUNTIF('Transect 2_imgsummary'!E3:I3,"MONT")*100/P3)</f>
        <v>0</v>
      </c>
      <c r="AY3">
        <f>IF(P3=0,0,COUNTIF('Transect 2_imgsummary'!E3:I3,"MONTI")*100/P3)</f>
        <v>0</v>
      </c>
      <c r="AZ3">
        <f>IF(P3=0,0,COUNTIF('Transect 2_imgsummary'!E3:I3,"MYCED")*100/P3)</f>
        <v>0</v>
      </c>
      <c r="BA3">
        <f>IF(P3=0,0,COUNTIF('Transect 2_imgsummary'!E3:I3,"OULO")*100/P3)</f>
        <v>0</v>
      </c>
      <c r="BB3">
        <f>IF(P3=0,0,COUNTIF('Transect 2_imgsummary'!E3:I3,"OXYP")*100/P3)</f>
        <v>0</v>
      </c>
      <c r="BC3">
        <f>IF(P3=0,0,COUNTIF('Transect 2_imgsummary'!E3:I3,"PLSIA")*100/P3)</f>
        <v>0</v>
      </c>
      <c r="BD3">
        <f>IF(P3=0,0,COUNTIF('Transect 2_imgsummary'!E3:I3,"PACHY")*100/P3)</f>
        <v>0</v>
      </c>
      <c r="BE3">
        <f>IF(P3=0,0,COUNTIF('Transect 2_imgsummary'!E3:I3,"PAV")*100/P3)</f>
        <v>0</v>
      </c>
      <c r="BF3">
        <f>IF(P3=0,0,COUNTIF('Transect 2_imgsummary'!E3:I3,"PECT")*100/P3)</f>
        <v>0</v>
      </c>
      <c r="BG3">
        <f>IF(P3=0,0,COUNTIF('Transect 2_imgsummary'!E3:I3,"PHYSO")*100/P3)</f>
        <v>0</v>
      </c>
      <c r="BH3">
        <f>IF(P3=0,0,COUNTIF('Transect 2_imgsummary'!E3:I3,"PLAT")*100/P3)</f>
        <v>0</v>
      </c>
      <c r="BI3">
        <f>IF(P3=0,0,COUNTIF('Transect 2_imgsummary'!E3:I3,"PLERO")*100/P3)</f>
        <v>0</v>
      </c>
      <c r="BJ3">
        <f>IF(P3=0,0,COUNTIF('Transect 2_imgsummary'!E3:I3,"POC")*100/P3)</f>
        <v>0</v>
      </c>
      <c r="BK3">
        <f>IF(P3=0,0,COUNTIF('Transect 2_imgsummary'!E3:I3,"POR")*100/P3)</f>
        <v>0</v>
      </c>
      <c r="BL3">
        <f>IF(P3=0,0,COUNTIF('Transect 2_imgsummary'!E3:I3,"PORCYL")*100/P3)</f>
        <v>0</v>
      </c>
      <c r="BM3">
        <f>IF(P3=0,0,COUNTIF('Transect 2_imgsummary'!E3:I3,"PORMAS")*100/P3)</f>
        <v>0</v>
      </c>
      <c r="BN3">
        <f>IF(P3=0,0,COUNTIF('Transect 2_imgsummary'!E3:I3,"PORRUS")*100/P3)</f>
        <v>0</v>
      </c>
      <c r="BO3">
        <f>IF(P3=0,0,COUNTIF('Transect 2_imgsummary'!E3:I3,"PSAM")*100/P3)</f>
        <v>0</v>
      </c>
      <c r="BP3">
        <f>IF(P3=0,0,COUNTIF('Transect 2_imgsummary'!E3:I3,"SANDO")*100/P3)</f>
        <v>0</v>
      </c>
      <c r="BQ3">
        <f>IF(P3=0,0,COUNTIF('Transect 2_imgsummary'!E3:I3,"SCAP")*100/P3)</f>
        <v>0</v>
      </c>
      <c r="BR3">
        <f>IF(P3=0,0,COUNTIF('Transect 2_imgsummary'!E3:I3,"SERIA")*100/P3)</f>
        <v>0</v>
      </c>
      <c r="BS3">
        <f>IF(P3=0,0,COUNTIF('Transect 2_imgsummary'!E3:I3,"STYLC")*100/P3)</f>
        <v>0</v>
      </c>
      <c r="BT3">
        <f>IF(P3=0,0,COUNTIF('Transect 2_imgsummary'!E3:I3,"STYLO")*100/P3)</f>
        <v>0</v>
      </c>
      <c r="BU3">
        <f>IF(P3=0,0,COUNTIF('Transect 2_imgsummary'!E3:I3,"SYMP")*100/P3)</f>
        <v>0</v>
      </c>
      <c r="BV3">
        <f>IF(P3=0,0,COUNTIF('Transect 2_imgsummary'!E3:I3,"TURBIN")*100/P3)</f>
        <v>0</v>
      </c>
      <c r="BX3">
        <f>IF(P3=0,0,COUNTIF('Transect 2_imgsummary'!E3:I3,"ANEM")*100/P3)</f>
        <v>0</v>
      </c>
      <c r="BY3">
        <f>IF(P3=0,0,COUNTIF('Transect 2_imgsummary'!E3:I3,"ASC")*100/P3)</f>
        <v>0</v>
      </c>
      <c r="BZ3">
        <f>IF(P3=0,0,COUNTIF('Transect 2_imgsummary'!E3:I3,"CUPS")*100/P3)</f>
        <v>0</v>
      </c>
      <c r="CA3">
        <f>IF(P3=0,0,COUNTIF('Transect 2_imgsummary'!E3:I3,"DISCO")*100/P3)</f>
        <v>0</v>
      </c>
      <c r="CB3">
        <f>IF(P3=0,0,COUNTIF('Transect 2_imgsummary'!E3:I3,"DYS")*100/P3)</f>
        <v>0</v>
      </c>
      <c r="CC3">
        <f>IF(P3=0,0,COUNTIF('Transect 2_imgsummary'!E3:I3,"G")*100/P3)</f>
        <v>0</v>
      </c>
      <c r="CD3">
        <f>IF(P3=0,0,COUNTIF('Transect 2_imgsummary'!E3:I3,"NoIDINV")*100/P3)</f>
        <v>0</v>
      </c>
      <c r="CE3">
        <f>IF(P3=0,0,COUNTIF('Transect 2_imgsummary'!E3:I3,"OLV")*100/P3)</f>
        <v>0</v>
      </c>
      <c r="CF3">
        <f>IF(P3=0,0,COUNTIF('Transect 2_imgsummary'!E3:I3,"SC")*100/P3)</f>
        <v>0</v>
      </c>
      <c r="CG3">
        <f>IF(P3=0,0,COUNTIF('Transect 2_imgsummary'!E3:I3,"S")*100/P3)</f>
        <v>0</v>
      </c>
      <c r="CH3">
        <f>IF(P3=0,0,COUNTIF('Transect 2_imgsummary'!E3:I3,"TERPS")*100/P3)</f>
        <v>0</v>
      </c>
      <c r="CI3">
        <f>IF(P3=0,0,COUNTIF('Transect 2_imgsummary'!E3:I3,"Z")*100/P3)</f>
        <v>0</v>
      </c>
      <c r="CK3">
        <f>IF(P3=0,0,COUNTIF('Transect 2_imgsummary'!E3:I3,"ASP")*100/P3)</f>
        <v>0</v>
      </c>
      <c r="CL3">
        <f>IF(P3=0,0,COUNTIF('Transect 2_imgsummary'!E3:I3,"BG")*100/P3)</f>
        <v>0</v>
      </c>
      <c r="CM3">
        <f>IF(P3=0,0,COUNTIF('Transect 2_imgsummary'!E3:I3,"Bood")*100/P3)</f>
        <v>0</v>
      </c>
      <c r="CN3">
        <f>IF(P3=0,0,COUNTIF('Transect 2_imgsummary'!E3:I3,"BRYP")*100/P3)</f>
        <v>0</v>
      </c>
      <c r="CO3">
        <f>IF(P3=0,0,COUNTIF('Transect 2_imgsummary'!E3:I3,"CLP")*100/P3)</f>
        <v>0</v>
      </c>
      <c r="CP3">
        <f>IF(P3=0,0,COUNTIF('Transect 2_imgsummary'!E3:I3,"CHLDES")*100/P3)</f>
        <v>0</v>
      </c>
      <c r="CQ3">
        <f>IF(P3=0,0,COUNTIF('Transect 2_imgsummary'!E3:I3,"DYCTY")*100/P3)</f>
        <v>0</v>
      </c>
      <c r="CR3">
        <f>IF(P3=0,0,COUNTIF('Transect 2_imgsummary'!E3:I3,"DICT")*100/P3)</f>
        <v>0</v>
      </c>
      <c r="CS3">
        <f>IF(P3=0,0,COUNTIF('Transect 2_imgsummary'!E3:I3,"GLXU")*100/P3)</f>
        <v>0</v>
      </c>
      <c r="CT3">
        <f>IF(P3=0,0,COUNTIF('Transect 2_imgsummary'!E3:I3,"HALI")*100/P3)</f>
        <v>0</v>
      </c>
      <c r="CU3">
        <f>IF(P3=0,0,COUNTIF('Transect 2_imgsummary'!E3:I3,"LIAG")*100/P3)</f>
        <v>0</v>
      </c>
      <c r="CV3">
        <f>IF(P3=0,0,COUNTIF('Transect 2_imgsummary'!E3:I3,"LOBO")*100/P3)</f>
        <v>0</v>
      </c>
      <c r="CW3">
        <f>IF(P3=0,0,COUNTIF('Transect 2_imgsummary'!E3:I3,"MAST")*100/P3)</f>
        <v>0</v>
      </c>
      <c r="CX3">
        <f>IF(P3=0,0,COUNTIF('Transect 2_imgsummary'!E3:I3,"MICDTY")*100/P3)</f>
        <v>0</v>
      </c>
      <c r="CY3">
        <f>IF(P3=0,0,COUNTIF('Transect 2_imgsummary'!E3:I3,"NEOM")*100/P3)</f>
        <v>0</v>
      </c>
      <c r="CZ3">
        <f>IF(P3=0,0,COUNTIF('Transect 2_imgsummary'!E3:I3,"NOIDMAC")*100/P3)</f>
        <v>0</v>
      </c>
      <c r="DA3">
        <f>IF(P3=0,0,COUNTIF('Transect 2_imgsummary'!E3:I3,"PAD")*100/P3)</f>
        <v>0</v>
      </c>
      <c r="DB3">
        <f>IF(P3=0,0,COUNTIF('Transect 2_imgsummary'!E3:I3,"SARG")*100/P3)</f>
        <v>0</v>
      </c>
      <c r="DC3">
        <f>IF(P3=0,0,COUNTIF('Transect 2_imgsummary'!E3:I3,"SCHIZ")*100/P3)</f>
        <v>0</v>
      </c>
      <c r="DD3">
        <f>IF(P3=0,0,COUNTIF('Transect 2_imgsummary'!E3:I3,"TURB")*100/P3)</f>
        <v>0</v>
      </c>
      <c r="DE3">
        <f>IF(P3=0,0,COUNTIF('Transect 2_imgsummary'!E3:I3,"TYDM")*100/P3)</f>
        <v>0</v>
      </c>
      <c r="DG3">
        <f>IF(P3=0,0,COUNTIF('Transect 2_imgsummary'!E3:I3,"AMP")*100/P3)</f>
        <v>0</v>
      </c>
      <c r="DH3">
        <f>IF(P3=0,0,COUNTIF('Transect 2_imgsummary'!E3:I3,"BCA1")*100/P3)</f>
        <v>0</v>
      </c>
      <c r="DI3">
        <f>IF(P3=0,0,COUNTIF('Transect 2_imgsummary'!E3:I3,"JAN")*100/P3)</f>
        <v>0</v>
      </c>
      <c r="DK3">
        <f>IF(P3=0,0,COUNTIF('Transect 2_imgsummary'!E3:I3,"CCA1")*100/P3)</f>
        <v>0</v>
      </c>
      <c r="DM3">
        <f>IF(P3=0,0,COUNTIF('Transect 2_imgsummary'!E3:I3,"Sand")*100/P3)</f>
        <v>0</v>
      </c>
      <c r="DO3">
        <f>IF(P3=0,0,COUNTIF('Transect 2_imgsummary'!E3:I3,"FCA1")*100/P3)</f>
        <v>0</v>
      </c>
      <c r="DQ3">
        <f>IF(P3=0,0,COUNTIF('Transect 2_imgsummary'!E3:I3,"CHRYOBRN")*100/P3)</f>
        <v>0</v>
      </c>
      <c r="DS3">
        <f>IF(P3=0,0,COUNTIF('Transect 2_imgsummary'!E3:I3,"TURF")*100/P3)</f>
        <v>0</v>
      </c>
      <c r="DU3">
        <f>COUNTIF('Transect 2_imgsummary'!E3:I3,"Shadow")*100/5</f>
        <v>0</v>
      </c>
      <c r="DV3">
        <f>COUNTIF('Transect 2_imgsummary'!E3:I3,"Tape")*100/5</f>
        <v>0</v>
      </c>
      <c r="DW3">
        <f>COUNTIF('Transect 2_imgsummary'!E3:I3,"Wand")*100/5</f>
        <v>0</v>
      </c>
      <c r="DY3">
        <f>IF(P3=0,0,COUNTIF('Transect 2_imgsummary'!O3:S3,"BC")*100/P3)</f>
        <v>0</v>
      </c>
    </row>
    <row r="4" spans="1:129">
      <c r="A4">
        <v>2</v>
      </c>
      <c r="B4" t="s">
        <v>431</v>
      </c>
      <c r="F4" s="29">
        <f>IF(P4=0,0,COUNTIF('Transect 2_imgsummary'!J4:N4,"C")*100/P4)</f>
        <v>20</v>
      </c>
      <c r="G4">
        <f>IF(P4=0,0,COUNTIF('Transect 2_imgsummary'!J4:N4,"OI")*100/P4)</f>
        <v>0</v>
      </c>
      <c r="H4">
        <f>IF(P4=0,0,COUNTIF('Transect 2_imgsummary'!J4:N4,"MA")*100/P4)</f>
        <v>0</v>
      </c>
      <c r="I4">
        <f>IF(P4=0,0,COUNTIF('Transect 2_imgsummary'!J4:N4,"BCA")*100/P4)</f>
        <v>0</v>
      </c>
      <c r="J4" s="29">
        <f>IF(P4=0,0,COUNTIF('Transect 2_imgsummary'!J4:N4,"CCA")*100/P4)</f>
        <v>60</v>
      </c>
      <c r="K4">
        <f>IF(P4=0,0,COUNTIF('Transect 2_imgsummary'!J4:N4,"SD")*100/P4)</f>
        <v>0</v>
      </c>
      <c r="L4">
        <f>IF(P4=0,0,COUNTIF('Transect 2_imgsummary'!J4:N4,"FCA")*100/P4)</f>
        <v>0</v>
      </c>
      <c r="M4">
        <f>IF(P4=0,0,COUNTIF('Transect 2_imgsummary'!J4:N4,"CHRYS")*100/P4)</f>
        <v>0</v>
      </c>
      <c r="N4" s="29">
        <f>IF(P4=0,0,COUNTIF('Transect 2_imgsummary'!J4:N4,"T")*100/P4)</f>
        <v>20</v>
      </c>
      <c r="O4">
        <f>IF(P4=0,0,COUNTIF('Transect 2_imgsummary'!J4:N4,"TWS")*100/P4)</f>
        <v>0</v>
      </c>
      <c r="P4">
        <f>5-COUNTIF('Transect 2_imgsummary'!J4:N4,"TWS")</f>
        <v>5</v>
      </c>
      <c r="S4">
        <f>IF(P4=0,0,COUNTIF('Transect 2_imgsummary'!E4:I4,"ACAN")*100/P4)</f>
        <v>0</v>
      </c>
      <c r="T4">
        <f>IF(P4=0,0,COUNTIF('Transect 2_imgsummary'!E4:I4,"ACROP")*100/P4)</f>
        <v>0</v>
      </c>
      <c r="U4">
        <f>IF(P4=0,0,COUNTIF('Transect 2_imgsummary'!E4:I4,"ACROPARB")*100/P4)</f>
        <v>0</v>
      </c>
      <c r="V4">
        <f>IF(P4=0,0,COUNTIF('Transect 2_imgsummary'!E4:I4,"ACROST")*100/P4)</f>
        <v>0</v>
      </c>
      <c r="W4">
        <f>IF(P4=0,0,COUNTIF('Transect 2_imgsummary'!E4:I4,"ACROTBL")*100/P4)</f>
        <v>0</v>
      </c>
      <c r="X4">
        <f>IF(P4=0,0,COUNTIF('Transect 2_imgsummary'!E4:I4,"ASTRP")*100/P4)</f>
        <v>0</v>
      </c>
      <c r="Y4">
        <f>IF(P4=0,0,COUNTIF('Transect 2_imgsummary'!E4:I4,"CAUL")*100/P4)</f>
        <v>0</v>
      </c>
      <c r="Z4">
        <f>IF(P4=0,0,COUNTIF('Transect 2_imgsummary'!E4:I4,"COSC")*100/P4)</f>
        <v>0</v>
      </c>
      <c r="AA4">
        <f>IF(P4=0,0,COUNTIF('Transect 2_imgsummary'!E4:I4,"CTEN")*100/P4)</f>
        <v>0</v>
      </c>
      <c r="AB4">
        <f>IF(P4=0,0,COUNTIF('Transect 2_imgsummary'!E4:I4,"CYPH")*100/P4)</f>
        <v>0</v>
      </c>
      <c r="AC4">
        <f>IF(P4=0,0,COUNTIF('Transect 2_imgsummary'!E4:I4,"DIPLO")*100/P4)</f>
        <v>0</v>
      </c>
      <c r="AD4">
        <f>IF(P4=0,0,COUNTIF('Transect 2_imgsummary'!E4:I4,"ECHPO")*100/P4)</f>
        <v>0</v>
      </c>
      <c r="AE4">
        <f>IF(P4=0,0,COUNTIF('Transect 2_imgsummary'!E4:I4,"ECHPHY")*100/P4)</f>
        <v>0</v>
      </c>
      <c r="AF4">
        <f>IF(P4=0,0,COUNTIF('Transect 2_imgsummary'!E4:I4,"EUPH")*100/P4)</f>
        <v>0</v>
      </c>
      <c r="AG4">
        <f>IF(P4=0,0,COUNTIF('Transect 2_imgsummary'!E4:I4,"FAV")*100/P4)</f>
        <v>0</v>
      </c>
      <c r="AH4">
        <f>IF(P4=0,0,COUNTIF('Transect 2_imgsummary'!E4:I4,"FAVT")*100/P4)</f>
        <v>0</v>
      </c>
      <c r="AI4">
        <f>IF(P4=0,0,COUNTIF('Transect 2_imgsummary'!E4:I4,"FUNG")*100/P4)</f>
        <v>0</v>
      </c>
      <c r="AJ4">
        <f>IF(P4=0,0,COUNTIF('Transect 2_imgsummary'!E4:I4,"GAL")*100/P4)</f>
        <v>0</v>
      </c>
      <c r="AK4">
        <f>IF(P4=0,0,COUNTIF('Transect 2_imgsummary'!E4:I4,"GARD")*100/P4)</f>
        <v>0</v>
      </c>
      <c r="AL4">
        <f>IF(P4=0,0,COUNTIF('Transect 2_imgsummary'!E4:I4,"GON")*100/P4)</f>
        <v>0</v>
      </c>
      <c r="AM4">
        <f>IF(P4=0,0,COUNTIF('Transect 2_imgsummary'!E4:I4,"GONIO")*100/P4)</f>
        <v>0</v>
      </c>
      <c r="AN4">
        <f>IF(P4=0,0,COUNTIF('Transect 2_imgsummary'!E4:I4,"HELIO")*100/P4)</f>
        <v>0</v>
      </c>
      <c r="AO4">
        <f>IF(P4=0,0,COUNTIF('Transect 2_imgsummary'!E4:I4,"HERP")*100/P4)</f>
        <v>0</v>
      </c>
      <c r="AP4">
        <f>IF(P4=0,0,COUNTIF('Transect 2_imgsummary'!E4:I4,"HYD")*100/P4)</f>
        <v>0</v>
      </c>
      <c r="AQ4">
        <f>IF(P4=0,0,COUNTIF('Transect 2_imgsummary'!E4:I4,"ISOP")*100/P4)</f>
        <v>0</v>
      </c>
      <c r="AR4">
        <f>IF(P4=0,0,COUNTIF('Transect 2_imgsummary'!E4:I4,"LEPT")*100/P4)</f>
        <v>0</v>
      </c>
      <c r="AS4">
        <f>IF(P4=0,0,COUNTIF('Transect 2_imgsummary'!E4:I4,"LEPTOR")*100/P4)</f>
        <v>0</v>
      </c>
      <c r="AT4">
        <f>IF(P4=0,0,COUNTIF('Transect 2_imgsummary'!E4:I4,"LEPTOS")*100/P4)</f>
        <v>0</v>
      </c>
      <c r="AU4">
        <f>IF(P4=0,0,COUNTIF('Transect 2_imgsummary'!E4:I4,"LOBOPH")*100/P4)</f>
        <v>0</v>
      </c>
      <c r="AV4">
        <f>IF(P4=0,0,COUNTIF('Transect 2_imgsummary'!E4:I4,"MERU")*100/P4)</f>
        <v>0</v>
      </c>
      <c r="AW4">
        <f>IF(P4=0,0,COUNTIF('Transect 2_imgsummary'!E4:I4,"MILL")*100/P4)</f>
        <v>0</v>
      </c>
      <c r="AX4">
        <f>IF(P4=0,0,COUNTIF('Transect 2_imgsummary'!E4:I4,"MONT")*100/P4)</f>
        <v>0</v>
      </c>
      <c r="AY4">
        <f>IF(P4=0,0,COUNTIF('Transect 2_imgsummary'!E4:I4,"MONTI")*100/P4)</f>
        <v>0</v>
      </c>
      <c r="AZ4">
        <f>IF(P4=0,0,COUNTIF('Transect 2_imgsummary'!E4:I4,"MYCED")*100/P4)</f>
        <v>0</v>
      </c>
      <c r="BA4">
        <f>IF(P4=0,0,COUNTIF('Transect 2_imgsummary'!E4:I4,"OULO")*100/P4)</f>
        <v>0</v>
      </c>
      <c r="BB4">
        <f>IF(P4=0,0,COUNTIF('Transect 2_imgsummary'!E4:I4,"OXYP")*100/P4)</f>
        <v>0</v>
      </c>
      <c r="BC4">
        <f>IF(P4=0,0,COUNTIF('Transect 2_imgsummary'!E4:I4,"PLSIA")*100/P4)</f>
        <v>0</v>
      </c>
      <c r="BD4">
        <f>IF(P4=0,0,COUNTIF('Transect 2_imgsummary'!E4:I4,"PACHY")*100/P4)</f>
        <v>0</v>
      </c>
      <c r="BE4">
        <f>IF(P4=0,0,COUNTIF('Transect 2_imgsummary'!E4:I4,"PAV")*100/P4)</f>
        <v>0</v>
      </c>
      <c r="BF4">
        <f>IF(P4=0,0,COUNTIF('Transect 2_imgsummary'!E4:I4,"PECT")*100/P4)</f>
        <v>0</v>
      </c>
      <c r="BG4">
        <f>IF(P4=0,0,COUNTIF('Transect 2_imgsummary'!E4:I4,"PHYSO")*100/P4)</f>
        <v>0</v>
      </c>
      <c r="BH4" s="29">
        <f>IF(P4=0,0,COUNTIF('Transect 2_imgsummary'!E4:I4,"PLAT")*100/P4)</f>
        <v>20</v>
      </c>
      <c r="BI4">
        <f>IF(P4=0,0,COUNTIF('Transect 2_imgsummary'!E4:I4,"PLERO")*100/P4)</f>
        <v>0</v>
      </c>
      <c r="BJ4">
        <f>IF(P4=0,0,COUNTIF('Transect 2_imgsummary'!E4:I4,"POC")*100/P4)</f>
        <v>0</v>
      </c>
      <c r="BK4">
        <f>IF(P4=0,0,COUNTIF('Transect 2_imgsummary'!E4:I4,"POR")*100/P4)</f>
        <v>0</v>
      </c>
      <c r="BL4">
        <f>IF(P4=0,0,COUNTIF('Transect 2_imgsummary'!E4:I4,"PORCYL")*100/P4)</f>
        <v>0</v>
      </c>
      <c r="BM4">
        <f>IF(P4=0,0,COUNTIF('Transect 2_imgsummary'!E4:I4,"PORMAS")*100/P4)</f>
        <v>0</v>
      </c>
      <c r="BN4">
        <f>IF(P4=0,0,COUNTIF('Transect 2_imgsummary'!E4:I4,"PORRUS")*100/P4)</f>
        <v>0</v>
      </c>
      <c r="BO4">
        <f>IF(P4=0,0,COUNTIF('Transect 2_imgsummary'!E4:I4,"PSAM")*100/P4)</f>
        <v>0</v>
      </c>
      <c r="BP4">
        <f>IF(P4=0,0,COUNTIF('Transect 2_imgsummary'!E4:I4,"SANDO")*100/P4)</f>
        <v>0</v>
      </c>
      <c r="BQ4">
        <f>IF(P4=0,0,COUNTIF('Transect 2_imgsummary'!E4:I4,"SCAP")*100/P4)</f>
        <v>0</v>
      </c>
      <c r="BR4">
        <f>IF(P4=0,0,COUNTIF('Transect 2_imgsummary'!E4:I4,"SERIA")*100/P4)</f>
        <v>0</v>
      </c>
      <c r="BS4">
        <f>IF(P4=0,0,COUNTIF('Transect 2_imgsummary'!E4:I4,"STYLC")*100/P4)</f>
        <v>0</v>
      </c>
      <c r="BT4">
        <f>IF(P4=0,0,COUNTIF('Transect 2_imgsummary'!E4:I4,"STYLO")*100/P4)</f>
        <v>0</v>
      </c>
      <c r="BU4">
        <f>IF(P4=0,0,COUNTIF('Transect 2_imgsummary'!E4:I4,"SYMP")*100/P4)</f>
        <v>0</v>
      </c>
      <c r="BV4">
        <f>IF(P4=0,0,COUNTIF('Transect 2_imgsummary'!E4:I4,"TURBIN")*100/P4)</f>
        <v>0</v>
      </c>
      <c r="BX4">
        <f>IF(P4=0,0,COUNTIF('Transect 2_imgsummary'!E4:I4,"ANEM")*100/P4)</f>
        <v>0</v>
      </c>
      <c r="BY4">
        <f>IF(P4=0,0,COUNTIF('Transect 2_imgsummary'!E4:I4,"ASC")*100/P4)</f>
        <v>0</v>
      </c>
      <c r="BZ4">
        <f>IF(P4=0,0,COUNTIF('Transect 2_imgsummary'!E4:I4,"CUPS")*100/P4)</f>
        <v>0</v>
      </c>
      <c r="CA4">
        <f>IF(P4=0,0,COUNTIF('Transect 2_imgsummary'!E4:I4,"DISCO")*100/P4)</f>
        <v>0</v>
      </c>
      <c r="CB4">
        <f>IF(P4=0,0,COUNTIF('Transect 2_imgsummary'!E4:I4,"DYS")*100/P4)</f>
        <v>0</v>
      </c>
      <c r="CC4">
        <f>IF(P4=0,0,COUNTIF('Transect 2_imgsummary'!E4:I4,"G")*100/P4)</f>
        <v>0</v>
      </c>
      <c r="CD4">
        <f>IF(P4=0,0,COUNTIF('Transect 2_imgsummary'!E4:I4,"NoIDINV")*100/P4)</f>
        <v>0</v>
      </c>
      <c r="CE4">
        <f>IF(P4=0,0,COUNTIF('Transect 2_imgsummary'!E4:I4,"OLV")*100/P4)</f>
        <v>0</v>
      </c>
      <c r="CF4">
        <f>IF(P4=0,0,COUNTIF('Transect 2_imgsummary'!E4:I4,"SC")*100/P4)</f>
        <v>0</v>
      </c>
      <c r="CG4">
        <f>IF(P4=0,0,COUNTIF('Transect 2_imgsummary'!E4:I4,"S")*100/P4)</f>
        <v>0</v>
      </c>
      <c r="CH4">
        <f>IF(P4=0,0,COUNTIF('Transect 2_imgsummary'!E4:I4,"TERPS")*100/P4)</f>
        <v>0</v>
      </c>
      <c r="CI4">
        <f>IF(P4=0,0,COUNTIF('Transect 2_imgsummary'!E4:I4,"Z")*100/P4)</f>
        <v>0</v>
      </c>
      <c r="CK4">
        <f>IF(P4=0,0,COUNTIF('Transect 2_imgsummary'!E4:I4,"ASP")*100/P4)</f>
        <v>0</v>
      </c>
      <c r="CL4">
        <f>IF(P4=0,0,COUNTIF('Transect 2_imgsummary'!E4:I4,"BG")*100/P4)</f>
        <v>0</v>
      </c>
      <c r="CM4">
        <f>IF(P4=0,0,COUNTIF('Transect 2_imgsummary'!E4:I4,"Bood")*100/P4)</f>
        <v>0</v>
      </c>
      <c r="CN4">
        <f>IF(P4=0,0,COUNTIF('Transect 2_imgsummary'!E4:I4,"BRYP")*100/P4)</f>
        <v>0</v>
      </c>
      <c r="CO4">
        <f>IF(P4=0,0,COUNTIF('Transect 2_imgsummary'!E4:I4,"CLP")*100/P4)</f>
        <v>0</v>
      </c>
      <c r="CP4">
        <f>IF(P4=0,0,COUNTIF('Transect 2_imgsummary'!E4:I4,"CHLDES")*100/P4)</f>
        <v>0</v>
      </c>
      <c r="CQ4">
        <f>IF(P4=0,0,COUNTIF('Transect 2_imgsummary'!E4:I4,"DYCTY")*100/P4)</f>
        <v>0</v>
      </c>
      <c r="CR4">
        <f>IF(P4=0,0,COUNTIF('Transect 2_imgsummary'!E4:I4,"DICT")*100/P4)</f>
        <v>0</v>
      </c>
      <c r="CS4">
        <f>IF(P4=0,0,COUNTIF('Transect 2_imgsummary'!E4:I4,"GLXU")*100/P4)</f>
        <v>0</v>
      </c>
      <c r="CT4">
        <f>IF(P4=0,0,COUNTIF('Transect 2_imgsummary'!E4:I4,"HALI")*100/P4)</f>
        <v>0</v>
      </c>
      <c r="CU4">
        <f>IF(P4=0,0,COUNTIF('Transect 2_imgsummary'!E4:I4,"LIAG")*100/P4)</f>
        <v>0</v>
      </c>
      <c r="CV4">
        <f>IF(P4=0,0,COUNTIF('Transect 2_imgsummary'!E4:I4,"LOBO")*100/P4)</f>
        <v>0</v>
      </c>
      <c r="CW4">
        <f>IF(P4=0,0,COUNTIF('Transect 2_imgsummary'!E4:I4,"MAST")*100/P4)</f>
        <v>0</v>
      </c>
      <c r="CX4">
        <f>IF(P4=0,0,COUNTIF('Transect 2_imgsummary'!E4:I4,"MICDTY")*100/P4)</f>
        <v>0</v>
      </c>
      <c r="CY4">
        <f>IF(P4=0,0,COUNTIF('Transect 2_imgsummary'!E4:I4,"NEOM")*100/P4)</f>
        <v>0</v>
      </c>
      <c r="CZ4">
        <f>IF(P4=0,0,COUNTIF('Transect 2_imgsummary'!E4:I4,"NOIDMAC")*100/P4)</f>
        <v>0</v>
      </c>
      <c r="DA4">
        <f>IF(P4=0,0,COUNTIF('Transect 2_imgsummary'!E4:I4,"PAD")*100/P4)</f>
        <v>0</v>
      </c>
      <c r="DB4">
        <f>IF(P4=0,0,COUNTIF('Transect 2_imgsummary'!E4:I4,"SARG")*100/P4)</f>
        <v>0</v>
      </c>
      <c r="DC4">
        <f>IF(P4=0,0,COUNTIF('Transect 2_imgsummary'!E4:I4,"SCHIZ")*100/P4)</f>
        <v>0</v>
      </c>
      <c r="DD4">
        <f>IF(P4=0,0,COUNTIF('Transect 2_imgsummary'!E4:I4,"TURB")*100/P4)</f>
        <v>0</v>
      </c>
      <c r="DE4">
        <f>IF(P4=0,0,COUNTIF('Transect 2_imgsummary'!E4:I4,"TYDM")*100/P4)</f>
        <v>0</v>
      </c>
      <c r="DG4">
        <f>IF(P4=0,0,COUNTIF('Transect 2_imgsummary'!E4:I4,"AMP")*100/P4)</f>
        <v>0</v>
      </c>
      <c r="DH4">
        <f>IF(P4=0,0,COUNTIF('Transect 2_imgsummary'!E4:I4,"BCA1")*100/P4)</f>
        <v>0</v>
      </c>
      <c r="DI4">
        <f>IF(P4=0,0,COUNTIF('Transect 2_imgsummary'!E4:I4,"JAN")*100/P4)</f>
        <v>0</v>
      </c>
      <c r="DK4" s="29">
        <f>IF(P4=0,0,COUNTIF('Transect 2_imgsummary'!E4:I4,"CCA1")*100/P4)</f>
        <v>60</v>
      </c>
      <c r="DM4">
        <f>IF(P4=0,0,COUNTIF('Transect 2_imgsummary'!E4:I4,"Sand")*100/P4)</f>
        <v>0</v>
      </c>
      <c r="DO4">
        <f>IF(P4=0,0,COUNTIF('Transect 2_imgsummary'!E4:I4,"FCA1")*100/P4)</f>
        <v>0</v>
      </c>
      <c r="DQ4">
        <f>IF(P4=0,0,COUNTIF('Transect 2_imgsummary'!E4:I4,"CHRYOBRN")*100/P4)</f>
        <v>0</v>
      </c>
      <c r="DS4" s="29">
        <f>IF(P4=0,0,COUNTIF('Transect 2_imgsummary'!E4:I4,"TURF")*100/P4)</f>
        <v>20</v>
      </c>
      <c r="DU4">
        <f>COUNTIF('Transect 2_imgsummary'!E4:I4,"Shadow")*100/5</f>
        <v>0</v>
      </c>
      <c r="DV4">
        <f>COUNTIF('Transect 2_imgsummary'!E4:I4,"Tape")*100/5</f>
        <v>0</v>
      </c>
      <c r="DW4">
        <f>COUNTIF('Transect 2_imgsummary'!E4:I4,"Wand")*100/5</f>
        <v>0</v>
      </c>
      <c r="DY4">
        <f>IF(P4=0,0,COUNTIF('Transect 2_imgsummary'!O4:S4,"BC")*100/P4)</f>
        <v>0</v>
      </c>
    </row>
    <row r="5" spans="1:129">
      <c r="A5">
        <v>3</v>
      </c>
      <c r="B5" t="s">
        <v>432</v>
      </c>
      <c r="F5" s="29">
        <f>IF(P5=0,0,COUNTIF('Transect 2_imgsummary'!J5:N5,"C")*100/P5)</f>
        <v>40</v>
      </c>
      <c r="G5">
        <f>IF(P5=0,0,COUNTIF('Transect 2_imgsummary'!J5:N5,"OI")*100/P5)</f>
        <v>0</v>
      </c>
      <c r="H5">
        <f>IF(P5=0,0,COUNTIF('Transect 2_imgsummary'!J5:N5,"MA")*100/P5)</f>
        <v>0</v>
      </c>
      <c r="I5" s="29">
        <f>IF(P5=0,0,COUNTIF('Transect 2_imgsummary'!J5:N5,"BCA")*100/P5)</f>
        <v>20</v>
      </c>
      <c r="J5" s="29">
        <f>IF(P5=0,0,COUNTIF('Transect 2_imgsummary'!J5:N5,"CCA")*100/P5)</f>
        <v>40</v>
      </c>
      <c r="K5">
        <f>IF(P5=0,0,COUNTIF('Transect 2_imgsummary'!J5:N5,"SD")*100/P5)</f>
        <v>0</v>
      </c>
      <c r="L5">
        <f>IF(P5=0,0,COUNTIF('Transect 2_imgsummary'!J5:N5,"FCA")*100/P5)</f>
        <v>0</v>
      </c>
      <c r="M5">
        <f>IF(P5=0,0,COUNTIF('Transect 2_imgsummary'!J5:N5,"CHRYS")*100/P5)</f>
        <v>0</v>
      </c>
      <c r="N5">
        <f>IF(P5=0,0,COUNTIF('Transect 2_imgsummary'!J5:N5,"T")*100/P5)</f>
        <v>0</v>
      </c>
      <c r="O5">
        <f>IF(P5=0,0,COUNTIF('Transect 2_imgsummary'!J5:N5,"TWS")*100/P5)</f>
        <v>0</v>
      </c>
      <c r="P5">
        <f>5-COUNTIF('Transect 2_imgsummary'!J5:N5,"TWS")</f>
        <v>5</v>
      </c>
      <c r="S5">
        <f>IF(P5=0,0,COUNTIF('Transect 2_imgsummary'!E5:I5,"ACAN")*100/P5)</f>
        <v>0</v>
      </c>
      <c r="T5">
        <f>IF(P5=0,0,COUNTIF('Transect 2_imgsummary'!E5:I5,"ACROP")*100/P5)</f>
        <v>0</v>
      </c>
      <c r="U5">
        <f>IF(P5=0,0,COUNTIF('Transect 2_imgsummary'!E5:I5,"ACROPARB")*100/P5)</f>
        <v>0</v>
      </c>
      <c r="V5">
        <f>IF(P5=0,0,COUNTIF('Transect 2_imgsummary'!E5:I5,"ACROST")*100/P5)</f>
        <v>0</v>
      </c>
      <c r="W5">
        <f>IF(P5=0,0,COUNTIF('Transect 2_imgsummary'!E5:I5,"ACROTBL")*100/P5)</f>
        <v>0</v>
      </c>
      <c r="X5">
        <f>IF(P5=0,0,COUNTIF('Transect 2_imgsummary'!E5:I5,"ASTRP")*100/P5)</f>
        <v>0</v>
      </c>
      <c r="Y5">
        <f>IF(P5=0,0,COUNTIF('Transect 2_imgsummary'!E5:I5,"CAUL")*100/P5)</f>
        <v>0</v>
      </c>
      <c r="Z5">
        <f>IF(P5=0,0,COUNTIF('Transect 2_imgsummary'!E5:I5,"COSC")*100/P5)</f>
        <v>0</v>
      </c>
      <c r="AA5">
        <f>IF(P5=0,0,COUNTIF('Transect 2_imgsummary'!E5:I5,"CTEN")*100/P5)</f>
        <v>0</v>
      </c>
      <c r="AB5">
        <f>IF(P5=0,0,COUNTIF('Transect 2_imgsummary'!E5:I5,"CYPH")*100/P5)</f>
        <v>0</v>
      </c>
      <c r="AC5">
        <f>IF(P5=0,0,COUNTIF('Transect 2_imgsummary'!E5:I5,"DIPLO")*100/P5)</f>
        <v>0</v>
      </c>
      <c r="AD5">
        <f>IF(P5=0,0,COUNTIF('Transect 2_imgsummary'!E5:I5,"ECHPO")*100/P5)</f>
        <v>0</v>
      </c>
      <c r="AE5">
        <f>IF(P5=0,0,COUNTIF('Transect 2_imgsummary'!E5:I5,"ECHPHY")*100/P5)</f>
        <v>0</v>
      </c>
      <c r="AF5">
        <f>IF(P5=0,0,COUNTIF('Transect 2_imgsummary'!E5:I5,"EUPH")*100/P5)</f>
        <v>0</v>
      </c>
      <c r="AG5">
        <f>IF(P5=0,0,COUNTIF('Transect 2_imgsummary'!E5:I5,"FAV")*100/P5)</f>
        <v>0</v>
      </c>
      <c r="AH5">
        <f>IF(P5=0,0,COUNTIF('Transect 2_imgsummary'!E5:I5,"FAVT")*100/P5)</f>
        <v>0</v>
      </c>
      <c r="AI5">
        <f>IF(P5=0,0,COUNTIF('Transect 2_imgsummary'!E5:I5,"FUNG")*100/P5)</f>
        <v>0</v>
      </c>
      <c r="AJ5">
        <f>IF(P5=0,0,COUNTIF('Transect 2_imgsummary'!E5:I5,"GAL")*100/P5)</f>
        <v>0</v>
      </c>
      <c r="AK5">
        <f>IF(P5=0,0,COUNTIF('Transect 2_imgsummary'!E5:I5,"GARD")*100/P5)</f>
        <v>0</v>
      </c>
      <c r="AL5" s="29">
        <f>IF(P5=0,0,COUNTIF('Transect 2_imgsummary'!E5:I5,"GON")*100/P5)</f>
        <v>40</v>
      </c>
      <c r="AM5">
        <f>IF(P5=0,0,COUNTIF('Transect 2_imgsummary'!E5:I5,"GONIO")*100/P5)</f>
        <v>0</v>
      </c>
      <c r="AN5">
        <f>IF(P5=0,0,COUNTIF('Transect 2_imgsummary'!E5:I5,"HELIO")*100/P5)</f>
        <v>0</v>
      </c>
      <c r="AO5">
        <f>IF(P5=0,0,COUNTIF('Transect 2_imgsummary'!E5:I5,"HERP")*100/P5)</f>
        <v>0</v>
      </c>
      <c r="AP5">
        <f>IF(P5=0,0,COUNTIF('Transect 2_imgsummary'!E5:I5,"HYD")*100/P5)</f>
        <v>0</v>
      </c>
      <c r="AQ5">
        <f>IF(P5=0,0,COUNTIF('Transect 2_imgsummary'!E5:I5,"ISOP")*100/P5)</f>
        <v>0</v>
      </c>
      <c r="AR5">
        <f>IF(P5=0,0,COUNTIF('Transect 2_imgsummary'!E5:I5,"LEPT")*100/P5)</f>
        <v>0</v>
      </c>
      <c r="AS5">
        <f>IF(P5=0,0,COUNTIF('Transect 2_imgsummary'!E5:I5,"LEPTOR")*100/P5)</f>
        <v>0</v>
      </c>
      <c r="AT5">
        <f>IF(P5=0,0,COUNTIF('Transect 2_imgsummary'!E5:I5,"LEPTOS")*100/P5)</f>
        <v>0</v>
      </c>
      <c r="AU5">
        <f>IF(P5=0,0,COUNTIF('Transect 2_imgsummary'!E5:I5,"LOBOPH")*100/P5)</f>
        <v>0</v>
      </c>
      <c r="AV5">
        <f>IF(P5=0,0,COUNTIF('Transect 2_imgsummary'!E5:I5,"MERU")*100/P5)</f>
        <v>0</v>
      </c>
      <c r="AW5">
        <f>IF(P5=0,0,COUNTIF('Transect 2_imgsummary'!E5:I5,"MILL")*100/P5)</f>
        <v>0</v>
      </c>
      <c r="AX5">
        <f>IF(P5=0,0,COUNTIF('Transect 2_imgsummary'!E5:I5,"MONT")*100/P5)</f>
        <v>0</v>
      </c>
      <c r="AY5">
        <f>IF(P5=0,0,COUNTIF('Transect 2_imgsummary'!E5:I5,"MONTI")*100/P5)</f>
        <v>0</v>
      </c>
      <c r="AZ5">
        <f>IF(P5=0,0,COUNTIF('Transect 2_imgsummary'!E5:I5,"MYCED")*100/P5)</f>
        <v>0</v>
      </c>
      <c r="BA5">
        <f>IF(P5=0,0,COUNTIF('Transect 2_imgsummary'!E5:I5,"OULO")*100/P5)</f>
        <v>0</v>
      </c>
      <c r="BB5">
        <f>IF(P5=0,0,COUNTIF('Transect 2_imgsummary'!E5:I5,"OXYP")*100/P5)</f>
        <v>0</v>
      </c>
      <c r="BC5">
        <f>IF(P5=0,0,COUNTIF('Transect 2_imgsummary'!E5:I5,"PLSIA")*100/P5)</f>
        <v>0</v>
      </c>
      <c r="BD5">
        <f>IF(P5=0,0,COUNTIF('Transect 2_imgsummary'!E5:I5,"PACHY")*100/P5)</f>
        <v>0</v>
      </c>
      <c r="BE5">
        <f>IF(P5=0,0,COUNTIF('Transect 2_imgsummary'!E5:I5,"PAV")*100/P5)</f>
        <v>0</v>
      </c>
      <c r="BF5">
        <f>IF(P5=0,0,COUNTIF('Transect 2_imgsummary'!E5:I5,"PECT")*100/P5)</f>
        <v>0</v>
      </c>
      <c r="BG5">
        <f>IF(P5=0,0,COUNTIF('Transect 2_imgsummary'!E5:I5,"PHYSO")*100/P5)</f>
        <v>0</v>
      </c>
      <c r="BH5">
        <f>IF(P5=0,0,COUNTIF('Transect 2_imgsummary'!E5:I5,"PLAT")*100/P5)</f>
        <v>0</v>
      </c>
      <c r="BI5">
        <f>IF(P5=0,0,COUNTIF('Transect 2_imgsummary'!E5:I5,"PLERO")*100/P5)</f>
        <v>0</v>
      </c>
      <c r="BJ5">
        <f>IF(P5=0,0,COUNTIF('Transect 2_imgsummary'!E5:I5,"POC")*100/P5)</f>
        <v>0</v>
      </c>
      <c r="BK5">
        <f>IF(P5=0,0,COUNTIF('Transect 2_imgsummary'!E5:I5,"POR")*100/P5)</f>
        <v>0</v>
      </c>
      <c r="BL5">
        <f>IF(P5=0,0,COUNTIF('Transect 2_imgsummary'!E5:I5,"PORCYL")*100/P5)</f>
        <v>0</v>
      </c>
      <c r="BM5">
        <f>IF(P5=0,0,COUNTIF('Transect 2_imgsummary'!E5:I5,"PORMAS")*100/P5)</f>
        <v>0</v>
      </c>
      <c r="BN5">
        <f>IF(P5=0,0,COUNTIF('Transect 2_imgsummary'!E5:I5,"PORRUS")*100/P5)</f>
        <v>0</v>
      </c>
      <c r="BO5">
        <f>IF(P5=0,0,COUNTIF('Transect 2_imgsummary'!E5:I5,"PSAM")*100/P5)</f>
        <v>0</v>
      </c>
      <c r="BP5">
        <f>IF(P5=0,0,COUNTIF('Transect 2_imgsummary'!E5:I5,"SANDO")*100/P5)</f>
        <v>0</v>
      </c>
      <c r="BQ5">
        <f>IF(P5=0,0,COUNTIF('Transect 2_imgsummary'!E5:I5,"SCAP")*100/P5)</f>
        <v>0</v>
      </c>
      <c r="BR5">
        <f>IF(P5=0,0,COUNTIF('Transect 2_imgsummary'!E5:I5,"SERIA")*100/P5)</f>
        <v>0</v>
      </c>
      <c r="BS5">
        <f>IF(P5=0,0,COUNTIF('Transect 2_imgsummary'!E5:I5,"STYLC")*100/P5)</f>
        <v>0</v>
      </c>
      <c r="BT5">
        <f>IF(P5=0,0,COUNTIF('Transect 2_imgsummary'!E5:I5,"STYLO")*100/P5)</f>
        <v>0</v>
      </c>
      <c r="BU5">
        <f>IF(P5=0,0,COUNTIF('Transect 2_imgsummary'!E5:I5,"SYMP")*100/P5)</f>
        <v>0</v>
      </c>
      <c r="BV5">
        <f>IF(P5=0,0,COUNTIF('Transect 2_imgsummary'!E5:I5,"TURBIN")*100/P5)</f>
        <v>0</v>
      </c>
      <c r="BX5">
        <f>IF(P5=0,0,COUNTIF('Transect 2_imgsummary'!E5:I5,"ANEM")*100/P5)</f>
        <v>0</v>
      </c>
      <c r="BY5">
        <f>IF(P5=0,0,COUNTIF('Transect 2_imgsummary'!E5:I5,"ASC")*100/P5)</f>
        <v>0</v>
      </c>
      <c r="BZ5">
        <f>IF(P5=0,0,COUNTIF('Transect 2_imgsummary'!E5:I5,"CUPS")*100/P5)</f>
        <v>0</v>
      </c>
      <c r="CA5">
        <f>IF(P5=0,0,COUNTIF('Transect 2_imgsummary'!E5:I5,"DISCO")*100/P5)</f>
        <v>0</v>
      </c>
      <c r="CB5">
        <f>IF(P5=0,0,COUNTIF('Transect 2_imgsummary'!E5:I5,"DYS")*100/P5)</f>
        <v>0</v>
      </c>
      <c r="CC5">
        <f>IF(P5=0,0,COUNTIF('Transect 2_imgsummary'!E5:I5,"G")*100/P5)</f>
        <v>0</v>
      </c>
      <c r="CD5">
        <f>IF(P5=0,0,COUNTIF('Transect 2_imgsummary'!E5:I5,"NoIDINV")*100/P5)</f>
        <v>0</v>
      </c>
      <c r="CE5">
        <f>IF(P5=0,0,COUNTIF('Transect 2_imgsummary'!E5:I5,"OLV")*100/P5)</f>
        <v>0</v>
      </c>
      <c r="CF5">
        <f>IF(P5=0,0,COUNTIF('Transect 2_imgsummary'!E5:I5,"SC")*100/P5)</f>
        <v>0</v>
      </c>
      <c r="CG5">
        <f>IF(P5=0,0,COUNTIF('Transect 2_imgsummary'!E5:I5,"S")*100/P5)</f>
        <v>0</v>
      </c>
      <c r="CH5">
        <f>IF(P5=0,0,COUNTIF('Transect 2_imgsummary'!E5:I5,"TERPS")*100/P5)</f>
        <v>0</v>
      </c>
      <c r="CI5">
        <f>IF(P5=0,0,COUNTIF('Transect 2_imgsummary'!E5:I5,"Z")*100/P5)</f>
        <v>0</v>
      </c>
      <c r="CK5">
        <f>IF(P5=0,0,COUNTIF('Transect 2_imgsummary'!E5:I5,"ASP")*100/P5)</f>
        <v>0</v>
      </c>
      <c r="CL5">
        <f>IF(P5=0,0,COUNTIF('Transect 2_imgsummary'!E5:I5,"BG")*100/P5)</f>
        <v>0</v>
      </c>
      <c r="CM5">
        <f>IF(P5=0,0,COUNTIF('Transect 2_imgsummary'!E5:I5,"Bood")*100/P5)</f>
        <v>0</v>
      </c>
      <c r="CN5">
        <f>IF(P5=0,0,COUNTIF('Transect 2_imgsummary'!E5:I5,"BRYP")*100/P5)</f>
        <v>0</v>
      </c>
      <c r="CO5">
        <f>IF(P5=0,0,COUNTIF('Transect 2_imgsummary'!E5:I5,"CLP")*100/P5)</f>
        <v>0</v>
      </c>
      <c r="CP5">
        <f>IF(P5=0,0,COUNTIF('Transect 2_imgsummary'!E5:I5,"CHLDES")*100/P5)</f>
        <v>0</v>
      </c>
      <c r="CQ5">
        <f>IF(P5=0,0,COUNTIF('Transect 2_imgsummary'!E5:I5,"DYCTY")*100/P5)</f>
        <v>0</v>
      </c>
      <c r="CR5">
        <f>IF(P5=0,0,COUNTIF('Transect 2_imgsummary'!E5:I5,"DICT")*100/P5)</f>
        <v>0</v>
      </c>
      <c r="CS5">
        <f>IF(P5=0,0,COUNTIF('Transect 2_imgsummary'!E5:I5,"GLXU")*100/P5)</f>
        <v>0</v>
      </c>
      <c r="CT5">
        <f>IF(P5=0,0,COUNTIF('Transect 2_imgsummary'!E5:I5,"HALI")*100/P5)</f>
        <v>0</v>
      </c>
      <c r="CU5">
        <f>IF(P5=0,0,COUNTIF('Transect 2_imgsummary'!E5:I5,"LIAG")*100/P5)</f>
        <v>0</v>
      </c>
      <c r="CV5">
        <f>IF(P5=0,0,COUNTIF('Transect 2_imgsummary'!E5:I5,"LOBO")*100/P5)</f>
        <v>0</v>
      </c>
      <c r="CW5">
        <f>IF(P5=0,0,COUNTIF('Transect 2_imgsummary'!E5:I5,"MAST")*100/P5)</f>
        <v>0</v>
      </c>
      <c r="CX5">
        <f>IF(P5=0,0,COUNTIF('Transect 2_imgsummary'!E5:I5,"MICDTY")*100/P5)</f>
        <v>0</v>
      </c>
      <c r="CY5">
        <f>IF(P5=0,0,COUNTIF('Transect 2_imgsummary'!E5:I5,"NEOM")*100/P5)</f>
        <v>0</v>
      </c>
      <c r="CZ5">
        <f>IF(P5=0,0,COUNTIF('Transect 2_imgsummary'!E5:I5,"NOIDMAC")*100/P5)</f>
        <v>0</v>
      </c>
      <c r="DA5">
        <f>IF(P5=0,0,COUNTIF('Transect 2_imgsummary'!E5:I5,"PAD")*100/P5)</f>
        <v>0</v>
      </c>
      <c r="DB5">
        <f>IF(P5=0,0,COUNTIF('Transect 2_imgsummary'!E5:I5,"SARG")*100/P5)</f>
        <v>0</v>
      </c>
      <c r="DC5">
        <f>IF(P5=0,0,COUNTIF('Transect 2_imgsummary'!E5:I5,"SCHIZ")*100/P5)</f>
        <v>0</v>
      </c>
      <c r="DD5">
        <f>IF(P5=0,0,COUNTIF('Transect 2_imgsummary'!E5:I5,"TURB")*100/P5)</f>
        <v>0</v>
      </c>
      <c r="DE5">
        <f>IF(P5=0,0,COUNTIF('Transect 2_imgsummary'!E5:I5,"TYDM")*100/P5)</f>
        <v>0</v>
      </c>
      <c r="DG5">
        <f>IF(P5=0,0,COUNTIF('Transect 2_imgsummary'!E5:I5,"AMP")*100/P5)</f>
        <v>0</v>
      </c>
      <c r="DH5" s="29">
        <f>IF(P5=0,0,COUNTIF('Transect 2_imgsummary'!E5:I5,"BCA1")*100/P5)</f>
        <v>20</v>
      </c>
      <c r="DI5">
        <f>IF(P5=0,0,COUNTIF('Transect 2_imgsummary'!E5:I5,"JAN")*100/P5)</f>
        <v>0</v>
      </c>
      <c r="DK5" s="29">
        <f>IF(P5=0,0,COUNTIF('Transect 2_imgsummary'!E5:I5,"CCA1")*100/P5)</f>
        <v>40</v>
      </c>
      <c r="DM5">
        <f>IF(P5=0,0,COUNTIF('Transect 2_imgsummary'!E5:I5,"Sand")*100/P5)</f>
        <v>0</v>
      </c>
      <c r="DO5">
        <f>IF(P5=0,0,COUNTIF('Transect 2_imgsummary'!E5:I5,"FCA1")*100/P5)</f>
        <v>0</v>
      </c>
      <c r="DQ5">
        <f>IF(P5=0,0,COUNTIF('Transect 2_imgsummary'!E5:I5,"CHRYOBRN")*100/P5)</f>
        <v>0</v>
      </c>
      <c r="DS5">
        <f>IF(P5=0,0,COUNTIF('Transect 2_imgsummary'!E5:I5,"TURF")*100/P5)</f>
        <v>0</v>
      </c>
      <c r="DU5">
        <f>COUNTIF('Transect 2_imgsummary'!E5:I5,"Shadow")*100/5</f>
        <v>0</v>
      </c>
      <c r="DV5">
        <f>COUNTIF('Transect 2_imgsummary'!E5:I5,"Tape")*100/5</f>
        <v>0</v>
      </c>
      <c r="DW5">
        <f>COUNTIF('Transect 2_imgsummary'!E5:I5,"Wand")*100/5</f>
        <v>0</v>
      </c>
      <c r="DY5">
        <f>IF(P5=0,0,COUNTIF('Transect 2_imgsummary'!O5:S5,"BC")*100/P5)</f>
        <v>0</v>
      </c>
    </row>
    <row r="6" spans="1:129">
      <c r="A6">
        <v>4</v>
      </c>
      <c r="B6" t="s">
        <v>433</v>
      </c>
      <c r="F6" s="29">
        <f>IF(P6=0,0,COUNTIF('Transect 2_imgsummary'!J6:N6,"C")*100/P6)</f>
        <v>80</v>
      </c>
      <c r="G6">
        <f>IF(P6=0,0,COUNTIF('Transect 2_imgsummary'!J6:N6,"OI")*100/P6)</f>
        <v>0</v>
      </c>
      <c r="H6">
        <f>IF(P6=0,0,COUNTIF('Transect 2_imgsummary'!J6:N6,"MA")*100/P6)</f>
        <v>0</v>
      </c>
      <c r="I6">
        <f>IF(P6=0,0,COUNTIF('Transect 2_imgsummary'!J6:N6,"BCA")*100/P6)</f>
        <v>0</v>
      </c>
      <c r="J6">
        <f>IF(P6=0,0,COUNTIF('Transect 2_imgsummary'!J6:N6,"CCA")*100/P6)</f>
        <v>0</v>
      </c>
      <c r="K6">
        <f>IF(P6=0,0,COUNTIF('Transect 2_imgsummary'!J6:N6,"SD")*100/P6)</f>
        <v>0</v>
      </c>
      <c r="L6" s="29">
        <f>IF(P6=0,0,COUNTIF('Transect 2_imgsummary'!J6:N6,"FCA")*100/P6)</f>
        <v>20</v>
      </c>
      <c r="M6">
        <f>IF(P6=0,0,COUNTIF('Transect 2_imgsummary'!J6:N6,"CHRYS")*100/P6)</f>
        <v>0</v>
      </c>
      <c r="N6">
        <f>IF(P6=0,0,COUNTIF('Transect 2_imgsummary'!J6:N6,"T")*100/P6)</f>
        <v>0</v>
      </c>
      <c r="O6">
        <f>IF(P6=0,0,COUNTIF('Transect 2_imgsummary'!J6:N6,"TWS")*100/P6)</f>
        <v>0</v>
      </c>
      <c r="P6">
        <f>5-COUNTIF('Transect 2_imgsummary'!J6:N6,"TWS")</f>
        <v>5</v>
      </c>
      <c r="S6">
        <f>IF(P6=0,0,COUNTIF('Transect 2_imgsummary'!E6:I6,"ACAN")*100/P6)</f>
        <v>0</v>
      </c>
      <c r="T6">
        <f>IF(P6=0,0,COUNTIF('Transect 2_imgsummary'!E6:I6,"ACROP")*100/P6)</f>
        <v>0</v>
      </c>
      <c r="U6">
        <f>IF(P6=0,0,COUNTIF('Transect 2_imgsummary'!E6:I6,"ACROPARB")*100/P6)</f>
        <v>0</v>
      </c>
      <c r="V6">
        <f>IF(P6=0,0,COUNTIF('Transect 2_imgsummary'!E6:I6,"ACROST")*100/P6)</f>
        <v>0</v>
      </c>
      <c r="W6" s="29">
        <f>IF(P6=0,0,COUNTIF('Transect 2_imgsummary'!E6:I6,"ACROTBL")*100/P6)</f>
        <v>60</v>
      </c>
      <c r="X6">
        <f>IF(P6=0,0,COUNTIF('Transect 2_imgsummary'!E6:I6,"ASTRP")*100/P6)</f>
        <v>0</v>
      </c>
      <c r="Y6">
        <f>IF(P6=0,0,COUNTIF('Transect 2_imgsummary'!E6:I6,"CAUL")*100/P6)</f>
        <v>0</v>
      </c>
      <c r="Z6">
        <f>IF(P6=0,0,COUNTIF('Transect 2_imgsummary'!E6:I6,"COSC")*100/P6)</f>
        <v>0</v>
      </c>
      <c r="AA6">
        <f>IF(P6=0,0,COUNTIF('Transect 2_imgsummary'!E6:I6,"CTEN")*100/P6)</f>
        <v>0</v>
      </c>
      <c r="AB6">
        <f>IF(P6=0,0,COUNTIF('Transect 2_imgsummary'!E6:I6,"CYPH")*100/P6)</f>
        <v>0</v>
      </c>
      <c r="AC6">
        <f>IF(P6=0,0,COUNTIF('Transect 2_imgsummary'!E6:I6,"DIPLO")*100/P6)</f>
        <v>0</v>
      </c>
      <c r="AD6">
        <f>IF(P6=0,0,COUNTIF('Transect 2_imgsummary'!E6:I6,"ECHPO")*100/P6)</f>
        <v>0</v>
      </c>
      <c r="AE6">
        <f>IF(P6=0,0,COUNTIF('Transect 2_imgsummary'!E6:I6,"ECHPHY")*100/P6)</f>
        <v>0</v>
      </c>
      <c r="AF6">
        <f>IF(P6=0,0,COUNTIF('Transect 2_imgsummary'!E6:I6,"EUPH")*100/P6)</f>
        <v>0</v>
      </c>
      <c r="AG6" s="29">
        <f>IF(P6=0,0,COUNTIF('Transect 2_imgsummary'!E6:I6,"FAV")*100/P6)</f>
        <v>20</v>
      </c>
      <c r="AH6">
        <f>IF(P6=0,0,COUNTIF('Transect 2_imgsummary'!E6:I6,"FAVT")*100/P6)</f>
        <v>0</v>
      </c>
      <c r="AI6">
        <f>IF(P6=0,0,COUNTIF('Transect 2_imgsummary'!E6:I6,"FUNG")*100/P6)</f>
        <v>0</v>
      </c>
      <c r="AJ6">
        <f>IF(P6=0,0,COUNTIF('Transect 2_imgsummary'!E6:I6,"GAL")*100/P6)</f>
        <v>0</v>
      </c>
      <c r="AK6">
        <f>IF(P6=0,0,COUNTIF('Transect 2_imgsummary'!E6:I6,"GARD")*100/P6)</f>
        <v>0</v>
      </c>
      <c r="AL6">
        <f>IF(P6=0,0,COUNTIF('Transect 2_imgsummary'!E6:I6,"GON")*100/P6)</f>
        <v>0</v>
      </c>
      <c r="AM6">
        <f>IF(P6=0,0,COUNTIF('Transect 2_imgsummary'!E6:I6,"GONIO")*100/P6)</f>
        <v>0</v>
      </c>
      <c r="AN6">
        <f>IF(P6=0,0,COUNTIF('Transect 2_imgsummary'!E6:I6,"HELIO")*100/P6)</f>
        <v>0</v>
      </c>
      <c r="AO6">
        <f>IF(P6=0,0,COUNTIF('Transect 2_imgsummary'!E6:I6,"HERP")*100/P6)</f>
        <v>0</v>
      </c>
      <c r="AP6">
        <f>IF(P6=0,0,COUNTIF('Transect 2_imgsummary'!E6:I6,"HYD")*100/P6)</f>
        <v>0</v>
      </c>
      <c r="AQ6">
        <f>IF(P6=0,0,COUNTIF('Transect 2_imgsummary'!E6:I6,"ISOP")*100/P6)</f>
        <v>0</v>
      </c>
      <c r="AR6">
        <f>IF(P6=0,0,COUNTIF('Transect 2_imgsummary'!E6:I6,"LEPT")*100/P6)</f>
        <v>0</v>
      </c>
      <c r="AS6">
        <f>IF(P6=0,0,COUNTIF('Transect 2_imgsummary'!E6:I6,"LEPTOR")*100/P6)</f>
        <v>0</v>
      </c>
      <c r="AT6">
        <f>IF(P6=0,0,COUNTIF('Transect 2_imgsummary'!E6:I6,"LEPTOS")*100/P6)</f>
        <v>0</v>
      </c>
      <c r="AU6">
        <f>IF(P6=0,0,COUNTIF('Transect 2_imgsummary'!E6:I6,"LOBOPH")*100/P6)</f>
        <v>0</v>
      </c>
      <c r="AV6">
        <f>IF(P6=0,0,COUNTIF('Transect 2_imgsummary'!E6:I6,"MERU")*100/P6)</f>
        <v>0</v>
      </c>
      <c r="AW6">
        <f>IF(P6=0,0,COUNTIF('Transect 2_imgsummary'!E6:I6,"MILL")*100/P6)</f>
        <v>0</v>
      </c>
      <c r="AX6">
        <f>IF(P6=0,0,COUNTIF('Transect 2_imgsummary'!E6:I6,"MONT")*100/P6)</f>
        <v>0</v>
      </c>
      <c r="AY6">
        <f>IF(P6=0,0,COUNTIF('Transect 2_imgsummary'!E6:I6,"MONTI")*100/P6)</f>
        <v>0</v>
      </c>
      <c r="AZ6">
        <f>IF(P6=0,0,COUNTIF('Transect 2_imgsummary'!E6:I6,"MYCED")*100/P6)</f>
        <v>0</v>
      </c>
      <c r="BA6">
        <f>IF(P6=0,0,COUNTIF('Transect 2_imgsummary'!E6:I6,"OULO")*100/P6)</f>
        <v>0</v>
      </c>
      <c r="BB6">
        <f>IF(P6=0,0,COUNTIF('Transect 2_imgsummary'!E6:I6,"OXYP")*100/P6)</f>
        <v>0</v>
      </c>
      <c r="BC6">
        <f>IF(P6=0,0,COUNTIF('Transect 2_imgsummary'!E6:I6,"PLSIA")*100/P6)</f>
        <v>0</v>
      </c>
      <c r="BD6">
        <f>IF(P6=0,0,COUNTIF('Transect 2_imgsummary'!E6:I6,"PACHY")*100/P6)</f>
        <v>0</v>
      </c>
      <c r="BE6">
        <f>IF(P6=0,0,COUNTIF('Transect 2_imgsummary'!E6:I6,"PAV")*100/P6)</f>
        <v>0</v>
      </c>
      <c r="BF6">
        <f>IF(P6=0,0,COUNTIF('Transect 2_imgsummary'!E6:I6,"PECT")*100/P6)</f>
        <v>0</v>
      </c>
      <c r="BG6">
        <f>IF(P6=0,0,COUNTIF('Transect 2_imgsummary'!E6:I6,"PHYSO")*100/P6)</f>
        <v>0</v>
      </c>
      <c r="BH6">
        <f>IF(P6=0,0,COUNTIF('Transect 2_imgsummary'!E6:I6,"PLAT")*100/P6)</f>
        <v>0</v>
      </c>
      <c r="BI6">
        <f>IF(P6=0,0,COUNTIF('Transect 2_imgsummary'!E6:I6,"PLERO")*100/P6)</f>
        <v>0</v>
      </c>
      <c r="BJ6">
        <f>IF(P6=0,0,COUNTIF('Transect 2_imgsummary'!E6:I6,"POC")*100/P6)</f>
        <v>0</v>
      </c>
      <c r="BK6">
        <f>IF(P6=0,0,COUNTIF('Transect 2_imgsummary'!E6:I6,"POR")*100/P6)</f>
        <v>0</v>
      </c>
      <c r="BL6">
        <f>IF(P6=0,0,COUNTIF('Transect 2_imgsummary'!E6:I6,"PORCYL")*100/P6)</f>
        <v>0</v>
      </c>
      <c r="BM6">
        <f>IF(P6=0,0,COUNTIF('Transect 2_imgsummary'!E6:I6,"PORMAS")*100/P6)</f>
        <v>0</v>
      </c>
      <c r="BN6">
        <f>IF(P6=0,0,COUNTIF('Transect 2_imgsummary'!E6:I6,"PORRUS")*100/P6)</f>
        <v>0</v>
      </c>
      <c r="BO6">
        <f>IF(P6=0,0,COUNTIF('Transect 2_imgsummary'!E6:I6,"PSAM")*100/P6)</f>
        <v>0</v>
      </c>
      <c r="BP6">
        <f>IF(P6=0,0,COUNTIF('Transect 2_imgsummary'!E6:I6,"SANDO")*100/P6)</f>
        <v>0</v>
      </c>
      <c r="BQ6">
        <f>IF(P6=0,0,COUNTIF('Transect 2_imgsummary'!E6:I6,"SCAP")*100/P6)</f>
        <v>0</v>
      </c>
      <c r="BR6">
        <f>IF(P6=0,0,COUNTIF('Transect 2_imgsummary'!E6:I6,"SERIA")*100/P6)</f>
        <v>0</v>
      </c>
      <c r="BS6">
        <f>IF(P6=0,0,COUNTIF('Transect 2_imgsummary'!E6:I6,"STYLC")*100/P6)</f>
        <v>0</v>
      </c>
      <c r="BT6">
        <f>IF(P6=0,0,COUNTIF('Transect 2_imgsummary'!E6:I6,"STYLO")*100/P6)</f>
        <v>0</v>
      </c>
      <c r="BU6">
        <f>IF(P6=0,0,COUNTIF('Transect 2_imgsummary'!E6:I6,"SYMP")*100/P6)</f>
        <v>0</v>
      </c>
      <c r="BV6">
        <f>IF(P6=0,0,COUNTIF('Transect 2_imgsummary'!E6:I6,"TURBIN")*100/P6)</f>
        <v>0</v>
      </c>
      <c r="BX6">
        <f>IF(P6=0,0,COUNTIF('Transect 2_imgsummary'!E6:I6,"ANEM")*100/P6)</f>
        <v>0</v>
      </c>
      <c r="BY6">
        <f>IF(P6=0,0,COUNTIF('Transect 2_imgsummary'!E6:I6,"ASC")*100/P6)</f>
        <v>0</v>
      </c>
      <c r="BZ6">
        <f>IF(P6=0,0,COUNTIF('Transect 2_imgsummary'!E6:I6,"CUPS")*100/P6)</f>
        <v>0</v>
      </c>
      <c r="CA6">
        <f>IF(P6=0,0,COUNTIF('Transect 2_imgsummary'!E6:I6,"DISCO")*100/P6)</f>
        <v>0</v>
      </c>
      <c r="CB6">
        <f>IF(P6=0,0,COUNTIF('Transect 2_imgsummary'!E6:I6,"DYS")*100/P6)</f>
        <v>0</v>
      </c>
      <c r="CC6">
        <f>IF(P6=0,0,COUNTIF('Transect 2_imgsummary'!E6:I6,"G")*100/P6)</f>
        <v>0</v>
      </c>
      <c r="CD6">
        <f>IF(P6=0,0,COUNTIF('Transect 2_imgsummary'!E6:I6,"NoIDINV")*100/P6)</f>
        <v>0</v>
      </c>
      <c r="CE6">
        <f>IF(P6=0,0,COUNTIF('Transect 2_imgsummary'!E6:I6,"OLV")*100/P6)</f>
        <v>0</v>
      </c>
      <c r="CF6">
        <f>IF(P6=0,0,COUNTIF('Transect 2_imgsummary'!E6:I6,"SC")*100/P6)</f>
        <v>0</v>
      </c>
      <c r="CG6">
        <f>IF(P6=0,0,COUNTIF('Transect 2_imgsummary'!E6:I6,"S")*100/P6)</f>
        <v>0</v>
      </c>
      <c r="CH6">
        <f>IF(P6=0,0,COUNTIF('Transect 2_imgsummary'!E6:I6,"TERPS")*100/P6)</f>
        <v>0</v>
      </c>
      <c r="CI6">
        <f>IF(P6=0,0,COUNTIF('Transect 2_imgsummary'!E6:I6,"Z")*100/P6)</f>
        <v>0</v>
      </c>
      <c r="CK6">
        <f>IF(P6=0,0,COUNTIF('Transect 2_imgsummary'!E6:I6,"ASP")*100/P6)</f>
        <v>0</v>
      </c>
      <c r="CL6">
        <f>IF(P6=0,0,COUNTIF('Transect 2_imgsummary'!E6:I6,"BG")*100/P6)</f>
        <v>0</v>
      </c>
      <c r="CM6">
        <f>IF(P6=0,0,COUNTIF('Transect 2_imgsummary'!E6:I6,"Bood")*100/P6)</f>
        <v>0</v>
      </c>
      <c r="CN6">
        <f>IF(P6=0,0,COUNTIF('Transect 2_imgsummary'!E6:I6,"BRYP")*100/P6)</f>
        <v>0</v>
      </c>
      <c r="CO6">
        <f>IF(P6=0,0,COUNTIF('Transect 2_imgsummary'!E6:I6,"CLP")*100/P6)</f>
        <v>0</v>
      </c>
      <c r="CP6">
        <f>IF(P6=0,0,COUNTIF('Transect 2_imgsummary'!E6:I6,"CHLDES")*100/P6)</f>
        <v>0</v>
      </c>
      <c r="CQ6">
        <f>IF(P6=0,0,COUNTIF('Transect 2_imgsummary'!E6:I6,"DYCTY")*100/P6)</f>
        <v>0</v>
      </c>
      <c r="CR6">
        <f>IF(P6=0,0,COUNTIF('Transect 2_imgsummary'!E6:I6,"DICT")*100/P6)</f>
        <v>0</v>
      </c>
      <c r="CS6">
        <f>IF(P6=0,0,COUNTIF('Transect 2_imgsummary'!E6:I6,"GLXU")*100/P6)</f>
        <v>0</v>
      </c>
      <c r="CT6">
        <f>IF(P6=0,0,COUNTIF('Transect 2_imgsummary'!E6:I6,"HALI")*100/P6)</f>
        <v>0</v>
      </c>
      <c r="CU6">
        <f>IF(P6=0,0,COUNTIF('Transect 2_imgsummary'!E6:I6,"LIAG")*100/P6)</f>
        <v>0</v>
      </c>
      <c r="CV6">
        <f>IF(P6=0,0,COUNTIF('Transect 2_imgsummary'!E6:I6,"LOBO")*100/P6)</f>
        <v>0</v>
      </c>
      <c r="CW6">
        <f>IF(P6=0,0,COUNTIF('Transect 2_imgsummary'!E6:I6,"MAST")*100/P6)</f>
        <v>0</v>
      </c>
      <c r="CX6">
        <f>IF(P6=0,0,COUNTIF('Transect 2_imgsummary'!E6:I6,"MICDTY")*100/P6)</f>
        <v>0</v>
      </c>
      <c r="CY6">
        <f>IF(P6=0,0,COUNTIF('Transect 2_imgsummary'!E6:I6,"NEOM")*100/P6)</f>
        <v>0</v>
      </c>
      <c r="CZ6">
        <f>IF(P6=0,0,COUNTIF('Transect 2_imgsummary'!E6:I6,"NOIDMAC")*100/P6)</f>
        <v>0</v>
      </c>
      <c r="DA6">
        <f>IF(P6=0,0,COUNTIF('Transect 2_imgsummary'!E6:I6,"PAD")*100/P6)</f>
        <v>0</v>
      </c>
      <c r="DB6">
        <f>IF(P6=0,0,COUNTIF('Transect 2_imgsummary'!E6:I6,"SARG")*100/P6)</f>
        <v>0</v>
      </c>
      <c r="DC6">
        <f>IF(P6=0,0,COUNTIF('Transect 2_imgsummary'!E6:I6,"SCHIZ")*100/P6)</f>
        <v>0</v>
      </c>
      <c r="DD6">
        <f>IF(P6=0,0,COUNTIF('Transect 2_imgsummary'!E6:I6,"TURB")*100/P6)</f>
        <v>0</v>
      </c>
      <c r="DE6">
        <f>IF(P6=0,0,COUNTIF('Transect 2_imgsummary'!E6:I6,"TYDM")*100/P6)</f>
        <v>0</v>
      </c>
      <c r="DG6">
        <f>IF(P6=0,0,COUNTIF('Transect 2_imgsummary'!E6:I6,"AMP")*100/P6)</f>
        <v>0</v>
      </c>
      <c r="DH6">
        <f>IF(P6=0,0,COUNTIF('Transect 2_imgsummary'!E6:I6,"BCA1")*100/P6)</f>
        <v>0</v>
      </c>
      <c r="DI6">
        <f>IF(P6=0,0,COUNTIF('Transect 2_imgsummary'!E6:I6,"JAN")*100/P6)</f>
        <v>0</v>
      </c>
      <c r="DK6">
        <f>IF(P6=0,0,COUNTIF('Transect 2_imgsummary'!E6:I6,"CCA1")*100/P6)</f>
        <v>0</v>
      </c>
      <c r="DM6">
        <f>IF(P6=0,0,COUNTIF('Transect 2_imgsummary'!E6:I6,"Sand")*100/P6)</f>
        <v>0</v>
      </c>
      <c r="DO6" s="29">
        <f>IF(P6=0,0,COUNTIF('Transect 2_imgsummary'!E6:I6,"FCA1")*100/P6)</f>
        <v>20</v>
      </c>
      <c r="DQ6">
        <f>IF(P6=0,0,COUNTIF('Transect 2_imgsummary'!E6:I6,"CHRYOBRN")*100/P6)</f>
        <v>0</v>
      </c>
      <c r="DS6">
        <f>IF(P6=0,0,COUNTIF('Transect 2_imgsummary'!E6:I6,"TURF")*100/P6)</f>
        <v>0</v>
      </c>
      <c r="DU6">
        <f>COUNTIF('Transect 2_imgsummary'!E6:I6,"Shadow")*100/5</f>
        <v>0</v>
      </c>
      <c r="DV6">
        <f>COUNTIF('Transect 2_imgsummary'!E6:I6,"Tape")*100/5</f>
        <v>0</v>
      </c>
      <c r="DW6">
        <f>COUNTIF('Transect 2_imgsummary'!E6:I6,"Wand")*100/5</f>
        <v>0</v>
      </c>
      <c r="DY6">
        <f>IF(P6=0,0,COUNTIF('Transect 2_imgsummary'!O6:S6,"BC")*100/P6)</f>
        <v>0</v>
      </c>
    </row>
    <row r="7" spans="1:129">
      <c r="A7">
        <v>5</v>
      </c>
      <c r="B7" t="s">
        <v>434</v>
      </c>
      <c r="F7" s="29">
        <f>IF(P7=0,0,COUNTIF('Transect 2_imgsummary'!J7:N7,"C")*100/P7)</f>
        <v>60</v>
      </c>
      <c r="G7">
        <f>IF(P7=0,0,COUNTIF('Transect 2_imgsummary'!J7:N7,"OI")*100/P7)</f>
        <v>0</v>
      </c>
      <c r="H7">
        <f>IF(P7=0,0,COUNTIF('Transect 2_imgsummary'!J7:N7,"MA")*100/P7)</f>
        <v>0</v>
      </c>
      <c r="I7" s="29">
        <f>IF(P7=0,0,COUNTIF('Transect 2_imgsummary'!J7:N7,"BCA")*100/P7)</f>
        <v>20</v>
      </c>
      <c r="J7">
        <f>IF(P7=0,0,COUNTIF('Transect 2_imgsummary'!J7:N7,"CCA")*100/P7)</f>
        <v>0</v>
      </c>
      <c r="K7">
        <f>IF(P7=0,0,COUNTIF('Transect 2_imgsummary'!J7:N7,"SD")*100/P7)</f>
        <v>0</v>
      </c>
      <c r="L7" s="29">
        <f>IF(P7=0,0,COUNTIF('Transect 2_imgsummary'!J7:N7,"FCA")*100/P7)</f>
        <v>20</v>
      </c>
      <c r="M7">
        <f>IF(P7=0,0,COUNTIF('Transect 2_imgsummary'!J7:N7,"CHRYS")*100/P7)</f>
        <v>0</v>
      </c>
      <c r="N7">
        <f>IF(P7=0,0,COUNTIF('Transect 2_imgsummary'!J7:N7,"T")*100/P7)</f>
        <v>0</v>
      </c>
      <c r="O7">
        <f>IF(P7=0,0,COUNTIF('Transect 2_imgsummary'!J7:N7,"TWS")*100/P7)</f>
        <v>0</v>
      </c>
      <c r="P7">
        <f>5-COUNTIF('Transect 2_imgsummary'!J7:N7,"TWS")</f>
        <v>5</v>
      </c>
      <c r="S7">
        <f>IF(P7=0,0,COUNTIF('Transect 2_imgsummary'!E7:I7,"ACAN")*100/P7)</f>
        <v>0</v>
      </c>
      <c r="T7">
        <f>IF(P7=0,0,COUNTIF('Transect 2_imgsummary'!E7:I7,"ACROP")*100/P7)</f>
        <v>0</v>
      </c>
      <c r="U7">
        <f>IF(P7=0,0,COUNTIF('Transect 2_imgsummary'!E7:I7,"ACROPARB")*100/P7)</f>
        <v>0</v>
      </c>
      <c r="V7">
        <f>IF(P7=0,0,COUNTIF('Transect 2_imgsummary'!E7:I7,"ACROST")*100/P7)</f>
        <v>0</v>
      </c>
      <c r="W7">
        <f>IF(P7=0,0,COUNTIF('Transect 2_imgsummary'!E7:I7,"ACROTBL")*100/P7)</f>
        <v>0</v>
      </c>
      <c r="X7">
        <f>IF(P7=0,0,COUNTIF('Transect 2_imgsummary'!E7:I7,"ASTRP")*100/P7)</f>
        <v>0</v>
      </c>
      <c r="Y7">
        <f>IF(P7=0,0,COUNTIF('Transect 2_imgsummary'!E7:I7,"CAUL")*100/P7)</f>
        <v>0</v>
      </c>
      <c r="Z7">
        <f>IF(P7=0,0,COUNTIF('Transect 2_imgsummary'!E7:I7,"COSC")*100/P7)</f>
        <v>0</v>
      </c>
      <c r="AA7">
        <f>IF(P7=0,0,COUNTIF('Transect 2_imgsummary'!E7:I7,"CTEN")*100/P7)</f>
        <v>0</v>
      </c>
      <c r="AB7">
        <f>IF(P7=0,0,COUNTIF('Transect 2_imgsummary'!E7:I7,"CYPH")*100/P7)</f>
        <v>0</v>
      </c>
      <c r="AC7">
        <f>IF(P7=0,0,COUNTIF('Transect 2_imgsummary'!E7:I7,"DIPLO")*100/P7)</f>
        <v>0</v>
      </c>
      <c r="AD7">
        <f>IF(P7=0,0,COUNTIF('Transect 2_imgsummary'!E7:I7,"ECHPO")*100/P7)</f>
        <v>0</v>
      </c>
      <c r="AE7">
        <f>IF(P7=0,0,COUNTIF('Transect 2_imgsummary'!E7:I7,"ECHPHY")*100/P7)</f>
        <v>0</v>
      </c>
      <c r="AF7">
        <f>IF(P7=0,0,COUNTIF('Transect 2_imgsummary'!E7:I7,"EUPH")*100/P7)</f>
        <v>0</v>
      </c>
      <c r="AG7">
        <f>IF(P7=0,0,COUNTIF('Transect 2_imgsummary'!E7:I7,"FAV")*100/P7)</f>
        <v>0</v>
      </c>
      <c r="AH7" s="29">
        <f>IF(P7=0,0,COUNTIF('Transect 2_imgsummary'!E7:I7,"FAVT")*100/P7)</f>
        <v>20</v>
      </c>
      <c r="AI7">
        <f>IF(P7=0,0,COUNTIF('Transect 2_imgsummary'!E7:I7,"FUNG")*100/P7)</f>
        <v>0</v>
      </c>
      <c r="AJ7">
        <f>IF(P7=0,0,COUNTIF('Transect 2_imgsummary'!E7:I7,"GAL")*100/P7)</f>
        <v>0</v>
      </c>
      <c r="AK7">
        <f>IF(P7=0,0,COUNTIF('Transect 2_imgsummary'!E7:I7,"GARD")*100/P7)</f>
        <v>0</v>
      </c>
      <c r="AL7">
        <f>IF(P7=0,0,COUNTIF('Transect 2_imgsummary'!E7:I7,"GON")*100/P7)</f>
        <v>0</v>
      </c>
      <c r="AM7">
        <f>IF(P7=0,0,COUNTIF('Transect 2_imgsummary'!E7:I7,"GONIO")*100/P7)</f>
        <v>0</v>
      </c>
      <c r="AN7">
        <f>IF(P7=0,0,COUNTIF('Transect 2_imgsummary'!E7:I7,"HELIO")*100/P7)</f>
        <v>0</v>
      </c>
      <c r="AO7">
        <f>IF(P7=0,0,COUNTIF('Transect 2_imgsummary'!E7:I7,"HERP")*100/P7)</f>
        <v>0</v>
      </c>
      <c r="AP7">
        <f>IF(P7=0,0,COUNTIF('Transect 2_imgsummary'!E7:I7,"HYD")*100/P7)</f>
        <v>0</v>
      </c>
      <c r="AQ7">
        <f>IF(P7=0,0,COUNTIF('Transect 2_imgsummary'!E7:I7,"ISOP")*100/P7)</f>
        <v>0</v>
      </c>
      <c r="AR7">
        <f>IF(P7=0,0,COUNTIF('Transect 2_imgsummary'!E7:I7,"LEPT")*100/P7)</f>
        <v>0</v>
      </c>
      <c r="AS7">
        <f>IF(P7=0,0,COUNTIF('Transect 2_imgsummary'!E7:I7,"LEPTOR")*100/P7)</f>
        <v>0</v>
      </c>
      <c r="AT7">
        <f>IF(P7=0,0,COUNTIF('Transect 2_imgsummary'!E7:I7,"LEPTOS")*100/P7)</f>
        <v>0</v>
      </c>
      <c r="AU7">
        <f>IF(P7=0,0,COUNTIF('Transect 2_imgsummary'!E7:I7,"LOBOPH")*100/P7)</f>
        <v>0</v>
      </c>
      <c r="AV7">
        <f>IF(P7=0,0,COUNTIF('Transect 2_imgsummary'!E7:I7,"MERU")*100/P7)</f>
        <v>0</v>
      </c>
      <c r="AW7">
        <f>IF(P7=0,0,COUNTIF('Transect 2_imgsummary'!E7:I7,"MILL")*100/P7)</f>
        <v>0</v>
      </c>
      <c r="AX7">
        <f>IF(P7=0,0,COUNTIF('Transect 2_imgsummary'!E7:I7,"MONT")*100/P7)</f>
        <v>0</v>
      </c>
      <c r="AY7">
        <f>IF(P7=0,0,COUNTIF('Transect 2_imgsummary'!E7:I7,"MONTI")*100/P7)</f>
        <v>0</v>
      </c>
      <c r="AZ7">
        <f>IF(P7=0,0,COUNTIF('Transect 2_imgsummary'!E7:I7,"MYCED")*100/P7)</f>
        <v>0</v>
      </c>
      <c r="BA7">
        <f>IF(P7=0,0,COUNTIF('Transect 2_imgsummary'!E7:I7,"OULO")*100/P7)</f>
        <v>0</v>
      </c>
      <c r="BB7">
        <f>IF(P7=0,0,COUNTIF('Transect 2_imgsummary'!E7:I7,"OXYP")*100/P7)</f>
        <v>0</v>
      </c>
      <c r="BC7">
        <f>IF(P7=0,0,COUNTIF('Transect 2_imgsummary'!E7:I7,"PLSIA")*100/P7)</f>
        <v>0</v>
      </c>
      <c r="BD7">
        <f>IF(P7=0,0,COUNTIF('Transect 2_imgsummary'!E7:I7,"PACHY")*100/P7)</f>
        <v>0</v>
      </c>
      <c r="BE7">
        <f>IF(P7=0,0,COUNTIF('Transect 2_imgsummary'!E7:I7,"PAV")*100/P7)</f>
        <v>0</v>
      </c>
      <c r="BF7">
        <f>IF(P7=0,0,COUNTIF('Transect 2_imgsummary'!E7:I7,"PECT")*100/P7)</f>
        <v>0</v>
      </c>
      <c r="BG7">
        <f>IF(P7=0,0,COUNTIF('Transect 2_imgsummary'!E7:I7,"PHYSO")*100/P7)</f>
        <v>0</v>
      </c>
      <c r="BH7" s="29">
        <f>IF(P7=0,0,COUNTIF('Transect 2_imgsummary'!E7:I7,"PLAT")*100/P7)</f>
        <v>40</v>
      </c>
      <c r="BI7">
        <f>IF(P7=0,0,COUNTIF('Transect 2_imgsummary'!E7:I7,"PLERO")*100/P7)</f>
        <v>0</v>
      </c>
      <c r="BJ7">
        <f>IF(P7=0,0,COUNTIF('Transect 2_imgsummary'!E7:I7,"POC")*100/P7)</f>
        <v>0</v>
      </c>
      <c r="BK7">
        <f>IF(P7=0,0,COUNTIF('Transect 2_imgsummary'!E7:I7,"POR")*100/P7)</f>
        <v>0</v>
      </c>
      <c r="BL7">
        <f>IF(P7=0,0,COUNTIF('Transect 2_imgsummary'!E7:I7,"PORCYL")*100/P7)</f>
        <v>0</v>
      </c>
      <c r="BM7">
        <f>IF(P7=0,0,COUNTIF('Transect 2_imgsummary'!E7:I7,"PORMAS")*100/P7)</f>
        <v>0</v>
      </c>
      <c r="BN7">
        <f>IF(P7=0,0,COUNTIF('Transect 2_imgsummary'!E7:I7,"PORRUS")*100/P7)</f>
        <v>0</v>
      </c>
      <c r="BO7">
        <f>IF(P7=0,0,COUNTIF('Transect 2_imgsummary'!E7:I7,"PSAM")*100/P7)</f>
        <v>0</v>
      </c>
      <c r="BP7">
        <f>IF(P7=0,0,COUNTIF('Transect 2_imgsummary'!E7:I7,"SANDO")*100/P7)</f>
        <v>0</v>
      </c>
      <c r="BQ7">
        <f>IF(P7=0,0,COUNTIF('Transect 2_imgsummary'!E7:I7,"SCAP")*100/P7)</f>
        <v>0</v>
      </c>
      <c r="BR7">
        <f>IF(P7=0,0,COUNTIF('Transect 2_imgsummary'!E7:I7,"SERIA")*100/P7)</f>
        <v>0</v>
      </c>
      <c r="BS7">
        <f>IF(P7=0,0,COUNTIF('Transect 2_imgsummary'!E7:I7,"STYLC")*100/P7)</f>
        <v>0</v>
      </c>
      <c r="BT7">
        <f>IF(P7=0,0,COUNTIF('Transect 2_imgsummary'!E7:I7,"STYLO")*100/P7)</f>
        <v>0</v>
      </c>
      <c r="BU7">
        <f>IF(P7=0,0,COUNTIF('Transect 2_imgsummary'!E7:I7,"SYMP")*100/P7)</f>
        <v>0</v>
      </c>
      <c r="BV7">
        <f>IF(P7=0,0,COUNTIF('Transect 2_imgsummary'!E7:I7,"TURBIN")*100/P7)</f>
        <v>0</v>
      </c>
      <c r="BX7">
        <f>IF(P7=0,0,COUNTIF('Transect 2_imgsummary'!E7:I7,"ANEM")*100/P7)</f>
        <v>0</v>
      </c>
      <c r="BY7">
        <f>IF(P7=0,0,COUNTIF('Transect 2_imgsummary'!E7:I7,"ASC")*100/P7)</f>
        <v>0</v>
      </c>
      <c r="BZ7">
        <f>IF(P7=0,0,COUNTIF('Transect 2_imgsummary'!E7:I7,"CUPS")*100/P7)</f>
        <v>0</v>
      </c>
      <c r="CA7">
        <f>IF(P7=0,0,COUNTIF('Transect 2_imgsummary'!E7:I7,"DISCO")*100/P7)</f>
        <v>0</v>
      </c>
      <c r="CB7">
        <f>IF(P7=0,0,COUNTIF('Transect 2_imgsummary'!E7:I7,"DYS")*100/P7)</f>
        <v>0</v>
      </c>
      <c r="CC7">
        <f>IF(P7=0,0,COUNTIF('Transect 2_imgsummary'!E7:I7,"G")*100/P7)</f>
        <v>0</v>
      </c>
      <c r="CD7">
        <f>IF(P7=0,0,COUNTIF('Transect 2_imgsummary'!E7:I7,"NoIDINV")*100/P7)</f>
        <v>0</v>
      </c>
      <c r="CE7">
        <f>IF(P7=0,0,COUNTIF('Transect 2_imgsummary'!E7:I7,"OLV")*100/P7)</f>
        <v>0</v>
      </c>
      <c r="CF7">
        <f>IF(P7=0,0,COUNTIF('Transect 2_imgsummary'!E7:I7,"SC")*100/P7)</f>
        <v>0</v>
      </c>
      <c r="CG7">
        <f>IF(P7=0,0,COUNTIF('Transect 2_imgsummary'!E7:I7,"S")*100/P7)</f>
        <v>0</v>
      </c>
      <c r="CH7">
        <f>IF(P7=0,0,COUNTIF('Transect 2_imgsummary'!E7:I7,"TERPS")*100/P7)</f>
        <v>0</v>
      </c>
      <c r="CI7">
        <f>IF(P7=0,0,COUNTIF('Transect 2_imgsummary'!E7:I7,"Z")*100/P7)</f>
        <v>0</v>
      </c>
      <c r="CK7">
        <f>IF(P7=0,0,COUNTIF('Transect 2_imgsummary'!E7:I7,"ASP")*100/P7)</f>
        <v>0</v>
      </c>
      <c r="CL7">
        <f>IF(P7=0,0,COUNTIF('Transect 2_imgsummary'!E7:I7,"BG")*100/P7)</f>
        <v>0</v>
      </c>
      <c r="CM7">
        <f>IF(P7=0,0,COUNTIF('Transect 2_imgsummary'!E7:I7,"Bood")*100/P7)</f>
        <v>0</v>
      </c>
      <c r="CN7">
        <f>IF(P7=0,0,COUNTIF('Transect 2_imgsummary'!E7:I7,"BRYP")*100/P7)</f>
        <v>0</v>
      </c>
      <c r="CO7">
        <f>IF(P7=0,0,COUNTIF('Transect 2_imgsummary'!E7:I7,"CLP")*100/P7)</f>
        <v>0</v>
      </c>
      <c r="CP7">
        <f>IF(P7=0,0,COUNTIF('Transect 2_imgsummary'!E7:I7,"CHLDES")*100/P7)</f>
        <v>0</v>
      </c>
      <c r="CQ7">
        <f>IF(P7=0,0,COUNTIF('Transect 2_imgsummary'!E7:I7,"DYCTY")*100/P7)</f>
        <v>0</v>
      </c>
      <c r="CR7">
        <f>IF(P7=0,0,COUNTIF('Transect 2_imgsummary'!E7:I7,"DICT")*100/P7)</f>
        <v>0</v>
      </c>
      <c r="CS7">
        <f>IF(P7=0,0,COUNTIF('Transect 2_imgsummary'!E7:I7,"GLXU")*100/P7)</f>
        <v>0</v>
      </c>
      <c r="CT7">
        <f>IF(P7=0,0,COUNTIF('Transect 2_imgsummary'!E7:I7,"HALI")*100/P7)</f>
        <v>0</v>
      </c>
      <c r="CU7">
        <f>IF(P7=0,0,COUNTIF('Transect 2_imgsummary'!E7:I7,"LIAG")*100/P7)</f>
        <v>0</v>
      </c>
      <c r="CV7">
        <f>IF(P7=0,0,COUNTIF('Transect 2_imgsummary'!E7:I7,"LOBO")*100/P7)</f>
        <v>0</v>
      </c>
      <c r="CW7">
        <f>IF(P7=0,0,COUNTIF('Transect 2_imgsummary'!E7:I7,"MAST")*100/P7)</f>
        <v>0</v>
      </c>
      <c r="CX7">
        <f>IF(P7=0,0,COUNTIF('Transect 2_imgsummary'!E7:I7,"MICDTY")*100/P7)</f>
        <v>0</v>
      </c>
      <c r="CY7">
        <f>IF(P7=0,0,COUNTIF('Transect 2_imgsummary'!E7:I7,"NEOM")*100/P7)</f>
        <v>0</v>
      </c>
      <c r="CZ7">
        <f>IF(P7=0,0,COUNTIF('Transect 2_imgsummary'!E7:I7,"NOIDMAC")*100/P7)</f>
        <v>0</v>
      </c>
      <c r="DA7">
        <f>IF(P7=0,0,COUNTIF('Transect 2_imgsummary'!E7:I7,"PAD")*100/P7)</f>
        <v>0</v>
      </c>
      <c r="DB7">
        <f>IF(P7=0,0,COUNTIF('Transect 2_imgsummary'!E7:I7,"SARG")*100/P7)</f>
        <v>0</v>
      </c>
      <c r="DC7">
        <f>IF(P7=0,0,COUNTIF('Transect 2_imgsummary'!E7:I7,"SCHIZ")*100/P7)</f>
        <v>0</v>
      </c>
      <c r="DD7">
        <f>IF(P7=0,0,COUNTIF('Transect 2_imgsummary'!E7:I7,"TURB")*100/P7)</f>
        <v>0</v>
      </c>
      <c r="DE7">
        <f>IF(P7=0,0,COUNTIF('Transect 2_imgsummary'!E7:I7,"TYDM")*100/P7)</f>
        <v>0</v>
      </c>
      <c r="DG7">
        <f>IF(P7=0,0,COUNTIF('Transect 2_imgsummary'!E7:I7,"AMP")*100/P7)</f>
        <v>0</v>
      </c>
      <c r="DH7" s="29">
        <f>IF(P7=0,0,COUNTIF('Transect 2_imgsummary'!E7:I7,"BCA1")*100/P7)</f>
        <v>20</v>
      </c>
      <c r="DI7">
        <f>IF(P7=0,0,COUNTIF('Transect 2_imgsummary'!E7:I7,"JAN")*100/P7)</f>
        <v>0</v>
      </c>
      <c r="DK7">
        <f>IF(P7=0,0,COUNTIF('Transect 2_imgsummary'!E7:I7,"CCA1")*100/P7)</f>
        <v>0</v>
      </c>
      <c r="DM7">
        <f>IF(P7=0,0,COUNTIF('Transect 2_imgsummary'!E7:I7,"Sand")*100/P7)</f>
        <v>0</v>
      </c>
      <c r="DO7" s="29">
        <f>IF(P7=0,0,COUNTIF('Transect 2_imgsummary'!E7:I7,"FCA1")*100/P7)</f>
        <v>20</v>
      </c>
      <c r="DQ7">
        <f>IF(P7=0,0,COUNTIF('Transect 2_imgsummary'!E7:I7,"CHRYOBRN")*100/P7)</f>
        <v>0</v>
      </c>
      <c r="DS7">
        <f>IF(P7=0,0,COUNTIF('Transect 2_imgsummary'!E7:I7,"TURF")*100/P7)</f>
        <v>0</v>
      </c>
      <c r="DU7">
        <f>COUNTIF('Transect 2_imgsummary'!E7:I7,"Shadow")*100/5</f>
        <v>0</v>
      </c>
      <c r="DV7">
        <f>COUNTIF('Transect 2_imgsummary'!E7:I7,"Tape")*100/5</f>
        <v>0</v>
      </c>
      <c r="DW7">
        <f>COUNTIF('Transect 2_imgsummary'!E7:I7,"Wand")*100/5</f>
        <v>0</v>
      </c>
      <c r="DY7">
        <f>IF(P7=0,0,COUNTIF('Transect 2_imgsummary'!O7:S7,"BC")*100/P7)</f>
        <v>0</v>
      </c>
    </row>
    <row r="8" spans="1:129">
      <c r="A8">
        <v>6</v>
      </c>
      <c r="B8" t="s">
        <v>435</v>
      </c>
      <c r="F8" s="29">
        <f>IF(P8=0,0,COUNTIF('Transect 2_imgsummary'!J8:N8,"C")*100/P8)</f>
        <v>60</v>
      </c>
      <c r="G8">
        <f>IF(P8=0,0,COUNTIF('Transect 2_imgsummary'!J8:N8,"OI")*100/P8)</f>
        <v>0</v>
      </c>
      <c r="H8">
        <f>IF(P8=0,0,COUNTIF('Transect 2_imgsummary'!J8:N8,"MA")*100/P8)</f>
        <v>0</v>
      </c>
      <c r="I8">
        <f>IF(P8=0,0,COUNTIF('Transect 2_imgsummary'!J8:N8,"BCA")*100/P8)</f>
        <v>0</v>
      </c>
      <c r="J8" s="29">
        <f>IF(P8=0,0,COUNTIF('Transect 2_imgsummary'!J8:N8,"CCA")*100/P8)</f>
        <v>20</v>
      </c>
      <c r="K8">
        <f>IF(P8=0,0,COUNTIF('Transect 2_imgsummary'!J8:N8,"SD")*100/P8)</f>
        <v>0</v>
      </c>
      <c r="L8">
        <f>IF(P8=0,0,COUNTIF('Transect 2_imgsummary'!J8:N8,"FCA")*100/P8)</f>
        <v>0</v>
      </c>
      <c r="M8">
        <f>IF(P8=0,0,COUNTIF('Transect 2_imgsummary'!J8:N8,"CHRYS")*100/P8)</f>
        <v>0</v>
      </c>
      <c r="N8" s="29">
        <f>IF(P8=0,0,COUNTIF('Transect 2_imgsummary'!J8:N8,"T")*100/P8)</f>
        <v>20</v>
      </c>
      <c r="O8">
        <f>IF(P8=0,0,COUNTIF('Transect 2_imgsummary'!J8:N8,"TWS")*100/P8)</f>
        <v>0</v>
      </c>
      <c r="P8">
        <f>5-COUNTIF('Transect 2_imgsummary'!J8:N8,"TWS")</f>
        <v>5</v>
      </c>
      <c r="S8">
        <f>IF(P8=0,0,COUNTIF('Transect 2_imgsummary'!E8:I8,"ACAN")*100/P8)</f>
        <v>0</v>
      </c>
      <c r="T8">
        <f>IF(P8=0,0,COUNTIF('Transect 2_imgsummary'!E8:I8,"ACROP")*100/P8)</f>
        <v>0</v>
      </c>
      <c r="U8">
        <f>IF(P8=0,0,COUNTIF('Transect 2_imgsummary'!E8:I8,"ACROPARB")*100/P8)</f>
        <v>0</v>
      </c>
      <c r="V8">
        <f>IF(P8=0,0,COUNTIF('Transect 2_imgsummary'!E8:I8,"ACROST")*100/P8)</f>
        <v>0</v>
      </c>
      <c r="W8">
        <f>IF(P8=0,0,COUNTIF('Transect 2_imgsummary'!E8:I8,"ACROTBL")*100/P8)</f>
        <v>0</v>
      </c>
      <c r="X8">
        <f>IF(P8=0,0,COUNTIF('Transect 2_imgsummary'!E8:I8,"ASTRP")*100/P8)</f>
        <v>0</v>
      </c>
      <c r="Y8">
        <f>IF(P8=0,0,COUNTIF('Transect 2_imgsummary'!E8:I8,"CAUL")*100/P8)</f>
        <v>0</v>
      </c>
      <c r="Z8">
        <f>IF(P8=0,0,COUNTIF('Transect 2_imgsummary'!E8:I8,"COSC")*100/P8)</f>
        <v>0</v>
      </c>
      <c r="AA8">
        <f>IF(P8=0,0,COUNTIF('Transect 2_imgsummary'!E8:I8,"CTEN")*100/P8)</f>
        <v>0</v>
      </c>
      <c r="AB8">
        <f>IF(P8=0,0,COUNTIF('Transect 2_imgsummary'!E8:I8,"CYPH")*100/P8)</f>
        <v>0</v>
      </c>
      <c r="AC8">
        <f>IF(P8=0,0,COUNTIF('Transect 2_imgsummary'!E8:I8,"DIPLO")*100/P8)</f>
        <v>0</v>
      </c>
      <c r="AD8">
        <f>IF(P8=0,0,COUNTIF('Transect 2_imgsummary'!E8:I8,"ECHPO")*100/P8)</f>
        <v>0</v>
      </c>
      <c r="AE8">
        <f>IF(P8=0,0,COUNTIF('Transect 2_imgsummary'!E8:I8,"ECHPHY")*100/P8)</f>
        <v>0</v>
      </c>
      <c r="AF8">
        <f>IF(P8=0,0,COUNTIF('Transect 2_imgsummary'!E8:I8,"EUPH")*100/P8)</f>
        <v>0</v>
      </c>
      <c r="AG8" s="29">
        <f>IF(P8=0,0,COUNTIF('Transect 2_imgsummary'!E8:I8,"FAV")*100/P8)</f>
        <v>20</v>
      </c>
      <c r="AH8">
        <f>IF(P8=0,0,COUNTIF('Transect 2_imgsummary'!E8:I8,"FAVT")*100/P8)</f>
        <v>0</v>
      </c>
      <c r="AI8">
        <f>IF(P8=0,0,COUNTIF('Transect 2_imgsummary'!E8:I8,"FUNG")*100/P8)</f>
        <v>0</v>
      </c>
      <c r="AJ8">
        <f>IF(P8=0,0,COUNTIF('Transect 2_imgsummary'!E8:I8,"GAL")*100/P8)</f>
        <v>0</v>
      </c>
      <c r="AK8">
        <f>IF(P8=0,0,COUNTIF('Transect 2_imgsummary'!E8:I8,"GARD")*100/P8)</f>
        <v>0</v>
      </c>
      <c r="AL8">
        <f>IF(P8=0,0,COUNTIF('Transect 2_imgsummary'!E8:I8,"GON")*100/P8)</f>
        <v>0</v>
      </c>
      <c r="AM8">
        <f>IF(P8=0,0,COUNTIF('Transect 2_imgsummary'!E8:I8,"GONIO")*100/P8)</f>
        <v>0</v>
      </c>
      <c r="AN8">
        <f>IF(P8=0,0,COUNTIF('Transect 2_imgsummary'!E8:I8,"HELIO")*100/P8)</f>
        <v>0</v>
      </c>
      <c r="AO8">
        <f>IF(P8=0,0,COUNTIF('Transect 2_imgsummary'!E8:I8,"HERP")*100/P8)</f>
        <v>0</v>
      </c>
      <c r="AP8">
        <f>IF(P8=0,0,COUNTIF('Transect 2_imgsummary'!E8:I8,"HYD")*100/P8)</f>
        <v>0</v>
      </c>
      <c r="AQ8">
        <f>IF(P8=0,0,COUNTIF('Transect 2_imgsummary'!E8:I8,"ISOP")*100/P8)</f>
        <v>0</v>
      </c>
      <c r="AR8">
        <f>IF(P8=0,0,COUNTIF('Transect 2_imgsummary'!E8:I8,"LEPT")*100/P8)</f>
        <v>0</v>
      </c>
      <c r="AS8">
        <f>IF(P8=0,0,COUNTIF('Transect 2_imgsummary'!E8:I8,"LEPTOR")*100/P8)</f>
        <v>0</v>
      </c>
      <c r="AT8">
        <f>IF(P8=0,0,COUNTIF('Transect 2_imgsummary'!E8:I8,"LEPTOS")*100/P8)</f>
        <v>0</v>
      </c>
      <c r="AU8">
        <f>IF(P8=0,0,COUNTIF('Transect 2_imgsummary'!E8:I8,"LOBOPH")*100/P8)</f>
        <v>0</v>
      </c>
      <c r="AV8">
        <f>IF(P8=0,0,COUNTIF('Transect 2_imgsummary'!E8:I8,"MERU")*100/P8)</f>
        <v>0</v>
      </c>
      <c r="AW8">
        <f>IF(P8=0,0,COUNTIF('Transect 2_imgsummary'!E8:I8,"MILL")*100/P8)</f>
        <v>0</v>
      </c>
      <c r="AX8">
        <f>IF(P8=0,0,COUNTIF('Transect 2_imgsummary'!E8:I8,"MONT")*100/P8)</f>
        <v>0</v>
      </c>
      <c r="AY8">
        <f>IF(P8=0,0,COUNTIF('Transect 2_imgsummary'!E8:I8,"MONTI")*100/P8)</f>
        <v>0</v>
      </c>
      <c r="AZ8">
        <f>IF(P8=0,0,COUNTIF('Transect 2_imgsummary'!E8:I8,"MYCED")*100/P8)</f>
        <v>0</v>
      </c>
      <c r="BA8">
        <f>IF(P8=0,0,COUNTIF('Transect 2_imgsummary'!E8:I8,"OULO")*100/P8)</f>
        <v>0</v>
      </c>
      <c r="BB8">
        <f>IF(P8=0,0,COUNTIF('Transect 2_imgsummary'!E8:I8,"OXYP")*100/P8)</f>
        <v>0</v>
      </c>
      <c r="BC8">
        <f>IF(P8=0,0,COUNTIF('Transect 2_imgsummary'!E8:I8,"PLSIA")*100/P8)</f>
        <v>0</v>
      </c>
      <c r="BD8">
        <f>IF(P8=0,0,COUNTIF('Transect 2_imgsummary'!E8:I8,"PACHY")*100/P8)</f>
        <v>0</v>
      </c>
      <c r="BE8">
        <f>IF(P8=0,0,COUNTIF('Transect 2_imgsummary'!E8:I8,"PAV")*100/P8)</f>
        <v>0</v>
      </c>
      <c r="BF8">
        <f>IF(P8=0,0,COUNTIF('Transect 2_imgsummary'!E8:I8,"PECT")*100/P8)</f>
        <v>0</v>
      </c>
      <c r="BG8">
        <f>IF(P8=0,0,COUNTIF('Transect 2_imgsummary'!E8:I8,"PHYSO")*100/P8)</f>
        <v>0</v>
      </c>
      <c r="BH8" s="29">
        <f>IF(P8=0,0,COUNTIF('Transect 2_imgsummary'!E8:I8,"PLAT")*100/P8)</f>
        <v>40</v>
      </c>
      <c r="BI8">
        <f>IF(P8=0,0,COUNTIF('Transect 2_imgsummary'!E8:I8,"PLERO")*100/P8)</f>
        <v>0</v>
      </c>
      <c r="BJ8">
        <f>IF(P8=0,0,COUNTIF('Transect 2_imgsummary'!E8:I8,"POC")*100/P8)</f>
        <v>0</v>
      </c>
      <c r="BK8">
        <f>IF(P8=0,0,COUNTIF('Transect 2_imgsummary'!E8:I8,"POR")*100/P8)</f>
        <v>0</v>
      </c>
      <c r="BL8">
        <f>IF(P8=0,0,COUNTIF('Transect 2_imgsummary'!E8:I8,"PORCYL")*100/P8)</f>
        <v>0</v>
      </c>
      <c r="BM8">
        <f>IF(P8=0,0,COUNTIF('Transect 2_imgsummary'!E8:I8,"PORMAS")*100/P8)</f>
        <v>0</v>
      </c>
      <c r="BN8">
        <f>IF(P8=0,0,COUNTIF('Transect 2_imgsummary'!E8:I8,"PORRUS")*100/P8)</f>
        <v>0</v>
      </c>
      <c r="BO8">
        <f>IF(P8=0,0,COUNTIF('Transect 2_imgsummary'!E8:I8,"PSAM")*100/P8)</f>
        <v>0</v>
      </c>
      <c r="BP8">
        <f>IF(P8=0,0,COUNTIF('Transect 2_imgsummary'!E8:I8,"SANDO")*100/P8)</f>
        <v>0</v>
      </c>
      <c r="BQ8">
        <f>IF(P8=0,0,COUNTIF('Transect 2_imgsummary'!E8:I8,"SCAP")*100/P8)</f>
        <v>0</v>
      </c>
      <c r="BR8">
        <f>IF(P8=0,0,COUNTIF('Transect 2_imgsummary'!E8:I8,"SERIA")*100/P8)</f>
        <v>0</v>
      </c>
      <c r="BS8">
        <f>IF(P8=0,0,COUNTIF('Transect 2_imgsummary'!E8:I8,"STYLC")*100/P8)</f>
        <v>0</v>
      </c>
      <c r="BT8">
        <f>IF(P8=0,0,COUNTIF('Transect 2_imgsummary'!E8:I8,"STYLO")*100/P8)</f>
        <v>0</v>
      </c>
      <c r="BU8">
        <f>IF(P8=0,0,COUNTIF('Transect 2_imgsummary'!E8:I8,"SYMP")*100/P8)</f>
        <v>0</v>
      </c>
      <c r="BV8">
        <f>IF(P8=0,0,COUNTIF('Transect 2_imgsummary'!E8:I8,"TURBIN")*100/P8)</f>
        <v>0</v>
      </c>
      <c r="BX8">
        <f>IF(P8=0,0,COUNTIF('Transect 2_imgsummary'!E8:I8,"ANEM")*100/P8)</f>
        <v>0</v>
      </c>
      <c r="BY8">
        <f>IF(P8=0,0,COUNTIF('Transect 2_imgsummary'!E8:I8,"ASC")*100/P8)</f>
        <v>0</v>
      </c>
      <c r="BZ8">
        <f>IF(P8=0,0,COUNTIF('Transect 2_imgsummary'!E8:I8,"CUPS")*100/P8)</f>
        <v>0</v>
      </c>
      <c r="CA8">
        <f>IF(P8=0,0,COUNTIF('Transect 2_imgsummary'!E8:I8,"DISCO")*100/P8)</f>
        <v>0</v>
      </c>
      <c r="CB8">
        <f>IF(P8=0,0,COUNTIF('Transect 2_imgsummary'!E8:I8,"DYS")*100/P8)</f>
        <v>0</v>
      </c>
      <c r="CC8">
        <f>IF(P8=0,0,COUNTIF('Transect 2_imgsummary'!E8:I8,"G")*100/P8)</f>
        <v>0</v>
      </c>
      <c r="CD8">
        <f>IF(P8=0,0,COUNTIF('Transect 2_imgsummary'!E8:I8,"NoIDINV")*100/P8)</f>
        <v>0</v>
      </c>
      <c r="CE8">
        <f>IF(P8=0,0,COUNTIF('Transect 2_imgsummary'!E8:I8,"OLV")*100/P8)</f>
        <v>0</v>
      </c>
      <c r="CF8">
        <f>IF(P8=0,0,COUNTIF('Transect 2_imgsummary'!E8:I8,"SC")*100/P8)</f>
        <v>0</v>
      </c>
      <c r="CG8">
        <f>IF(P8=0,0,COUNTIF('Transect 2_imgsummary'!E8:I8,"S")*100/P8)</f>
        <v>0</v>
      </c>
      <c r="CH8">
        <f>IF(P8=0,0,COUNTIF('Transect 2_imgsummary'!E8:I8,"TERPS")*100/P8)</f>
        <v>0</v>
      </c>
      <c r="CI8">
        <f>IF(P8=0,0,COUNTIF('Transect 2_imgsummary'!E8:I8,"Z")*100/P8)</f>
        <v>0</v>
      </c>
      <c r="CK8">
        <f>IF(P8=0,0,COUNTIF('Transect 2_imgsummary'!E8:I8,"ASP")*100/P8)</f>
        <v>0</v>
      </c>
      <c r="CL8">
        <f>IF(P8=0,0,COUNTIF('Transect 2_imgsummary'!E8:I8,"BG")*100/P8)</f>
        <v>0</v>
      </c>
      <c r="CM8">
        <f>IF(P8=0,0,COUNTIF('Transect 2_imgsummary'!E8:I8,"Bood")*100/P8)</f>
        <v>0</v>
      </c>
      <c r="CN8">
        <f>IF(P8=0,0,COUNTIF('Transect 2_imgsummary'!E8:I8,"BRYP")*100/P8)</f>
        <v>0</v>
      </c>
      <c r="CO8">
        <f>IF(P8=0,0,COUNTIF('Transect 2_imgsummary'!E8:I8,"CLP")*100/P8)</f>
        <v>0</v>
      </c>
      <c r="CP8">
        <f>IF(P8=0,0,COUNTIF('Transect 2_imgsummary'!E8:I8,"CHLDES")*100/P8)</f>
        <v>0</v>
      </c>
      <c r="CQ8">
        <f>IF(P8=0,0,COUNTIF('Transect 2_imgsummary'!E8:I8,"DYCTY")*100/P8)</f>
        <v>0</v>
      </c>
      <c r="CR8">
        <f>IF(P8=0,0,COUNTIF('Transect 2_imgsummary'!E8:I8,"DICT")*100/P8)</f>
        <v>0</v>
      </c>
      <c r="CS8">
        <f>IF(P8=0,0,COUNTIF('Transect 2_imgsummary'!E8:I8,"GLXU")*100/P8)</f>
        <v>0</v>
      </c>
      <c r="CT8">
        <f>IF(P8=0,0,COUNTIF('Transect 2_imgsummary'!E8:I8,"HALI")*100/P8)</f>
        <v>0</v>
      </c>
      <c r="CU8">
        <f>IF(P8=0,0,COUNTIF('Transect 2_imgsummary'!E8:I8,"LIAG")*100/P8)</f>
        <v>0</v>
      </c>
      <c r="CV8">
        <f>IF(P8=0,0,COUNTIF('Transect 2_imgsummary'!E8:I8,"LOBO")*100/P8)</f>
        <v>0</v>
      </c>
      <c r="CW8">
        <f>IF(P8=0,0,COUNTIF('Transect 2_imgsummary'!E8:I8,"MAST")*100/P8)</f>
        <v>0</v>
      </c>
      <c r="CX8">
        <f>IF(P8=0,0,COUNTIF('Transect 2_imgsummary'!E8:I8,"MICDTY")*100/P8)</f>
        <v>0</v>
      </c>
      <c r="CY8">
        <f>IF(P8=0,0,COUNTIF('Transect 2_imgsummary'!E8:I8,"NEOM")*100/P8)</f>
        <v>0</v>
      </c>
      <c r="CZ8">
        <f>IF(P8=0,0,COUNTIF('Transect 2_imgsummary'!E8:I8,"NOIDMAC")*100/P8)</f>
        <v>0</v>
      </c>
      <c r="DA8">
        <f>IF(P8=0,0,COUNTIF('Transect 2_imgsummary'!E8:I8,"PAD")*100/P8)</f>
        <v>0</v>
      </c>
      <c r="DB8">
        <f>IF(P8=0,0,COUNTIF('Transect 2_imgsummary'!E8:I8,"SARG")*100/P8)</f>
        <v>0</v>
      </c>
      <c r="DC8">
        <f>IF(P8=0,0,COUNTIF('Transect 2_imgsummary'!E8:I8,"SCHIZ")*100/P8)</f>
        <v>0</v>
      </c>
      <c r="DD8">
        <f>IF(P8=0,0,COUNTIF('Transect 2_imgsummary'!E8:I8,"TURB")*100/P8)</f>
        <v>0</v>
      </c>
      <c r="DE8">
        <f>IF(P8=0,0,COUNTIF('Transect 2_imgsummary'!E8:I8,"TYDM")*100/P8)</f>
        <v>0</v>
      </c>
      <c r="DG8">
        <f>IF(P8=0,0,COUNTIF('Transect 2_imgsummary'!E8:I8,"AMP")*100/P8)</f>
        <v>0</v>
      </c>
      <c r="DH8">
        <f>IF(P8=0,0,COUNTIF('Transect 2_imgsummary'!E8:I8,"BCA1")*100/P8)</f>
        <v>0</v>
      </c>
      <c r="DI8">
        <f>IF(P8=0,0,COUNTIF('Transect 2_imgsummary'!E8:I8,"JAN")*100/P8)</f>
        <v>0</v>
      </c>
      <c r="DK8" s="29">
        <f>IF(P8=0,0,COUNTIF('Transect 2_imgsummary'!E8:I8,"CCA1")*100/P8)</f>
        <v>20</v>
      </c>
      <c r="DM8">
        <f>IF(P8=0,0,COUNTIF('Transect 2_imgsummary'!E8:I8,"Sand")*100/P8)</f>
        <v>0</v>
      </c>
      <c r="DO8">
        <f>IF(P8=0,0,COUNTIF('Transect 2_imgsummary'!E8:I8,"FCA1")*100/P8)</f>
        <v>0</v>
      </c>
      <c r="DQ8">
        <f>IF(P8=0,0,COUNTIF('Transect 2_imgsummary'!E8:I8,"CHRYOBRN")*100/P8)</f>
        <v>0</v>
      </c>
      <c r="DS8" s="29">
        <f>IF(P8=0,0,COUNTIF('Transect 2_imgsummary'!E8:I8,"TURF")*100/P8)</f>
        <v>20</v>
      </c>
      <c r="DU8">
        <f>COUNTIF('Transect 2_imgsummary'!E8:I8,"Shadow")*100/5</f>
        <v>0</v>
      </c>
      <c r="DV8">
        <f>COUNTIF('Transect 2_imgsummary'!E8:I8,"Tape")*100/5</f>
        <v>0</v>
      </c>
      <c r="DW8">
        <f>COUNTIF('Transect 2_imgsummary'!E8:I8,"Wand")*100/5</f>
        <v>0</v>
      </c>
      <c r="DY8">
        <f>IF(P8=0,0,COUNTIF('Transect 2_imgsummary'!O8:S8,"BC")*100/P8)</f>
        <v>0</v>
      </c>
    </row>
    <row r="9" spans="1:129">
      <c r="A9">
        <v>7</v>
      </c>
      <c r="B9" t="s">
        <v>436</v>
      </c>
      <c r="F9">
        <f>IF(P9=0,0,COUNTIF('Transect 2_imgsummary'!J9:N9,"C")*100/P9)</f>
        <v>0</v>
      </c>
      <c r="G9">
        <f>IF(P9=0,0,COUNTIF('Transect 2_imgsummary'!J9:N9,"OI")*100/P9)</f>
        <v>0</v>
      </c>
      <c r="H9">
        <f>IF(P9=0,0,COUNTIF('Transect 2_imgsummary'!J9:N9,"MA")*100/P9)</f>
        <v>0</v>
      </c>
      <c r="I9">
        <f>IF(P9=0,0,COUNTIF('Transect 2_imgsummary'!J9:N9,"BCA")*100/P9)</f>
        <v>0</v>
      </c>
      <c r="J9" s="29">
        <f>IF(P9=0,0,COUNTIF('Transect 2_imgsummary'!J9:N9,"CCA")*100/P9)</f>
        <v>60</v>
      </c>
      <c r="K9">
        <f>IF(P9=0,0,COUNTIF('Transect 2_imgsummary'!J9:N9,"SD")*100/P9)</f>
        <v>0</v>
      </c>
      <c r="L9" s="29">
        <f>IF(P9=0,0,COUNTIF('Transect 2_imgsummary'!J9:N9,"FCA")*100/P9)</f>
        <v>40</v>
      </c>
      <c r="M9">
        <f>IF(P9=0,0,COUNTIF('Transect 2_imgsummary'!J9:N9,"CHRYS")*100/P9)</f>
        <v>0</v>
      </c>
      <c r="N9">
        <f>IF(P9=0,0,COUNTIF('Transect 2_imgsummary'!J9:N9,"T")*100/P9)</f>
        <v>0</v>
      </c>
      <c r="O9">
        <f>IF(P9=0,0,COUNTIF('Transect 2_imgsummary'!J9:N9,"TWS")*100/P9)</f>
        <v>0</v>
      </c>
      <c r="P9">
        <f>5-COUNTIF('Transect 2_imgsummary'!J9:N9,"TWS")</f>
        <v>5</v>
      </c>
      <c r="S9">
        <f>IF(P9=0,0,COUNTIF('Transect 2_imgsummary'!E9:I9,"ACAN")*100/P9)</f>
        <v>0</v>
      </c>
      <c r="T9">
        <f>IF(P9=0,0,COUNTIF('Transect 2_imgsummary'!E9:I9,"ACROP")*100/P9)</f>
        <v>0</v>
      </c>
      <c r="U9">
        <f>IF(P9=0,0,COUNTIF('Transect 2_imgsummary'!E9:I9,"ACROPARB")*100/P9)</f>
        <v>0</v>
      </c>
      <c r="V9">
        <f>IF(P9=0,0,COUNTIF('Transect 2_imgsummary'!E9:I9,"ACROST")*100/P9)</f>
        <v>0</v>
      </c>
      <c r="W9">
        <f>IF(P9=0,0,COUNTIF('Transect 2_imgsummary'!E9:I9,"ACROTBL")*100/P9)</f>
        <v>0</v>
      </c>
      <c r="X9">
        <f>IF(P9=0,0,COUNTIF('Transect 2_imgsummary'!E9:I9,"ASTRP")*100/P9)</f>
        <v>0</v>
      </c>
      <c r="Y9">
        <f>IF(P9=0,0,COUNTIF('Transect 2_imgsummary'!E9:I9,"CAUL")*100/P9)</f>
        <v>0</v>
      </c>
      <c r="Z9">
        <f>IF(P9=0,0,COUNTIF('Transect 2_imgsummary'!E9:I9,"COSC")*100/P9)</f>
        <v>0</v>
      </c>
      <c r="AA9">
        <f>IF(P9=0,0,COUNTIF('Transect 2_imgsummary'!E9:I9,"CTEN")*100/P9)</f>
        <v>0</v>
      </c>
      <c r="AB9">
        <f>IF(P9=0,0,COUNTIF('Transect 2_imgsummary'!E9:I9,"CYPH")*100/P9)</f>
        <v>0</v>
      </c>
      <c r="AC9">
        <f>IF(P9=0,0,COUNTIF('Transect 2_imgsummary'!E9:I9,"DIPLO")*100/P9)</f>
        <v>0</v>
      </c>
      <c r="AD9">
        <f>IF(P9=0,0,COUNTIF('Transect 2_imgsummary'!E9:I9,"ECHPO")*100/P9)</f>
        <v>0</v>
      </c>
      <c r="AE9">
        <f>IF(P9=0,0,COUNTIF('Transect 2_imgsummary'!E9:I9,"ECHPHY")*100/P9)</f>
        <v>0</v>
      </c>
      <c r="AF9">
        <f>IF(P9=0,0,COUNTIF('Transect 2_imgsummary'!E9:I9,"EUPH")*100/P9)</f>
        <v>0</v>
      </c>
      <c r="AG9">
        <f>IF(P9=0,0,COUNTIF('Transect 2_imgsummary'!E9:I9,"FAV")*100/P9)</f>
        <v>0</v>
      </c>
      <c r="AH9">
        <f>IF(P9=0,0,COUNTIF('Transect 2_imgsummary'!E9:I9,"FAVT")*100/P9)</f>
        <v>0</v>
      </c>
      <c r="AI9">
        <f>IF(P9=0,0,COUNTIF('Transect 2_imgsummary'!E9:I9,"FUNG")*100/P9)</f>
        <v>0</v>
      </c>
      <c r="AJ9">
        <f>IF(P9=0,0,COUNTIF('Transect 2_imgsummary'!E9:I9,"GAL")*100/P9)</f>
        <v>0</v>
      </c>
      <c r="AK9">
        <f>IF(P9=0,0,COUNTIF('Transect 2_imgsummary'!E9:I9,"GARD")*100/P9)</f>
        <v>0</v>
      </c>
      <c r="AL9">
        <f>IF(P9=0,0,COUNTIF('Transect 2_imgsummary'!E9:I9,"GON")*100/P9)</f>
        <v>0</v>
      </c>
      <c r="AM9">
        <f>IF(P9=0,0,COUNTIF('Transect 2_imgsummary'!E9:I9,"GONIO")*100/P9)</f>
        <v>0</v>
      </c>
      <c r="AN9">
        <f>IF(P9=0,0,COUNTIF('Transect 2_imgsummary'!E9:I9,"HELIO")*100/P9)</f>
        <v>0</v>
      </c>
      <c r="AO9">
        <f>IF(P9=0,0,COUNTIF('Transect 2_imgsummary'!E9:I9,"HERP")*100/P9)</f>
        <v>0</v>
      </c>
      <c r="AP9">
        <f>IF(P9=0,0,COUNTIF('Transect 2_imgsummary'!E9:I9,"HYD")*100/P9)</f>
        <v>0</v>
      </c>
      <c r="AQ9">
        <f>IF(P9=0,0,COUNTIF('Transect 2_imgsummary'!E9:I9,"ISOP")*100/P9)</f>
        <v>0</v>
      </c>
      <c r="AR9">
        <f>IF(P9=0,0,COUNTIF('Transect 2_imgsummary'!E9:I9,"LEPT")*100/P9)</f>
        <v>0</v>
      </c>
      <c r="AS9">
        <f>IF(P9=0,0,COUNTIF('Transect 2_imgsummary'!E9:I9,"LEPTOR")*100/P9)</f>
        <v>0</v>
      </c>
      <c r="AT9">
        <f>IF(P9=0,0,COUNTIF('Transect 2_imgsummary'!E9:I9,"LEPTOS")*100/P9)</f>
        <v>0</v>
      </c>
      <c r="AU9">
        <f>IF(P9=0,0,COUNTIF('Transect 2_imgsummary'!E9:I9,"LOBOPH")*100/P9)</f>
        <v>0</v>
      </c>
      <c r="AV9">
        <f>IF(P9=0,0,COUNTIF('Transect 2_imgsummary'!E9:I9,"MERU")*100/P9)</f>
        <v>0</v>
      </c>
      <c r="AW9">
        <f>IF(P9=0,0,COUNTIF('Transect 2_imgsummary'!E9:I9,"MILL")*100/P9)</f>
        <v>0</v>
      </c>
      <c r="AX9">
        <f>IF(P9=0,0,COUNTIF('Transect 2_imgsummary'!E9:I9,"MONT")*100/P9)</f>
        <v>0</v>
      </c>
      <c r="AY9">
        <f>IF(P9=0,0,COUNTIF('Transect 2_imgsummary'!E9:I9,"MONTI")*100/P9)</f>
        <v>0</v>
      </c>
      <c r="AZ9">
        <f>IF(P9=0,0,COUNTIF('Transect 2_imgsummary'!E9:I9,"MYCED")*100/P9)</f>
        <v>0</v>
      </c>
      <c r="BA9">
        <f>IF(P9=0,0,COUNTIF('Transect 2_imgsummary'!E9:I9,"OULO")*100/P9)</f>
        <v>0</v>
      </c>
      <c r="BB9">
        <f>IF(P9=0,0,COUNTIF('Transect 2_imgsummary'!E9:I9,"OXYP")*100/P9)</f>
        <v>0</v>
      </c>
      <c r="BC9">
        <f>IF(P9=0,0,COUNTIF('Transect 2_imgsummary'!E9:I9,"PLSIA")*100/P9)</f>
        <v>0</v>
      </c>
      <c r="BD9">
        <f>IF(P9=0,0,COUNTIF('Transect 2_imgsummary'!E9:I9,"PACHY")*100/P9)</f>
        <v>0</v>
      </c>
      <c r="BE9">
        <f>IF(P9=0,0,COUNTIF('Transect 2_imgsummary'!E9:I9,"PAV")*100/P9)</f>
        <v>0</v>
      </c>
      <c r="BF9">
        <f>IF(P9=0,0,COUNTIF('Transect 2_imgsummary'!E9:I9,"PECT")*100/P9)</f>
        <v>0</v>
      </c>
      <c r="BG9">
        <f>IF(P9=0,0,COUNTIF('Transect 2_imgsummary'!E9:I9,"PHYSO")*100/P9)</f>
        <v>0</v>
      </c>
      <c r="BH9">
        <f>IF(P9=0,0,COUNTIF('Transect 2_imgsummary'!E9:I9,"PLAT")*100/P9)</f>
        <v>0</v>
      </c>
      <c r="BI9">
        <f>IF(P9=0,0,COUNTIF('Transect 2_imgsummary'!E9:I9,"PLERO")*100/P9)</f>
        <v>0</v>
      </c>
      <c r="BJ9">
        <f>IF(P9=0,0,COUNTIF('Transect 2_imgsummary'!E9:I9,"POC")*100/P9)</f>
        <v>0</v>
      </c>
      <c r="BK9">
        <f>IF(P9=0,0,COUNTIF('Transect 2_imgsummary'!E9:I9,"POR")*100/P9)</f>
        <v>0</v>
      </c>
      <c r="BL9">
        <f>IF(P9=0,0,COUNTIF('Transect 2_imgsummary'!E9:I9,"PORCYL")*100/P9)</f>
        <v>0</v>
      </c>
      <c r="BM9">
        <f>IF(P9=0,0,COUNTIF('Transect 2_imgsummary'!E9:I9,"PORMAS")*100/P9)</f>
        <v>0</v>
      </c>
      <c r="BN9">
        <f>IF(P9=0,0,COUNTIF('Transect 2_imgsummary'!E9:I9,"PORRUS")*100/P9)</f>
        <v>0</v>
      </c>
      <c r="BO9">
        <f>IF(P9=0,0,COUNTIF('Transect 2_imgsummary'!E9:I9,"PSAM")*100/P9)</f>
        <v>0</v>
      </c>
      <c r="BP9">
        <f>IF(P9=0,0,COUNTIF('Transect 2_imgsummary'!E9:I9,"SANDO")*100/P9)</f>
        <v>0</v>
      </c>
      <c r="BQ9">
        <f>IF(P9=0,0,COUNTIF('Transect 2_imgsummary'!E9:I9,"SCAP")*100/P9)</f>
        <v>0</v>
      </c>
      <c r="BR9">
        <f>IF(P9=0,0,COUNTIF('Transect 2_imgsummary'!E9:I9,"SERIA")*100/P9)</f>
        <v>0</v>
      </c>
      <c r="BS9">
        <f>IF(P9=0,0,COUNTIF('Transect 2_imgsummary'!E9:I9,"STYLC")*100/P9)</f>
        <v>0</v>
      </c>
      <c r="BT9">
        <f>IF(P9=0,0,COUNTIF('Transect 2_imgsummary'!E9:I9,"STYLO")*100/P9)</f>
        <v>0</v>
      </c>
      <c r="BU9">
        <f>IF(P9=0,0,COUNTIF('Transect 2_imgsummary'!E9:I9,"SYMP")*100/P9)</f>
        <v>0</v>
      </c>
      <c r="BV9">
        <f>IF(P9=0,0,COUNTIF('Transect 2_imgsummary'!E9:I9,"TURBIN")*100/P9)</f>
        <v>0</v>
      </c>
      <c r="BX9">
        <f>IF(P9=0,0,COUNTIF('Transect 2_imgsummary'!E9:I9,"ANEM")*100/P9)</f>
        <v>0</v>
      </c>
      <c r="BY9">
        <f>IF(P9=0,0,COUNTIF('Transect 2_imgsummary'!E9:I9,"ASC")*100/P9)</f>
        <v>0</v>
      </c>
      <c r="BZ9">
        <f>IF(P9=0,0,COUNTIF('Transect 2_imgsummary'!E9:I9,"CUPS")*100/P9)</f>
        <v>0</v>
      </c>
      <c r="CA9">
        <f>IF(P9=0,0,COUNTIF('Transect 2_imgsummary'!E9:I9,"DISCO")*100/P9)</f>
        <v>0</v>
      </c>
      <c r="CB9">
        <f>IF(P9=0,0,COUNTIF('Transect 2_imgsummary'!E9:I9,"DYS")*100/P9)</f>
        <v>0</v>
      </c>
      <c r="CC9">
        <f>IF(P9=0,0,COUNTIF('Transect 2_imgsummary'!E9:I9,"G")*100/P9)</f>
        <v>0</v>
      </c>
      <c r="CD9">
        <f>IF(P9=0,0,COUNTIF('Transect 2_imgsummary'!E9:I9,"NoIDINV")*100/P9)</f>
        <v>0</v>
      </c>
      <c r="CE9">
        <f>IF(P9=0,0,COUNTIF('Transect 2_imgsummary'!E9:I9,"OLV")*100/P9)</f>
        <v>0</v>
      </c>
      <c r="CF9">
        <f>IF(P9=0,0,COUNTIF('Transect 2_imgsummary'!E9:I9,"SC")*100/P9)</f>
        <v>0</v>
      </c>
      <c r="CG9">
        <f>IF(P9=0,0,COUNTIF('Transect 2_imgsummary'!E9:I9,"S")*100/P9)</f>
        <v>0</v>
      </c>
      <c r="CH9">
        <f>IF(P9=0,0,COUNTIF('Transect 2_imgsummary'!E9:I9,"TERPS")*100/P9)</f>
        <v>0</v>
      </c>
      <c r="CI9">
        <f>IF(P9=0,0,COUNTIF('Transect 2_imgsummary'!E9:I9,"Z")*100/P9)</f>
        <v>0</v>
      </c>
      <c r="CK9">
        <f>IF(P9=0,0,COUNTIF('Transect 2_imgsummary'!E9:I9,"ASP")*100/P9)</f>
        <v>0</v>
      </c>
      <c r="CL9">
        <f>IF(P9=0,0,COUNTIF('Transect 2_imgsummary'!E9:I9,"BG")*100/P9)</f>
        <v>0</v>
      </c>
      <c r="CM9">
        <f>IF(P9=0,0,COUNTIF('Transect 2_imgsummary'!E9:I9,"Bood")*100/P9)</f>
        <v>0</v>
      </c>
      <c r="CN9">
        <f>IF(P9=0,0,COUNTIF('Transect 2_imgsummary'!E9:I9,"BRYP")*100/P9)</f>
        <v>0</v>
      </c>
      <c r="CO9">
        <f>IF(P9=0,0,COUNTIF('Transect 2_imgsummary'!E9:I9,"CLP")*100/P9)</f>
        <v>0</v>
      </c>
      <c r="CP9">
        <f>IF(P9=0,0,COUNTIF('Transect 2_imgsummary'!E9:I9,"CHLDES")*100/P9)</f>
        <v>0</v>
      </c>
      <c r="CQ9">
        <f>IF(P9=0,0,COUNTIF('Transect 2_imgsummary'!E9:I9,"DYCTY")*100/P9)</f>
        <v>0</v>
      </c>
      <c r="CR9">
        <f>IF(P9=0,0,COUNTIF('Transect 2_imgsummary'!E9:I9,"DICT")*100/P9)</f>
        <v>0</v>
      </c>
      <c r="CS9">
        <f>IF(P9=0,0,COUNTIF('Transect 2_imgsummary'!E9:I9,"GLXU")*100/P9)</f>
        <v>0</v>
      </c>
      <c r="CT9">
        <f>IF(P9=0,0,COUNTIF('Transect 2_imgsummary'!E9:I9,"HALI")*100/P9)</f>
        <v>0</v>
      </c>
      <c r="CU9">
        <f>IF(P9=0,0,COUNTIF('Transect 2_imgsummary'!E9:I9,"LIAG")*100/P9)</f>
        <v>0</v>
      </c>
      <c r="CV9">
        <f>IF(P9=0,0,COUNTIF('Transect 2_imgsummary'!E9:I9,"LOBO")*100/P9)</f>
        <v>0</v>
      </c>
      <c r="CW9">
        <f>IF(P9=0,0,COUNTIF('Transect 2_imgsummary'!E9:I9,"MAST")*100/P9)</f>
        <v>0</v>
      </c>
      <c r="CX9">
        <f>IF(P9=0,0,COUNTIF('Transect 2_imgsummary'!E9:I9,"MICDTY")*100/P9)</f>
        <v>0</v>
      </c>
      <c r="CY9">
        <f>IF(P9=0,0,COUNTIF('Transect 2_imgsummary'!E9:I9,"NEOM")*100/P9)</f>
        <v>0</v>
      </c>
      <c r="CZ9">
        <f>IF(P9=0,0,COUNTIF('Transect 2_imgsummary'!E9:I9,"NOIDMAC")*100/P9)</f>
        <v>0</v>
      </c>
      <c r="DA9">
        <f>IF(P9=0,0,COUNTIF('Transect 2_imgsummary'!E9:I9,"PAD")*100/P9)</f>
        <v>0</v>
      </c>
      <c r="DB9">
        <f>IF(P9=0,0,COUNTIF('Transect 2_imgsummary'!E9:I9,"SARG")*100/P9)</f>
        <v>0</v>
      </c>
      <c r="DC9">
        <f>IF(P9=0,0,COUNTIF('Transect 2_imgsummary'!E9:I9,"SCHIZ")*100/P9)</f>
        <v>0</v>
      </c>
      <c r="DD9">
        <f>IF(P9=0,0,COUNTIF('Transect 2_imgsummary'!E9:I9,"TURB")*100/P9)</f>
        <v>0</v>
      </c>
      <c r="DE9">
        <f>IF(P9=0,0,COUNTIF('Transect 2_imgsummary'!E9:I9,"TYDM")*100/P9)</f>
        <v>0</v>
      </c>
      <c r="DG9">
        <f>IF(P9=0,0,COUNTIF('Transect 2_imgsummary'!E9:I9,"AMP")*100/P9)</f>
        <v>0</v>
      </c>
      <c r="DH9">
        <f>IF(P9=0,0,COUNTIF('Transect 2_imgsummary'!E9:I9,"BCA1")*100/P9)</f>
        <v>0</v>
      </c>
      <c r="DI9">
        <f>IF(P9=0,0,COUNTIF('Transect 2_imgsummary'!E9:I9,"JAN")*100/P9)</f>
        <v>0</v>
      </c>
      <c r="DK9" s="29">
        <f>IF(P9=0,0,COUNTIF('Transect 2_imgsummary'!E9:I9,"CCA1")*100/P9)</f>
        <v>60</v>
      </c>
      <c r="DM9">
        <f>IF(P9=0,0,COUNTIF('Transect 2_imgsummary'!E9:I9,"Sand")*100/P9)</f>
        <v>0</v>
      </c>
      <c r="DO9" s="29">
        <f>IF(P9=0,0,COUNTIF('Transect 2_imgsummary'!E9:I9,"FCA1")*100/P9)</f>
        <v>40</v>
      </c>
      <c r="DQ9">
        <f>IF(P9=0,0,COUNTIF('Transect 2_imgsummary'!E9:I9,"CHRYOBRN")*100/P9)</f>
        <v>0</v>
      </c>
      <c r="DS9">
        <f>IF(P9=0,0,COUNTIF('Transect 2_imgsummary'!E9:I9,"TURF")*100/P9)</f>
        <v>0</v>
      </c>
      <c r="DU9">
        <f>COUNTIF('Transect 2_imgsummary'!E9:I9,"Shadow")*100/5</f>
        <v>0</v>
      </c>
      <c r="DV9">
        <f>COUNTIF('Transect 2_imgsummary'!E9:I9,"Tape")*100/5</f>
        <v>0</v>
      </c>
      <c r="DW9">
        <f>COUNTIF('Transect 2_imgsummary'!E9:I9,"Wand")*100/5</f>
        <v>0</v>
      </c>
      <c r="DY9">
        <f>IF(P9=0,0,COUNTIF('Transect 2_imgsummary'!O9:S9,"BC")*100/P9)</f>
        <v>0</v>
      </c>
    </row>
    <row r="10" spans="1:129">
      <c r="A10">
        <v>8</v>
      </c>
      <c r="B10" t="s">
        <v>437</v>
      </c>
      <c r="F10" s="29">
        <f>IF(P10=0,0,COUNTIF('Transect 2_imgsummary'!J10:N10,"C")*100/P10)</f>
        <v>60</v>
      </c>
      <c r="G10">
        <f>IF(P10=0,0,COUNTIF('Transect 2_imgsummary'!J10:N10,"OI")*100/P10)</f>
        <v>0</v>
      </c>
      <c r="H10">
        <f>IF(P10=0,0,COUNTIF('Transect 2_imgsummary'!J10:N10,"MA")*100/P10)</f>
        <v>0</v>
      </c>
      <c r="I10">
        <f>IF(P10=0,0,COUNTIF('Transect 2_imgsummary'!J10:N10,"BCA")*100/P10)</f>
        <v>0</v>
      </c>
      <c r="J10" s="29">
        <f>IF(P10=0,0,COUNTIF('Transect 2_imgsummary'!J10:N10,"CCA")*100/P10)</f>
        <v>40</v>
      </c>
      <c r="K10">
        <f>IF(P10=0,0,COUNTIF('Transect 2_imgsummary'!J10:N10,"SD")*100/P10)</f>
        <v>0</v>
      </c>
      <c r="L10">
        <f>IF(P10=0,0,COUNTIF('Transect 2_imgsummary'!J10:N10,"FCA")*100/P10)</f>
        <v>0</v>
      </c>
      <c r="M10">
        <f>IF(P10=0,0,COUNTIF('Transect 2_imgsummary'!J10:N10,"CHRYS")*100/P10)</f>
        <v>0</v>
      </c>
      <c r="N10">
        <f>IF(P10=0,0,COUNTIF('Transect 2_imgsummary'!J10:N10,"T")*100/P10)</f>
        <v>0</v>
      </c>
      <c r="O10">
        <f>IF(P10=0,0,COUNTIF('Transect 2_imgsummary'!J10:N10,"TWS")*100/P10)</f>
        <v>0</v>
      </c>
      <c r="P10">
        <f>5-COUNTIF('Transect 2_imgsummary'!J10:N10,"TWS")</f>
        <v>5</v>
      </c>
      <c r="S10">
        <f>IF(P10=0,0,COUNTIF('Transect 2_imgsummary'!E10:I10,"ACAN")*100/P10)</f>
        <v>0</v>
      </c>
      <c r="T10">
        <f>IF(P10=0,0,COUNTIF('Transect 2_imgsummary'!E10:I10,"ACROP")*100/P10)</f>
        <v>0</v>
      </c>
      <c r="U10">
        <f>IF(P10=0,0,COUNTIF('Transect 2_imgsummary'!E10:I10,"ACROPARB")*100/P10)</f>
        <v>0</v>
      </c>
      <c r="V10">
        <f>IF(P10=0,0,COUNTIF('Transect 2_imgsummary'!E10:I10,"ACROST")*100/P10)</f>
        <v>0</v>
      </c>
      <c r="W10">
        <f>IF(P10=0,0,COUNTIF('Transect 2_imgsummary'!E10:I10,"ACROTBL")*100/P10)</f>
        <v>0</v>
      </c>
      <c r="X10">
        <f>IF(P10=0,0,COUNTIF('Transect 2_imgsummary'!E10:I10,"ASTRP")*100/P10)</f>
        <v>0</v>
      </c>
      <c r="Y10">
        <f>IF(P10=0,0,COUNTIF('Transect 2_imgsummary'!E10:I10,"CAUL")*100/P10)</f>
        <v>0</v>
      </c>
      <c r="Z10">
        <f>IF(P10=0,0,COUNTIF('Transect 2_imgsummary'!E10:I10,"COSC")*100/P10)</f>
        <v>0</v>
      </c>
      <c r="AA10">
        <f>IF(P10=0,0,COUNTIF('Transect 2_imgsummary'!E10:I10,"CTEN")*100/P10)</f>
        <v>0</v>
      </c>
      <c r="AB10">
        <f>IF(P10=0,0,COUNTIF('Transect 2_imgsummary'!E10:I10,"CYPH")*100/P10)</f>
        <v>0</v>
      </c>
      <c r="AC10">
        <f>IF(P10=0,0,COUNTIF('Transect 2_imgsummary'!E10:I10,"DIPLO")*100/P10)</f>
        <v>0</v>
      </c>
      <c r="AD10">
        <f>IF(P10=0,0,COUNTIF('Transect 2_imgsummary'!E10:I10,"ECHPO")*100/P10)</f>
        <v>0</v>
      </c>
      <c r="AE10">
        <f>IF(P10=0,0,COUNTIF('Transect 2_imgsummary'!E10:I10,"ECHPHY")*100/P10)</f>
        <v>0</v>
      </c>
      <c r="AF10">
        <f>IF(P10=0,0,COUNTIF('Transect 2_imgsummary'!E10:I10,"EUPH")*100/P10)</f>
        <v>0</v>
      </c>
      <c r="AG10">
        <f>IF(P10=0,0,COUNTIF('Transect 2_imgsummary'!E10:I10,"FAV")*100/P10)</f>
        <v>0</v>
      </c>
      <c r="AH10">
        <f>IF(P10=0,0,COUNTIF('Transect 2_imgsummary'!E10:I10,"FAVT")*100/P10)</f>
        <v>0</v>
      </c>
      <c r="AI10">
        <f>IF(P10=0,0,COUNTIF('Transect 2_imgsummary'!E10:I10,"FUNG")*100/P10)</f>
        <v>0</v>
      </c>
      <c r="AJ10">
        <f>IF(P10=0,0,COUNTIF('Transect 2_imgsummary'!E10:I10,"GAL")*100/P10)</f>
        <v>0</v>
      </c>
      <c r="AK10">
        <f>IF(P10=0,0,COUNTIF('Transect 2_imgsummary'!E10:I10,"GARD")*100/P10)</f>
        <v>0</v>
      </c>
      <c r="AL10" s="29">
        <f>IF(P10=0,0,COUNTIF('Transect 2_imgsummary'!E10:I10,"GON")*100/P10)</f>
        <v>40</v>
      </c>
      <c r="AM10">
        <f>IF(P10=0,0,COUNTIF('Transect 2_imgsummary'!E10:I10,"GONIO")*100/P10)</f>
        <v>0</v>
      </c>
      <c r="AN10">
        <f>IF(P10=0,0,COUNTIF('Transect 2_imgsummary'!E10:I10,"HELIO")*100/P10)</f>
        <v>0</v>
      </c>
      <c r="AO10">
        <f>IF(P10=0,0,COUNTIF('Transect 2_imgsummary'!E10:I10,"HERP")*100/P10)</f>
        <v>0</v>
      </c>
      <c r="AP10">
        <f>IF(P10=0,0,COUNTIF('Transect 2_imgsummary'!E10:I10,"HYD")*100/P10)</f>
        <v>0</v>
      </c>
      <c r="AQ10">
        <f>IF(P10=0,0,COUNTIF('Transect 2_imgsummary'!E10:I10,"ISOP")*100/P10)</f>
        <v>0</v>
      </c>
      <c r="AR10">
        <f>IF(P10=0,0,COUNTIF('Transect 2_imgsummary'!E10:I10,"LEPT")*100/P10)</f>
        <v>0</v>
      </c>
      <c r="AS10">
        <f>IF(P10=0,0,COUNTIF('Transect 2_imgsummary'!E10:I10,"LEPTOR")*100/P10)</f>
        <v>0</v>
      </c>
      <c r="AT10">
        <f>IF(P10=0,0,COUNTIF('Transect 2_imgsummary'!E10:I10,"LEPTOS")*100/P10)</f>
        <v>0</v>
      </c>
      <c r="AU10">
        <f>IF(P10=0,0,COUNTIF('Transect 2_imgsummary'!E10:I10,"LOBOPH")*100/P10)</f>
        <v>0</v>
      </c>
      <c r="AV10">
        <f>IF(P10=0,0,COUNTIF('Transect 2_imgsummary'!E10:I10,"MERU")*100/P10)</f>
        <v>0</v>
      </c>
      <c r="AW10">
        <f>IF(P10=0,0,COUNTIF('Transect 2_imgsummary'!E10:I10,"MILL")*100/P10)</f>
        <v>0</v>
      </c>
      <c r="AX10">
        <f>IF(P10=0,0,COUNTIF('Transect 2_imgsummary'!E10:I10,"MONT")*100/P10)</f>
        <v>0</v>
      </c>
      <c r="AY10">
        <f>IF(P10=0,0,COUNTIF('Transect 2_imgsummary'!E10:I10,"MONTI")*100/P10)</f>
        <v>0</v>
      </c>
      <c r="AZ10">
        <f>IF(P10=0,0,COUNTIF('Transect 2_imgsummary'!E10:I10,"MYCED")*100/P10)</f>
        <v>0</v>
      </c>
      <c r="BA10">
        <f>IF(P10=0,0,COUNTIF('Transect 2_imgsummary'!E10:I10,"OULO")*100/P10)</f>
        <v>0</v>
      </c>
      <c r="BB10">
        <f>IF(P10=0,0,COUNTIF('Transect 2_imgsummary'!E10:I10,"OXYP")*100/P10)</f>
        <v>0</v>
      </c>
      <c r="BC10">
        <f>IF(P10=0,0,COUNTIF('Transect 2_imgsummary'!E10:I10,"PLSIA")*100/P10)</f>
        <v>0</v>
      </c>
      <c r="BD10">
        <f>IF(P10=0,0,COUNTIF('Transect 2_imgsummary'!E10:I10,"PACHY")*100/P10)</f>
        <v>0</v>
      </c>
      <c r="BE10">
        <f>IF(P10=0,0,COUNTIF('Transect 2_imgsummary'!E10:I10,"PAV")*100/P10)</f>
        <v>0</v>
      </c>
      <c r="BF10">
        <f>IF(P10=0,0,COUNTIF('Transect 2_imgsummary'!E10:I10,"PECT")*100/P10)</f>
        <v>0</v>
      </c>
      <c r="BG10">
        <f>IF(P10=0,0,COUNTIF('Transect 2_imgsummary'!E10:I10,"PHYSO")*100/P10)</f>
        <v>0</v>
      </c>
      <c r="BH10" s="29">
        <f>IF(P10=0,0,COUNTIF('Transect 2_imgsummary'!E10:I10,"PLAT")*100/P10)</f>
        <v>20</v>
      </c>
      <c r="BI10">
        <f>IF(P10=0,0,COUNTIF('Transect 2_imgsummary'!E10:I10,"PLERO")*100/P10)</f>
        <v>0</v>
      </c>
      <c r="BJ10">
        <f>IF(P10=0,0,COUNTIF('Transect 2_imgsummary'!E10:I10,"POC")*100/P10)</f>
        <v>0</v>
      </c>
      <c r="BK10">
        <f>IF(P10=0,0,COUNTIF('Transect 2_imgsummary'!E10:I10,"POR")*100/P10)</f>
        <v>0</v>
      </c>
      <c r="BL10">
        <f>IF(P10=0,0,COUNTIF('Transect 2_imgsummary'!E10:I10,"PORCYL")*100/P10)</f>
        <v>0</v>
      </c>
      <c r="BM10">
        <f>IF(P10=0,0,COUNTIF('Transect 2_imgsummary'!E10:I10,"PORMAS")*100/P10)</f>
        <v>0</v>
      </c>
      <c r="BN10">
        <f>IF(P10=0,0,COUNTIF('Transect 2_imgsummary'!E10:I10,"PORRUS")*100/P10)</f>
        <v>0</v>
      </c>
      <c r="BO10">
        <f>IF(P10=0,0,COUNTIF('Transect 2_imgsummary'!E10:I10,"PSAM")*100/P10)</f>
        <v>0</v>
      </c>
      <c r="BP10">
        <f>IF(P10=0,0,COUNTIF('Transect 2_imgsummary'!E10:I10,"SANDO")*100/P10)</f>
        <v>0</v>
      </c>
      <c r="BQ10">
        <f>IF(P10=0,0,COUNTIF('Transect 2_imgsummary'!E10:I10,"SCAP")*100/P10)</f>
        <v>0</v>
      </c>
      <c r="BR10">
        <f>IF(P10=0,0,COUNTIF('Transect 2_imgsummary'!E10:I10,"SERIA")*100/P10)</f>
        <v>0</v>
      </c>
      <c r="BS10">
        <f>IF(P10=0,0,COUNTIF('Transect 2_imgsummary'!E10:I10,"STYLC")*100/P10)</f>
        <v>0</v>
      </c>
      <c r="BT10">
        <f>IF(P10=0,0,COUNTIF('Transect 2_imgsummary'!E10:I10,"STYLO")*100/P10)</f>
        <v>0</v>
      </c>
      <c r="BU10">
        <f>IF(P10=0,0,COUNTIF('Transect 2_imgsummary'!E10:I10,"SYMP")*100/P10)</f>
        <v>0</v>
      </c>
      <c r="BV10">
        <f>IF(P10=0,0,COUNTIF('Transect 2_imgsummary'!E10:I10,"TURBIN")*100/P10)</f>
        <v>0</v>
      </c>
      <c r="BX10">
        <f>IF(P10=0,0,COUNTIF('Transect 2_imgsummary'!E10:I10,"ANEM")*100/P10)</f>
        <v>0</v>
      </c>
      <c r="BY10">
        <f>IF(P10=0,0,COUNTIF('Transect 2_imgsummary'!E10:I10,"ASC")*100/P10)</f>
        <v>0</v>
      </c>
      <c r="BZ10">
        <f>IF(P10=0,0,COUNTIF('Transect 2_imgsummary'!E10:I10,"CUPS")*100/P10)</f>
        <v>0</v>
      </c>
      <c r="CA10">
        <f>IF(P10=0,0,COUNTIF('Transect 2_imgsummary'!E10:I10,"DISCO")*100/P10)</f>
        <v>0</v>
      </c>
      <c r="CB10">
        <f>IF(P10=0,0,COUNTIF('Transect 2_imgsummary'!E10:I10,"DYS")*100/P10)</f>
        <v>0</v>
      </c>
      <c r="CC10">
        <f>IF(P10=0,0,COUNTIF('Transect 2_imgsummary'!E10:I10,"G")*100/P10)</f>
        <v>0</v>
      </c>
      <c r="CD10">
        <f>IF(P10=0,0,COUNTIF('Transect 2_imgsummary'!E10:I10,"NoIDINV")*100/P10)</f>
        <v>0</v>
      </c>
      <c r="CE10">
        <f>IF(P10=0,0,COUNTIF('Transect 2_imgsummary'!E10:I10,"OLV")*100/P10)</f>
        <v>0</v>
      </c>
      <c r="CF10">
        <f>IF(P10=0,0,COUNTIF('Transect 2_imgsummary'!E10:I10,"SC")*100/P10)</f>
        <v>0</v>
      </c>
      <c r="CG10">
        <f>IF(P10=0,0,COUNTIF('Transect 2_imgsummary'!E10:I10,"S")*100/P10)</f>
        <v>0</v>
      </c>
      <c r="CH10">
        <f>IF(P10=0,0,COUNTIF('Transect 2_imgsummary'!E10:I10,"TERPS")*100/P10)</f>
        <v>0</v>
      </c>
      <c r="CI10">
        <f>IF(P10=0,0,COUNTIF('Transect 2_imgsummary'!E10:I10,"Z")*100/P10)</f>
        <v>0</v>
      </c>
      <c r="CK10">
        <f>IF(P10=0,0,COUNTIF('Transect 2_imgsummary'!E10:I10,"ASP")*100/P10)</f>
        <v>0</v>
      </c>
      <c r="CL10">
        <f>IF(P10=0,0,COUNTIF('Transect 2_imgsummary'!E10:I10,"BG")*100/P10)</f>
        <v>0</v>
      </c>
      <c r="CM10">
        <f>IF(P10=0,0,COUNTIF('Transect 2_imgsummary'!E10:I10,"Bood")*100/P10)</f>
        <v>0</v>
      </c>
      <c r="CN10">
        <f>IF(P10=0,0,COUNTIF('Transect 2_imgsummary'!E10:I10,"BRYP")*100/P10)</f>
        <v>0</v>
      </c>
      <c r="CO10">
        <f>IF(P10=0,0,COUNTIF('Transect 2_imgsummary'!E10:I10,"CLP")*100/P10)</f>
        <v>0</v>
      </c>
      <c r="CP10">
        <f>IF(P10=0,0,COUNTIF('Transect 2_imgsummary'!E10:I10,"CHLDES")*100/P10)</f>
        <v>0</v>
      </c>
      <c r="CQ10">
        <f>IF(P10=0,0,COUNTIF('Transect 2_imgsummary'!E10:I10,"DYCTY")*100/P10)</f>
        <v>0</v>
      </c>
      <c r="CR10">
        <f>IF(P10=0,0,COUNTIF('Transect 2_imgsummary'!E10:I10,"DICT")*100/P10)</f>
        <v>0</v>
      </c>
      <c r="CS10">
        <f>IF(P10=0,0,COUNTIF('Transect 2_imgsummary'!E10:I10,"GLXU")*100/P10)</f>
        <v>0</v>
      </c>
      <c r="CT10">
        <f>IF(P10=0,0,COUNTIF('Transect 2_imgsummary'!E10:I10,"HALI")*100/P10)</f>
        <v>0</v>
      </c>
      <c r="CU10">
        <f>IF(P10=0,0,COUNTIF('Transect 2_imgsummary'!E10:I10,"LIAG")*100/P10)</f>
        <v>0</v>
      </c>
      <c r="CV10">
        <f>IF(P10=0,0,COUNTIF('Transect 2_imgsummary'!E10:I10,"LOBO")*100/P10)</f>
        <v>0</v>
      </c>
      <c r="CW10">
        <f>IF(P10=0,0,COUNTIF('Transect 2_imgsummary'!E10:I10,"MAST")*100/P10)</f>
        <v>0</v>
      </c>
      <c r="CX10">
        <f>IF(P10=0,0,COUNTIF('Transect 2_imgsummary'!E10:I10,"MICDTY")*100/P10)</f>
        <v>0</v>
      </c>
      <c r="CY10">
        <f>IF(P10=0,0,COUNTIF('Transect 2_imgsummary'!E10:I10,"NEOM")*100/P10)</f>
        <v>0</v>
      </c>
      <c r="CZ10">
        <f>IF(P10=0,0,COUNTIF('Transect 2_imgsummary'!E10:I10,"NOIDMAC")*100/P10)</f>
        <v>0</v>
      </c>
      <c r="DA10">
        <f>IF(P10=0,0,COUNTIF('Transect 2_imgsummary'!E10:I10,"PAD")*100/P10)</f>
        <v>0</v>
      </c>
      <c r="DB10">
        <f>IF(P10=0,0,COUNTIF('Transect 2_imgsummary'!E10:I10,"SARG")*100/P10)</f>
        <v>0</v>
      </c>
      <c r="DC10">
        <f>IF(P10=0,0,COUNTIF('Transect 2_imgsummary'!E10:I10,"SCHIZ")*100/P10)</f>
        <v>0</v>
      </c>
      <c r="DD10">
        <f>IF(P10=0,0,COUNTIF('Transect 2_imgsummary'!E10:I10,"TURB")*100/P10)</f>
        <v>0</v>
      </c>
      <c r="DE10">
        <f>IF(P10=0,0,COUNTIF('Transect 2_imgsummary'!E10:I10,"TYDM")*100/P10)</f>
        <v>0</v>
      </c>
      <c r="DG10">
        <f>IF(P10=0,0,COUNTIF('Transect 2_imgsummary'!E10:I10,"AMP")*100/P10)</f>
        <v>0</v>
      </c>
      <c r="DH10">
        <f>IF(P10=0,0,COUNTIF('Transect 2_imgsummary'!E10:I10,"BCA1")*100/P10)</f>
        <v>0</v>
      </c>
      <c r="DI10">
        <f>IF(P10=0,0,COUNTIF('Transect 2_imgsummary'!E10:I10,"JAN")*100/P10)</f>
        <v>0</v>
      </c>
      <c r="DK10" s="29">
        <f>IF(P10=0,0,COUNTIF('Transect 2_imgsummary'!E10:I10,"CCA1")*100/P10)</f>
        <v>40</v>
      </c>
      <c r="DM10">
        <f>IF(P10=0,0,COUNTIF('Transect 2_imgsummary'!E10:I10,"Sand")*100/P10)</f>
        <v>0</v>
      </c>
      <c r="DO10">
        <f>IF(P10=0,0,COUNTIF('Transect 2_imgsummary'!E10:I10,"FCA1")*100/P10)</f>
        <v>0</v>
      </c>
      <c r="DQ10">
        <f>IF(P10=0,0,COUNTIF('Transect 2_imgsummary'!E10:I10,"CHRYOBRN")*100/P10)</f>
        <v>0</v>
      </c>
      <c r="DS10">
        <f>IF(P10=0,0,COUNTIF('Transect 2_imgsummary'!E10:I10,"TURF")*100/P10)</f>
        <v>0</v>
      </c>
      <c r="DU10">
        <f>COUNTIF('Transect 2_imgsummary'!E10:I10,"Shadow")*100/5</f>
        <v>0</v>
      </c>
      <c r="DV10">
        <f>COUNTIF('Transect 2_imgsummary'!E10:I10,"Tape")*100/5</f>
        <v>0</v>
      </c>
      <c r="DW10">
        <f>COUNTIF('Transect 2_imgsummary'!E10:I10,"Wand")*100/5</f>
        <v>0</v>
      </c>
      <c r="DY10">
        <f>IF(P10=0,0,COUNTIF('Transect 2_imgsummary'!O10:S10,"BC")*100/P10)</f>
        <v>0</v>
      </c>
    </row>
    <row r="11" spans="1:129">
      <c r="A11">
        <v>9</v>
      </c>
      <c r="B11" t="s">
        <v>438</v>
      </c>
      <c r="F11" s="29">
        <f>IF(P11=0,0,COUNTIF('Transect 2_imgsummary'!J11:N11,"C")*100/P11)</f>
        <v>60</v>
      </c>
      <c r="G11">
        <f>IF(P11=0,0,COUNTIF('Transect 2_imgsummary'!J11:N11,"OI")*100/P11)</f>
        <v>0</v>
      </c>
      <c r="H11">
        <f>IF(P11=0,0,COUNTIF('Transect 2_imgsummary'!J11:N11,"MA")*100/P11)</f>
        <v>0</v>
      </c>
      <c r="I11">
        <f>IF(P11=0,0,COUNTIF('Transect 2_imgsummary'!J11:N11,"BCA")*100/P11)</f>
        <v>0</v>
      </c>
      <c r="J11" s="29">
        <f>IF(P11=0,0,COUNTIF('Transect 2_imgsummary'!J11:N11,"CCA")*100/P11)</f>
        <v>20</v>
      </c>
      <c r="K11">
        <f>IF(P11=0,0,COUNTIF('Transect 2_imgsummary'!J11:N11,"SD")*100/P11)</f>
        <v>0</v>
      </c>
      <c r="L11">
        <f>IF(P11=0,0,COUNTIF('Transect 2_imgsummary'!J11:N11,"FCA")*100/P11)</f>
        <v>0</v>
      </c>
      <c r="M11">
        <f>IF(P11=0,0,COUNTIF('Transect 2_imgsummary'!J11:N11,"CHRYS")*100/P11)</f>
        <v>0</v>
      </c>
      <c r="N11" s="29">
        <f>IF(P11=0,0,COUNTIF('Transect 2_imgsummary'!J11:N11,"T")*100/P11)</f>
        <v>20</v>
      </c>
      <c r="O11">
        <f>IF(P11=0,0,COUNTIF('Transect 2_imgsummary'!J11:N11,"TWS")*100/P11)</f>
        <v>0</v>
      </c>
      <c r="P11">
        <f>5-COUNTIF('Transect 2_imgsummary'!J11:N11,"TWS")</f>
        <v>5</v>
      </c>
      <c r="S11">
        <f>IF(P11=0,0,COUNTIF('Transect 2_imgsummary'!E11:I11,"ACAN")*100/P11)</f>
        <v>0</v>
      </c>
      <c r="T11">
        <f>IF(P11=0,0,COUNTIF('Transect 2_imgsummary'!E11:I11,"ACROP")*100/P11)</f>
        <v>0</v>
      </c>
      <c r="U11">
        <f>IF(P11=0,0,COUNTIF('Transect 2_imgsummary'!E11:I11,"ACROPARB")*100/P11)</f>
        <v>0</v>
      </c>
      <c r="V11">
        <f>IF(P11=0,0,COUNTIF('Transect 2_imgsummary'!E11:I11,"ACROST")*100/P11)</f>
        <v>0</v>
      </c>
      <c r="W11" s="29">
        <f>IF(P11=0,0,COUNTIF('Transect 2_imgsummary'!E11:I11,"ACROTBL")*100/P11)</f>
        <v>60</v>
      </c>
      <c r="X11">
        <f>IF(P11=0,0,COUNTIF('Transect 2_imgsummary'!E11:I11,"ASTRP")*100/P11)</f>
        <v>0</v>
      </c>
      <c r="Y11">
        <f>IF(P11=0,0,COUNTIF('Transect 2_imgsummary'!E11:I11,"CAUL")*100/P11)</f>
        <v>0</v>
      </c>
      <c r="Z11">
        <f>IF(P11=0,0,COUNTIF('Transect 2_imgsummary'!E11:I11,"COSC")*100/P11)</f>
        <v>0</v>
      </c>
      <c r="AA11">
        <f>IF(P11=0,0,COUNTIF('Transect 2_imgsummary'!E11:I11,"CTEN")*100/P11)</f>
        <v>0</v>
      </c>
      <c r="AB11">
        <f>IF(P11=0,0,COUNTIF('Transect 2_imgsummary'!E11:I11,"CYPH")*100/P11)</f>
        <v>0</v>
      </c>
      <c r="AC11">
        <f>IF(P11=0,0,COUNTIF('Transect 2_imgsummary'!E11:I11,"DIPLO")*100/P11)</f>
        <v>0</v>
      </c>
      <c r="AD11">
        <f>IF(P11=0,0,COUNTIF('Transect 2_imgsummary'!E11:I11,"ECHPO")*100/P11)</f>
        <v>0</v>
      </c>
      <c r="AE11">
        <f>IF(P11=0,0,COUNTIF('Transect 2_imgsummary'!E11:I11,"ECHPHY")*100/P11)</f>
        <v>0</v>
      </c>
      <c r="AF11">
        <f>IF(P11=0,0,COUNTIF('Transect 2_imgsummary'!E11:I11,"EUPH")*100/P11)</f>
        <v>0</v>
      </c>
      <c r="AG11">
        <f>IF(P11=0,0,COUNTIF('Transect 2_imgsummary'!E11:I11,"FAV")*100/P11)</f>
        <v>0</v>
      </c>
      <c r="AH11">
        <f>IF(P11=0,0,COUNTIF('Transect 2_imgsummary'!E11:I11,"FAVT")*100/P11)</f>
        <v>0</v>
      </c>
      <c r="AI11">
        <f>IF(P11=0,0,COUNTIF('Transect 2_imgsummary'!E11:I11,"FUNG")*100/P11)</f>
        <v>0</v>
      </c>
      <c r="AJ11">
        <f>IF(P11=0,0,COUNTIF('Transect 2_imgsummary'!E11:I11,"GAL")*100/P11)</f>
        <v>0</v>
      </c>
      <c r="AK11">
        <f>IF(P11=0,0,COUNTIF('Transect 2_imgsummary'!E11:I11,"GARD")*100/P11)</f>
        <v>0</v>
      </c>
      <c r="AL11">
        <f>IF(P11=0,0,COUNTIF('Transect 2_imgsummary'!E11:I11,"GON")*100/P11)</f>
        <v>0</v>
      </c>
      <c r="AM11">
        <f>IF(P11=0,0,COUNTIF('Transect 2_imgsummary'!E11:I11,"GONIO")*100/P11)</f>
        <v>0</v>
      </c>
      <c r="AN11">
        <f>IF(P11=0,0,COUNTIF('Transect 2_imgsummary'!E11:I11,"HELIO")*100/P11)</f>
        <v>0</v>
      </c>
      <c r="AO11">
        <f>IF(P11=0,0,COUNTIF('Transect 2_imgsummary'!E11:I11,"HERP")*100/P11)</f>
        <v>0</v>
      </c>
      <c r="AP11">
        <f>IF(P11=0,0,COUNTIF('Transect 2_imgsummary'!E11:I11,"HYD")*100/P11)</f>
        <v>0</v>
      </c>
      <c r="AQ11">
        <f>IF(P11=0,0,COUNTIF('Transect 2_imgsummary'!E11:I11,"ISOP")*100/P11)</f>
        <v>0</v>
      </c>
      <c r="AR11">
        <f>IF(P11=0,0,COUNTIF('Transect 2_imgsummary'!E11:I11,"LEPT")*100/P11)</f>
        <v>0</v>
      </c>
      <c r="AS11">
        <f>IF(P11=0,0,COUNTIF('Transect 2_imgsummary'!E11:I11,"LEPTOR")*100/P11)</f>
        <v>0</v>
      </c>
      <c r="AT11">
        <f>IF(P11=0,0,COUNTIF('Transect 2_imgsummary'!E11:I11,"LEPTOS")*100/P11)</f>
        <v>0</v>
      </c>
      <c r="AU11">
        <f>IF(P11=0,0,COUNTIF('Transect 2_imgsummary'!E11:I11,"LOBOPH")*100/P11)</f>
        <v>0</v>
      </c>
      <c r="AV11">
        <f>IF(P11=0,0,COUNTIF('Transect 2_imgsummary'!E11:I11,"MERU")*100/P11)</f>
        <v>0</v>
      </c>
      <c r="AW11">
        <f>IF(P11=0,0,COUNTIF('Transect 2_imgsummary'!E11:I11,"MILL")*100/P11)</f>
        <v>0</v>
      </c>
      <c r="AX11">
        <f>IF(P11=0,0,COUNTIF('Transect 2_imgsummary'!E11:I11,"MONT")*100/P11)</f>
        <v>0</v>
      </c>
      <c r="AY11">
        <f>IF(P11=0,0,COUNTIF('Transect 2_imgsummary'!E11:I11,"MONTI")*100/P11)</f>
        <v>0</v>
      </c>
      <c r="AZ11">
        <f>IF(P11=0,0,COUNTIF('Transect 2_imgsummary'!E11:I11,"MYCED")*100/P11)</f>
        <v>0</v>
      </c>
      <c r="BA11">
        <f>IF(P11=0,0,COUNTIF('Transect 2_imgsummary'!E11:I11,"OULO")*100/P11)</f>
        <v>0</v>
      </c>
      <c r="BB11">
        <f>IF(P11=0,0,COUNTIF('Transect 2_imgsummary'!E11:I11,"OXYP")*100/P11)</f>
        <v>0</v>
      </c>
      <c r="BC11">
        <f>IF(P11=0,0,COUNTIF('Transect 2_imgsummary'!E11:I11,"PLSIA")*100/P11)</f>
        <v>0</v>
      </c>
      <c r="BD11">
        <f>IF(P11=0,0,COUNTIF('Transect 2_imgsummary'!E11:I11,"PACHY")*100/P11)</f>
        <v>0</v>
      </c>
      <c r="BE11">
        <f>IF(P11=0,0,COUNTIF('Transect 2_imgsummary'!E11:I11,"PAV")*100/P11)</f>
        <v>0</v>
      </c>
      <c r="BF11">
        <f>IF(P11=0,0,COUNTIF('Transect 2_imgsummary'!E11:I11,"PECT")*100/P11)</f>
        <v>0</v>
      </c>
      <c r="BG11">
        <f>IF(P11=0,0,COUNTIF('Transect 2_imgsummary'!E11:I11,"PHYSO")*100/P11)</f>
        <v>0</v>
      </c>
      <c r="BH11">
        <f>IF(P11=0,0,COUNTIF('Transect 2_imgsummary'!E11:I11,"PLAT")*100/P11)</f>
        <v>0</v>
      </c>
      <c r="BI11">
        <f>IF(P11=0,0,COUNTIF('Transect 2_imgsummary'!E11:I11,"PLERO")*100/P11)</f>
        <v>0</v>
      </c>
      <c r="BJ11">
        <f>IF(P11=0,0,COUNTIF('Transect 2_imgsummary'!E11:I11,"POC")*100/P11)</f>
        <v>0</v>
      </c>
      <c r="BK11">
        <f>IF(P11=0,0,COUNTIF('Transect 2_imgsummary'!E11:I11,"POR")*100/P11)</f>
        <v>0</v>
      </c>
      <c r="BL11">
        <f>IF(P11=0,0,COUNTIF('Transect 2_imgsummary'!E11:I11,"PORCYL")*100/P11)</f>
        <v>0</v>
      </c>
      <c r="BM11">
        <f>IF(P11=0,0,COUNTIF('Transect 2_imgsummary'!E11:I11,"PORMAS")*100/P11)</f>
        <v>0</v>
      </c>
      <c r="BN11">
        <f>IF(P11=0,0,COUNTIF('Transect 2_imgsummary'!E11:I11,"PORRUS")*100/P11)</f>
        <v>0</v>
      </c>
      <c r="BO11">
        <f>IF(P11=0,0,COUNTIF('Transect 2_imgsummary'!E11:I11,"PSAM")*100/P11)</f>
        <v>0</v>
      </c>
      <c r="BP11">
        <f>IF(P11=0,0,COUNTIF('Transect 2_imgsummary'!E11:I11,"SANDO")*100/P11)</f>
        <v>0</v>
      </c>
      <c r="BQ11">
        <f>IF(P11=0,0,COUNTIF('Transect 2_imgsummary'!E11:I11,"SCAP")*100/P11)</f>
        <v>0</v>
      </c>
      <c r="BR11">
        <f>IF(P11=0,0,COUNTIF('Transect 2_imgsummary'!E11:I11,"SERIA")*100/P11)</f>
        <v>0</v>
      </c>
      <c r="BS11">
        <f>IF(P11=0,0,COUNTIF('Transect 2_imgsummary'!E11:I11,"STYLC")*100/P11)</f>
        <v>0</v>
      </c>
      <c r="BT11">
        <f>IF(P11=0,0,COUNTIF('Transect 2_imgsummary'!E11:I11,"STYLO")*100/P11)</f>
        <v>0</v>
      </c>
      <c r="BU11">
        <f>IF(P11=0,0,COUNTIF('Transect 2_imgsummary'!E11:I11,"SYMP")*100/P11)</f>
        <v>0</v>
      </c>
      <c r="BV11">
        <f>IF(P11=0,0,COUNTIF('Transect 2_imgsummary'!E11:I11,"TURBIN")*100/P11)</f>
        <v>0</v>
      </c>
      <c r="BX11">
        <f>IF(P11=0,0,COUNTIF('Transect 2_imgsummary'!E11:I11,"ANEM")*100/P11)</f>
        <v>0</v>
      </c>
      <c r="BY11">
        <f>IF(P11=0,0,COUNTIF('Transect 2_imgsummary'!E11:I11,"ASC")*100/P11)</f>
        <v>0</v>
      </c>
      <c r="BZ11">
        <f>IF(P11=0,0,COUNTIF('Transect 2_imgsummary'!E11:I11,"CUPS")*100/P11)</f>
        <v>0</v>
      </c>
      <c r="CA11">
        <f>IF(P11=0,0,COUNTIF('Transect 2_imgsummary'!E11:I11,"DISCO")*100/P11)</f>
        <v>0</v>
      </c>
      <c r="CB11">
        <f>IF(P11=0,0,COUNTIF('Transect 2_imgsummary'!E11:I11,"DYS")*100/P11)</f>
        <v>0</v>
      </c>
      <c r="CC11">
        <f>IF(P11=0,0,COUNTIF('Transect 2_imgsummary'!E11:I11,"G")*100/P11)</f>
        <v>0</v>
      </c>
      <c r="CD11">
        <f>IF(P11=0,0,COUNTIF('Transect 2_imgsummary'!E11:I11,"NoIDINV")*100/P11)</f>
        <v>0</v>
      </c>
      <c r="CE11">
        <f>IF(P11=0,0,COUNTIF('Transect 2_imgsummary'!E11:I11,"OLV")*100/P11)</f>
        <v>0</v>
      </c>
      <c r="CF11">
        <f>IF(P11=0,0,COUNTIF('Transect 2_imgsummary'!E11:I11,"SC")*100/P11)</f>
        <v>0</v>
      </c>
      <c r="CG11">
        <f>IF(P11=0,0,COUNTIF('Transect 2_imgsummary'!E11:I11,"S")*100/P11)</f>
        <v>0</v>
      </c>
      <c r="CH11">
        <f>IF(P11=0,0,COUNTIF('Transect 2_imgsummary'!E11:I11,"TERPS")*100/P11)</f>
        <v>0</v>
      </c>
      <c r="CI11">
        <f>IF(P11=0,0,COUNTIF('Transect 2_imgsummary'!E11:I11,"Z")*100/P11)</f>
        <v>0</v>
      </c>
      <c r="CK11">
        <f>IF(P11=0,0,COUNTIF('Transect 2_imgsummary'!E11:I11,"ASP")*100/P11)</f>
        <v>0</v>
      </c>
      <c r="CL11">
        <f>IF(P11=0,0,COUNTIF('Transect 2_imgsummary'!E11:I11,"BG")*100/P11)</f>
        <v>0</v>
      </c>
      <c r="CM11">
        <f>IF(P11=0,0,COUNTIF('Transect 2_imgsummary'!E11:I11,"Bood")*100/P11)</f>
        <v>0</v>
      </c>
      <c r="CN11">
        <f>IF(P11=0,0,COUNTIF('Transect 2_imgsummary'!E11:I11,"BRYP")*100/P11)</f>
        <v>0</v>
      </c>
      <c r="CO11">
        <f>IF(P11=0,0,COUNTIF('Transect 2_imgsummary'!E11:I11,"CLP")*100/P11)</f>
        <v>0</v>
      </c>
      <c r="CP11">
        <f>IF(P11=0,0,COUNTIF('Transect 2_imgsummary'!E11:I11,"CHLDES")*100/P11)</f>
        <v>0</v>
      </c>
      <c r="CQ11">
        <f>IF(P11=0,0,COUNTIF('Transect 2_imgsummary'!E11:I11,"DYCTY")*100/P11)</f>
        <v>0</v>
      </c>
      <c r="CR11">
        <f>IF(P11=0,0,COUNTIF('Transect 2_imgsummary'!E11:I11,"DICT")*100/P11)</f>
        <v>0</v>
      </c>
      <c r="CS11">
        <f>IF(P11=0,0,COUNTIF('Transect 2_imgsummary'!E11:I11,"GLXU")*100/P11)</f>
        <v>0</v>
      </c>
      <c r="CT11">
        <f>IF(P11=0,0,COUNTIF('Transect 2_imgsummary'!E11:I11,"HALI")*100/P11)</f>
        <v>0</v>
      </c>
      <c r="CU11">
        <f>IF(P11=0,0,COUNTIF('Transect 2_imgsummary'!E11:I11,"LIAG")*100/P11)</f>
        <v>0</v>
      </c>
      <c r="CV11">
        <f>IF(P11=0,0,COUNTIF('Transect 2_imgsummary'!E11:I11,"LOBO")*100/P11)</f>
        <v>0</v>
      </c>
      <c r="CW11">
        <f>IF(P11=0,0,COUNTIF('Transect 2_imgsummary'!E11:I11,"MAST")*100/P11)</f>
        <v>0</v>
      </c>
      <c r="CX11">
        <f>IF(P11=0,0,COUNTIF('Transect 2_imgsummary'!E11:I11,"MICDTY")*100/P11)</f>
        <v>0</v>
      </c>
      <c r="CY11">
        <f>IF(P11=0,0,COUNTIF('Transect 2_imgsummary'!E11:I11,"NEOM")*100/P11)</f>
        <v>0</v>
      </c>
      <c r="CZ11">
        <f>IF(P11=0,0,COUNTIF('Transect 2_imgsummary'!E11:I11,"NOIDMAC")*100/P11)</f>
        <v>0</v>
      </c>
      <c r="DA11">
        <f>IF(P11=0,0,COUNTIF('Transect 2_imgsummary'!E11:I11,"PAD")*100/P11)</f>
        <v>0</v>
      </c>
      <c r="DB11">
        <f>IF(P11=0,0,COUNTIF('Transect 2_imgsummary'!E11:I11,"SARG")*100/P11)</f>
        <v>0</v>
      </c>
      <c r="DC11">
        <f>IF(P11=0,0,COUNTIF('Transect 2_imgsummary'!E11:I11,"SCHIZ")*100/P11)</f>
        <v>0</v>
      </c>
      <c r="DD11">
        <f>IF(P11=0,0,COUNTIF('Transect 2_imgsummary'!E11:I11,"TURB")*100/P11)</f>
        <v>0</v>
      </c>
      <c r="DE11">
        <f>IF(P11=0,0,COUNTIF('Transect 2_imgsummary'!E11:I11,"TYDM")*100/P11)</f>
        <v>0</v>
      </c>
      <c r="DG11">
        <f>IF(P11=0,0,COUNTIF('Transect 2_imgsummary'!E11:I11,"AMP")*100/P11)</f>
        <v>0</v>
      </c>
      <c r="DH11">
        <f>IF(P11=0,0,COUNTIF('Transect 2_imgsummary'!E11:I11,"BCA1")*100/P11)</f>
        <v>0</v>
      </c>
      <c r="DI11">
        <f>IF(P11=0,0,COUNTIF('Transect 2_imgsummary'!E11:I11,"JAN")*100/P11)</f>
        <v>0</v>
      </c>
      <c r="DK11" s="29">
        <f>IF(P11=0,0,COUNTIF('Transect 2_imgsummary'!E11:I11,"CCA1")*100/P11)</f>
        <v>20</v>
      </c>
      <c r="DM11">
        <f>IF(P11=0,0,COUNTIF('Transect 2_imgsummary'!E11:I11,"Sand")*100/P11)</f>
        <v>0</v>
      </c>
      <c r="DO11">
        <f>IF(P11=0,0,COUNTIF('Transect 2_imgsummary'!E11:I11,"FCA1")*100/P11)</f>
        <v>0</v>
      </c>
      <c r="DQ11">
        <f>IF(P11=0,0,COUNTIF('Transect 2_imgsummary'!E11:I11,"CHRYOBRN")*100/P11)</f>
        <v>0</v>
      </c>
      <c r="DS11" s="29">
        <f>IF(P11=0,0,COUNTIF('Transect 2_imgsummary'!E11:I11,"TURF")*100/P11)</f>
        <v>20</v>
      </c>
      <c r="DU11">
        <f>COUNTIF('Transect 2_imgsummary'!E11:I11,"Shadow")*100/5</f>
        <v>0</v>
      </c>
      <c r="DV11">
        <f>COUNTIF('Transect 2_imgsummary'!E11:I11,"Tape")*100/5</f>
        <v>0</v>
      </c>
      <c r="DW11">
        <f>COUNTIF('Transect 2_imgsummary'!E11:I11,"Wand")*100/5</f>
        <v>0</v>
      </c>
      <c r="DY11">
        <f>IF(P11=0,0,COUNTIF('Transect 2_imgsummary'!O11:S11,"BC")*100/P11)</f>
        <v>0</v>
      </c>
    </row>
    <row r="12" spans="1:129">
      <c r="A12">
        <v>10</v>
      </c>
      <c r="B12" t="s">
        <v>439</v>
      </c>
      <c r="F12" s="29">
        <f>IF(P12=0,0,COUNTIF('Transect 2_imgsummary'!J12:N12,"C")*100/P12)</f>
        <v>60</v>
      </c>
      <c r="G12">
        <f>IF(P12=0,0,COUNTIF('Transect 2_imgsummary'!J12:N12,"OI")*100/P12)</f>
        <v>0</v>
      </c>
      <c r="H12">
        <f>IF(P12=0,0,COUNTIF('Transect 2_imgsummary'!J12:N12,"MA")*100/P12)</f>
        <v>0</v>
      </c>
      <c r="I12">
        <f>IF(P12=0,0,COUNTIF('Transect 2_imgsummary'!J12:N12,"BCA")*100/P12)</f>
        <v>0</v>
      </c>
      <c r="J12" s="29">
        <f>IF(P12=0,0,COUNTIF('Transect 2_imgsummary'!J12:N12,"CCA")*100/P12)</f>
        <v>20</v>
      </c>
      <c r="K12">
        <f>IF(P12=0,0,COUNTIF('Transect 2_imgsummary'!J12:N12,"SD")*100/P12)</f>
        <v>0</v>
      </c>
      <c r="L12">
        <f>IF(P12=0,0,COUNTIF('Transect 2_imgsummary'!J12:N12,"FCA")*100/P12)</f>
        <v>0</v>
      </c>
      <c r="M12">
        <f>IF(P12=0,0,COUNTIF('Transect 2_imgsummary'!J12:N12,"CHRYS")*100/P12)</f>
        <v>0</v>
      </c>
      <c r="N12" s="29">
        <f>IF(P12=0,0,COUNTIF('Transect 2_imgsummary'!J12:N12,"T")*100/P12)</f>
        <v>20</v>
      </c>
      <c r="O12">
        <f>IF(P12=0,0,COUNTIF('Transect 2_imgsummary'!J12:N12,"TWS")*100/P12)</f>
        <v>0</v>
      </c>
      <c r="P12">
        <f>5-COUNTIF('Transect 2_imgsummary'!J12:N12,"TWS")</f>
        <v>5</v>
      </c>
      <c r="S12">
        <f>IF(P12=0,0,COUNTIF('Transect 2_imgsummary'!E12:I12,"ACAN")*100/P12)</f>
        <v>0</v>
      </c>
      <c r="T12">
        <f>IF(P12=0,0,COUNTIF('Transect 2_imgsummary'!E12:I12,"ACROP")*100/P12)</f>
        <v>0</v>
      </c>
      <c r="U12">
        <f>IF(P12=0,0,COUNTIF('Transect 2_imgsummary'!E12:I12,"ACROPARB")*100/P12)</f>
        <v>0</v>
      </c>
      <c r="V12">
        <f>IF(P12=0,0,COUNTIF('Transect 2_imgsummary'!E12:I12,"ACROST")*100/P12)</f>
        <v>0</v>
      </c>
      <c r="W12">
        <f>IF(P12=0,0,COUNTIF('Transect 2_imgsummary'!E12:I12,"ACROTBL")*100/P12)</f>
        <v>0</v>
      </c>
      <c r="X12">
        <f>IF(P12=0,0,COUNTIF('Transect 2_imgsummary'!E12:I12,"ASTRP")*100/P12)</f>
        <v>0</v>
      </c>
      <c r="Y12">
        <f>IF(P12=0,0,COUNTIF('Transect 2_imgsummary'!E12:I12,"CAUL")*100/P12)</f>
        <v>0</v>
      </c>
      <c r="Z12">
        <f>IF(P12=0,0,COUNTIF('Transect 2_imgsummary'!E12:I12,"COSC")*100/P12)</f>
        <v>0</v>
      </c>
      <c r="AA12">
        <f>IF(P12=0,0,COUNTIF('Transect 2_imgsummary'!E12:I12,"CTEN")*100/P12)</f>
        <v>0</v>
      </c>
      <c r="AB12">
        <f>IF(P12=0,0,COUNTIF('Transect 2_imgsummary'!E12:I12,"CYPH")*100/P12)</f>
        <v>0</v>
      </c>
      <c r="AC12">
        <f>IF(P12=0,0,COUNTIF('Transect 2_imgsummary'!E12:I12,"DIPLO")*100/P12)</f>
        <v>0</v>
      </c>
      <c r="AD12" s="29">
        <f>IF(P12=0,0,COUNTIF('Transect 2_imgsummary'!E12:I12,"ECHPO")*100/P12)</f>
        <v>60</v>
      </c>
      <c r="AE12">
        <f>IF(P12=0,0,COUNTIF('Transect 2_imgsummary'!E12:I12,"ECHPHY")*100/P12)</f>
        <v>0</v>
      </c>
      <c r="AF12">
        <f>IF(P12=0,0,COUNTIF('Transect 2_imgsummary'!E12:I12,"EUPH")*100/P12)</f>
        <v>0</v>
      </c>
      <c r="AG12">
        <f>IF(P12=0,0,COUNTIF('Transect 2_imgsummary'!E12:I12,"FAV")*100/P12)</f>
        <v>0</v>
      </c>
      <c r="AH12">
        <f>IF(P12=0,0,COUNTIF('Transect 2_imgsummary'!E12:I12,"FAVT")*100/P12)</f>
        <v>0</v>
      </c>
      <c r="AI12">
        <f>IF(P12=0,0,COUNTIF('Transect 2_imgsummary'!E12:I12,"FUNG")*100/P12)</f>
        <v>0</v>
      </c>
      <c r="AJ12">
        <f>IF(P12=0,0,COUNTIF('Transect 2_imgsummary'!E12:I12,"GAL")*100/P12)</f>
        <v>0</v>
      </c>
      <c r="AK12">
        <f>IF(P12=0,0,COUNTIF('Transect 2_imgsummary'!E12:I12,"GARD")*100/P12)</f>
        <v>0</v>
      </c>
      <c r="AL12">
        <f>IF(P12=0,0,COUNTIF('Transect 2_imgsummary'!E12:I12,"GON")*100/P12)</f>
        <v>0</v>
      </c>
      <c r="AM12">
        <f>IF(P12=0,0,COUNTIF('Transect 2_imgsummary'!E12:I12,"GONIO")*100/P12)</f>
        <v>0</v>
      </c>
      <c r="AN12">
        <f>IF(P12=0,0,COUNTIF('Transect 2_imgsummary'!E12:I12,"HELIO")*100/P12)</f>
        <v>0</v>
      </c>
      <c r="AO12">
        <f>IF(P12=0,0,COUNTIF('Transect 2_imgsummary'!E12:I12,"HERP")*100/P12)</f>
        <v>0</v>
      </c>
      <c r="AP12">
        <f>IF(P12=0,0,COUNTIF('Transect 2_imgsummary'!E12:I12,"HYD")*100/P12)</f>
        <v>0</v>
      </c>
      <c r="AQ12">
        <f>IF(P12=0,0,COUNTIF('Transect 2_imgsummary'!E12:I12,"ISOP")*100/P12)</f>
        <v>0</v>
      </c>
      <c r="AR12">
        <f>IF(P12=0,0,COUNTIF('Transect 2_imgsummary'!E12:I12,"LEPT")*100/P12)</f>
        <v>0</v>
      </c>
      <c r="AS12">
        <f>IF(P12=0,0,COUNTIF('Transect 2_imgsummary'!E12:I12,"LEPTOR")*100/P12)</f>
        <v>0</v>
      </c>
      <c r="AT12">
        <f>IF(P12=0,0,COUNTIF('Transect 2_imgsummary'!E12:I12,"LEPTOS")*100/P12)</f>
        <v>0</v>
      </c>
      <c r="AU12">
        <f>IF(P12=0,0,COUNTIF('Transect 2_imgsummary'!E12:I12,"LOBOPH")*100/P12)</f>
        <v>0</v>
      </c>
      <c r="AV12">
        <f>IF(P12=0,0,COUNTIF('Transect 2_imgsummary'!E12:I12,"MERU")*100/P12)</f>
        <v>0</v>
      </c>
      <c r="AW12">
        <f>IF(P12=0,0,COUNTIF('Transect 2_imgsummary'!E12:I12,"MILL")*100/P12)</f>
        <v>0</v>
      </c>
      <c r="AX12">
        <f>IF(P12=0,0,COUNTIF('Transect 2_imgsummary'!E12:I12,"MONT")*100/P12)</f>
        <v>0</v>
      </c>
      <c r="AY12">
        <f>IF(P12=0,0,COUNTIF('Transect 2_imgsummary'!E12:I12,"MONTI")*100/P12)</f>
        <v>0</v>
      </c>
      <c r="AZ12">
        <f>IF(P12=0,0,COUNTIF('Transect 2_imgsummary'!E12:I12,"MYCED")*100/P12)</f>
        <v>0</v>
      </c>
      <c r="BA12">
        <f>IF(P12=0,0,COUNTIF('Transect 2_imgsummary'!E12:I12,"OULO")*100/P12)</f>
        <v>0</v>
      </c>
      <c r="BB12">
        <f>IF(P12=0,0,COUNTIF('Transect 2_imgsummary'!E12:I12,"OXYP")*100/P12)</f>
        <v>0</v>
      </c>
      <c r="BC12">
        <f>IF(P12=0,0,COUNTIF('Transect 2_imgsummary'!E12:I12,"PLSIA")*100/P12)</f>
        <v>0</v>
      </c>
      <c r="BD12">
        <f>IF(P12=0,0,COUNTIF('Transect 2_imgsummary'!E12:I12,"PACHY")*100/P12)</f>
        <v>0</v>
      </c>
      <c r="BE12">
        <f>IF(P12=0,0,COUNTIF('Transect 2_imgsummary'!E12:I12,"PAV")*100/P12)</f>
        <v>0</v>
      </c>
      <c r="BF12">
        <f>IF(P12=0,0,COUNTIF('Transect 2_imgsummary'!E12:I12,"PECT")*100/P12)</f>
        <v>0</v>
      </c>
      <c r="BG12">
        <f>IF(P12=0,0,COUNTIF('Transect 2_imgsummary'!E12:I12,"PHYSO")*100/P12)</f>
        <v>0</v>
      </c>
      <c r="BH12">
        <f>IF(P12=0,0,COUNTIF('Transect 2_imgsummary'!E12:I12,"PLAT")*100/P12)</f>
        <v>0</v>
      </c>
      <c r="BI12">
        <f>IF(P12=0,0,COUNTIF('Transect 2_imgsummary'!E12:I12,"PLERO")*100/P12)</f>
        <v>0</v>
      </c>
      <c r="BJ12">
        <f>IF(P12=0,0,COUNTIF('Transect 2_imgsummary'!E12:I12,"POC")*100/P12)</f>
        <v>0</v>
      </c>
      <c r="BK12">
        <f>IF(P12=0,0,COUNTIF('Transect 2_imgsummary'!E12:I12,"POR")*100/P12)</f>
        <v>0</v>
      </c>
      <c r="BL12">
        <f>IF(P12=0,0,COUNTIF('Transect 2_imgsummary'!E12:I12,"PORCYL")*100/P12)</f>
        <v>0</v>
      </c>
      <c r="BM12">
        <f>IF(P12=0,0,COUNTIF('Transect 2_imgsummary'!E12:I12,"PORMAS")*100/P12)</f>
        <v>0</v>
      </c>
      <c r="BN12">
        <f>IF(P12=0,0,COUNTIF('Transect 2_imgsummary'!E12:I12,"PORRUS")*100/P12)</f>
        <v>0</v>
      </c>
      <c r="BO12">
        <f>IF(P12=0,0,COUNTIF('Transect 2_imgsummary'!E12:I12,"PSAM")*100/P12)</f>
        <v>0</v>
      </c>
      <c r="BP12">
        <f>IF(P12=0,0,COUNTIF('Transect 2_imgsummary'!E12:I12,"SANDO")*100/P12)</f>
        <v>0</v>
      </c>
      <c r="BQ12">
        <f>IF(P12=0,0,COUNTIF('Transect 2_imgsummary'!E12:I12,"SCAP")*100/P12)</f>
        <v>0</v>
      </c>
      <c r="BR12">
        <f>IF(P12=0,0,COUNTIF('Transect 2_imgsummary'!E12:I12,"SERIA")*100/P12)</f>
        <v>0</v>
      </c>
      <c r="BS12">
        <f>IF(P12=0,0,COUNTIF('Transect 2_imgsummary'!E12:I12,"STYLC")*100/P12)</f>
        <v>0</v>
      </c>
      <c r="BT12">
        <f>IF(P12=0,0,COUNTIF('Transect 2_imgsummary'!E12:I12,"STYLO")*100/P12)</f>
        <v>0</v>
      </c>
      <c r="BU12">
        <f>IF(P12=0,0,COUNTIF('Transect 2_imgsummary'!E12:I12,"SYMP")*100/P12)</f>
        <v>0</v>
      </c>
      <c r="BV12">
        <f>IF(P12=0,0,COUNTIF('Transect 2_imgsummary'!E12:I12,"TURBIN")*100/P12)</f>
        <v>0</v>
      </c>
      <c r="BX12">
        <f>IF(P12=0,0,COUNTIF('Transect 2_imgsummary'!E12:I12,"ANEM")*100/P12)</f>
        <v>0</v>
      </c>
      <c r="BY12">
        <f>IF(P12=0,0,COUNTIF('Transect 2_imgsummary'!E12:I12,"ASC")*100/P12)</f>
        <v>0</v>
      </c>
      <c r="BZ12">
        <f>IF(P12=0,0,COUNTIF('Transect 2_imgsummary'!E12:I12,"CUPS")*100/P12)</f>
        <v>0</v>
      </c>
      <c r="CA12">
        <f>IF(P12=0,0,COUNTIF('Transect 2_imgsummary'!E12:I12,"DISCO")*100/P12)</f>
        <v>0</v>
      </c>
      <c r="CB12">
        <f>IF(P12=0,0,COUNTIF('Transect 2_imgsummary'!E12:I12,"DYS")*100/P12)</f>
        <v>0</v>
      </c>
      <c r="CC12">
        <f>IF(P12=0,0,COUNTIF('Transect 2_imgsummary'!E12:I12,"G")*100/P12)</f>
        <v>0</v>
      </c>
      <c r="CD12">
        <f>IF(P12=0,0,COUNTIF('Transect 2_imgsummary'!E12:I12,"NoIDINV")*100/P12)</f>
        <v>0</v>
      </c>
      <c r="CE12">
        <f>IF(P12=0,0,COUNTIF('Transect 2_imgsummary'!E12:I12,"OLV")*100/P12)</f>
        <v>0</v>
      </c>
      <c r="CF12">
        <f>IF(P12=0,0,COUNTIF('Transect 2_imgsummary'!E12:I12,"SC")*100/P12)</f>
        <v>0</v>
      </c>
      <c r="CG12">
        <f>IF(P12=0,0,COUNTIF('Transect 2_imgsummary'!E12:I12,"S")*100/P12)</f>
        <v>0</v>
      </c>
      <c r="CH12">
        <f>IF(P12=0,0,COUNTIF('Transect 2_imgsummary'!E12:I12,"TERPS")*100/P12)</f>
        <v>0</v>
      </c>
      <c r="CI12">
        <f>IF(P12=0,0,COUNTIF('Transect 2_imgsummary'!E12:I12,"Z")*100/P12)</f>
        <v>0</v>
      </c>
      <c r="CK12">
        <f>IF(P12=0,0,COUNTIF('Transect 2_imgsummary'!E12:I12,"ASP")*100/P12)</f>
        <v>0</v>
      </c>
      <c r="CL12">
        <f>IF(P12=0,0,COUNTIF('Transect 2_imgsummary'!E12:I12,"BG")*100/P12)</f>
        <v>0</v>
      </c>
      <c r="CM12">
        <f>IF(P12=0,0,COUNTIF('Transect 2_imgsummary'!E12:I12,"Bood")*100/P12)</f>
        <v>0</v>
      </c>
      <c r="CN12">
        <f>IF(P12=0,0,COUNTIF('Transect 2_imgsummary'!E12:I12,"BRYP")*100/P12)</f>
        <v>0</v>
      </c>
      <c r="CO12">
        <f>IF(P12=0,0,COUNTIF('Transect 2_imgsummary'!E12:I12,"CLP")*100/P12)</f>
        <v>0</v>
      </c>
      <c r="CP12">
        <f>IF(P12=0,0,COUNTIF('Transect 2_imgsummary'!E12:I12,"CHLDES")*100/P12)</f>
        <v>0</v>
      </c>
      <c r="CQ12">
        <f>IF(P12=0,0,COUNTIF('Transect 2_imgsummary'!E12:I12,"DYCTY")*100/P12)</f>
        <v>0</v>
      </c>
      <c r="CR12">
        <f>IF(P12=0,0,COUNTIF('Transect 2_imgsummary'!E12:I12,"DICT")*100/P12)</f>
        <v>0</v>
      </c>
      <c r="CS12">
        <f>IF(P12=0,0,COUNTIF('Transect 2_imgsummary'!E12:I12,"GLXU")*100/P12)</f>
        <v>0</v>
      </c>
      <c r="CT12">
        <f>IF(P12=0,0,COUNTIF('Transect 2_imgsummary'!E12:I12,"HALI")*100/P12)</f>
        <v>0</v>
      </c>
      <c r="CU12">
        <f>IF(P12=0,0,COUNTIF('Transect 2_imgsummary'!E12:I12,"LIAG")*100/P12)</f>
        <v>0</v>
      </c>
      <c r="CV12">
        <f>IF(P12=0,0,COUNTIF('Transect 2_imgsummary'!E12:I12,"LOBO")*100/P12)</f>
        <v>0</v>
      </c>
      <c r="CW12">
        <f>IF(P12=0,0,COUNTIF('Transect 2_imgsummary'!E12:I12,"MAST")*100/P12)</f>
        <v>0</v>
      </c>
      <c r="CX12">
        <f>IF(P12=0,0,COUNTIF('Transect 2_imgsummary'!E12:I12,"MICDTY")*100/P12)</f>
        <v>0</v>
      </c>
      <c r="CY12">
        <f>IF(P12=0,0,COUNTIF('Transect 2_imgsummary'!E12:I12,"NEOM")*100/P12)</f>
        <v>0</v>
      </c>
      <c r="CZ12">
        <f>IF(P12=0,0,COUNTIF('Transect 2_imgsummary'!E12:I12,"NOIDMAC")*100/P12)</f>
        <v>0</v>
      </c>
      <c r="DA12">
        <f>IF(P12=0,0,COUNTIF('Transect 2_imgsummary'!E12:I12,"PAD")*100/P12)</f>
        <v>0</v>
      </c>
      <c r="DB12">
        <f>IF(P12=0,0,COUNTIF('Transect 2_imgsummary'!E12:I12,"SARG")*100/P12)</f>
        <v>0</v>
      </c>
      <c r="DC12">
        <f>IF(P12=0,0,COUNTIF('Transect 2_imgsummary'!E12:I12,"SCHIZ")*100/P12)</f>
        <v>0</v>
      </c>
      <c r="DD12">
        <f>IF(P12=0,0,COUNTIF('Transect 2_imgsummary'!E12:I12,"TURB")*100/P12)</f>
        <v>0</v>
      </c>
      <c r="DE12">
        <f>IF(P12=0,0,COUNTIF('Transect 2_imgsummary'!E12:I12,"TYDM")*100/P12)</f>
        <v>0</v>
      </c>
      <c r="DG12">
        <f>IF(P12=0,0,COUNTIF('Transect 2_imgsummary'!E12:I12,"AMP")*100/P12)</f>
        <v>0</v>
      </c>
      <c r="DH12">
        <f>IF(P12=0,0,COUNTIF('Transect 2_imgsummary'!E12:I12,"BCA1")*100/P12)</f>
        <v>0</v>
      </c>
      <c r="DI12">
        <f>IF(P12=0,0,COUNTIF('Transect 2_imgsummary'!E12:I12,"JAN")*100/P12)</f>
        <v>0</v>
      </c>
      <c r="DK12" s="29">
        <f>IF(P12=0,0,COUNTIF('Transect 2_imgsummary'!E12:I12,"CCA1")*100/P12)</f>
        <v>20</v>
      </c>
      <c r="DM12">
        <f>IF(P12=0,0,COUNTIF('Transect 2_imgsummary'!E12:I12,"Sand")*100/P12)</f>
        <v>0</v>
      </c>
      <c r="DO12">
        <f>IF(P12=0,0,COUNTIF('Transect 2_imgsummary'!E12:I12,"FCA1")*100/P12)</f>
        <v>0</v>
      </c>
      <c r="DQ12">
        <f>IF(P12=0,0,COUNTIF('Transect 2_imgsummary'!E12:I12,"CHRYOBRN")*100/P12)</f>
        <v>0</v>
      </c>
      <c r="DS12" s="29">
        <f>IF(P12=0,0,COUNTIF('Transect 2_imgsummary'!E12:I12,"TURF")*100/P12)</f>
        <v>20</v>
      </c>
      <c r="DU12">
        <f>COUNTIF('Transect 2_imgsummary'!E12:I12,"Shadow")*100/5</f>
        <v>0</v>
      </c>
      <c r="DV12">
        <f>COUNTIF('Transect 2_imgsummary'!E12:I12,"Tape")*100/5</f>
        <v>0</v>
      </c>
      <c r="DW12">
        <f>COUNTIF('Transect 2_imgsummary'!E12:I12,"Wand")*100/5</f>
        <v>0</v>
      </c>
      <c r="DY12">
        <f>IF(P12=0,0,COUNTIF('Transect 2_imgsummary'!O12:S12,"BC")*100/P12)</f>
        <v>0</v>
      </c>
    </row>
    <row r="13" spans="1:129">
      <c r="A13">
        <v>11</v>
      </c>
      <c r="B13" t="s">
        <v>440</v>
      </c>
      <c r="F13" s="29">
        <f>IF(P13=0,0,COUNTIF('Transect 2_imgsummary'!J13:N13,"C")*100/P13)</f>
        <v>100</v>
      </c>
      <c r="G13">
        <f>IF(P13=0,0,COUNTIF('Transect 2_imgsummary'!J13:N13,"OI")*100/P13)</f>
        <v>0</v>
      </c>
      <c r="H13">
        <f>IF(P13=0,0,COUNTIF('Transect 2_imgsummary'!J13:N13,"MA")*100/P13)</f>
        <v>0</v>
      </c>
      <c r="I13">
        <f>IF(P13=0,0,COUNTIF('Transect 2_imgsummary'!J13:N13,"BCA")*100/P13)</f>
        <v>0</v>
      </c>
      <c r="J13">
        <f>IF(P13=0,0,COUNTIF('Transect 2_imgsummary'!J13:N13,"CCA")*100/P13)</f>
        <v>0</v>
      </c>
      <c r="K13">
        <f>IF(P13=0,0,COUNTIF('Transect 2_imgsummary'!J13:N13,"SD")*100/P13)</f>
        <v>0</v>
      </c>
      <c r="L13">
        <f>IF(P13=0,0,COUNTIF('Transect 2_imgsummary'!J13:N13,"FCA")*100/P13)</f>
        <v>0</v>
      </c>
      <c r="M13">
        <f>IF(P13=0,0,COUNTIF('Transect 2_imgsummary'!J13:N13,"CHRYS")*100/P13)</f>
        <v>0</v>
      </c>
      <c r="N13">
        <f>IF(P13=0,0,COUNTIF('Transect 2_imgsummary'!J13:N13,"T")*100/P13)</f>
        <v>0</v>
      </c>
      <c r="O13">
        <f>IF(P13=0,0,COUNTIF('Transect 2_imgsummary'!J13:N13,"TWS")*100/P13)</f>
        <v>0</v>
      </c>
      <c r="P13">
        <f>5-COUNTIF('Transect 2_imgsummary'!J13:N13,"TWS")</f>
        <v>5</v>
      </c>
      <c r="S13">
        <f>IF(P13=0,0,COUNTIF('Transect 2_imgsummary'!E13:I13,"ACAN")*100/P13)</f>
        <v>0</v>
      </c>
      <c r="T13">
        <f>IF(P13=0,0,COUNTIF('Transect 2_imgsummary'!E13:I13,"ACROP")*100/P13)</f>
        <v>0</v>
      </c>
      <c r="U13">
        <f>IF(P13=0,0,COUNTIF('Transect 2_imgsummary'!E13:I13,"ACROPARB")*100/P13)</f>
        <v>0</v>
      </c>
      <c r="V13">
        <f>IF(P13=0,0,COUNTIF('Transect 2_imgsummary'!E13:I13,"ACROST")*100/P13)</f>
        <v>0</v>
      </c>
      <c r="W13">
        <f>IF(P13=0,0,COUNTIF('Transect 2_imgsummary'!E13:I13,"ACROTBL")*100/P13)</f>
        <v>0</v>
      </c>
      <c r="X13">
        <f>IF(P13=0,0,COUNTIF('Transect 2_imgsummary'!E13:I13,"ASTRP")*100/P13)</f>
        <v>0</v>
      </c>
      <c r="Y13">
        <f>IF(P13=0,0,COUNTIF('Transect 2_imgsummary'!E13:I13,"CAUL")*100/P13)</f>
        <v>0</v>
      </c>
      <c r="Z13">
        <f>IF(P13=0,0,COUNTIF('Transect 2_imgsummary'!E13:I13,"COSC")*100/P13)</f>
        <v>0</v>
      </c>
      <c r="AA13">
        <f>IF(P13=0,0,COUNTIF('Transect 2_imgsummary'!E13:I13,"CTEN")*100/P13)</f>
        <v>0</v>
      </c>
      <c r="AB13">
        <f>IF(P13=0,0,COUNTIF('Transect 2_imgsummary'!E13:I13,"CYPH")*100/P13)</f>
        <v>0</v>
      </c>
      <c r="AC13">
        <f>IF(P13=0,0,COUNTIF('Transect 2_imgsummary'!E13:I13,"DIPLO")*100/P13)</f>
        <v>0</v>
      </c>
      <c r="AD13">
        <f>IF(P13=0,0,COUNTIF('Transect 2_imgsummary'!E13:I13,"ECHPO")*100/P13)</f>
        <v>0</v>
      </c>
      <c r="AE13">
        <f>IF(P13=0,0,COUNTIF('Transect 2_imgsummary'!E13:I13,"ECHPHY")*100/P13)</f>
        <v>0</v>
      </c>
      <c r="AF13">
        <f>IF(P13=0,0,COUNTIF('Transect 2_imgsummary'!E13:I13,"EUPH")*100/P13)</f>
        <v>0</v>
      </c>
      <c r="AG13" s="29">
        <f>IF(P13=0,0,COUNTIF('Transect 2_imgsummary'!E13:I13,"FAV")*100/P13)</f>
        <v>20</v>
      </c>
      <c r="AH13">
        <f>IF(P13=0,0,COUNTIF('Transect 2_imgsummary'!E13:I13,"FAVT")*100/P13)</f>
        <v>0</v>
      </c>
      <c r="AI13">
        <f>IF(P13=0,0,COUNTIF('Transect 2_imgsummary'!E13:I13,"FUNG")*100/P13)</f>
        <v>0</v>
      </c>
      <c r="AJ13">
        <f>IF(P13=0,0,COUNTIF('Transect 2_imgsummary'!E13:I13,"GAL")*100/P13)</f>
        <v>0</v>
      </c>
      <c r="AK13">
        <f>IF(P13=0,0,COUNTIF('Transect 2_imgsummary'!E13:I13,"GARD")*100/P13)</f>
        <v>0</v>
      </c>
      <c r="AL13">
        <f>IF(P13=0,0,COUNTIF('Transect 2_imgsummary'!E13:I13,"GON")*100/P13)</f>
        <v>0</v>
      </c>
      <c r="AM13">
        <f>IF(P13=0,0,COUNTIF('Transect 2_imgsummary'!E13:I13,"GONIO")*100/P13)</f>
        <v>0</v>
      </c>
      <c r="AN13">
        <f>IF(P13=0,0,COUNTIF('Transect 2_imgsummary'!E13:I13,"HELIO")*100/P13)</f>
        <v>0</v>
      </c>
      <c r="AO13">
        <f>IF(P13=0,0,COUNTIF('Transect 2_imgsummary'!E13:I13,"HERP")*100/P13)</f>
        <v>0</v>
      </c>
      <c r="AP13">
        <f>IF(P13=0,0,COUNTIF('Transect 2_imgsummary'!E13:I13,"HYD")*100/P13)</f>
        <v>0</v>
      </c>
      <c r="AQ13">
        <f>IF(P13=0,0,COUNTIF('Transect 2_imgsummary'!E13:I13,"ISOP")*100/P13)</f>
        <v>0</v>
      </c>
      <c r="AR13" s="29">
        <f>IF(P13=0,0,COUNTIF('Transect 2_imgsummary'!E13:I13,"LEPT")*100/P13)</f>
        <v>40</v>
      </c>
      <c r="AS13">
        <f>IF(P13=0,0,COUNTIF('Transect 2_imgsummary'!E13:I13,"LEPTOR")*100/P13)</f>
        <v>0</v>
      </c>
      <c r="AT13">
        <f>IF(P13=0,0,COUNTIF('Transect 2_imgsummary'!E13:I13,"LEPTOS")*100/P13)</f>
        <v>0</v>
      </c>
      <c r="AU13">
        <f>IF(P13=0,0,COUNTIF('Transect 2_imgsummary'!E13:I13,"LOBOPH")*100/P13)</f>
        <v>0</v>
      </c>
      <c r="AV13">
        <f>IF(P13=0,0,COUNTIF('Transect 2_imgsummary'!E13:I13,"MERU")*100/P13)</f>
        <v>0</v>
      </c>
      <c r="AW13">
        <f>IF(P13=0,0,COUNTIF('Transect 2_imgsummary'!E13:I13,"MILL")*100/P13)</f>
        <v>0</v>
      </c>
      <c r="AX13">
        <f>IF(P13=0,0,COUNTIF('Transect 2_imgsummary'!E13:I13,"MONT")*100/P13)</f>
        <v>0</v>
      </c>
      <c r="AY13">
        <f>IF(P13=0,0,COUNTIF('Transect 2_imgsummary'!E13:I13,"MONTI")*100/P13)</f>
        <v>0</v>
      </c>
      <c r="AZ13">
        <f>IF(P13=0,0,COUNTIF('Transect 2_imgsummary'!E13:I13,"MYCED")*100/P13)</f>
        <v>0</v>
      </c>
      <c r="BA13">
        <f>IF(P13=0,0,COUNTIF('Transect 2_imgsummary'!E13:I13,"OULO")*100/P13)</f>
        <v>0</v>
      </c>
      <c r="BB13">
        <f>IF(P13=0,0,COUNTIF('Transect 2_imgsummary'!E13:I13,"OXYP")*100/P13)</f>
        <v>0</v>
      </c>
      <c r="BC13">
        <f>IF(P13=0,0,COUNTIF('Transect 2_imgsummary'!E13:I13,"PLSIA")*100/P13)</f>
        <v>0</v>
      </c>
      <c r="BD13">
        <f>IF(P13=0,0,COUNTIF('Transect 2_imgsummary'!E13:I13,"PACHY")*100/P13)</f>
        <v>0</v>
      </c>
      <c r="BE13">
        <f>IF(P13=0,0,COUNTIF('Transect 2_imgsummary'!E13:I13,"PAV")*100/P13)</f>
        <v>0</v>
      </c>
      <c r="BF13">
        <f>IF(P13=0,0,COUNTIF('Transect 2_imgsummary'!E13:I13,"PECT")*100/P13)</f>
        <v>0</v>
      </c>
      <c r="BG13">
        <f>IF(P13=0,0,COUNTIF('Transect 2_imgsummary'!E13:I13,"PHYSO")*100/P13)</f>
        <v>0</v>
      </c>
      <c r="BH13">
        <f>IF(P13=0,0,COUNTIF('Transect 2_imgsummary'!E13:I13,"PLAT")*100/P13)</f>
        <v>0</v>
      </c>
      <c r="BI13">
        <f>IF(P13=0,0,COUNTIF('Transect 2_imgsummary'!E13:I13,"PLERO")*100/P13)</f>
        <v>0</v>
      </c>
      <c r="BJ13">
        <f>IF(P13=0,0,COUNTIF('Transect 2_imgsummary'!E13:I13,"POC")*100/P13)</f>
        <v>0</v>
      </c>
      <c r="BK13">
        <f>IF(P13=0,0,COUNTIF('Transect 2_imgsummary'!E13:I13,"POR")*100/P13)</f>
        <v>0</v>
      </c>
      <c r="BL13">
        <f>IF(P13=0,0,COUNTIF('Transect 2_imgsummary'!E13:I13,"PORCYL")*100/P13)</f>
        <v>0</v>
      </c>
      <c r="BM13" s="29">
        <f>IF(P13=0,0,COUNTIF('Transect 2_imgsummary'!E13:I13,"PORMAS")*100/P13)</f>
        <v>20</v>
      </c>
      <c r="BN13">
        <f>IF(P13=0,0,COUNTIF('Transect 2_imgsummary'!E13:I13,"PORRUS")*100/P13)</f>
        <v>0</v>
      </c>
      <c r="BO13">
        <f>IF(P13=0,0,COUNTIF('Transect 2_imgsummary'!E13:I13,"PSAM")*100/P13)</f>
        <v>0</v>
      </c>
      <c r="BP13">
        <f>IF(P13=0,0,COUNTIF('Transect 2_imgsummary'!E13:I13,"SANDO")*100/P13)</f>
        <v>0</v>
      </c>
      <c r="BQ13">
        <f>IF(P13=0,0,COUNTIF('Transect 2_imgsummary'!E13:I13,"SCAP")*100/P13)</f>
        <v>0</v>
      </c>
      <c r="BR13">
        <f>IF(P13=0,0,COUNTIF('Transect 2_imgsummary'!E13:I13,"SERIA")*100/P13)</f>
        <v>0</v>
      </c>
      <c r="BS13">
        <f>IF(P13=0,0,COUNTIF('Transect 2_imgsummary'!E13:I13,"STYLC")*100/P13)</f>
        <v>0</v>
      </c>
      <c r="BT13" s="29">
        <f>IF(P13=0,0,COUNTIF('Transect 2_imgsummary'!E13:I13,"STYLO")*100/P13)</f>
        <v>20</v>
      </c>
      <c r="BU13">
        <f>IF(P13=0,0,COUNTIF('Transect 2_imgsummary'!E13:I13,"SYMP")*100/P13)</f>
        <v>0</v>
      </c>
      <c r="BV13">
        <f>IF(P13=0,0,COUNTIF('Transect 2_imgsummary'!E13:I13,"TURBIN")*100/P13)</f>
        <v>0</v>
      </c>
      <c r="BX13">
        <f>IF(P13=0,0,COUNTIF('Transect 2_imgsummary'!E13:I13,"ANEM")*100/P13)</f>
        <v>0</v>
      </c>
      <c r="BY13">
        <f>IF(P13=0,0,COUNTIF('Transect 2_imgsummary'!E13:I13,"ASC")*100/P13)</f>
        <v>0</v>
      </c>
      <c r="BZ13">
        <f>IF(P13=0,0,COUNTIF('Transect 2_imgsummary'!E13:I13,"CUPS")*100/P13)</f>
        <v>0</v>
      </c>
      <c r="CA13">
        <f>IF(P13=0,0,COUNTIF('Transect 2_imgsummary'!E13:I13,"DISCO")*100/P13)</f>
        <v>0</v>
      </c>
      <c r="CB13">
        <f>IF(P13=0,0,COUNTIF('Transect 2_imgsummary'!E13:I13,"DYS")*100/P13)</f>
        <v>0</v>
      </c>
      <c r="CC13">
        <f>IF(P13=0,0,COUNTIF('Transect 2_imgsummary'!E13:I13,"G")*100/P13)</f>
        <v>0</v>
      </c>
      <c r="CD13">
        <f>IF(P13=0,0,COUNTIF('Transect 2_imgsummary'!E13:I13,"NoIDINV")*100/P13)</f>
        <v>0</v>
      </c>
      <c r="CE13">
        <f>IF(P13=0,0,COUNTIF('Transect 2_imgsummary'!E13:I13,"OLV")*100/P13)</f>
        <v>0</v>
      </c>
      <c r="CF13">
        <f>IF(P13=0,0,COUNTIF('Transect 2_imgsummary'!E13:I13,"SC")*100/P13)</f>
        <v>0</v>
      </c>
      <c r="CG13">
        <f>IF(P13=0,0,COUNTIF('Transect 2_imgsummary'!E13:I13,"S")*100/P13)</f>
        <v>0</v>
      </c>
      <c r="CH13">
        <f>IF(P13=0,0,COUNTIF('Transect 2_imgsummary'!E13:I13,"TERPS")*100/P13)</f>
        <v>0</v>
      </c>
      <c r="CI13">
        <f>IF(P13=0,0,COUNTIF('Transect 2_imgsummary'!E13:I13,"Z")*100/P13)</f>
        <v>0</v>
      </c>
      <c r="CK13">
        <f>IF(P13=0,0,COUNTIF('Transect 2_imgsummary'!E13:I13,"ASP")*100/P13)</f>
        <v>0</v>
      </c>
      <c r="CL13">
        <f>IF(P13=0,0,COUNTIF('Transect 2_imgsummary'!E13:I13,"BG")*100/P13)</f>
        <v>0</v>
      </c>
      <c r="CM13">
        <f>IF(P13=0,0,COUNTIF('Transect 2_imgsummary'!E13:I13,"Bood")*100/P13)</f>
        <v>0</v>
      </c>
      <c r="CN13">
        <f>IF(P13=0,0,COUNTIF('Transect 2_imgsummary'!E13:I13,"BRYP")*100/P13)</f>
        <v>0</v>
      </c>
      <c r="CO13">
        <f>IF(P13=0,0,COUNTIF('Transect 2_imgsummary'!E13:I13,"CLP")*100/P13)</f>
        <v>0</v>
      </c>
      <c r="CP13">
        <f>IF(P13=0,0,COUNTIF('Transect 2_imgsummary'!E13:I13,"CHLDES")*100/P13)</f>
        <v>0</v>
      </c>
      <c r="CQ13">
        <f>IF(P13=0,0,COUNTIF('Transect 2_imgsummary'!E13:I13,"DYCTY")*100/P13)</f>
        <v>0</v>
      </c>
      <c r="CR13">
        <f>IF(P13=0,0,COUNTIF('Transect 2_imgsummary'!E13:I13,"DICT")*100/P13)</f>
        <v>0</v>
      </c>
      <c r="CS13">
        <f>IF(P13=0,0,COUNTIF('Transect 2_imgsummary'!E13:I13,"GLXU")*100/P13)</f>
        <v>0</v>
      </c>
      <c r="CT13">
        <f>IF(P13=0,0,COUNTIF('Transect 2_imgsummary'!E13:I13,"HALI")*100/P13)</f>
        <v>0</v>
      </c>
      <c r="CU13">
        <f>IF(P13=0,0,COUNTIF('Transect 2_imgsummary'!E13:I13,"LIAG")*100/P13)</f>
        <v>0</v>
      </c>
      <c r="CV13">
        <f>IF(P13=0,0,COUNTIF('Transect 2_imgsummary'!E13:I13,"LOBO")*100/P13)</f>
        <v>0</v>
      </c>
      <c r="CW13">
        <f>IF(P13=0,0,COUNTIF('Transect 2_imgsummary'!E13:I13,"MAST")*100/P13)</f>
        <v>0</v>
      </c>
      <c r="CX13">
        <f>IF(P13=0,0,COUNTIF('Transect 2_imgsummary'!E13:I13,"MICDTY")*100/P13)</f>
        <v>0</v>
      </c>
      <c r="CY13">
        <f>IF(P13=0,0,COUNTIF('Transect 2_imgsummary'!E13:I13,"NEOM")*100/P13)</f>
        <v>0</v>
      </c>
      <c r="CZ13">
        <f>IF(P13=0,0,COUNTIF('Transect 2_imgsummary'!E13:I13,"NOIDMAC")*100/P13)</f>
        <v>0</v>
      </c>
      <c r="DA13">
        <f>IF(P13=0,0,COUNTIF('Transect 2_imgsummary'!E13:I13,"PAD")*100/P13)</f>
        <v>0</v>
      </c>
      <c r="DB13">
        <f>IF(P13=0,0,COUNTIF('Transect 2_imgsummary'!E13:I13,"SARG")*100/P13)</f>
        <v>0</v>
      </c>
      <c r="DC13">
        <f>IF(P13=0,0,COUNTIF('Transect 2_imgsummary'!E13:I13,"SCHIZ")*100/P13)</f>
        <v>0</v>
      </c>
      <c r="DD13">
        <f>IF(P13=0,0,COUNTIF('Transect 2_imgsummary'!E13:I13,"TURB")*100/P13)</f>
        <v>0</v>
      </c>
      <c r="DE13">
        <f>IF(P13=0,0,COUNTIF('Transect 2_imgsummary'!E13:I13,"TYDM")*100/P13)</f>
        <v>0</v>
      </c>
      <c r="DG13">
        <f>IF(P13=0,0,COUNTIF('Transect 2_imgsummary'!E13:I13,"AMP")*100/P13)</f>
        <v>0</v>
      </c>
      <c r="DH13">
        <f>IF(P13=0,0,COUNTIF('Transect 2_imgsummary'!E13:I13,"BCA1")*100/P13)</f>
        <v>0</v>
      </c>
      <c r="DI13">
        <f>IF(P13=0,0,COUNTIF('Transect 2_imgsummary'!E13:I13,"JAN")*100/P13)</f>
        <v>0</v>
      </c>
      <c r="DK13">
        <f>IF(P13=0,0,COUNTIF('Transect 2_imgsummary'!E13:I13,"CCA1")*100/P13)</f>
        <v>0</v>
      </c>
      <c r="DM13">
        <f>IF(P13=0,0,COUNTIF('Transect 2_imgsummary'!E13:I13,"Sand")*100/P13)</f>
        <v>0</v>
      </c>
      <c r="DO13">
        <f>IF(P13=0,0,COUNTIF('Transect 2_imgsummary'!E13:I13,"FCA1")*100/P13)</f>
        <v>0</v>
      </c>
      <c r="DQ13">
        <f>IF(P13=0,0,COUNTIF('Transect 2_imgsummary'!E13:I13,"CHRYOBRN")*100/P13)</f>
        <v>0</v>
      </c>
      <c r="DS13">
        <f>IF(P13=0,0,COUNTIF('Transect 2_imgsummary'!E13:I13,"TURF")*100/P13)</f>
        <v>0</v>
      </c>
      <c r="DU13">
        <f>COUNTIF('Transect 2_imgsummary'!E13:I13,"Shadow")*100/5</f>
        <v>0</v>
      </c>
      <c r="DV13">
        <f>COUNTIF('Transect 2_imgsummary'!E13:I13,"Tape")*100/5</f>
        <v>0</v>
      </c>
      <c r="DW13">
        <f>COUNTIF('Transect 2_imgsummary'!E13:I13,"Wand")*100/5</f>
        <v>0</v>
      </c>
      <c r="DY13">
        <f>IF(P13=0,0,COUNTIF('Transect 2_imgsummary'!O13:S13,"BC")*100/P13)</f>
        <v>0</v>
      </c>
    </row>
    <row r="14" spans="1:129">
      <c r="A14">
        <v>12</v>
      </c>
      <c r="B14" t="s">
        <v>441</v>
      </c>
      <c r="F14" s="29">
        <f>IF(P14=0,0,COUNTIF('Transect 2_imgsummary'!J14:N14,"C")*100/P14)</f>
        <v>100</v>
      </c>
      <c r="G14">
        <f>IF(P14=0,0,COUNTIF('Transect 2_imgsummary'!J14:N14,"OI")*100/P14)</f>
        <v>0</v>
      </c>
      <c r="H14">
        <f>IF(P14=0,0,COUNTIF('Transect 2_imgsummary'!J14:N14,"MA")*100/P14)</f>
        <v>0</v>
      </c>
      <c r="I14">
        <f>IF(P14=0,0,COUNTIF('Transect 2_imgsummary'!J14:N14,"BCA")*100/P14)</f>
        <v>0</v>
      </c>
      <c r="J14">
        <f>IF(P14=0,0,COUNTIF('Transect 2_imgsummary'!J14:N14,"CCA")*100/P14)</f>
        <v>0</v>
      </c>
      <c r="K14">
        <f>IF(P14=0,0,COUNTIF('Transect 2_imgsummary'!J14:N14,"SD")*100/P14)</f>
        <v>0</v>
      </c>
      <c r="L14">
        <f>IF(P14=0,0,COUNTIF('Transect 2_imgsummary'!J14:N14,"FCA")*100/P14)</f>
        <v>0</v>
      </c>
      <c r="M14">
        <f>IF(P14=0,0,COUNTIF('Transect 2_imgsummary'!J14:N14,"CHRYS")*100/P14)</f>
        <v>0</v>
      </c>
      <c r="N14">
        <f>IF(P14=0,0,COUNTIF('Transect 2_imgsummary'!J14:N14,"T")*100/P14)</f>
        <v>0</v>
      </c>
      <c r="O14">
        <f>IF(P14=0,0,COUNTIF('Transect 2_imgsummary'!J14:N14,"TWS")*100/P14)</f>
        <v>0</v>
      </c>
      <c r="P14">
        <f>5-COUNTIF('Transect 2_imgsummary'!J14:N14,"TWS")</f>
        <v>5</v>
      </c>
      <c r="S14">
        <f>IF(P14=0,0,COUNTIF('Transect 2_imgsummary'!E14:I14,"ACAN")*100/P14)</f>
        <v>0</v>
      </c>
      <c r="T14">
        <f>IF(P14=0,0,COUNTIF('Transect 2_imgsummary'!E14:I14,"ACROP")*100/P14)</f>
        <v>0</v>
      </c>
      <c r="U14">
        <f>IF(P14=0,0,COUNTIF('Transect 2_imgsummary'!E14:I14,"ACROPARB")*100/P14)</f>
        <v>0</v>
      </c>
      <c r="V14">
        <f>IF(P14=0,0,COUNTIF('Transect 2_imgsummary'!E14:I14,"ACROST")*100/P14)</f>
        <v>0</v>
      </c>
      <c r="W14" s="29">
        <f>IF(P14=0,0,COUNTIF('Transect 2_imgsummary'!E14:I14,"ACROTBL")*100/P14)</f>
        <v>80</v>
      </c>
      <c r="X14">
        <f>IF(P14=0,0,COUNTIF('Transect 2_imgsummary'!E14:I14,"ASTRP")*100/P14)</f>
        <v>0</v>
      </c>
      <c r="Y14">
        <f>IF(P14=0,0,COUNTIF('Transect 2_imgsummary'!E14:I14,"CAUL")*100/P14)</f>
        <v>0</v>
      </c>
      <c r="Z14">
        <f>IF(P14=0,0,COUNTIF('Transect 2_imgsummary'!E14:I14,"COSC")*100/P14)</f>
        <v>0</v>
      </c>
      <c r="AA14">
        <f>IF(P14=0,0,COUNTIF('Transect 2_imgsummary'!E14:I14,"CTEN")*100/P14)</f>
        <v>0</v>
      </c>
      <c r="AB14">
        <f>IF(P14=0,0,COUNTIF('Transect 2_imgsummary'!E14:I14,"CYPH")*100/P14)</f>
        <v>0</v>
      </c>
      <c r="AC14">
        <f>IF(P14=0,0,COUNTIF('Transect 2_imgsummary'!E14:I14,"DIPLO")*100/P14)</f>
        <v>0</v>
      </c>
      <c r="AD14">
        <f>IF(P14=0,0,COUNTIF('Transect 2_imgsummary'!E14:I14,"ECHPO")*100/P14)</f>
        <v>0</v>
      </c>
      <c r="AE14">
        <f>IF(P14=0,0,COUNTIF('Transect 2_imgsummary'!E14:I14,"ECHPHY")*100/P14)</f>
        <v>0</v>
      </c>
      <c r="AF14">
        <f>IF(P14=0,0,COUNTIF('Transect 2_imgsummary'!E14:I14,"EUPH")*100/P14)</f>
        <v>0</v>
      </c>
      <c r="AG14">
        <f>IF(P14=0,0,COUNTIF('Transect 2_imgsummary'!E14:I14,"FAV")*100/P14)</f>
        <v>0</v>
      </c>
      <c r="AH14">
        <f>IF(P14=0,0,COUNTIF('Transect 2_imgsummary'!E14:I14,"FAVT")*100/P14)</f>
        <v>0</v>
      </c>
      <c r="AI14">
        <f>IF(P14=0,0,COUNTIF('Transect 2_imgsummary'!E14:I14,"FUNG")*100/P14)</f>
        <v>0</v>
      </c>
      <c r="AJ14">
        <f>IF(P14=0,0,COUNTIF('Transect 2_imgsummary'!E14:I14,"GAL")*100/P14)</f>
        <v>0</v>
      </c>
      <c r="AK14">
        <f>IF(P14=0,0,COUNTIF('Transect 2_imgsummary'!E14:I14,"GARD")*100/P14)</f>
        <v>0</v>
      </c>
      <c r="AL14">
        <f>IF(P14=0,0,COUNTIF('Transect 2_imgsummary'!E14:I14,"GON")*100/P14)</f>
        <v>0</v>
      </c>
      <c r="AM14">
        <f>IF(P14=0,0,COUNTIF('Transect 2_imgsummary'!E14:I14,"GONIO")*100/P14)</f>
        <v>0</v>
      </c>
      <c r="AN14">
        <f>IF(P14=0,0,COUNTIF('Transect 2_imgsummary'!E14:I14,"HELIO")*100/P14)</f>
        <v>0</v>
      </c>
      <c r="AO14">
        <f>IF(P14=0,0,COUNTIF('Transect 2_imgsummary'!E14:I14,"HERP")*100/P14)</f>
        <v>0</v>
      </c>
      <c r="AP14">
        <f>IF(P14=0,0,COUNTIF('Transect 2_imgsummary'!E14:I14,"HYD")*100/P14)</f>
        <v>0</v>
      </c>
      <c r="AQ14">
        <f>IF(P14=0,0,COUNTIF('Transect 2_imgsummary'!E14:I14,"ISOP")*100/P14)</f>
        <v>0</v>
      </c>
      <c r="AR14">
        <f>IF(P14=0,0,COUNTIF('Transect 2_imgsummary'!E14:I14,"LEPT")*100/P14)</f>
        <v>0</v>
      </c>
      <c r="AS14" s="29">
        <f>IF(P14=0,0,COUNTIF('Transect 2_imgsummary'!E14:I14,"LEPTOR")*100/P14)</f>
        <v>20</v>
      </c>
      <c r="AT14">
        <f>IF(P14=0,0,COUNTIF('Transect 2_imgsummary'!E14:I14,"LEPTOS")*100/P14)</f>
        <v>0</v>
      </c>
      <c r="AU14">
        <f>IF(P14=0,0,COUNTIF('Transect 2_imgsummary'!E14:I14,"LOBOPH")*100/P14)</f>
        <v>0</v>
      </c>
      <c r="AV14">
        <f>IF(P14=0,0,COUNTIF('Transect 2_imgsummary'!E14:I14,"MERU")*100/P14)</f>
        <v>0</v>
      </c>
      <c r="AW14">
        <f>IF(P14=0,0,COUNTIF('Transect 2_imgsummary'!E14:I14,"MILL")*100/P14)</f>
        <v>0</v>
      </c>
      <c r="AX14">
        <f>IF(P14=0,0,COUNTIF('Transect 2_imgsummary'!E14:I14,"MONT")*100/P14)</f>
        <v>0</v>
      </c>
      <c r="AY14">
        <f>IF(P14=0,0,COUNTIF('Transect 2_imgsummary'!E14:I14,"MONTI")*100/P14)</f>
        <v>0</v>
      </c>
      <c r="AZ14">
        <f>IF(P14=0,0,COUNTIF('Transect 2_imgsummary'!E14:I14,"MYCED")*100/P14)</f>
        <v>0</v>
      </c>
      <c r="BA14">
        <f>IF(P14=0,0,COUNTIF('Transect 2_imgsummary'!E14:I14,"OULO")*100/P14)</f>
        <v>0</v>
      </c>
      <c r="BB14">
        <f>IF(P14=0,0,COUNTIF('Transect 2_imgsummary'!E14:I14,"OXYP")*100/P14)</f>
        <v>0</v>
      </c>
      <c r="BC14">
        <f>IF(P14=0,0,COUNTIF('Transect 2_imgsummary'!E14:I14,"PLSIA")*100/P14)</f>
        <v>0</v>
      </c>
      <c r="BD14">
        <f>IF(P14=0,0,COUNTIF('Transect 2_imgsummary'!E14:I14,"PACHY")*100/P14)</f>
        <v>0</v>
      </c>
      <c r="BE14">
        <f>IF(P14=0,0,COUNTIF('Transect 2_imgsummary'!E14:I14,"PAV")*100/P14)</f>
        <v>0</v>
      </c>
      <c r="BF14">
        <f>IF(P14=0,0,COUNTIF('Transect 2_imgsummary'!E14:I14,"PECT")*100/P14)</f>
        <v>0</v>
      </c>
      <c r="BG14">
        <f>IF(P14=0,0,COUNTIF('Transect 2_imgsummary'!E14:I14,"PHYSO")*100/P14)</f>
        <v>0</v>
      </c>
      <c r="BH14">
        <f>IF(P14=0,0,COUNTIF('Transect 2_imgsummary'!E14:I14,"PLAT")*100/P14)</f>
        <v>0</v>
      </c>
      <c r="BI14">
        <f>IF(P14=0,0,COUNTIF('Transect 2_imgsummary'!E14:I14,"PLERO")*100/P14)</f>
        <v>0</v>
      </c>
      <c r="BJ14">
        <f>IF(P14=0,0,COUNTIF('Transect 2_imgsummary'!E14:I14,"POC")*100/P14)</f>
        <v>0</v>
      </c>
      <c r="BK14">
        <f>IF(P14=0,0,COUNTIF('Transect 2_imgsummary'!E14:I14,"POR")*100/P14)</f>
        <v>0</v>
      </c>
      <c r="BL14">
        <f>IF(P14=0,0,COUNTIF('Transect 2_imgsummary'!E14:I14,"PORCYL")*100/P14)</f>
        <v>0</v>
      </c>
      <c r="BM14">
        <f>IF(P14=0,0,COUNTIF('Transect 2_imgsummary'!E14:I14,"PORMAS")*100/P14)</f>
        <v>0</v>
      </c>
      <c r="BN14">
        <f>IF(P14=0,0,COUNTIF('Transect 2_imgsummary'!E14:I14,"PORRUS")*100/P14)</f>
        <v>0</v>
      </c>
      <c r="BO14">
        <f>IF(P14=0,0,COUNTIF('Transect 2_imgsummary'!E14:I14,"PSAM")*100/P14)</f>
        <v>0</v>
      </c>
      <c r="BP14">
        <f>IF(P14=0,0,COUNTIF('Transect 2_imgsummary'!E14:I14,"SANDO")*100/P14)</f>
        <v>0</v>
      </c>
      <c r="BQ14">
        <f>IF(P14=0,0,COUNTIF('Transect 2_imgsummary'!E14:I14,"SCAP")*100/P14)</f>
        <v>0</v>
      </c>
      <c r="BR14">
        <f>IF(P14=0,0,COUNTIF('Transect 2_imgsummary'!E14:I14,"SERIA")*100/P14)</f>
        <v>0</v>
      </c>
      <c r="BS14">
        <f>IF(P14=0,0,COUNTIF('Transect 2_imgsummary'!E14:I14,"STYLC")*100/P14)</f>
        <v>0</v>
      </c>
      <c r="BT14">
        <f>IF(P14=0,0,COUNTIF('Transect 2_imgsummary'!E14:I14,"STYLO")*100/P14)</f>
        <v>0</v>
      </c>
      <c r="BU14">
        <f>IF(P14=0,0,COUNTIF('Transect 2_imgsummary'!E14:I14,"SYMP")*100/P14)</f>
        <v>0</v>
      </c>
      <c r="BV14">
        <f>IF(P14=0,0,COUNTIF('Transect 2_imgsummary'!E14:I14,"TURBIN")*100/P14)</f>
        <v>0</v>
      </c>
      <c r="BX14">
        <f>IF(P14=0,0,COUNTIF('Transect 2_imgsummary'!E14:I14,"ANEM")*100/P14)</f>
        <v>0</v>
      </c>
      <c r="BY14">
        <f>IF(P14=0,0,COUNTIF('Transect 2_imgsummary'!E14:I14,"ASC")*100/P14)</f>
        <v>0</v>
      </c>
      <c r="BZ14">
        <f>IF(P14=0,0,COUNTIF('Transect 2_imgsummary'!E14:I14,"CUPS")*100/P14)</f>
        <v>0</v>
      </c>
      <c r="CA14">
        <f>IF(P14=0,0,COUNTIF('Transect 2_imgsummary'!E14:I14,"DISCO")*100/P14)</f>
        <v>0</v>
      </c>
      <c r="CB14">
        <f>IF(P14=0,0,COUNTIF('Transect 2_imgsummary'!E14:I14,"DYS")*100/P14)</f>
        <v>0</v>
      </c>
      <c r="CC14">
        <f>IF(P14=0,0,COUNTIF('Transect 2_imgsummary'!E14:I14,"G")*100/P14)</f>
        <v>0</v>
      </c>
      <c r="CD14">
        <f>IF(P14=0,0,COUNTIF('Transect 2_imgsummary'!E14:I14,"NoIDINV")*100/P14)</f>
        <v>0</v>
      </c>
      <c r="CE14">
        <f>IF(P14=0,0,COUNTIF('Transect 2_imgsummary'!E14:I14,"OLV")*100/P14)</f>
        <v>0</v>
      </c>
      <c r="CF14">
        <f>IF(P14=0,0,COUNTIF('Transect 2_imgsummary'!E14:I14,"SC")*100/P14)</f>
        <v>0</v>
      </c>
      <c r="CG14">
        <f>IF(P14=0,0,COUNTIF('Transect 2_imgsummary'!E14:I14,"S")*100/P14)</f>
        <v>0</v>
      </c>
      <c r="CH14">
        <f>IF(P14=0,0,COUNTIF('Transect 2_imgsummary'!E14:I14,"TERPS")*100/P14)</f>
        <v>0</v>
      </c>
      <c r="CI14">
        <f>IF(P14=0,0,COUNTIF('Transect 2_imgsummary'!E14:I14,"Z")*100/P14)</f>
        <v>0</v>
      </c>
      <c r="CK14">
        <f>IF(P14=0,0,COUNTIF('Transect 2_imgsummary'!E14:I14,"ASP")*100/P14)</f>
        <v>0</v>
      </c>
      <c r="CL14">
        <f>IF(P14=0,0,COUNTIF('Transect 2_imgsummary'!E14:I14,"BG")*100/P14)</f>
        <v>0</v>
      </c>
      <c r="CM14">
        <f>IF(P14=0,0,COUNTIF('Transect 2_imgsummary'!E14:I14,"Bood")*100/P14)</f>
        <v>0</v>
      </c>
      <c r="CN14">
        <f>IF(P14=0,0,COUNTIF('Transect 2_imgsummary'!E14:I14,"BRYP")*100/P14)</f>
        <v>0</v>
      </c>
      <c r="CO14">
        <f>IF(P14=0,0,COUNTIF('Transect 2_imgsummary'!E14:I14,"CLP")*100/P14)</f>
        <v>0</v>
      </c>
      <c r="CP14">
        <f>IF(P14=0,0,COUNTIF('Transect 2_imgsummary'!E14:I14,"CHLDES")*100/P14)</f>
        <v>0</v>
      </c>
      <c r="CQ14">
        <f>IF(P14=0,0,COUNTIF('Transect 2_imgsummary'!E14:I14,"DYCTY")*100/P14)</f>
        <v>0</v>
      </c>
      <c r="CR14">
        <f>IF(P14=0,0,COUNTIF('Transect 2_imgsummary'!E14:I14,"DICT")*100/P14)</f>
        <v>0</v>
      </c>
      <c r="CS14">
        <f>IF(P14=0,0,COUNTIF('Transect 2_imgsummary'!E14:I14,"GLXU")*100/P14)</f>
        <v>0</v>
      </c>
      <c r="CT14">
        <f>IF(P14=0,0,COUNTIF('Transect 2_imgsummary'!E14:I14,"HALI")*100/P14)</f>
        <v>0</v>
      </c>
      <c r="CU14">
        <f>IF(P14=0,0,COUNTIF('Transect 2_imgsummary'!E14:I14,"LIAG")*100/P14)</f>
        <v>0</v>
      </c>
      <c r="CV14">
        <f>IF(P14=0,0,COUNTIF('Transect 2_imgsummary'!E14:I14,"LOBO")*100/P14)</f>
        <v>0</v>
      </c>
      <c r="CW14">
        <f>IF(P14=0,0,COUNTIF('Transect 2_imgsummary'!E14:I14,"MAST")*100/P14)</f>
        <v>0</v>
      </c>
      <c r="CX14">
        <f>IF(P14=0,0,COUNTIF('Transect 2_imgsummary'!E14:I14,"MICDTY")*100/P14)</f>
        <v>0</v>
      </c>
      <c r="CY14">
        <f>IF(P14=0,0,COUNTIF('Transect 2_imgsummary'!E14:I14,"NEOM")*100/P14)</f>
        <v>0</v>
      </c>
      <c r="CZ14">
        <f>IF(P14=0,0,COUNTIF('Transect 2_imgsummary'!E14:I14,"NOIDMAC")*100/P14)</f>
        <v>0</v>
      </c>
      <c r="DA14">
        <f>IF(P14=0,0,COUNTIF('Transect 2_imgsummary'!E14:I14,"PAD")*100/P14)</f>
        <v>0</v>
      </c>
      <c r="DB14">
        <f>IF(P14=0,0,COUNTIF('Transect 2_imgsummary'!E14:I14,"SARG")*100/P14)</f>
        <v>0</v>
      </c>
      <c r="DC14">
        <f>IF(P14=0,0,COUNTIF('Transect 2_imgsummary'!E14:I14,"SCHIZ")*100/P14)</f>
        <v>0</v>
      </c>
      <c r="DD14">
        <f>IF(P14=0,0,COUNTIF('Transect 2_imgsummary'!E14:I14,"TURB")*100/P14)</f>
        <v>0</v>
      </c>
      <c r="DE14">
        <f>IF(P14=0,0,COUNTIF('Transect 2_imgsummary'!E14:I14,"TYDM")*100/P14)</f>
        <v>0</v>
      </c>
      <c r="DG14">
        <f>IF(P14=0,0,COUNTIF('Transect 2_imgsummary'!E14:I14,"AMP")*100/P14)</f>
        <v>0</v>
      </c>
      <c r="DH14">
        <f>IF(P14=0,0,COUNTIF('Transect 2_imgsummary'!E14:I14,"BCA1")*100/P14)</f>
        <v>0</v>
      </c>
      <c r="DI14">
        <f>IF(P14=0,0,COUNTIF('Transect 2_imgsummary'!E14:I14,"JAN")*100/P14)</f>
        <v>0</v>
      </c>
      <c r="DK14">
        <f>IF(P14=0,0,COUNTIF('Transect 2_imgsummary'!E14:I14,"CCA1")*100/P14)</f>
        <v>0</v>
      </c>
      <c r="DM14">
        <f>IF(P14=0,0,COUNTIF('Transect 2_imgsummary'!E14:I14,"Sand")*100/P14)</f>
        <v>0</v>
      </c>
      <c r="DO14">
        <f>IF(P14=0,0,COUNTIF('Transect 2_imgsummary'!E14:I14,"FCA1")*100/P14)</f>
        <v>0</v>
      </c>
      <c r="DQ14">
        <f>IF(P14=0,0,COUNTIF('Transect 2_imgsummary'!E14:I14,"CHRYOBRN")*100/P14)</f>
        <v>0</v>
      </c>
      <c r="DS14">
        <f>IF(P14=0,0,COUNTIF('Transect 2_imgsummary'!E14:I14,"TURF")*100/P14)</f>
        <v>0</v>
      </c>
      <c r="DU14">
        <f>COUNTIF('Transect 2_imgsummary'!E14:I14,"Shadow")*100/5</f>
        <v>0</v>
      </c>
      <c r="DV14">
        <f>COUNTIF('Transect 2_imgsummary'!E14:I14,"Tape")*100/5</f>
        <v>0</v>
      </c>
      <c r="DW14">
        <f>COUNTIF('Transect 2_imgsummary'!E14:I14,"Wand")*100/5</f>
        <v>0</v>
      </c>
      <c r="DY14">
        <f>IF(P14=0,0,COUNTIF('Transect 2_imgsummary'!O14:S14,"BC")*100/P14)</f>
        <v>0</v>
      </c>
    </row>
    <row r="15" spans="1:129">
      <c r="A15">
        <v>13</v>
      </c>
      <c r="B15" t="s">
        <v>442</v>
      </c>
      <c r="F15" s="29">
        <f>IF(P15=0,0,COUNTIF('Transect 2_imgsummary'!J15:N15,"C")*100/P15)</f>
        <v>40</v>
      </c>
      <c r="G15">
        <f>IF(P15=0,0,COUNTIF('Transect 2_imgsummary'!J15:N15,"OI")*100/P15)</f>
        <v>0</v>
      </c>
      <c r="H15">
        <f>IF(P15=0,0,COUNTIF('Transect 2_imgsummary'!J15:N15,"MA")*100/P15)</f>
        <v>0</v>
      </c>
      <c r="I15">
        <f>IF(P15=0,0,COUNTIF('Transect 2_imgsummary'!J15:N15,"BCA")*100/P15)</f>
        <v>0</v>
      </c>
      <c r="J15" s="29">
        <f>IF(P15=0,0,COUNTIF('Transect 2_imgsummary'!J15:N15,"CCA")*100/P15)</f>
        <v>40</v>
      </c>
      <c r="K15">
        <f>IF(P15=0,0,COUNTIF('Transect 2_imgsummary'!J15:N15,"SD")*100/P15)</f>
        <v>0</v>
      </c>
      <c r="L15">
        <f>IF(P15=0,0,COUNTIF('Transect 2_imgsummary'!J15:N15,"FCA")*100/P15)</f>
        <v>0</v>
      </c>
      <c r="M15">
        <f>IF(P15=0,0,COUNTIF('Transect 2_imgsummary'!J15:N15,"CHRYS")*100/P15)</f>
        <v>0</v>
      </c>
      <c r="N15" s="29">
        <f>IF(P15=0,0,COUNTIF('Transect 2_imgsummary'!J15:N15,"T")*100/P15)</f>
        <v>20</v>
      </c>
      <c r="O15">
        <f>IF(P15=0,0,COUNTIF('Transect 2_imgsummary'!J15:N15,"TWS")*100/P15)</f>
        <v>0</v>
      </c>
      <c r="P15">
        <f>5-COUNTIF('Transect 2_imgsummary'!J15:N15,"TWS")</f>
        <v>5</v>
      </c>
      <c r="S15">
        <f>IF(P15=0,0,COUNTIF('Transect 2_imgsummary'!E15:I15,"ACAN")*100/P15)</f>
        <v>0</v>
      </c>
      <c r="T15">
        <f>IF(P15=0,0,COUNTIF('Transect 2_imgsummary'!E15:I15,"ACROP")*100/P15)</f>
        <v>0</v>
      </c>
      <c r="U15">
        <f>IF(P15=0,0,COUNTIF('Transect 2_imgsummary'!E15:I15,"ACROPARB")*100/P15)</f>
        <v>0</v>
      </c>
      <c r="V15">
        <f>IF(P15=0,0,COUNTIF('Transect 2_imgsummary'!E15:I15,"ACROST")*100/P15)</f>
        <v>0</v>
      </c>
      <c r="W15" s="29">
        <f>IF(P15=0,0,COUNTIF('Transect 2_imgsummary'!E15:I15,"ACROTBL")*100/P15)</f>
        <v>40</v>
      </c>
      <c r="X15">
        <f>IF(P15=0,0,COUNTIF('Transect 2_imgsummary'!E15:I15,"ASTRP")*100/P15)</f>
        <v>0</v>
      </c>
      <c r="Y15">
        <f>IF(P15=0,0,COUNTIF('Transect 2_imgsummary'!E15:I15,"CAUL")*100/P15)</f>
        <v>0</v>
      </c>
      <c r="Z15">
        <f>IF(P15=0,0,COUNTIF('Transect 2_imgsummary'!E15:I15,"COSC")*100/P15)</f>
        <v>0</v>
      </c>
      <c r="AA15">
        <f>IF(P15=0,0,COUNTIF('Transect 2_imgsummary'!E15:I15,"CTEN")*100/P15)</f>
        <v>0</v>
      </c>
      <c r="AB15">
        <f>IF(P15=0,0,COUNTIF('Transect 2_imgsummary'!E15:I15,"CYPH")*100/P15)</f>
        <v>0</v>
      </c>
      <c r="AC15">
        <f>IF(P15=0,0,COUNTIF('Transect 2_imgsummary'!E15:I15,"DIPLO")*100/P15)</f>
        <v>0</v>
      </c>
      <c r="AD15">
        <f>IF(P15=0,0,COUNTIF('Transect 2_imgsummary'!E15:I15,"ECHPO")*100/P15)</f>
        <v>0</v>
      </c>
      <c r="AE15">
        <f>IF(P15=0,0,COUNTIF('Transect 2_imgsummary'!E15:I15,"ECHPHY")*100/P15)</f>
        <v>0</v>
      </c>
      <c r="AF15">
        <f>IF(P15=0,0,COUNTIF('Transect 2_imgsummary'!E15:I15,"EUPH")*100/P15)</f>
        <v>0</v>
      </c>
      <c r="AG15">
        <f>IF(P15=0,0,COUNTIF('Transect 2_imgsummary'!E15:I15,"FAV")*100/P15)</f>
        <v>0</v>
      </c>
      <c r="AH15">
        <f>IF(P15=0,0,COUNTIF('Transect 2_imgsummary'!E15:I15,"FAVT")*100/P15)</f>
        <v>0</v>
      </c>
      <c r="AI15">
        <f>IF(P15=0,0,COUNTIF('Transect 2_imgsummary'!E15:I15,"FUNG")*100/P15)</f>
        <v>0</v>
      </c>
      <c r="AJ15">
        <f>IF(P15=0,0,COUNTIF('Transect 2_imgsummary'!E15:I15,"GAL")*100/P15)</f>
        <v>0</v>
      </c>
      <c r="AK15">
        <f>IF(P15=0,0,COUNTIF('Transect 2_imgsummary'!E15:I15,"GARD")*100/P15)</f>
        <v>0</v>
      </c>
      <c r="AL15">
        <f>IF(P15=0,0,COUNTIF('Transect 2_imgsummary'!E15:I15,"GON")*100/P15)</f>
        <v>0</v>
      </c>
      <c r="AM15">
        <f>IF(P15=0,0,COUNTIF('Transect 2_imgsummary'!E15:I15,"GONIO")*100/P15)</f>
        <v>0</v>
      </c>
      <c r="AN15">
        <f>IF(P15=0,0,COUNTIF('Transect 2_imgsummary'!E15:I15,"HELIO")*100/P15)</f>
        <v>0</v>
      </c>
      <c r="AO15">
        <f>IF(P15=0,0,COUNTIF('Transect 2_imgsummary'!E15:I15,"HERP")*100/P15)</f>
        <v>0</v>
      </c>
      <c r="AP15">
        <f>IF(P15=0,0,COUNTIF('Transect 2_imgsummary'!E15:I15,"HYD")*100/P15)</f>
        <v>0</v>
      </c>
      <c r="AQ15">
        <f>IF(P15=0,0,COUNTIF('Transect 2_imgsummary'!E15:I15,"ISOP")*100/P15)</f>
        <v>0</v>
      </c>
      <c r="AR15">
        <f>IF(P15=0,0,COUNTIF('Transect 2_imgsummary'!E15:I15,"LEPT")*100/P15)</f>
        <v>0</v>
      </c>
      <c r="AS15">
        <f>IF(P15=0,0,COUNTIF('Transect 2_imgsummary'!E15:I15,"LEPTOR")*100/P15)</f>
        <v>0</v>
      </c>
      <c r="AT15">
        <f>IF(P15=0,0,COUNTIF('Transect 2_imgsummary'!E15:I15,"LEPTOS")*100/P15)</f>
        <v>0</v>
      </c>
      <c r="AU15">
        <f>IF(P15=0,0,COUNTIF('Transect 2_imgsummary'!E15:I15,"LOBOPH")*100/P15)</f>
        <v>0</v>
      </c>
      <c r="AV15">
        <f>IF(P15=0,0,COUNTIF('Transect 2_imgsummary'!E15:I15,"MERU")*100/P15)</f>
        <v>0</v>
      </c>
      <c r="AW15">
        <f>IF(P15=0,0,COUNTIF('Transect 2_imgsummary'!E15:I15,"MILL")*100/P15)</f>
        <v>0</v>
      </c>
      <c r="AX15">
        <f>IF(P15=0,0,COUNTIF('Transect 2_imgsummary'!E15:I15,"MONT")*100/P15)</f>
        <v>0</v>
      </c>
      <c r="AY15">
        <f>IF(P15=0,0,COUNTIF('Transect 2_imgsummary'!E15:I15,"MONTI")*100/P15)</f>
        <v>0</v>
      </c>
      <c r="AZ15">
        <f>IF(P15=0,0,COUNTIF('Transect 2_imgsummary'!E15:I15,"MYCED")*100/P15)</f>
        <v>0</v>
      </c>
      <c r="BA15">
        <f>IF(P15=0,0,COUNTIF('Transect 2_imgsummary'!E15:I15,"OULO")*100/P15)</f>
        <v>0</v>
      </c>
      <c r="BB15">
        <f>IF(P15=0,0,COUNTIF('Transect 2_imgsummary'!E15:I15,"OXYP")*100/P15)</f>
        <v>0</v>
      </c>
      <c r="BC15">
        <f>IF(P15=0,0,COUNTIF('Transect 2_imgsummary'!E15:I15,"PLSIA")*100/P15)</f>
        <v>0</v>
      </c>
      <c r="BD15">
        <f>IF(P15=0,0,COUNTIF('Transect 2_imgsummary'!E15:I15,"PACHY")*100/P15)</f>
        <v>0</v>
      </c>
      <c r="BE15">
        <f>IF(P15=0,0,COUNTIF('Transect 2_imgsummary'!E15:I15,"PAV")*100/P15)</f>
        <v>0</v>
      </c>
      <c r="BF15">
        <f>IF(P15=0,0,COUNTIF('Transect 2_imgsummary'!E15:I15,"PECT")*100/P15)</f>
        <v>0</v>
      </c>
      <c r="BG15">
        <f>IF(P15=0,0,COUNTIF('Transect 2_imgsummary'!E15:I15,"PHYSO")*100/P15)</f>
        <v>0</v>
      </c>
      <c r="BH15">
        <f>IF(P15=0,0,COUNTIF('Transect 2_imgsummary'!E15:I15,"PLAT")*100/P15)</f>
        <v>0</v>
      </c>
      <c r="BI15">
        <f>IF(P15=0,0,COUNTIF('Transect 2_imgsummary'!E15:I15,"PLERO")*100/P15)</f>
        <v>0</v>
      </c>
      <c r="BJ15">
        <f>IF(P15=0,0,COUNTIF('Transect 2_imgsummary'!E15:I15,"POC")*100/P15)</f>
        <v>0</v>
      </c>
      <c r="BK15">
        <f>IF(P15=0,0,COUNTIF('Transect 2_imgsummary'!E15:I15,"POR")*100/P15)</f>
        <v>0</v>
      </c>
      <c r="BL15">
        <f>IF(P15=0,0,COUNTIF('Transect 2_imgsummary'!E15:I15,"PORCYL")*100/P15)</f>
        <v>0</v>
      </c>
      <c r="BM15">
        <f>IF(P15=0,0,COUNTIF('Transect 2_imgsummary'!E15:I15,"PORMAS")*100/P15)</f>
        <v>0</v>
      </c>
      <c r="BN15">
        <f>IF(P15=0,0,COUNTIF('Transect 2_imgsummary'!E15:I15,"PORRUS")*100/P15)</f>
        <v>0</v>
      </c>
      <c r="BO15">
        <f>IF(P15=0,0,COUNTIF('Transect 2_imgsummary'!E15:I15,"PSAM")*100/P15)</f>
        <v>0</v>
      </c>
      <c r="BP15">
        <f>IF(P15=0,0,COUNTIF('Transect 2_imgsummary'!E15:I15,"SANDO")*100/P15)</f>
        <v>0</v>
      </c>
      <c r="BQ15">
        <f>IF(P15=0,0,COUNTIF('Transect 2_imgsummary'!E15:I15,"SCAP")*100/P15)</f>
        <v>0</v>
      </c>
      <c r="BR15">
        <f>IF(P15=0,0,COUNTIF('Transect 2_imgsummary'!E15:I15,"SERIA")*100/P15)</f>
        <v>0</v>
      </c>
      <c r="BS15">
        <f>IF(P15=0,0,COUNTIF('Transect 2_imgsummary'!E15:I15,"STYLC")*100/P15)</f>
        <v>0</v>
      </c>
      <c r="BT15">
        <f>IF(P15=0,0,COUNTIF('Transect 2_imgsummary'!E15:I15,"STYLO")*100/P15)</f>
        <v>0</v>
      </c>
      <c r="BU15">
        <f>IF(P15=0,0,COUNTIF('Transect 2_imgsummary'!E15:I15,"SYMP")*100/P15)</f>
        <v>0</v>
      </c>
      <c r="BV15">
        <f>IF(P15=0,0,COUNTIF('Transect 2_imgsummary'!E15:I15,"TURBIN")*100/P15)</f>
        <v>0</v>
      </c>
      <c r="BX15">
        <f>IF(P15=0,0,COUNTIF('Transect 2_imgsummary'!E15:I15,"ANEM")*100/P15)</f>
        <v>0</v>
      </c>
      <c r="BY15">
        <f>IF(P15=0,0,COUNTIF('Transect 2_imgsummary'!E15:I15,"ASC")*100/P15)</f>
        <v>0</v>
      </c>
      <c r="BZ15">
        <f>IF(P15=0,0,COUNTIF('Transect 2_imgsummary'!E15:I15,"CUPS")*100/P15)</f>
        <v>0</v>
      </c>
      <c r="CA15">
        <f>IF(P15=0,0,COUNTIF('Transect 2_imgsummary'!E15:I15,"DISCO")*100/P15)</f>
        <v>0</v>
      </c>
      <c r="CB15">
        <f>IF(P15=0,0,COUNTIF('Transect 2_imgsummary'!E15:I15,"DYS")*100/P15)</f>
        <v>0</v>
      </c>
      <c r="CC15">
        <f>IF(P15=0,0,COUNTIF('Transect 2_imgsummary'!E15:I15,"G")*100/P15)</f>
        <v>0</v>
      </c>
      <c r="CD15">
        <f>IF(P15=0,0,COUNTIF('Transect 2_imgsummary'!E15:I15,"NoIDINV")*100/P15)</f>
        <v>0</v>
      </c>
      <c r="CE15">
        <f>IF(P15=0,0,COUNTIF('Transect 2_imgsummary'!E15:I15,"OLV")*100/P15)</f>
        <v>0</v>
      </c>
      <c r="CF15">
        <f>IF(P15=0,0,COUNTIF('Transect 2_imgsummary'!E15:I15,"SC")*100/P15)</f>
        <v>0</v>
      </c>
      <c r="CG15">
        <f>IF(P15=0,0,COUNTIF('Transect 2_imgsummary'!E15:I15,"S")*100/P15)</f>
        <v>0</v>
      </c>
      <c r="CH15">
        <f>IF(P15=0,0,COUNTIF('Transect 2_imgsummary'!E15:I15,"TERPS")*100/P15)</f>
        <v>0</v>
      </c>
      <c r="CI15">
        <f>IF(P15=0,0,COUNTIF('Transect 2_imgsummary'!E15:I15,"Z")*100/P15)</f>
        <v>0</v>
      </c>
      <c r="CK15">
        <f>IF(P15=0,0,COUNTIF('Transect 2_imgsummary'!E15:I15,"ASP")*100/P15)</f>
        <v>0</v>
      </c>
      <c r="CL15">
        <f>IF(P15=0,0,COUNTIF('Transect 2_imgsummary'!E15:I15,"BG")*100/P15)</f>
        <v>0</v>
      </c>
      <c r="CM15">
        <f>IF(P15=0,0,COUNTIF('Transect 2_imgsummary'!E15:I15,"Bood")*100/P15)</f>
        <v>0</v>
      </c>
      <c r="CN15">
        <f>IF(P15=0,0,COUNTIF('Transect 2_imgsummary'!E15:I15,"BRYP")*100/P15)</f>
        <v>0</v>
      </c>
      <c r="CO15">
        <f>IF(P15=0,0,COUNTIF('Transect 2_imgsummary'!E15:I15,"CLP")*100/P15)</f>
        <v>0</v>
      </c>
      <c r="CP15">
        <f>IF(P15=0,0,COUNTIF('Transect 2_imgsummary'!E15:I15,"CHLDES")*100/P15)</f>
        <v>0</v>
      </c>
      <c r="CQ15">
        <f>IF(P15=0,0,COUNTIF('Transect 2_imgsummary'!E15:I15,"DYCTY")*100/P15)</f>
        <v>0</v>
      </c>
      <c r="CR15">
        <f>IF(P15=0,0,COUNTIF('Transect 2_imgsummary'!E15:I15,"DICT")*100/P15)</f>
        <v>0</v>
      </c>
      <c r="CS15">
        <f>IF(P15=0,0,COUNTIF('Transect 2_imgsummary'!E15:I15,"GLXU")*100/P15)</f>
        <v>0</v>
      </c>
      <c r="CT15">
        <f>IF(P15=0,0,COUNTIF('Transect 2_imgsummary'!E15:I15,"HALI")*100/P15)</f>
        <v>0</v>
      </c>
      <c r="CU15">
        <f>IF(P15=0,0,COUNTIF('Transect 2_imgsummary'!E15:I15,"LIAG")*100/P15)</f>
        <v>0</v>
      </c>
      <c r="CV15">
        <f>IF(P15=0,0,COUNTIF('Transect 2_imgsummary'!E15:I15,"LOBO")*100/P15)</f>
        <v>0</v>
      </c>
      <c r="CW15">
        <f>IF(P15=0,0,COUNTIF('Transect 2_imgsummary'!E15:I15,"MAST")*100/P15)</f>
        <v>0</v>
      </c>
      <c r="CX15">
        <f>IF(P15=0,0,COUNTIF('Transect 2_imgsummary'!E15:I15,"MICDTY")*100/P15)</f>
        <v>0</v>
      </c>
      <c r="CY15">
        <f>IF(P15=0,0,COUNTIF('Transect 2_imgsummary'!E15:I15,"NEOM")*100/P15)</f>
        <v>0</v>
      </c>
      <c r="CZ15">
        <f>IF(P15=0,0,COUNTIF('Transect 2_imgsummary'!E15:I15,"NOIDMAC")*100/P15)</f>
        <v>0</v>
      </c>
      <c r="DA15">
        <f>IF(P15=0,0,COUNTIF('Transect 2_imgsummary'!E15:I15,"PAD")*100/P15)</f>
        <v>0</v>
      </c>
      <c r="DB15">
        <f>IF(P15=0,0,COUNTIF('Transect 2_imgsummary'!E15:I15,"SARG")*100/P15)</f>
        <v>0</v>
      </c>
      <c r="DC15">
        <f>IF(P15=0,0,COUNTIF('Transect 2_imgsummary'!E15:I15,"SCHIZ")*100/P15)</f>
        <v>0</v>
      </c>
      <c r="DD15">
        <f>IF(P15=0,0,COUNTIF('Transect 2_imgsummary'!E15:I15,"TURB")*100/P15)</f>
        <v>0</v>
      </c>
      <c r="DE15">
        <f>IF(P15=0,0,COUNTIF('Transect 2_imgsummary'!E15:I15,"TYDM")*100/P15)</f>
        <v>0</v>
      </c>
      <c r="DG15">
        <f>IF(P15=0,0,COUNTIF('Transect 2_imgsummary'!E15:I15,"AMP")*100/P15)</f>
        <v>0</v>
      </c>
      <c r="DH15">
        <f>IF(P15=0,0,COUNTIF('Transect 2_imgsummary'!E15:I15,"BCA1")*100/P15)</f>
        <v>0</v>
      </c>
      <c r="DI15">
        <f>IF(P15=0,0,COUNTIF('Transect 2_imgsummary'!E15:I15,"JAN")*100/P15)</f>
        <v>0</v>
      </c>
      <c r="DK15" s="29">
        <f>IF(P15=0,0,COUNTIF('Transect 2_imgsummary'!E15:I15,"CCA1")*100/P15)</f>
        <v>40</v>
      </c>
      <c r="DM15">
        <f>IF(P15=0,0,COUNTIF('Transect 2_imgsummary'!E15:I15,"Sand")*100/P15)</f>
        <v>0</v>
      </c>
      <c r="DO15">
        <f>IF(P15=0,0,COUNTIF('Transect 2_imgsummary'!E15:I15,"FCA1")*100/P15)</f>
        <v>0</v>
      </c>
      <c r="DQ15">
        <f>IF(P15=0,0,COUNTIF('Transect 2_imgsummary'!E15:I15,"CHRYOBRN")*100/P15)</f>
        <v>0</v>
      </c>
      <c r="DS15" s="29">
        <f>IF(P15=0,0,COUNTIF('Transect 2_imgsummary'!E15:I15,"TURF")*100/P15)</f>
        <v>20</v>
      </c>
      <c r="DU15">
        <f>COUNTIF('Transect 2_imgsummary'!E15:I15,"Shadow")*100/5</f>
        <v>0</v>
      </c>
      <c r="DV15">
        <f>COUNTIF('Transect 2_imgsummary'!E15:I15,"Tape")*100/5</f>
        <v>0</v>
      </c>
      <c r="DW15">
        <f>COUNTIF('Transect 2_imgsummary'!E15:I15,"Wand")*100/5</f>
        <v>0</v>
      </c>
      <c r="DY15">
        <f>IF(P15=0,0,COUNTIF('Transect 2_imgsummary'!O15:S15,"BC")*100/P15)</f>
        <v>0</v>
      </c>
    </row>
    <row r="16" spans="1:129">
      <c r="A16">
        <v>14</v>
      </c>
      <c r="B16" t="s">
        <v>443</v>
      </c>
      <c r="F16" s="29">
        <f>IF(P16=0,0,COUNTIF('Transect 2_imgsummary'!J16:N16,"C")*100/P16)</f>
        <v>80</v>
      </c>
      <c r="G16">
        <f>IF(P16=0,0,COUNTIF('Transect 2_imgsummary'!J16:N16,"OI")*100/P16)</f>
        <v>0</v>
      </c>
      <c r="H16">
        <f>IF(P16=0,0,COUNTIF('Transect 2_imgsummary'!J16:N16,"MA")*100/P16)</f>
        <v>0</v>
      </c>
      <c r="I16">
        <f>IF(P16=0,0,COUNTIF('Transect 2_imgsummary'!J16:N16,"BCA")*100/P16)</f>
        <v>0</v>
      </c>
      <c r="J16" s="29">
        <f>IF(P16=0,0,COUNTIF('Transect 2_imgsummary'!J16:N16,"CCA")*100/P16)</f>
        <v>20</v>
      </c>
      <c r="K16">
        <f>IF(P16=0,0,COUNTIF('Transect 2_imgsummary'!J16:N16,"SD")*100/P16)</f>
        <v>0</v>
      </c>
      <c r="L16">
        <f>IF(P16=0,0,COUNTIF('Transect 2_imgsummary'!J16:N16,"FCA")*100/P16)</f>
        <v>0</v>
      </c>
      <c r="M16">
        <f>IF(P16=0,0,COUNTIF('Transect 2_imgsummary'!J16:N16,"CHRYS")*100/P16)</f>
        <v>0</v>
      </c>
      <c r="N16">
        <f>IF(P16=0,0,COUNTIF('Transect 2_imgsummary'!J16:N16,"T")*100/P16)</f>
        <v>0</v>
      </c>
      <c r="O16">
        <f>IF(P16=0,0,COUNTIF('Transect 2_imgsummary'!J16:N16,"TWS")*100/P16)</f>
        <v>0</v>
      </c>
      <c r="P16">
        <f>5-COUNTIF('Transect 2_imgsummary'!J16:N16,"TWS")</f>
        <v>5</v>
      </c>
      <c r="S16">
        <f>IF(P16=0,0,COUNTIF('Transect 2_imgsummary'!E16:I16,"ACAN")*100/P16)</f>
        <v>0</v>
      </c>
      <c r="T16">
        <f>IF(P16=0,0,COUNTIF('Transect 2_imgsummary'!E16:I16,"ACROP")*100/P16)</f>
        <v>0</v>
      </c>
      <c r="U16">
        <f>IF(P16=0,0,COUNTIF('Transect 2_imgsummary'!E16:I16,"ACROPARB")*100/P16)</f>
        <v>0</v>
      </c>
      <c r="V16">
        <f>IF(P16=0,0,COUNTIF('Transect 2_imgsummary'!E16:I16,"ACROST")*100/P16)</f>
        <v>0</v>
      </c>
      <c r="W16" s="29">
        <f>IF(P16=0,0,COUNTIF('Transect 2_imgsummary'!E16:I16,"ACROTBL")*100/P16)</f>
        <v>80</v>
      </c>
      <c r="X16">
        <f>IF(P16=0,0,COUNTIF('Transect 2_imgsummary'!E16:I16,"ASTRP")*100/P16)</f>
        <v>0</v>
      </c>
      <c r="Y16">
        <f>IF(P16=0,0,COUNTIF('Transect 2_imgsummary'!E16:I16,"CAUL")*100/P16)</f>
        <v>0</v>
      </c>
      <c r="Z16">
        <f>IF(P16=0,0,COUNTIF('Transect 2_imgsummary'!E16:I16,"COSC")*100/P16)</f>
        <v>0</v>
      </c>
      <c r="AA16">
        <f>IF(P16=0,0,COUNTIF('Transect 2_imgsummary'!E16:I16,"CTEN")*100/P16)</f>
        <v>0</v>
      </c>
      <c r="AB16">
        <f>IF(P16=0,0,COUNTIF('Transect 2_imgsummary'!E16:I16,"CYPH")*100/P16)</f>
        <v>0</v>
      </c>
      <c r="AC16">
        <f>IF(P16=0,0,COUNTIF('Transect 2_imgsummary'!E16:I16,"DIPLO")*100/P16)</f>
        <v>0</v>
      </c>
      <c r="AD16">
        <f>IF(P16=0,0,COUNTIF('Transect 2_imgsummary'!E16:I16,"ECHPO")*100/P16)</f>
        <v>0</v>
      </c>
      <c r="AE16">
        <f>IF(P16=0,0,COUNTIF('Transect 2_imgsummary'!E16:I16,"ECHPHY")*100/P16)</f>
        <v>0</v>
      </c>
      <c r="AF16">
        <f>IF(P16=0,0,COUNTIF('Transect 2_imgsummary'!E16:I16,"EUPH")*100/P16)</f>
        <v>0</v>
      </c>
      <c r="AG16">
        <f>IF(P16=0,0,COUNTIF('Transect 2_imgsummary'!E16:I16,"FAV")*100/P16)</f>
        <v>0</v>
      </c>
      <c r="AH16">
        <f>IF(P16=0,0,COUNTIF('Transect 2_imgsummary'!E16:I16,"FAVT")*100/P16)</f>
        <v>0</v>
      </c>
      <c r="AI16">
        <f>IF(P16=0,0,COUNTIF('Transect 2_imgsummary'!E16:I16,"FUNG")*100/P16)</f>
        <v>0</v>
      </c>
      <c r="AJ16">
        <f>IF(P16=0,0,COUNTIF('Transect 2_imgsummary'!E16:I16,"GAL")*100/P16)</f>
        <v>0</v>
      </c>
      <c r="AK16">
        <f>IF(P16=0,0,COUNTIF('Transect 2_imgsummary'!E16:I16,"GARD")*100/P16)</f>
        <v>0</v>
      </c>
      <c r="AL16">
        <f>IF(P16=0,0,COUNTIF('Transect 2_imgsummary'!E16:I16,"GON")*100/P16)</f>
        <v>0</v>
      </c>
      <c r="AM16">
        <f>IF(P16=0,0,COUNTIF('Transect 2_imgsummary'!E16:I16,"GONIO")*100/P16)</f>
        <v>0</v>
      </c>
      <c r="AN16">
        <f>IF(P16=0,0,COUNTIF('Transect 2_imgsummary'!E16:I16,"HELIO")*100/P16)</f>
        <v>0</v>
      </c>
      <c r="AO16">
        <f>IF(P16=0,0,COUNTIF('Transect 2_imgsummary'!E16:I16,"HERP")*100/P16)</f>
        <v>0</v>
      </c>
      <c r="AP16">
        <f>IF(P16=0,0,COUNTIF('Transect 2_imgsummary'!E16:I16,"HYD")*100/P16)</f>
        <v>0</v>
      </c>
      <c r="AQ16">
        <f>IF(P16=0,0,COUNTIF('Transect 2_imgsummary'!E16:I16,"ISOP")*100/P16)</f>
        <v>0</v>
      </c>
      <c r="AR16">
        <f>IF(P16=0,0,COUNTIF('Transect 2_imgsummary'!E16:I16,"LEPT")*100/P16)</f>
        <v>0</v>
      </c>
      <c r="AS16">
        <f>IF(P16=0,0,COUNTIF('Transect 2_imgsummary'!E16:I16,"LEPTOR")*100/P16)</f>
        <v>0</v>
      </c>
      <c r="AT16">
        <f>IF(P16=0,0,COUNTIF('Transect 2_imgsummary'!E16:I16,"LEPTOS")*100/P16)</f>
        <v>0</v>
      </c>
      <c r="AU16">
        <f>IF(P16=0,0,COUNTIF('Transect 2_imgsummary'!E16:I16,"LOBOPH")*100/P16)</f>
        <v>0</v>
      </c>
      <c r="AV16">
        <f>IF(P16=0,0,COUNTIF('Transect 2_imgsummary'!E16:I16,"MERU")*100/P16)</f>
        <v>0</v>
      </c>
      <c r="AW16">
        <f>IF(P16=0,0,COUNTIF('Transect 2_imgsummary'!E16:I16,"MILL")*100/P16)</f>
        <v>0</v>
      </c>
      <c r="AX16">
        <f>IF(P16=0,0,COUNTIF('Transect 2_imgsummary'!E16:I16,"MONT")*100/P16)</f>
        <v>0</v>
      </c>
      <c r="AY16">
        <f>IF(P16=0,0,COUNTIF('Transect 2_imgsummary'!E16:I16,"MONTI")*100/P16)</f>
        <v>0</v>
      </c>
      <c r="AZ16">
        <f>IF(P16=0,0,COUNTIF('Transect 2_imgsummary'!E16:I16,"MYCED")*100/P16)</f>
        <v>0</v>
      </c>
      <c r="BA16">
        <f>IF(P16=0,0,COUNTIF('Transect 2_imgsummary'!E16:I16,"OULO")*100/P16)</f>
        <v>0</v>
      </c>
      <c r="BB16">
        <f>IF(P16=0,0,COUNTIF('Transect 2_imgsummary'!E16:I16,"OXYP")*100/P16)</f>
        <v>0</v>
      </c>
      <c r="BC16">
        <f>IF(P16=0,0,COUNTIF('Transect 2_imgsummary'!E16:I16,"PLSIA")*100/P16)</f>
        <v>0</v>
      </c>
      <c r="BD16">
        <f>IF(P16=0,0,COUNTIF('Transect 2_imgsummary'!E16:I16,"PACHY")*100/P16)</f>
        <v>0</v>
      </c>
      <c r="BE16">
        <f>IF(P16=0,0,COUNTIF('Transect 2_imgsummary'!E16:I16,"PAV")*100/P16)</f>
        <v>0</v>
      </c>
      <c r="BF16">
        <f>IF(P16=0,0,COUNTIF('Transect 2_imgsummary'!E16:I16,"PECT")*100/P16)</f>
        <v>0</v>
      </c>
      <c r="BG16">
        <f>IF(P16=0,0,COUNTIF('Transect 2_imgsummary'!E16:I16,"PHYSO")*100/P16)</f>
        <v>0</v>
      </c>
      <c r="BH16">
        <f>IF(P16=0,0,COUNTIF('Transect 2_imgsummary'!E16:I16,"PLAT")*100/P16)</f>
        <v>0</v>
      </c>
      <c r="BI16">
        <f>IF(P16=0,0,COUNTIF('Transect 2_imgsummary'!E16:I16,"PLERO")*100/P16)</f>
        <v>0</v>
      </c>
      <c r="BJ16">
        <f>IF(P16=0,0,COUNTIF('Transect 2_imgsummary'!E16:I16,"POC")*100/P16)</f>
        <v>0</v>
      </c>
      <c r="BK16">
        <f>IF(P16=0,0,COUNTIF('Transect 2_imgsummary'!E16:I16,"POR")*100/P16)</f>
        <v>0</v>
      </c>
      <c r="BL16">
        <f>IF(P16=0,0,COUNTIF('Transect 2_imgsummary'!E16:I16,"PORCYL")*100/P16)</f>
        <v>0</v>
      </c>
      <c r="BM16">
        <f>IF(P16=0,0,COUNTIF('Transect 2_imgsummary'!E16:I16,"PORMAS")*100/P16)</f>
        <v>0</v>
      </c>
      <c r="BN16">
        <f>IF(P16=0,0,COUNTIF('Transect 2_imgsummary'!E16:I16,"PORRUS")*100/P16)</f>
        <v>0</v>
      </c>
      <c r="BO16">
        <f>IF(P16=0,0,COUNTIF('Transect 2_imgsummary'!E16:I16,"PSAM")*100/P16)</f>
        <v>0</v>
      </c>
      <c r="BP16">
        <f>IF(P16=0,0,COUNTIF('Transect 2_imgsummary'!E16:I16,"SANDO")*100/P16)</f>
        <v>0</v>
      </c>
      <c r="BQ16">
        <f>IF(P16=0,0,COUNTIF('Transect 2_imgsummary'!E16:I16,"SCAP")*100/P16)</f>
        <v>0</v>
      </c>
      <c r="BR16">
        <f>IF(P16=0,0,COUNTIF('Transect 2_imgsummary'!E16:I16,"SERIA")*100/P16)</f>
        <v>0</v>
      </c>
      <c r="BS16">
        <f>IF(P16=0,0,COUNTIF('Transect 2_imgsummary'!E16:I16,"STYLC")*100/P16)</f>
        <v>0</v>
      </c>
      <c r="BT16">
        <f>IF(P16=0,0,COUNTIF('Transect 2_imgsummary'!E16:I16,"STYLO")*100/P16)</f>
        <v>0</v>
      </c>
      <c r="BU16">
        <f>IF(P16=0,0,COUNTIF('Transect 2_imgsummary'!E16:I16,"SYMP")*100/P16)</f>
        <v>0</v>
      </c>
      <c r="BV16">
        <f>IF(P16=0,0,COUNTIF('Transect 2_imgsummary'!E16:I16,"TURBIN")*100/P16)</f>
        <v>0</v>
      </c>
      <c r="BX16">
        <f>IF(P16=0,0,COUNTIF('Transect 2_imgsummary'!E16:I16,"ANEM")*100/P16)</f>
        <v>0</v>
      </c>
      <c r="BY16">
        <f>IF(P16=0,0,COUNTIF('Transect 2_imgsummary'!E16:I16,"ASC")*100/P16)</f>
        <v>0</v>
      </c>
      <c r="BZ16">
        <f>IF(P16=0,0,COUNTIF('Transect 2_imgsummary'!E16:I16,"CUPS")*100/P16)</f>
        <v>0</v>
      </c>
      <c r="CA16">
        <f>IF(P16=0,0,COUNTIF('Transect 2_imgsummary'!E16:I16,"DISCO")*100/P16)</f>
        <v>0</v>
      </c>
      <c r="CB16">
        <f>IF(P16=0,0,COUNTIF('Transect 2_imgsummary'!E16:I16,"DYS")*100/P16)</f>
        <v>0</v>
      </c>
      <c r="CC16">
        <f>IF(P16=0,0,COUNTIF('Transect 2_imgsummary'!E16:I16,"G")*100/P16)</f>
        <v>0</v>
      </c>
      <c r="CD16">
        <f>IF(P16=0,0,COUNTIF('Transect 2_imgsummary'!E16:I16,"NoIDINV")*100/P16)</f>
        <v>0</v>
      </c>
      <c r="CE16">
        <f>IF(P16=0,0,COUNTIF('Transect 2_imgsummary'!E16:I16,"OLV")*100/P16)</f>
        <v>0</v>
      </c>
      <c r="CF16">
        <f>IF(P16=0,0,COUNTIF('Transect 2_imgsummary'!E16:I16,"SC")*100/P16)</f>
        <v>0</v>
      </c>
      <c r="CG16">
        <f>IF(P16=0,0,COUNTIF('Transect 2_imgsummary'!E16:I16,"S")*100/P16)</f>
        <v>0</v>
      </c>
      <c r="CH16">
        <f>IF(P16=0,0,COUNTIF('Transect 2_imgsummary'!E16:I16,"TERPS")*100/P16)</f>
        <v>0</v>
      </c>
      <c r="CI16">
        <f>IF(P16=0,0,COUNTIF('Transect 2_imgsummary'!E16:I16,"Z")*100/P16)</f>
        <v>0</v>
      </c>
      <c r="CK16">
        <f>IF(P16=0,0,COUNTIF('Transect 2_imgsummary'!E16:I16,"ASP")*100/P16)</f>
        <v>0</v>
      </c>
      <c r="CL16">
        <f>IF(P16=0,0,COUNTIF('Transect 2_imgsummary'!E16:I16,"BG")*100/P16)</f>
        <v>0</v>
      </c>
      <c r="CM16">
        <f>IF(P16=0,0,COUNTIF('Transect 2_imgsummary'!E16:I16,"Bood")*100/P16)</f>
        <v>0</v>
      </c>
      <c r="CN16">
        <f>IF(P16=0,0,COUNTIF('Transect 2_imgsummary'!E16:I16,"BRYP")*100/P16)</f>
        <v>0</v>
      </c>
      <c r="CO16">
        <f>IF(P16=0,0,COUNTIF('Transect 2_imgsummary'!E16:I16,"CLP")*100/P16)</f>
        <v>0</v>
      </c>
      <c r="CP16">
        <f>IF(P16=0,0,COUNTIF('Transect 2_imgsummary'!E16:I16,"CHLDES")*100/P16)</f>
        <v>0</v>
      </c>
      <c r="CQ16">
        <f>IF(P16=0,0,COUNTIF('Transect 2_imgsummary'!E16:I16,"DYCTY")*100/P16)</f>
        <v>0</v>
      </c>
      <c r="CR16">
        <f>IF(P16=0,0,COUNTIF('Transect 2_imgsummary'!E16:I16,"DICT")*100/P16)</f>
        <v>0</v>
      </c>
      <c r="CS16">
        <f>IF(P16=0,0,COUNTIF('Transect 2_imgsummary'!E16:I16,"GLXU")*100/P16)</f>
        <v>0</v>
      </c>
      <c r="CT16">
        <f>IF(P16=0,0,COUNTIF('Transect 2_imgsummary'!E16:I16,"HALI")*100/P16)</f>
        <v>0</v>
      </c>
      <c r="CU16">
        <f>IF(P16=0,0,COUNTIF('Transect 2_imgsummary'!E16:I16,"LIAG")*100/P16)</f>
        <v>0</v>
      </c>
      <c r="CV16">
        <f>IF(P16=0,0,COUNTIF('Transect 2_imgsummary'!E16:I16,"LOBO")*100/P16)</f>
        <v>0</v>
      </c>
      <c r="CW16">
        <f>IF(P16=0,0,COUNTIF('Transect 2_imgsummary'!E16:I16,"MAST")*100/P16)</f>
        <v>0</v>
      </c>
      <c r="CX16">
        <f>IF(P16=0,0,COUNTIF('Transect 2_imgsummary'!E16:I16,"MICDTY")*100/P16)</f>
        <v>0</v>
      </c>
      <c r="CY16">
        <f>IF(P16=0,0,COUNTIF('Transect 2_imgsummary'!E16:I16,"NEOM")*100/P16)</f>
        <v>0</v>
      </c>
      <c r="CZ16">
        <f>IF(P16=0,0,COUNTIF('Transect 2_imgsummary'!E16:I16,"NOIDMAC")*100/P16)</f>
        <v>0</v>
      </c>
      <c r="DA16">
        <f>IF(P16=0,0,COUNTIF('Transect 2_imgsummary'!E16:I16,"PAD")*100/P16)</f>
        <v>0</v>
      </c>
      <c r="DB16">
        <f>IF(P16=0,0,COUNTIF('Transect 2_imgsummary'!E16:I16,"SARG")*100/P16)</f>
        <v>0</v>
      </c>
      <c r="DC16">
        <f>IF(P16=0,0,COUNTIF('Transect 2_imgsummary'!E16:I16,"SCHIZ")*100/P16)</f>
        <v>0</v>
      </c>
      <c r="DD16">
        <f>IF(P16=0,0,COUNTIF('Transect 2_imgsummary'!E16:I16,"TURB")*100/P16)</f>
        <v>0</v>
      </c>
      <c r="DE16">
        <f>IF(P16=0,0,COUNTIF('Transect 2_imgsummary'!E16:I16,"TYDM")*100/P16)</f>
        <v>0</v>
      </c>
      <c r="DG16">
        <f>IF(P16=0,0,COUNTIF('Transect 2_imgsummary'!E16:I16,"AMP")*100/P16)</f>
        <v>0</v>
      </c>
      <c r="DH16">
        <f>IF(P16=0,0,COUNTIF('Transect 2_imgsummary'!E16:I16,"BCA1")*100/P16)</f>
        <v>0</v>
      </c>
      <c r="DI16">
        <f>IF(P16=0,0,COUNTIF('Transect 2_imgsummary'!E16:I16,"JAN")*100/P16)</f>
        <v>0</v>
      </c>
      <c r="DK16" s="29">
        <f>IF(P16=0,0,COUNTIF('Transect 2_imgsummary'!E16:I16,"CCA1")*100/P16)</f>
        <v>20</v>
      </c>
      <c r="DM16">
        <f>IF(P16=0,0,COUNTIF('Transect 2_imgsummary'!E16:I16,"Sand")*100/P16)</f>
        <v>0</v>
      </c>
      <c r="DO16">
        <f>IF(P16=0,0,COUNTIF('Transect 2_imgsummary'!E16:I16,"FCA1")*100/P16)</f>
        <v>0</v>
      </c>
      <c r="DQ16">
        <f>IF(P16=0,0,COUNTIF('Transect 2_imgsummary'!E16:I16,"CHRYOBRN")*100/P16)</f>
        <v>0</v>
      </c>
      <c r="DS16">
        <f>IF(P16=0,0,COUNTIF('Transect 2_imgsummary'!E16:I16,"TURF")*100/P16)</f>
        <v>0</v>
      </c>
      <c r="DU16">
        <f>COUNTIF('Transect 2_imgsummary'!E16:I16,"Shadow")*100/5</f>
        <v>0</v>
      </c>
      <c r="DV16">
        <f>COUNTIF('Transect 2_imgsummary'!E16:I16,"Tape")*100/5</f>
        <v>0</v>
      </c>
      <c r="DW16">
        <f>COUNTIF('Transect 2_imgsummary'!E16:I16,"Wand")*100/5</f>
        <v>0</v>
      </c>
      <c r="DY16">
        <f>IF(P16=0,0,COUNTIF('Transect 2_imgsummary'!O16:S16,"BC")*100/P16)</f>
        <v>0</v>
      </c>
    </row>
    <row r="17" spans="1:129">
      <c r="A17">
        <v>15</v>
      </c>
      <c r="B17" t="s">
        <v>444</v>
      </c>
      <c r="F17">
        <f>IF(P17=0,0,COUNTIF('Transect 2_imgsummary'!J17:N17,"C")*100/P17)</f>
        <v>0</v>
      </c>
      <c r="G17">
        <f>IF(P17=0,0,COUNTIF('Transect 2_imgsummary'!J17:N17,"OI")*100/P17)</f>
        <v>0</v>
      </c>
      <c r="H17">
        <f>IF(P17=0,0,COUNTIF('Transect 2_imgsummary'!J17:N17,"MA")*100/P17)</f>
        <v>0</v>
      </c>
      <c r="I17">
        <f>IF(P17=0,0,COUNTIF('Transect 2_imgsummary'!J17:N17,"BCA")*100/P17)</f>
        <v>0</v>
      </c>
      <c r="J17" s="29">
        <f>IF(P17=0,0,COUNTIF('Transect 2_imgsummary'!J17:N17,"CCA")*100/P17)</f>
        <v>40</v>
      </c>
      <c r="K17">
        <f>IF(P17=0,0,COUNTIF('Transect 2_imgsummary'!J17:N17,"SD")*100/P17)</f>
        <v>0</v>
      </c>
      <c r="L17" s="29">
        <f>IF(P17=0,0,COUNTIF('Transect 2_imgsummary'!J17:N17,"FCA")*100/P17)</f>
        <v>40</v>
      </c>
      <c r="M17">
        <f>IF(P17=0,0,COUNTIF('Transect 2_imgsummary'!J17:N17,"CHRYS")*100/P17)</f>
        <v>0</v>
      </c>
      <c r="N17" s="29">
        <f>IF(P17=0,0,COUNTIF('Transect 2_imgsummary'!J17:N17,"T")*100/P17)</f>
        <v>20</v>
      </c>
      <c r="O17">
        <f>IF(P17=0,0,COUNTIF('Transect 2_imgsummary'!J17:N17,"TWS")*100/P17)</f>
        <v>0</v>
      </c>
      <c r="P17">
        <f>5-COUNTIF('Transect 2_imgsummary'!J17:N17,"TWS")</f>
        <v>5</v>
      </c>
      <c r="S17">
        <f>IF(P17=0,0,COUNTIF('Transect 2_imgsummary'!E17:I17,"ACAN")*100/P17)</f>
        <v>0</v>
      </c>
      <c r="T17">
        <f>IF(P17=0,0,COUNTIF('Transect 2_imgsummary'!E17:I17,"ACROP")*100/P17)</f>
        <v>0</v>
      </c>
      <c r="U17">
        <f>IF(P17=0,0,COUNTIF('Transect 2_imgsummary'!E17:I17,"ACROPARB")*100/P17)</f>
        <v>0</v>
      </c>
      <c r="V17">
        <f>IF(P17=0,0,COUNTIF('Transect 2_imgsummary'!E17:I17,"ACROST")*100/P17)</f>
        <v>0</v>
      </c>
      <c r="W17">
        <f>IF(P17=0,0,COUNTIF('Transect 2_imgsummary'!E17:I17,"ACROTBL")*100/P17)</f>
        <v>0</v>
      </c>
      <c r="X17">
        <f>IF(P17=0,0,COUNTIF('Transect 2_imgsummary'!E17:I17,"ASTRP")*100/P17)</f>
        <v>0</v>
      </c>
      <c r="Y17">
        <f>IF(P17=0,0,COUNTIF('Transect 2_imgsummary'!E17:I17,"CAUL")*100/P17)</f>
        <v>0</v>
      </c>
      <c r="Z17">
        <f>IF(P17=0,0,COUNTIF('Transect 2_imgsummary'!E17:I17,"COSC")*100/P17)</f>
        <v>0</v>
      </c>
      <c r="AA17">
        <f>IF(P17=0,0,COUNTIF('Transect 2_imgsummary'!E17:I17,"CTEN")*100/P17)</f>
        <v>0</v>
      </c>
      <c r="AB17">
        <f>IF(P17=0,0,COUNTIF('Transect 2_imgsummary'!E17:I17,"CYPH")*100/P17)</f>
        <v>0</v>
      </c>
      <c r="AC17">
        <f>IF(P17=0,0,COUNTIF('Transect 2_imgsummary'!E17:I17,"DIPLO")*100/P17)</f>
        <v>0</v>
      </c>
      <c r="AD17">
        <f>IF(P17=0,0,COUNTIF('Transect 2_imgsummary'!E17:I17,"ECHPO")*100/P17)</f>
        <v>0</v>
      </c>
      <c r="AE17">
        <f>IF(P17=0,0,COUNTIF('Transect 2_imgsummary'!E17:I17,"ECHPHY")*100/P17)</f>
        <v>0</v>
      </c>
      <c r="AF17">
        <f>IF(P17=0,0,COUNTIF('Transect 2_imgsummary'!E17:I17,"EUPH")*100/P17)</f>
        <v>0</v>
      </c>
      <c r="AG17">
        <f>IF(P17=0,0,COUNTIF('Transect 2_imgsummary'!E17:I17,"FAV")*100/P17)</f>
        <v>0</v>
      </c>
      <c r="AH17">
        <f>IF(P17=0,0,COUNTIF('Transect 2_imgsummary'!E17:I17,"FAVT")*100/P17)</f>
        <v>0</v>
      </c>
      <c r="AI17">
        <f>IF(P17=0,0,COUNTIF('Transect 2_imgsummary'!E17:I17,"FUNG")*100/P17)</f>
        <v>0</v>
      </c>
      <c r="AJ17">
        <f>IF(P17=0,0,COUNTIF('Transect 2_imgsummary'!E17:I17,"GAL")*100/P17)</f>
        <v>0</v>
      </c>
      <c r="AK17">
        <f>IF(P17=0,0,COUNTIF('Transect 2_imgsummary'!E17:I17,"GARD")*100/P17)</f>
        <v>0</v>
      </c>
      <c r="AL17">
        <f>IF(P17=0,0,COUNTIF('Transect 2_imgsummary'!E17:I17,"GON")*100/P17)</f>
        <v>0</v>
      </c>
      <c r="AM17">
        <f>IF(P17=0,0,COUNTIF('Transect 2_imgsummary'!E17:I17,"GONIO")*100/P17)</f>
        <v>0</v>
      </c>
      <c r="AN17">
        <f>IF(P17=0,0,COUNTIF('Transect 2_imgsummary'!E17:I17,"HELIO")*100/P17)</f>
        <v>0</v>
      </c>
      <c r="AO17">
        <f>IF(P17=0,0,COUNTIF('Transect 2_imgsummary'!E17:I17,"HERP")*100/P17)</f>
        <v>0</v>
      </c>
      <c r="AP17">
        <f>IF(P17=0,0,COUNTIF('Transect 2_imgsummary'!E17:I17,"HYD")*100/P17)</f>
        <v>0</v>
      </c>
      <c r="AQ17">
        <f>IF(P17=0,0,COUNTIF('Transect 2_imgsummary'!E17:I17,"ISOP")*100/P17)</f>
        <v>0</v>
      </c>
      <c r="AR17">
        <f>IF(P17=0,0,COUNTIF('Transect 2_imgsummary'!E17:I17,"LEPT")*100/P17)</f>
        <v>0</v>
      </c>
      <c r="AS17">
        <f>IF(P17=0,0,COUNTIF('Transect 2_imgsummary'!E17:I17,"LEPTOR")*100/P17)</f>
        <v>0</v>
      </c>
      <c r="AT17">
        <f>IF(P17=0,0,COUNTIF('Transect 2_imgsummary'!E17:I17,"LEPTOS")*100/P17)</f>
        <v>0</v>
      </c>
      <c r="AU17">
        <f>IF(P17=0,0,COUNTIF('Transect 2_imgsummary'!E17:I17,"LOBOPH")*100/P17)</f>
        <v>0</v>
      </c>
      <c r="AV17">
        <f>IF(P17=0,0,COUNTIF('Transect 2_imgsummary'!E17:I17,"MERU")*100/P17)</f>
        <v>0</v>
      </c>
      <c r="AW17">
        <f>IF(P17=0,0,COUNTIF('Transect 2_imgsummary'!E17:I17,"MILL")*100/P17)</f>
        <v>0</v>
      </c>
      <c r="AX17">
        <f>IF(P17=0,0,COUNTIF('Transect 2_imgsummary'!E17:I17,"MONT")*100/P17)</f>
        <v>0</v>
      </c>
      <c r="AY17">
        <f>IF(P17=0,0,COUNTIF('Transect 2_imgsummary'!E17:I17,"MONTI")*100/P17)</f>
        <v>0</v>
      </c>
      <c r="AZ17">
        <f>IF(P17=0,0,COUNTIF('Transect 2_imgsummary'!E17:I17,"MYCED")*100/P17)</f>
        <v>0</v>
      </c>
      <c r="BA17">
        <f>IF(P17=0,0,COUNTIF('Transect 2_imgsummary'!E17:I17,"OULO")*100/P17)</f>
        <v>0</v>
      </c>
      <c r="BB17">
        <f>IF(P17=0,0,COUNTIF('Transect 2_imgsummary'!E17:I17,"OXYP")*100/P17)</f>
        <v>0</v>
      </c>
      <c r="BC17">
        <f>IF(P17=0,0,COUNTIF('Transect 2_imgsummary'!E17:I17,"PLSIA")*100/P17)</f>
        <v>0</v>
      </c>
      <c r="BD17">
        <f>IF(P17=0,0,COUNTIF('Transect 2_imgsummary'!E17:I17,"PACHY")*100/P17)</f>
        <v>0</v>
      </c>
      <c r="BE17">
        <f>IF(P17=0,0,COUNTIF('Transect 2_imgsummary'!E17:I17,"PAV")*100/P17)</f>
        <v>0</v>
      </c>
      <c r="BF17">
        <f>IF(P17=0,0,COUNTIF('Transect 2_imgsummary'!E17:I17,"PECT")*100/P17)</f>
        <v>0</v>
      </c>
      <c r="BG17">
        <f>IF(P17=0,0,COUNTIF('Transect 2_imgsummary'!E17:I17,"PHYSO")*100/P17)</f>
        <v>0</v>
      </c>
      <c r="BH17">
        <f>IF(P17=0,0,COUNTIF('Transect 2_imgsummary'!E17:I17,"PLAT")*100/P17)</f>
        <v>0</v>
      </c>
      <c r="BI17">
        <f>IF(P17=0,0,COUNTIF('Transect 2_imgsummary'!E17:I17,"PLERO")*100/P17)</f>
        <v>0</v>
      </c>
      <c r="BJ17">
        <f>IF(P17=0,0,COUNTIF('Transect 2_imgsummary'!E17:I17,"POC")*100/P17)</f>
        <v>0</v>
      </c>
      <c r="BK17">
        <f>IF(P17=0,0,COUNTIF('Transect 2_imgsummary'!E17:I17,"POR")*100/P17)</f>
        <v>0</v>
      </c>
      <c r="BL17">
        <f>IF(P17=0,0,COUNTIF('Transect 2_imgsummary'!E17:I17,"PORCYL")*100/P17)</f>
        <v>0</v>
      </c>
      <c r="BM17">
        <f>IF(P17=0,0,COUNTIF('Transect 2_imgsummary'!E17:I17,"PORMAS")*100/P17)</f>
        <v>0</v>
      </c>
      <c r="BN17">
        <f>IF(P17=0,0,COUNTIF('Transect 2_imgsummary'!E17:I17,"PORRUS")*100/P17)</f>
        <v>0</v>
      </c>
      <c r="BO17">
        <f>IF(P17=0,0,COUNTIF('Transect 2_imgsummary'!E17:I17,"PSAM")*100/P17)</f>
        <v>0</v>
      </c>
      <c r="BP17">
        <f>IF(P17=0,0,COUNTIF('Transect 2_imgsummary'!E17:I17,"SANDO")*100/P17)</f>
        <v>0</v>
      </c>
      <c r="BQ17">
        <f>IF(P17=0,0,COUNTIF('Transect 2_imgsummary'!E17:I17,"SCAP")*100/P17)</f>
        <v>0</v>
      </c>
      <c r="BR17">
        <f>IF(P17=0,0,COUNTIF('Transect 2_imgsummary'!E17:I17,"SERIA")*100/P17)</f>
        <v>0</v>
      </c>
      <c r="BS17">
        <f>IF(P17=0,0,COUNTIF('Transect 2_imgsummary'!E17:I17,"STYLC")*100/P17)</f>
        <v>0</v>
      </c>
      <c r="BT17">
        <f>IF(P17=0,0,COUNTIF('Transect 2_imgsummary'!E17:I17,"STYLO")*100/P17)</f>
        <v>0</v>
      </c>
      <c r="BU17">
        <f>IF(P17=0,0,COUNTIF('Transect 2_imgsummary'!E17:I17,"SYMP")*100/P17)</f>
        <v>0</v>
      </c>
      <c r="BV17">
        <f>IF(P17=0,0,COUNTIF('Transect 2_imgsummary'!E17:I17,"TURBIN")*100/P17)</f>
        <v>0</v>
      </c>
      <c r="BX17">
        <f>IF(P17=0,0,COUNTIF('Transect 2_imgsummary'!E17:I17,"ANEM")*100/P17)</f>
        <v>0</v>
      </c>
      <c r="BY17">
        <f>IF(P17=0,0,COUNTIF('Transect 2_imgsummary'!E17:I17,"ASC")*100/P17)</f>
        <v>0</v>
      </c>
      <c r="BZ17">
        <f>IF(P17=0,0,COUNTIF('Transect 2_imgsummary'!E17:I17,"CUPS")*100/P17)</f>
        <v>0</v>
      </c>
      <c r="CA17">
        <f>IF(P17=0,0,COUNTIF('Transect 2_imgsummary'!E17:I17,"DISCO")*100/P17)</f>
        <v>0</v>
      </c>
      <c r="CB17">
        <f>IF(P17=0,0,COUNTIF('Transect 2_imgsummary'!E17:I17,"DYS")*100/P17)</f>
        <v>0</v>
      </c>
      <c r="CC17">
        <f>IF(P17=0,0,COUNTIF('Transect 2_imgsummary'!E17:I17,"G")*100/P17)</f>
        <v>0</v>
      </c>
      <c r="CD17">
        <f>IF(P17=0,0,COUNTIF('Transect 2_imgsummary'!E17:I17,"NoIDINV")*100/P17)</f>
        <v>0</v>
      </c>
      <c r="CE17">
        <f>IF(P17=0,0,COUNTIF('Transect 2_imgsummary'!E17:I17,"OLV")*100/P17)</f>
        <v>0</v>
      </c>
      <c r="CF17">
        <f>IF(P17=0,0,COUNTIF('Transect 2_imgsummary'!E17:I17,"SC")*100/P17)</f>
        <v>0</v>
      </c>
      <c r="CG17">
        <f>IF(P17=0,0,COUNTIF('Transect 2_imgsummary'!E17:I17,"S")*100/P17)</f>
        <v>0</v>
      </c>
      <c r="CH17">
        <f>IF(P17=0,0,COUNTIF('Transect 2_imgsummary'!E17:I17,"TERPS")*100/P17)</f>
        <v>0</v>
      </c>
      <c r="CI17">
        <f>IF(P17=0,0,COUNTIF('Transect 2_imgsummary'!E17:I17,"Z")*100/P17)</f>
        <v>0</v>
      </c>
      <c r="CK17">
        <f>IF(P17=0,0,COUNTIF('Transect 2_imgsummary'!E17:I17,"ASP")*100/P17)</f>
        <v>0</v>
      </c>
      <c r="CL17">
        <f>IF(P17=0,0,COUNTIF('Transect 2_imgsummary'!E17:I17,"BG")*100/P17)</f>
        <v>0</v>
      </c>
      <c r="CM17">
        <f>IF(P17=0,0,COUNTIF('Transect 2_imgsummary'!E17:I17,"Bood")*100/P17)</f>
        <v>0</v>
      </c>
      <c r="CN17">
        <f>IF(P17=0,0,COUNTIF('Transect 2_imgsummary'!E17:I17,"BRYP")*100/P17)</f>
        <v>0</v>
      </c>
      <c r="CO17">
        <f>IF(P17=0,0,COUNTIF('Transect 2_imgsummary'!E17:I17,"CLP")*100/P17)</f>
        <v>0</v>
      </c>
      <c r="CP17">
        <f>IF(P17=0,0,COUNTIF('Transect 2_imgsummary'!E17:I17,"CHLDES")*100/P17)</f>
        <v>0</v>
      </c>
      <c r="CQ17">
        <f>IF(P17=0,0,COUNTIF('Transect 2_imgsummary'!E17:I17,"DYCTY")*100/P17)</f>
        <v>0</v>
      </c>
      <c r="CR17">
        <f>IF(P17=0,0,COUNTIF('Transect 2_imgsummary'!E17:I17,"DICT")*100/P17)</f>
        <v>0</v>
      </c>
      <c r="CS17">
        <f>IF(P17=0,0,COUNTIF('Transect 2_imgsummary'!E17:I17,"GLXU")*100/P17)</f>
        <v>0</v>
      </c>
      <c r="CT17">
        <f>IF(P17=0,0,COUNTIF('Transect 2_imgsummary'!E17:I17,"HALI")*100/P17)</f>
        <v>0</v>
      </c>
      <c r="CU17">
        <f>IF(P17=0,0,COUNTIF('Transect 2_imgsummary'!E17:I17,"LIAG")*100/P17)</f>
        <v>0</v>
      </c>
      <c r="CV17">
        <f>IF(P17=0,0,COUNTIF('Transect 2_imgsummary'!E17:I17,"LOBO")*100/P17)</f>
        <v>0</v>
      </c>
      <c r="CW17">
        <f>IF(P17=0,0,COUNTIF('Transect 2_imgsummary'!E17:I17,"MAST")*100/P17)</f>
        <v>0</v>
      </c>
      <c r="CX17">
        <f>IF(P17=0,0,COUNTIF('Transect 2_imgsummary'!E17:I17,"MICDTY")*100/P17)</f>
        <v>0</v>
      </c>
      <c r="CY17">
        <f>IF(P17=0,0,COUNTIF('Transect 2_imgsummary'!E17:I17,"NEOM")*100/P17)</f>
        <v>0</v>
      </c>
      <c r="CZ17">
        <f>IF(P17=0,0,COUNTIF('Transect 2_imgsummary'!E17:I17,"NOIDMAC")*100/P17)</f>
        <v>0</v>
      </c>
      <c r="DA17">
        <f>IF(P17=0,0,COUNTIF('Transect 2_imgsummary'!E17:I17,"PAD")*100/P17)</f>
        <v>0</v>
      </c>
      <c r="DB17">
        <f>IF(P17=0,0,COUNTIF('Transect 2_imgsummary'!E17:I17,"SARG")*100/P17)</f>
        <v>0</v>
      </c>
      <c r="DC17">
        <f>IF(P17=0,0,COUNTIF('Transect 2_imgsummary'!E17:I17,"SCHIZ")*100/P17)</f>
        <v>0</v>
      </c>
      <c r="DD17">
        <f>IF(P17=0,0,COUNTIF('Transect 2_imgsummary'!E17:I17,"TURB")*100/P17)</f>
        <v>0</v>
      </c>
      <c r="DE17">
        <f>IF(P17=0,0,COUNTIF('Transect 2_imgsummary'!E17:I17,"TYDM")*100/P17)</f>
        <v>0</v>
      </c>
      <c r="DG17">
        <f>IF(P17=0,0,COUNTIF('Transect 2_imgsummary'!E17:I17,"AMP")*100/P17)</f>
        <v>0</v>
      </c>
      <c r="DH17">
        <f>IF(P17=0,0,COUNTIF('Transect 2_imgsummary'!E17:I17,"BCA1")*100/P17)</f>
        <v>0</v>
      </c>
      <c r="DI17">
        <f>IF(P17=0,0,COUNTIF('Transect 2_imgsummary'!E17:I17,"JAN")*100/P17)</f>
        <v>0</v>
      </c>
      <c r="DK17" s="29">
        <f>IF(P17=0,0,COUNTIF('Transect 2_imgsummary'!E17:I17,"CCA1")*100/P17)</f>
        <v>40</v>
      </c>
      <c r="DM17">
        <f>IF(P17=0,0,COUNTIF('Transect 2_imgsummary'!E17:I17,"Sand")*100/P17)</f>
        <v>0</v>
      </c>
      <c r="DO17" s="29">
        <f>IF(P17=0,0,COUNTIF('Transect 2_imgsummary'!E17:I17,"FCA1")*100/P17)</f>
        <v>40</v>
      </c>
      <c r="DQ17">
        <f>IF(P17=0,0,COUNTIF('Transect 2_imgsummary'!E17:I17,"CHRYOBRN")*100/P17)</f>
        <v>0</v>
      </c>
      <c r="DS17" s="29">
        <f>IF(P17=0,0,COUNTIF('Transect 2_imgsummary'!E17:I17,"TURF")*100/P17)</f>
        <v>20</v>
      </c>
      <c r="DU17">
        <f>COUNTIF('Transect 2_imgsummary'!E17:I17,"Shadow")*100/5</f>
        <v>0</v>
      </c>
      <c r="DV17">
        <f>COUNTIF('Transect 2_imgsummary'!E17:I17,"Tape")*100/5</f>
        <v>0</v>
      </c>
      <c r="DW17">
        <f>COUNTIF('Transect 2_imgsummary'!E17:I17,"Wand")*100/5</f>
        <v>0</v>
      </c>
      <c r="DY17">
        <f>IF(P17=0,0,COUNTIF('Transect 2_imgsummary'!O17:S17,"BC")*100/P17)</f>
        <v>0</v>
      </c>
    </row>
    <row r="18" spans="1:129">
      <c r="A18">
        <v>16</v>
      </c>
      <c r="B18" t="s">
        <v>445</v>
      </c>
      <c r="F18" s="29">
        <f>IF(P18=0,0,COUNTIF('Transect 2_imgsummary'!J18:N18,"C")*100/P18)</f>
        <v>60</v>
      </c>
      <c r="G18">
        <f>IF(P18=0,0,COUNTIF('Transect 2_imgsummary'!J18:N18,"OI")*100/P18)</f>
        <v>0</v>
      </c>
      <c r="H18">
        <f>IF(P18=0,0,COUNTIF('Transect 2_imgsummary'!J18:N18,"MA")*100/P18)</f>
        <v>0</v>
      </c>
      <c r="I18">
        <f>IF(P18=0,0,COUNTIF('Transect 2_imgsummary'!J18:N18,"BCA")*100/P18)</f>
        <v>0</v>
      </c>
      <c r="J18" s="29">
        <f>IF(P18=0,0,COUNTIF('Transect 2_imgsummary'!J18:N18,"CCA")*100/P18)</f>
        <v>20</v>
      </c>
      <c r="K18">
        <f>IF(P18=0,0,COUNTIF('Transect 2_imgsummary'!J18:N18,"SD")*100/P18)</f>
        <v>0</v>
      </c>
      <c r="L18" s="29">
        <f>IF(P18=0,0,COUNTIF('Transect 2_imgsummary'!J18:N18,"FCA")*100/P18)</f>
        <v>20</v>
      </c>
      <c r="M18">
        <f>IF(P18=0,0,COUNTIF('Transect 2_imgsummary'!J18:N18,"CHRYS")*100/P18)</f>
        <v>0</v>
      </c>
      <c r="N18">
        <f>IF(P18=0,0,COUNTIF('Transect 2_imgsummary'!J18:N18,"T")*100/P18)</f>
        <v>0</v>
      </c>
      <c r="O18">
        <f>IF(P18=0,0,COUNTIF('Transect 2_imgsummary'!J18:N18,"TWS")*100/P18)</f>
        <v>0</v>
      </c>
      <c r="P18">
        <f>5-COUNTIF('Transect 2_imgsummary'!J18:N18,"TWS")</f>
        <v>5</v>
      </c>
      <c r="S18">
        <f>IF(P18=0,0,COUNTIF('Transect 2_imgsummary'!E18:I18,"ACAN")*100/P18)</f>
        <v>0</v>
      </c>
      <c r="T18">
        <f>IF(P18=0,0,COUNTIF('Transect 2_imgsummary'!E18:I18,"ACROP")*100/P18)</f>
        <v>0</v>
      </c>
      <c r="U18">
        <f>IF(P18=0,0,COUNTIF('Transect 2_imgsummary'!E18:I18,"ACROPARB")*100/P18)</f>
        <v>0</v>
      </c>
      <c r="V18">
        <f>IF(P18=0,0,COUNTIF('Transect 2_imgsummary'!E18:I18,"ACROST")*100/P18)</f>
        <v>0</v>
      </c>
      <c r="W18" s="29">
        <f>IF(P18=0,0,COUNTIF('Transect 2_imgsummary'!E18:I18,"ACROTBL")*100/P18)</f>
        <v>40</v>
      </c>
      <c r="X18">
        <f>IF(P18=0,0,COUNTIF('Transect 2_imgsummary'!E18:I18,"ASTRP")*100/P18)</f>
        <v>0</v>
      </c>
      <c r="Y18">
        <f>IF(P18=0,0,COUNTIF('Transect 2_imgsummary'!E18:I18,"CAUL")*100/P18)</f>
        <v>0</v>
      </c>
      <c r="Z18">
        <f>IF(P18=0,0,COUNTIF('Transect 2_imgsummary'!E18:I18,"COSC")*100/P18)</f>
        <v>0</v>
      </c>
      <c r="AA18">
        <f>IF(P18=0,0,COUNTIF('Transect 2_imgsummary'!E18:I18,"CTEN")*100/P18)</f>
        <v>0</v>
      </c>
      <c r="AB18">
        <f>IF(P18=0,0,COUNTIF('Transect 2_imgsummary'!E18:I18,"CYPH")*100/P18)</f>
        <v>0</v>
      </c>
      <c r="AC18">
        <f>IF(P18=0,0,COUNTIF('Transect 2_imgsummary'!E18:I18,"DIPLO")*100/P18)</f>
        <v>0</v>
      </c>
      <c r="AD18">
        <f>IF(P18=0,0,COUNTIF('Transect 2_imgsummary'!E18:I18,"ECHPO")*100/P18)</f>
        <v>0</v>
      </c>
      <c r="AE18">
        <f>IF(P18=0,0,COUNTIF('Transect 2_imgsummary'!E18:I18,"ECHPHY")*100/P18)</f>
        <v>0</v>
      </c>
      <c r="AF18">
        <f>IF(P18=0,0,COUNTIF('Transect 2_imgsummary'!E18:I18,"EUPH")*100/P18)</f>
        <v>0</v>
      </c>
      <c r="AG18">
        <f>IF(P18=0,0,COUNTIF('Transect 2_imgsummary'!E18:I18,"FAV")*100/P18)</f>
        <v>0</v>
      </c>
      <c r="AH18">
        <f>IF(P18=0,0,COUNTIF('Transect 2_imgsummary'!E18:I18,"FAVT")*100/P18)</f>
        <v>0</v>
      </c>
      <c r="AI18">
        <f>IF(P18=0,0,COUNTIF('Transect 2_imgsummary'!E18:I18,"FUNG")*100/P18)</f>
        <v>0</v>
      </c>
      <c r="AJ18">
        <f>IF(P18=0,0,COUNTIF('Transect 2_imgsummary'!E18:I18,"GAL")*100/P18)</f>
        <v>0</v>
      </c>
      <c r="AK18">
        <f>IF(P18=0,0,COUNTIF('Transect 2_imgsummary'!E18:I18,"GARD")*100/P18)</f>
        <v>0</v>
      </c>
      <c r="AL18">
        <f>IF(P18=0,0,COUNTIF('Transect 2_imgsummary'!E18:I18,"GON")*100/P18)</f>
        <v>0</v>
      </c>
      <c r="AM18">
        <f>IF(P18=0,0,COUNTIF('Transect 2_imgsummary'!E18:I18,"GONIO")*100/P18)</f>
        <v>0</v>
      </c>
      <c r="AN18">
        <f>IF(P18=0,0,COUNTIF('Transect 2_imgsummary'!E18:I18,"HELIO")*100/P18)</f>
        <v>0</v>
      </c>
      <c r="AO18">
        <f>IF(P18=0,0,COUNTIF('Transect 2_imgsummary'!E18:I18,"HERP")*100/P18)</f>
        <v>0</v>
      </c>
      <c r="AP18">
        <f>IF(P18=0,0,COUNTIF('Transect 2_imgsummary'!E18:I18,"HYD")*100/P18)</f>
        <v>0</v>
      </c>
      <c r="AQ18">
        <f>IF(P18=0,0,COUNTIF('Transect 2_imgsummary'!E18:I18,"ISOP")*100/P18)</f>
        <v>0</v>
      </c>
      <c r="AR18">
        <f>IF(P18=0,0,COUNTIF('Transect 2_imgsummary'!E18:I18,"LEPT")*100/P18)</f>
        <v>0</v>
      </c>
      <c r="AS18">
        <f>IF(P18=0,0,COUNTIF('Transect 2_imgsummary'!E18:I18,"LEPTOR")*100/P18)</f>
        <v>0</v>
      </c>
      <c r="AT18">
        <f>IF(P18=0,0,COUNTIF('Transect 2_imgsummary'!E18:I18,"LEPTOS")*100/P18)</f>
        <v>0</v>
      </c>
      <c r="AU18">
        <f>IF(P18=0,0,COUNTIF('Transect 2_imgsummary'!E18:I18,"LOBOPH")*100/P18)</f>
        <v>0</v>
      </c>
      <c r="AV18">
        <f>IF(P18=0,0,COUNTIF('Transect 2_imgsummary'!E18:I18,"MERU")*100/P18)</f>
        <v>0</v>
      </c>
      <c r="AW18">
        <f>IF(P18=0,0,COUNTIF('Transect 2_imgsummary'!E18:I18,"MILL")*100/P18)</f>
        <v>0</v>
      </c>
      <c r="AX18">
        <f>IF(P18=0,0,COUNTIF('Transect 2_imgsummary'!E18:I18,"MONT")*100/P18)</f>
        <v>0</v>
      </c>
      <c r="AY18" s="29">
        <f>IF(P18=0,0,COUNTIF('Transect 2_imgsummary'!E18:I18,"MONTI")*100/P18)</f>
        <v>20</v>
      </c>
      <c r="AZ18">
        <f>IF(P18=0,0,COUNTIF('Transect 2_imgsummary'!E18:I18,"MYCED")*100/P18)</f>
        <v>0</v>
      </c>
      <c r="BA18">
        <f>IF(P18=0,0,COUNTIF('Transect 2_imgsummary'!E18:I18,"OULO")*100/P18)</f>
        <v>0</v>
      </c>
      <c r="BB18">
        <f>IF(P18=0,0,COUNTIF('Transect 2_imgsummary'!E18:I18,"OXYP")*100/P18)</f>
        <v>0</v>
      </c>
      <c r="BC18">
        <f>IF(P18=0,0,COUNTIF('Transect 2_imgsummary'!E18:I18,"PLSIA")*100/P18)</f>
        <v>0</v>
      </c>
      <c r="BD18">
        <f>IF(P18=0,0,COUNTIF('Transect 2_imgsummary'!E18:I18,"PACHY")*100/P18)</f>
        <v>0</v>
      </c>
      <c r="BE18">
        <f>IF(P18=0,0,COUNTIF('Transect 2_imgsummary'!E18:I18,"PAV")*100/P18)</f>
        <v>0</v>
      </c>
      <c r="BF18">
        <f>IF(P18=0,0,COUNTIF('Transect 2_imgsummary'!E18:I18,"PECT")*100/P18)</f>
        <v>0</v>
      </c>
      <c r="BG18">
        <f>IF(P18=0,0,COUNTIF('Transect 2_imgsummary'!E18:I18,"PHYSO")*100/P18)</f>
        <v>0</v>
      </c>
      <c r="BH18">
        <f>IF(P18=0,0,COUNTIF('Transect 2_imgsummary'!E18:I18,"PLAT")*100/P18)</f>
        <v>0</v>
      </c>
      <c r="BI18">
        <f>IF(P18=0,0,COUNTIF('Transect 2_imgsummary'!E18:I18,"PLERO")*100/P18)</f>
        <v>0</v>
      </c>
      <c r="BJ18">
        <f>IF(P18=0,0,COUNTIF('Transect 2_imgsummary'!E18:I18,"POC")*100/P18)</f>
        <v>0</v>
      </c>
      <c r="BK18">
        <f>IF(P18=0,0,COUNTIF('Transect 2_imgsummary'!E18:I18,"POR")*100/P18)</f>
        <v>0</v>
      </c>
      <c r="BL18">
        <f>IF(P18=0,0,COUNTIF('Transect 2_imgsummary'!E18:I18,"PORCYL")*100/P18)</f>
        <v>0</v>
      </c>
      <c r="BM18">
        <f>IF(P18=0,0,COUNTIF('Transect 2_imgsummary'!E18:I18,"PORMAS")*100/P18)</f>
        <v>0</v>
      </c>
      <c r="BN18">
        <f>IF(P18=0,0,COUNTIF('Transect 2_imgsummary'!E18:I18,"PORRUS")*100/P18)</f>
        <v>0</v>
      </c>
      <c r="BO18">
        <f>IF(P18=0,0,COUNTIF('Transect 2_imgsummary'!E18:I18,"PSAM")*100/P18)</f>
        <v>0</v>
      </c>
      <c r="BP18">
        <f>IF(P18=0,0,COUNTIF('Transect 2_imgsummary'!E18:I18,"SANDO")*100/P18)</f>
        <v>0</v>
      </c>
      <c r="BQ18">
        <f>IF(P18=0,0,COUNTIF('Transect 2_imgsummary'!E18:I18,"SCAP")*100/P18)</f>
        <v>0</v>
      </c>
      <c r="BR18">
        <f>IF(P18=0,0,COUNTIF('Transect 2_imgsummary'!E18:I18,"SERIA")*100/P18)</f>
        <v>0</v>
      </c>
      <c r="BS18">
        <f>IF(P18=0,0,COUNTIF('Transect 2_imgsummary'!E18:I18,"STYLC")*100/P18)</f>
        <v>0</v>
      </c>
      <c r="BT18">
        <f>IF(P18=0,0,COUNTIF('Transect 2_imgsummary'!E18:I18,"STYLO")*100/P18)</f>
        <v>0</v>
      </c>
      <c r="BU18">
        <f>IF(P18=0,0,COUNTIF('Transect 2_imgsummary'!E18:I18,"SYMP")*100/P18)</f>
        <v>0</v>
      </c>
      <c r="BV18">
        <f>IF(P18=0,0,COUNTIF('Transect 2_imgsummary'!E18:I18,"TURBIN")*100/P18)</f>
        <v>0</v>
      </c>
      <c r="BX18">
        <f>IF(P18=0,0,COUNTIF('Transect 2_imgsummary'!E18:I18,"ANEM")*100/P18)</f>
        <v>0</v>
      </c>
      <c r="BY18">
        <f>IF(P18=0,0,COUNTIF('Transect 2_imgsummary'!E18:I18,"ASC")*100/P18)</f>
        <v>0</v>
      </c>
      <c r="BZ18">
        <f>IF(P18=0,0,COUNTIF('Transect 2_imgsummary'!E18:I18,"CUPS")*100/P18)</f>
        <v>0</v>
      </c>
      <c r="CA18">
        <f>IF(P18=0,0,COUNTIF('Transect 2_imgsummary'!E18:I18,"DISCO")*100/P18)</f>
        <v>0</v>
      </c>
      <c r="CB18">
        <f>IF(P18=0,0,COUNTIF('Transect 2_imgsummary'!E18:I18,"DYS")*100/P18)</f>
        <v>0</v>
      </c>
      <c r="CC18">
        <f>IF(P18=0,0,COUNTIF('Transect 2_imgsummary'!E18:I18,"G")*100/P18)</f>
        <v>0</v>
      </c>
      <c r="CD18">
        <f>IF(P18=0,0,COUNTIF('Transect 2_imgsummary'!E18:I18,"NoIDINV")*100/P18)</f>
        <v>0</v>
      </c>
      <c r="CE18">
        <f>IF(P18=0,0,COUNTIF('Transect 2_imgsummary'!E18:I18,"OLV")*100/P18)</f>
        <v>0</v>
      </c>
      <c r="CF18">
        <f>IF(P18=0,0,COUNTIF('Transect 2_imgsummary'!E18:I18,"SC")*100/P18)</f>
        <v>0</v>
      </c>
      <c r="CG18">
        <f>IF(P18=0,0,COUNTIF('Transect 2_imgsummary'!E18:I18,"S")*100/P18)</f>
        <v>0</v>
      </c>
      <c r="CH18">
        <f>IF(P18=0,0,COUNTIF('Transect 2_imgsummary'!E18:I18,"TERPS")*100/P18)</f>
        <v>0</v>
      </c>
      <c r="CI18">
        <f>IF(P18=0,0,COUNTIF('Transect 2_imgsummary'!E18:I18,"Z")*100/P18)</f>
        <v>0</v>
      </c>
      <c r="CK18">
        <f>IF(P18=0,0,COUNTIF('Transect 2_imgsummary'!E18:I18,"ASP")*100/P18)</f>
        <v>0</v>
      </c>
      <c r="CL18">
        <f>IF(P18=0,0,COUNTIF('Transect 2_imgsummary'!E18:I18,"BG")*100/P18)</f>
        <v>0</v>
      </c>
      <c r="CM18">
        <f>IF(P18=0,0,COUNTIF('Transect 2_imgsummary'!E18:I18,"Bood")*100/P18)</f>
        <v>0</v>
      </c>
      <c r="CN18">
        <f>IF(P18=0,0,COUNTIF('Transect 2_imgsummary'!E18:I18,"BRYP")*100/P18)</f>
        <v>0</v>
      </c>
      <c r="CO18">
        <f>IF(P18=0,0,COUNTIF('Transect 2_imgsummary'!E18:I18,"CLP")*100/P18)</f>
        <v>0</v>
      </c>
      <c r="CP18">
        <f>IF(P18=0,0,COUNTIF('Transect 2_imgsummary'!E18:I18,"CHLDES")*100/P18)</f>
        <v>0</v>
      </c>
      <c r="CQ18">
        <f>IF(P18=0,0,COUNTIF('Transect 2_imgsummary'!E18:I18,"DYCTY")*100/P18)</f>
        <v>0</v>
      </c>
      <c r="CR18">
        <f>IF(P18=0,0,COUNTIF('Transect 2_imgsummary'!E18:I18,"DICT")*100/P18)</f>
        <v>0</v>
      </c>
      <c r="CS18">
        <f>IF(P18=0,0,COUNTIF('Transect 2_imgsummary'!E18:I18,"GLXU")*100/P18)</f>
        <v>0</v>
      </c>
      <c r="CT18">
        <f>IF(P18=0,0,COUNTIF('Transect 2_imgsummary'!E18:I18,"HALI")*100/P18)</f>
        <v>0</v>
      </c>
      <c r="CU18">
        <f>IF(P18=0,0,COUNTIF('Transect 2_imgsummary'!E18:I18,"LIAG")*100/P18)</f>
        <v>0</v>
      </c>
      <c r="CV18">
        <f>IF(P18=0,0,COUNTIF('Transect 2_imgsummary'!E18:I18,"LOBO")*100/P18)</f>
        <v>0</v>
      </c>
      <c r="CW18">
        <f>IF(P18=0,0,COUNTIF('Transect 2_imgsummary'!E18:I18,"MAST")*100/P18)</f>
        <v>0</v>
      </c>
      <c r="CX18">
        <f>IF(P18=0,0,COUNTIF('Transect 2_imgsummary'!E18:I18,"MICDTY")*100/P18)</f>
        <v>0</v>
      </c>
      <c r="CY18">
        <f>IF(P18=0,0,COUNTIF('Transect 2_imgsummary'!E18:I18,"NEOM")*100/P18)</f>
        <v>0</v>
      </c>
      <c r="CZ18">
        <f>IF(P18=0,0,COUNTIF('Transect 2_imgsummary'!E18:I18,"NOIDMAC")*100/P18)</f>
        <v>0</v>
      </c>
      <c r="DA18">
        <f>IF(P18=0,0,COUNTIF('Transect 2_imgsummary'!E18:I18,"PAD")*100/P18)</f>
        <v>0</v>
      </c>
      <c r="DB18">
        <f>IF(P18=0,0,COUNTIF('Transect 2_imgsummary'!E18:I18,"SARG")*100/P18)</f>
        <v>0</v>
      </c>
      <c r="DC18">
        <f>IF(P18=0,0,COUNTIF('Transect 2_imgsummary'!E18:I18,"SCHIZ")*100/P18)</f>
        <v>0</v>
      </c>
      <c r="DD18">
        <f>IF(P18=0,0,COUNTIF('Transect 2_imgsummary'!E18:I18,"TURB")*100/P18)</f>
        <v>0</v>
      </c>
      <c r="DE18">
        <f>IF(P18=0,0,COUNTIF('Transect 2_imgsummary'!E18:I18,"TYDM")*100/P18)</f>
        <v>0</v>
      </c>
      <c r="DG18">
        <f>IF(P18=0,0,COUNTIF('Transect 2_imgsummary'!E18:I18,"AMP")*100/P18)</f>
        <v>0</v>
      </c>
      <c r="DH18">
        <f>IF(P18=0,0,COUNTIF('Transect 2_imgsummary'!E18:I18,"BCA1")*100/P18)</f>
        <v>0</v>
      </c>
      <c r="DI18">
        <f>IF(P18=0,0,COUNTIF('Transect 2_imgsummary'!E18:I18,"JAN")*100/P18)</f>
        <v>0</v>
      </c>
      <c r="DK18" s="29">
        <f>IF(P18=0,0,COUNTIF('Transect 2_imgsummary'!E18:I18,"CCA1")*100/P18)</f>
        <v>20</v>
      </c>
      <c r="DM18">
        <f>IF(P18=0,0,COUNTIF('Transect 2_imgsummary'!E18:I18,"Sand")*100/P18)</f>
        <v>0</v>
      </c>
      <c r="DO18" s="29">
        <f>IF(P18=0,0,COUNTIF('Transect 2_imgsummary'!E18:I18,"FCA1")*100/P18)</f>
        <v>20</v>
      </c>
      <c r="DQ18">
        <f>IF(P18=0,0,COUNTIF('Transect 2_imgsummary'!E18:I18,"CHRYOBRN")*100/P18)</f>
        <v>0</v>
      </c>
      <c r="DS18">
        <f>IF(P18=0,0,COUNTIF('Transect 2_imgsummary'!E18:I18,"TURF")*100/P18)</f>
        <v>0</v>
      </c>
      <c r="DU18">
        <f>COUNTIF('Transect 2_imgsummary'!E18:I18,"Shadow")*100/5</f>
        <v>0</v>
      </c>
      <c r="DV18">
        <f>COUNTIF('Transect 2_imgsummary'!E18:I18,"Tape")*100/5</f>
        <v>0</v>
      </c>
      <c r="DW18">
        <f>COUNTIF('Transect 2_imgsummary'!E18:I18,"Wand")*100/5</f>
        <v>0</v>
      </c>
      <c r="DY18">
        <f>IF(P18=0,0,COUNTIF('Transect 2_imgsummary'!O18:S18,"BC")*100/P18)</f>
        <v>0</v>
      </c>
    </row>
    <row r="19" spans="1:129">
      <c r="A19">
        <v>17</v>
      </c>
      <c r="B19" t="s">
        <v>446</v>
      </c>
      <c r="F19" s="29">
        <f>IF(P19=0,0,COUNTIF('Transect 2_imgsummary'!J19:N19,"C")*100/P19)</f>
        <v>40</v>
      </c>
      <c r="G19">
        <f>IF(P19=0,0,COUNTIF('Transect 2_imgsummary'!J19:N19,"OI")*100/P19)</f>
        <v>0</v>
      </c>
      <c r="H19">
        <f>IF(P19=0,0,COUNTIF('Transect 2_imgsummary'!J19:N19,"MA")*100/P19)</f>
        <v>0</v>
      </c>
      <c r="I19">
        <f>IF(P19=0,0,COUNTIF('Transect 2_imgsummary'!J19:N19,"BCA")*100/P19)</f>
        <v>0</v>
      </c>
      <c r="J19" s="29">
        <f>IF(P19=0,0,COUNTIF('Transect 2_imgsummary'!J19:N19,"CCA")*100/P19)</f>
        <v>20</v>
      </c>
      <c r="K19">
        <f>IF(P19=0,0,COUNTIF('Transect 2_imgsummary'!J19:N19,"SD")*100/P19)</f>
        <v>0</v>
      </c>
      <c r="L19" s="29">
        <f>IF(P19=0,0,COUNTIF('Transect 2_imgsummary'!J19:N19,"FCA")*100/P19)</f>
        <v>20</v>
      </c>
      <c r="M19">
        <f>IF(P19=0,0,COUNTIF('Transect 2_imgsummary'!J19:N19,"CHRYS")*100/P19)</f>
        <v>0</v>
      </c>
      <c r="N19" s="29">
        <f>IF(P19=0,0,COUNTIF('Transect 2_imgsummary'!J19:N19,"T")*100/P19)</f>
        <v>20</v>
      </c>
      <c r="O19">
        <f>IF(P19=0,0,COUNTIF('Transect 2_imgsummary'!J19:N19,"TWS")*100/P19)</f>
        <v>0</v>
      </c>
      <c r="P19">
        <f>5-COUNTIF('Transect 2_imgsummary'!J19:N19,"TWS")</f>
        <v>5</v>
      </c>
      <c r="S19">
        <f>IF(P19=0,0,COUNTIF('Transect 2_imgsummary'!E19:I19,"ACAN")*100/P19)</f>
        <v>0</v>
      </c>
      <c r="T19">
        <f>IF(P19=0,0,COUNTIF('Transect 2_imgsummary'!E19:I19,"ACROP")*100/P19)</f>
        <v>0</v>
      </c>
      <c r="U19">
        <f>IF(P19=0,0,COUNTIF('Transect 2_imgsummary'!E19:I19,"ACROPARB")*100/P19)</f>
        <v>0</v>
      </c>
      <c r="V19">
        <f>IF(P19=0,0,COUNTIF('Transect 2_imgsummary'!E19:I19,"ACROST")*100/P19)</f>
        <v>0</v>
      </c>
      <c r="W19">
        <f>IF(P19=0,0,COUNTIF('Transect 2_imgsummary'!E19:I19,"ACROTBL")*100/P19)</f>
        <v>0</v>
      </c>
      <c r="X19">
        <f>IF(P19=0,0,COUNTIF('Transect 2_imgsummary'!E19:I19,"ASTRP")*100/P19)</f>
        <v>0</v>
      </c>
      <c r="Y19">
        <f>IF(P19=0,0,COUNTIF('Transect 2_imgsummary'!E19:I19,"CAUL")*100/P19)</f>
        <v>0</v>
      </c>
      <c r="Z19">
        <f>IF(P19=0,0,COUNTIF('Transect 2_imgsummary'!E19:I19,"COSC")*100/P19)</f>
        <v>0</v>
      </c>
      <c r="AA19">
        <f>IF(P19=0,0,COUNTIF('Transect 2_imgsummary'!E19:I19,"CTEN")*100/P19)</f>
        <v>0</v>
      </c>
      <c r="AB19">
        <f>IF(P19=0,0,COUNTIF('Transect 2_imgsummary'!E19:I19,"CYPH")*100/P19)</f>
        <v>0</v>
      </c>
      <c r="AC19">
        <f>IF(P19=0,0,COUNTIF('Transect 2_imgsummary'!E19:I19,"DIPLO")*100/P19)</f>
        <v>0</v>
      </c>
      <c r="AD19" s="29">
        <f>IF(P19=0,0,COUNTIF('Transect 2_imgsummary'!E19:I19,"ECHPO")*100/P19)</f>
        <v>20</v>
      </c>
      <c r="AE19">
        <f>IF(P19=0,0,COUNTIF('Transect 2_imgsummary'!E19:I19,"ECHPHY")*100/P19)</f>
        <v>0</v>
      </c>
      <c r="AF19">
        <f>IF(P19=0,0,COUNTIF('Transect 2_imgsummary'!E19:I19,"EUPH")*100/P19)</f>
        <v>0</v>
      </c>
      <c r="AG19">
        <f>IF(P19=0,0,COUNTIF('Transect 2_imgsummary'!E19:I19,"FAV")*100/P19)</f>
        <v>0</v>
      </c>
      <c r="AH19">
        <f>IF(P19=0,0,COUNTIF('Transect 2_imgsummary'!E19:I19,"FAVT")*100/P19)</f>
        <v>0</v>
      </c>
      <c r="AI19">
        <f>IF(P19=0,0,COUNTIF('Transect 2_imgsummary'!E19:I19,"FUNG")*100/P19)</f>
        <v>0</v>
      </c>
      <c r="AJ19">
        <f>IF(P19=0,0,COUNTIF('Transect 2_imgsummary'!E19:I19,"GAL")*100/P19)</f>
        <v>0</v>
      </c>
      <c r="AK19">
        <f>IF(P19=0,0,COUNTIF('Transect 2_imgsummary'!E19:I19,"GARD")*100/P19)</f>
        <v>0</v>
      </c>
      <c r="AL19">
        <f>IF(P19=0,0,COUNTIF('Transect 2_imgsummary'!E19:I19,"GON")*100/P19)</f>
        <v>0</v>
      </c>
      <c r="AM19">
        <f>IF(P19=0,0,COUNTIF('Transect 2_imgsummary'!E19:I19,"GONIO")*100/P19)</f>
        <v>0</v>
      </c>
      <c r="AN19">
        <f>IF(P19=0,0,COUNTIF('Transect 2_imgsummary'!E19:I19,"HELIO")*100/P19)</f>
        <v>0</v>
      </c>
      <c r="AO19">
        <f>IF(P19=0,0,COUNTIF('Transect 2_imgsummary'!E19:I19,"HERP")*100/P19)</f>
        <v>0</v>
      </c>
      <c r="AP19">
        <f>IF(P19=0,0,COUNTIF('Transect 2_imgsummary'!E19:I19,"HYD")*100/P19)</f>
        <v>0</v>
      </c>
      <c r="AQ19">
        <f>IF(P19=0,0,COUNTIF('Transect 2_imgsummary'!E19:I19,"ISOP")*100/P19)</f>
        <v>0</v>
      </c>
      <c r="AR19">
        <f>IF(P19=0,0,COUNTIF('Transect 2_imgsummary'!E19:I19,"LEPT")*100/P19)</f>
        <v>0</v>
      </c>
      <c r="AS19">
        <f>IF(P19=0,0,COUNTIF('Transect 2_imgsummary'!E19:I19,"LEPTOR")*100/P19)</f>
        <v>0</v>
      </c>
      <c r="AT19">
        <f>IF(P19=0,0,COUNTIF('Transect 2_imgsummary'!E19:I19,"LEPTOS")*100/P19)</f>
        <v>0</v>
      </c>
      <c r="AU19">
        <f>IF(P19=0,0,COUNTIF('Transect 2_imgsummary'!E19:I19,"LOBOPH")*100/P19)</f>
        <v>0</v>
      </c>
      <c r="AV19">
        <f>IF(P19=0,0,COUNTIF('Transect 2_imgsummary'!E19:I19,"MERU")*100/P19)</f>
        <v>0</v>
      </c>
      <c r="AW19">
        <f>IF(P19=0,0,COUNTIF('Transect 2_imgsummary'!E19:I19,"MILL")*100/P19)</f>
        <v>0</v>
      </c>
      <c r="AX19">
        <f>IF(P19=0,0,COUNTIF('Transect 2_imgsummary'!E19:I19,"MONT")*100/P19)</f>
        <v>0</v>
      </c>
      <c r="AY19">
        <f>IF(P19=0,0,COUNTIF('Transect 2_imgsummary'!E19:I19,"MONTI")*100/P19)</f>
        <v>0</v>
      </c>
      <c r="AZ19">
        <f>IF(P19=0,0,COUNTIF('Transect 2_imgsummary'!E19:I19,"MYCED")*100/P19)</f>
        <v>0</v>
      </c>
      <c r="BA19">
        <f>IF(P19=0,0,COUNTIF('Transect 2_imgsummary'!E19:I19,"OULO")*100/P19)</f>
        <v>0</v>
      </c>
      <c r="BB19">
        <f>IF(P19=0,0,COUNTIF('Transect 2_imgsummary'!E19:I19,"OXYP")*100/P19)</f>
        <v>0</v>
      </c>
      <c r="BC19">
        <f>IF(P19=0,0,COUNTIF('Transect 2_imgsummary'!E19:I19,"PLSIA")*100/P19)</f>
        <v>0</v>
      </c>
      <c r="BD19">
        <f>IF(P19=0,0,COUNTIF('Transect 2_imgsummary'!E19:I19,"PACHY")*100/P19)</f>
        <v>0</v>
      </c>
      <c r="BE19">
        <f>IF(P19=0,0,COUNTIF('Transect 2_imgsummary'!E19:I19,"PAV")*100/P19)</f>
        <v>0</v>
      </c>
      <c r="BF19">
        <f>IF(P19=0,0,COUNTIF('Transect 2_imgsummary'!E19:I19,"PECT")*100/P19)</f>
        <v>0</v>
      </c>
      <c r="BG19">
        <f>IF(P19=0,0,COUNTIF('Transect 2_imgsummary'!E19:I19,"PHYSO")*100/P19)</f>
        <v>0</v>
      </c>
      <c r="BH19">
        <f>IF(P19=0,0,COUNTIF('Transect 2_imgsummary'!E19:I19,"PLAT")*100/P19)</f>
        <v>0</v>
      </c>
      <c r="BI19">
        <f>IF(P19=0,0,COUNTIF('Transect 2_imgsummary'!E19:I19,"PLERO")*100/P19)</f>
        <v>0</v>
      </c>
      <c r="BJ19">
        <f>IF(P19=0,0,COUNTIF('Transect 2_imgsummary'!E19:I19,"POC")*100/P19)</f>
        <v>0</v>
      </c>
      <c r="BK19">
        <f>IF(P19=0,0,COUNTIF('Transect 2_imgsummary'!E19:I19,"POR")*100/P19)</f>
        <v>0</v>
      </c>
      <c r="BL19">
        <f>IF(P19=0,0,COUNTIF('Transect 2_imgsummary'!E19:I19,"PORCYL")*100/P19)</f>
        <v>0</v>
      </c>
      <c r="BM19">
        <f>IF(P19=0,0,COUNTIF('Transect 2_imgsummary'!E19:I19,"PORMAS")*100/P19)</f>
        <v>0</v>
      </c>
      <c r="BN19">
        <f>IF(P19=0,0,COUNTIF('Transect 2_imgsummary'!E19:I19,"PORRUS")*100/P19)</f>
        <v>0</v>
      </c>
      <c r="BO19">
        <f>IF(P19=0,0,COUNTIF('Transect 2_imgsummary'!E19:I19,"PSAM")*100/P19)</f>
        <v>0</v>
      </c>
      <c r="BP19">
        <f>IF(P19=0,0,COUNTIF('Transect 2_imgsummary'!E19:I19,"SANDO")*100/P19)</f>
        <v>0</v>
      </c>
      <c r="BQ19">
        <f>IF(P19=0,0,COUNTIF('Transect 2_imgsummary'!E19:I19,"SCAP")*100/P19)</f>
        <v>0</v>
      </c>
      <c r="BR19">
        <f>IF(P19=0,0,COUNTIF('Transect 2_imgsummary'!E19:I19,"SERIA")*100/P19)</f>
        <v>0</v>
      </c>
      <c r="BS19">
        <f>IF(P19=0,0,COUNTIF('Transect 2_imgsummary'!E19:I19,"STYLC")*100/P19)</f>
        <v>0</v>
      </c>
      <c r="BT19" s="29">
        <f>IF(P19=0,0,COUNTIF('Transect 2_imgsummary'!E19:I19,"STYLO")*100/P19)</f>
        <v>20</v>
      </c>
      <c r="BU19">
        <f>IF(P19=0,0,COUNTIF('Transect 2_imgsummary'!E19:I19,"SYMP")*100/P19)</f>
        <v>0</v>
      </c>
      <c r="BV19">
        <f>IF(P19=0,0,COUNTIF('Transect 2_imgsummary'!E19:I19,"TURBIN")*100/P19)</f>
        <v>0</v>
      </c>
      <c r="BX19">
        <f>IF(P19=0,0,COUNTIF('Transect 2_imgsummary'!E19:I19,"ANEM")*100/P19)</f>
        <v>0</v>
      </c>
      <c r="BY19">
        <f>IF(P19=0,0,COUNTIF('Transect 2_imgsummary'!E19:I19,"ASC")*100/P19)</f>
        <v>0</v>
      </c>
      <c r="BZ19">
        <f>IF(P19=0,0,COUNTIF('Transect 2_imgsummary'!E19:I19,"CUPS")*100/P19)</f>
        <v>0</v>
      </c>
      <c r="CA19">
        <f>IF(P19=0,0,COUNTIF('Transect 2_imgsummary'!E19:I19,"DISCO")*100/P19)</f>
        <v>0</v>
      </c>
      <c r="CB19">
        <f>IF(P19=0,0,COUNTIF('Transect 2_imgsummary'!E19:I19,"DYS")*100/P19)</f>
        <v>0</v>
      </c>
      <c r="CC19">
        <f>IF(P19=0,0,COUNTIF('Transect 2_imgsummary'!E19:I19,"G")*100/P19)</f>
        <v>0</v>
      </c>
      <c r="CD19">
        <f>IF(P19=0,0,COUNTIF('Transect 2_imgsummary'!E19:I19,"NoIDINV")*100/P19)</f>
        <v>0</v>
      </c>
      <c r="CE19">
        <f>IF(P19=0,0,COUNTIF('Transect 2_imgsummary'!E19:I19,"OLV")*100/P19)</f>
        <v>0</v>
      </c>
      <c r="CF19">
        <f>IF(P19=0,0,COUNTIF('Transect 2_imgsummary'!E19:I19,"SC")*100/P19)</f>
        <v>0</v>
      </c>
      <c r="CG19">
        <f>IF(P19=0,0,COUNTIF('Transect 2_imgsummary'!E19:I19,"S")*100/P19)</f>
        <v>0</v>
      </c>
      <c r="CH19">
        <f>IF(P19=0,0,COUNTIF('Transect 2_imgsummary'!E19:I19,"TERPS")*100/P19)</f>
        <v>0</v>
      </c>
      <c r="CI19">
        <f>IF(P19=0,0,COUNTIF('Transect 2_imgsummary'!E19:I19,"Z")*100/P19)</f>
        <v>0</v>
      </c>
      <c r="CK19">
        <f>IF(P19=0,0,COUNTIF('Transect 2_imgsummary'!E19:I19,"ASP")*100/P19)</f>
        <v>0</v>
      </c>
      <c r="CL19">
        <f>IF(P19=0,0,COUNTIF('Transect 2_imgsummary'!E19:I19,"BG")*100/P19)</f>
        <v>0</v>
      </c>
      <c r="CM19">
        <f>IF(P19=0,0,COUNTIF('Transect 2_imgsummary'!E19:I19,"Bood")*100/P19)</f>
        <v>0</v>
      </c>
      <c r="CN19">
        <f>IF(P19=0,0,COUNTIF('Transect 2_imgsummary'!E19:I19,"BRYP")*100/P19)</f>
        <v>0</v>
      </c>
      <c r="CO19">
        <f>IF(P19=0,0,COUNTIF('Transect 2_imgsummary'!E19:I19,"CLP")*100/P19)</f>
        <v>0</v>
      </c>
      <c r="CP19">
        <f>IF(P19=0,0,COUNTIF('Transect 2_imgsummary'!E19:I19,"CHLDES")*100/P19)</f>
        <v>0</v>
      </c>
      <c r="CQ19">
        <f>IF(P19=0,0,COUNTIF('Transect 2_imgsummary'!E19:I19,"DYCTY")*100/P19)</f>
        <v>0</v>
      </c>
      <c r="CR19">
        <f>IF(P19=0,0,COUNTIF('Transect 2_imgsummary'!E19:I19,"DICT")*100/P19)</f>
        <v>0</v>
      </c>
      <c r="CS19">
        <f>IF(P19=0,0,COUNTIF('Transect 2_imgsummary'!E19:I19,"GLXU")*100/P19)</f>
        <v>0</v>
      </c>
      <c r="CT19">
        <f>IF(P19=0,0,COUNTIF('Transect 2_imgsummary'!E19:I19,"HALI")*100/P19)</f>
        <v>0</v>
      </c>
      <c r="CU19">
        <f>IF(P19=0,0,COUNTIF('Transect 2_imgsummary'!E19:I19,"LIAG")*100/P19)</f>
        <v>0</v>
      </c>
      <c r="CV19">
        <f>IF(P19=0,0,COUNTIF('Transect 2_imgsummary'!E19:I19,"LOBO")*100/P19)</f>
        <v>0</v>
      </c>
      <c r="CW19">
        <f>IF(P19=0,0,COUNTIF('Transect 2_imgsummary'!E19:I19,"MAST")*100/P19)</f>
        <v>0</v>
      </c>
      <c r="CX19">
        <f>IF(P19=0,0,COUNTIF('Transect 2_imgsummary'!E19:I19,"MICDTY")*100/P19)</f>
        <v>0</v>
      </c>
      <c r="CY19">
        <f>IF(P19=0,0,COUNTIF('Transect 2_imgsummary'!E19:I19,"NEOM")*100/P19)</f>
        <v>0</v>
      </c>
      <c r="CZ19">
        <f>IF(P19=0,0,COUNTIF('Transect 2_imgsummary'!E19:I19,"NOIDMAC")*100/P19)</f>
        <v>0</v>
      </c>
      <c r="DA19">
        <f>IF(P19=0,0,COUNTIF('Transect 2_imgsummary'!E19:I19,"PAD")*100/P19)</f>
        <v>0</v>
      </c>
      <c r="DB19">
        <f>IF(P19=0,0,COUNTIF('Transect 2_imgsummary'!E19:I19,"SARG")*100/P19)</f>
        <v>0</v>
      </c>
      <c r="DC19">
        <f>IF(P19=0,0,COUNTIF('Transect 2_imgsummary'!E19:I19,"SCHIZ")*100/P19)</f>
        <v>0</v>
      </c>
      <c r="DD19">
        <f>IF(P19=0,0,COUNTIF('Transect 2_imgsummary'!E19:I19,"TURB")*100/P19)</f>
        <v>0</v>
      </c>
      <c r="DE19">
        <f>IF(P19=0,0,COUNTIF('Transect 2_imgsummary'!E19:I19,"TYDM")*100/P19)</f>
        <v>0</v>
      </c>
      <c r="DG19">
        <f>IF(P19=0,0,COUNTIF('Transect 2_imgsummary'!E19:I19,"AMP")*100/P19)</f>
        <v>0</v>
      </c>
      <c r="DH19">
        <f>IF(P19=0,0,COUNTIF('Transect 2_imgsummary'!E19:I19,"BCA1")*100/P19)</f>
        <v>0</v>
      </c>
      <c r="DI19">
        <f>IF(P19=0,0,COUNTIF('Transect 2_imgsummary'!E19:I19,"JAN")*100/P19)</f>
        <v>0</v>
      </c>
      <c r="DK19" s="29">
        <f>IF(P19=0,0,COUNTIF('Transect 2_imgsummary'!E19:I19,"CCA1")*100/P19)</f>
        <v>20</v>
      </c>
      <c r="DM19">
        <f>IF(P19=0,0,COUNTIF('Transect 2_imgsummary'!E19:I19,"Sand")*100/P19)</f>
        <v>0</v>
      </c>
      <c r="DO19" s="29">
        <f>IF(P19=0,0,COUNTIF('Transect 2_imgsummary'!E19:I19,"FCA1")*100/P19)</f>
        <v>20</v>
      </c>
      <c r="DQ19">
        <f>IF(P19=0,0,COUNTIF('Transect 2_imgsummary'!E19:I19,"CHRYOBRN")*100/P19)</f>
        <v>0</v>
      </c>
      <c r="DS19" s="29">
        <f>IF(P19=0,0,COUNTIF('Transect 2_imgsummary'!E19:I19,"TURF")*100/P19)</f>
        <v>20</v>
      </c>
      <c r="DU19">
        <f>COUNTIF('Transect 2_imgsummary'!E19:I19,"Shadow")*100/5</f>
        <v>0</v>
      </c>
      <c r="DV19">
        <f>COUNTIF('Transect 2_imgsummary'!E19:I19,"Tape")*100/5</f>
        <v>0</v>
      </c>
      <c r="DW19">
        <f>COUNTIF('Transect 2_imgsummary'!E19:I19,"Wand")*100/5</f>
        <v>0</v>
      </c>
      <c r="DY19">
        <f>IF(P19=0,0,COUNTIF('Transect 2_imgsummary'!O19:S19,"BC")*100/P19)</f>
        <v>0</v>
      </c>
    </row>
    <row r="20" spans="1:129">
      <c r="A20">
        <v>18</v>
      </c>
      <c r="B20" t="s">
        <v>447</v>
      </c>
      <c r="F20" s="29">
        <f>IF(P20=0,0,COUNTIF('Transect 2_imgsummary'!J20:N20,"C")*100/P20)</f>
        <v>80</v>
      </c>
      <c r="G20">
        <f>IF(P20=0,0,COUNTIF('Transect 2_imgsummary'!J20:N20,"OI")*100/P20)</f>
        <v>0</v>
      </c>
      <c r="H20">
        <f>IF(P20=0,0,COUNTIF('Transect 2_imgsummary'!J20:N20,"MA")*100/P20)</f>
        <v>0</v>
      </c>
      <c r="I20">
        <f>IF(P20=0,0,COUNTIF('Transect 2_imgsummary'!J20:N20,"BCA")*100/P20)</f>
        <v>0</v>
      </c>
      <c r="J20" s="29">
        <f>IF(P20=0,0,COUNTIF('Transect 2_imgsummary'!J20:N20,"CCA")*100/P20)</f>
        <v>20</v>
      </c>
      <c r="K20">
        <f>IF(P20=0,0,COUNTIF('Transect 2_imgsummary'!J20:N20,"SD")*100/P20)</f>
        <v>0</v>
      </c>
      <c r="L20">
        <f>IF(P20=0,0,COUNTIF('Transect 2_imgsummary'!J20:N20,"FCA")*100/P20)</f>
        <v>0</v>
      </c>
      <c r="M20">
        <f>IF(P20=0,0,COUNTIF('Transect 2_imgsummary'!J20:N20,"CHRYS")*100/P20)</f>
        <v>0</v>
      </c>
      <c r="N20">
        <f>IF(P20=0,0,COUNTIF('Transect 2_imgsummary'!J20:N20,"T")*100/P20)</f>
        <v>0</v>
      </c>
      <c r="O20">
        <f>IF(P20=0,0,COUNTIF('Transect 2_imgsummary'!J20:N20,"TWS")*100/P20)</f>
        <v>0</v>
      </c>
      <c r="P20">
        <f>5-COUNTIF('Transect 2_imgsummary'!J20:N20,"TWS")</f>
        <v>5</v>
      </c>
      <c r="S20">
        <f>IF(P20=0,0,COUNTIF('Transect 2_imgsummary'!E20:I20,"ACAN")*100/P20)</f>
        <v>0</v>
      </c>
      <c r="T20" s="29">
        <f>IF(P20=0,0,COUNTIF('Transect 2_imgsummary'!E20:I20,"ACROP")*100/P20)</f>
        <v>20</v>
      </c>
      <c r="U20">
        <f>IF(P20=0,0,COUNTIF('Transect 2_imgsummary'!E20:I20,"ACROPARB")*100/P20)</f>
        <v>0</v>
      </c>
      <c r="V20">
        <f>IF(P20=0,0,COUNTIF('Transect 2_imgsummary'!E20:I20,"ACROST")*100/P20)</f>
        <v>0</v>
      </c>
      <c r="W20" s="29">
        <f>IF(P20=0,0,COUNTIF('Transect 2_imgsummary'!E20:I20,"ACROTBL")*100/P20)</f>
        <v>40</v>
      </c>
      <c r="X20">
        <f>IF(P20=0,0,COUNTIF('Transect 2_imgsummary'!E20:I20,"ASTRP")*100/P20)</f>
        <v>0</v>
      </c>
      <c r="Y20">
        <f>IF(P20=0,0,COUNTIF('Transect 2_imgsummary'!E20:I20,"CAUL")*100/P20)</f>
        <v>0</v>
      </c>
      <c r="Z20">
        <f>IF(P20=0,0,COUNTIF('Transect 2_imgsummary'!E20:I20,"COSC")*100/P20)</f>
        <v>0</v>
      </c>
      <c r="AA20">
        <f>IF(P20=0,0,COUNTIF('Transect 2_imgsummary'!E20:I20,"CTEN")*100/P20)</f>
        <v>0</v>
      </c>
      <c r="AB20">
        <f>IF(P20=0,0,COUNTIF('Transect 2_imgsummary'!E20:I20,"CYPH")*100/P20)</f>
        <v>0</v>
      </c>
      <c r="AC20">
        <f>IF(P20=0,0,COUNTIF('Transect 2_imgsummary'!E20:I20,"DIPLO")*100/P20)</f>
        <v>0</v>
      </c>
      <c r="AD20">
        <f>IF(P20=0,0,COUNTIF('Transect 2_imgsummary'!E20:I20,"ECHPO")*100/P20)</f>
        <v>0</v>
      </c>
      <c r="AE20">
        <f>IF(P20=0,0,COUNTIF('Transect 2_imgsummary'!E20:I20,"ECHPHY")*100/P20)</f>
        <v>0</v>
      </c>
      <c r="AF20">
        <f>IF(P20=0,0,COUNTIF('Transect 2_imgsummary'!E20:I20,"EUPH")*100/P20)</f>
        <v>0</v>
      </c>
      <c r="AG20">
        <f>IF(P20=0,0,COUNTIF('Transect 2_imgsummary'!E20:I20,"FAV")*100/P20)</f>
        <v>0</v>
      </c>
      <c r="AH20">
        <f>IF(P20=0,0,COUNTIF('Transect 2_imgsummary'!E20:I20,"FAVT")*100/P20)</f>
        <v>0</v>
      </c>
      <c r="AI20">
        <f>IF(P20=0,0,COUNTIF('Transect 2_imgsummary'!E20:I20,"FUNG")*100/P20)</f>
        <v>0</v>
      </c>
      <c r="AJ20">
        <f>IF(P20=0,0,COUNTIF('Transect 2_imgsummary'!E20:I20,"GAL")*100/P20)</f>
        <v>0</v>
      </c>
      <c r="AK20">
        <f>IF(P20=0,0,COUNTIF('Transect 2_imgsummary'!E20:I20,"GARD")*100/P20)</f>
        <v>0</v>
      </c>
      <c r="AL20">
        <f>IF(P20=0,0,COUNTIF('Transect 2_imgsummary'!E20:I20,"GON")*100/P20)</f>
        <v>0</v>
      </c>
      <c r="AM20">
        <f>IF(P20=0,0,COUNTIF('Transect 2_imgsummary'!E20:I20,"GONIO")*100/P20)</f>
        <v>0</v>
      </c>
      <c r="AN20">
        <f>IF(P20=0,0,COUNTIF('Transect 2_imgsummary'!E20:I20,"HELIO")*100/P20)</f>
        <v>0</v>
      </c>
      <c r="AO20">
        <f>IF(P20=0,0,COUNTIF('Transect 2_imgsummary'!E20:I20,"HERP")*100/P20)</f>
        <v>0</v>
      </c>
      <c r="AP20">
        <f>IF(P20=0,0,COUNTIF('Transect 2_imgsummary'!E20:I20,"HYD")*100/P20)</f>
        <v>0</v>
      </c>
      <c r="AQ20">
        <f>IF(P20=0,0,COUNTIF('Transect 2_imgsummary'!E20:I20,"ISOP")*100/P20)</f>
        <v>0</v>
      </c>
      <c r="AR20">
        <f>IF(P20=0,0,COUNTIF('Transect 2_imgsummary'!E20:I20,"LEPT")*100/P20)</f>
        <v>0</v>
      </c>
      <c r="AS20">
        <f>IF(P20=0,0,COUNTIF('Transect 2_imgsummary'!E20:I20,"LEPTOR")*100/P20)</f>
        <v>0</v>
      </c>
      <c r="AT20">
        <f>IF(P20=0,0,COUNTIF('Transect 2_imgsummary'!E20:I20,"LEPTOS")*100/P20)</f>
        <v>0</v>
      </c>
      <c r="AU20">
        <f>IF(P20=0,0,COUNTIF('Transect 2_imgsummary'!E20:I20,"LOBOPH")*100/P20)</f>
        <v>0</v>
      </c>
      <c r="AV20">
        <f>IF(P20=0,0,COUNTIF('Transect 2_imgsummary'!E20:I20,"MERU")*100/P20)</f>
        <v>0</v>
      </c>
      <c r="AW20">
        <f>IF(P20=0,0,COUNTIF('Transect 2_imgsummary'!E20:I20,"MILL")*100/P20)</f>
        <v>0</v>
      </c>
      <c r="AX20">
        <f>IF(P20=0,0,COUNTIF('Transect 2_imgsummary'!E20:I20,"MONT")*100/P20)</f>
        <v>0</v>
      </c>
      <c r="AY20">
        <f>IF(P20=0,0,COUNTIF('Transect 2_imgsummary'!E20:I20,"MONTI")*100/P20)</f>
        <v>0</v>
      </c>
      <c r="AZ20">
        <f>IF(P20=0,0,COUNTIF('Transect 2_imgsummary'!E20:I20,"MYCED")*100/P20)</f>
        <v>0</v>
      </c>
      <c r="BA20">
        <f>IF(P20=0,0,COUNTIF('Transect 2_imgsummary'!E20:I20,"OULO")*100/P20)</f>
        <v>0</v>
      </c>
      <c r="BB20">
        <f>IF(P20=0,0,COUNTIF('Transect 2_imgsummary'!E20:I20,"OXYP")*100/P20)</f>
        <v>0</v>
      </c>
      <c r="BC20">
        <f>IF(P20=0,0,COUNTIF('Transect 2_imgsummary'!E20:I20,"PLSIA")*100/P20)</f>
        <v>0</v>
      </c>
      <c r="BD20">
        <f>IF(P20=0,0,COUNTIF('Transect 2_imgsummary'!E20:I20,"PACHY")*100/P20)</f>
        <v>0</v>
      </c>
      <c r="BE20">
        <f>IF(P20=0,0,COUNTIF('Transect 2_imgsummary'!E20:I20,"PAV")*100/P20)</f>
        <v>0</v>
      </c>
      <c r="BF20">
        <f>IF(P20=0,0,COUNTIF('Transect 2_imgsummary'!E20:I20,"PECT")*100/P20)</f>
        <v>0</v>
      </c>
      <c r="BG20">
        <f>IF(P20=0,0,COUNTIF('Transect 2_imgsummary'!E20:I20,"PHYSO")*100/P20)</f>
        <v>0</v>
      </c>
      <c r="BH20" s="29">
        <f>IF(P20=0,0,COUNTIF('Transect 2_imgsummary'!E20:I20,"PLAT")*100/P20)</f>
        <v>20</v>
      </c>
      <c r="BI20">
        <f>IF(P20=0,0,COUNTIF('Transect 2_imgsummary'!E20:I20,"PLERO")*100/P20)</f>
        <v>0</v>
      </c>
      <c r="BJ20">
        <f>IF(P20=0,0,COUNTIF('Transect 2_imgsummary'!E20:I20,"POC")*100/P20)</f>
        <v>0</v>
      </c>
      <c r="BK20">
        <f>IF(P20=0,0,COUNTIF('Transect 2_imgsummary'!E20:I20,"POR")*100/P20)</f>
        <v>0</v>
      </c>
      <c r="BL20">
        <f>IF(P20=0,0,COUNTIF('Transect 2_imgsummary'!E20:I20,"PORCYL")*100/P20)</f>
        <v>0</v>
      </c>
      <c r="BM20">
        <f>IF(P20=0,0,COUNTIF('Transect 2_imgsummary'!E20:I20,"PORMAS")*100/P20)</f>
        <v>0</v>
      </c>
      <c r="BN20">
        <f>IF(P20=0,0,COUNTIF('Transect 2_imgsummary'!E20:I20,"PORRUS")*100/P20)</f>
        <v>0</v>
      </c>
      <c r="BO20">
        <f>IF(P20=0,0,COUNTIF('Transect 2_imgsummary'!E20:I20,"PSAM")*100/P20)</f>
        <v>0</v>
      </c>
      <c r="BP20">
        <f>IF(P20=0,0,COUNTIF('Transect 2_imgsummary'!E20:I20,"SANDO")*100/P20)</f>
        <v>0</v>
      </c>
      <c r="BQ20">
        <f>IF(P20=0,0,COUNTIF('Transect 2_imgsummary'!E20:I20,"SCAP")*100/P20)</f>
        <v>0</v>
      </c>
      <c r="BR20">
        <f>IF(P20=0,0,COUNTIF('Transect 2_imgsummary'!E20:I20,"SERIA")*100/P20)</f>
        <v>0</v>
      </c>
      <c r="BS20">
        <f>IF(P20=0,0,COUNTIF('Transect 2_imgsummary'!E20:I20,"STYLC")*100/P20)</f>
        <v>0</v>
      </c>
      <c r="BT20">
        <f>IF(P20=0,0,COUNTIF('Transect 2_imgsummary'!E20:I20,"STYLO")*100/P20)</f>
        <v>0</v>
      </c>
      <c r="BU20">
        <f>IF(P20=0,0,COUNTIF('Transect 2_imgsummary'!E20:I20,"SYMP")*100/P20)</f>
        <v>0</v>
      </c>
      <c r="BV20">
        <f>IF(P20=0,0,COUNTIF('Transect 2_imgsummary'!E20:I20,"TURBIN")*100/P20)</f>
        <v>0</v>
      </c>
      <c r="BX20">
        <f>IF(P20=0,0,COUNTIF('Transect 2_imgsummary'!E20:I20,"ANEM")*100/P20)</f>
        <v>0</v>
      </c>
      <c r="BY20">
        <f>IF(P20=0,0,COUNTIF('Transect 2_imgsummary'!E20:I20,"ASC")*100/P20)</f>
        <v>0</v>
      </c>
      <c r="BZ20">
        <f>IF(P20=0,0,COUNTIF('Transect 2_imgsummary'!E20:I20,"CUPS")*100/P20)</f>
        <v>0</v>
      </c>
      <c r="CA20">
        <f>IF(P20=0,0,COUNTIF('Transect 2_imgsummary'!E20:I20,"DISCO")*100/P20)</f>
        <v>0</v>
      </c>
      <c r="CB20">
        <f>IF(P20=0,0,COUNTIF('Transect 2_imgsummary'!E20:I20,"DYS")*100/P20)</f>
        <v>0</v>
      </c>
      <c r="CC20">
        <f>IF(P20=0,0,COUNTIF('Transect 2_imgsummary'!E20:I20,"G")*100/P20)</f>
        <v>0</v>
      </c>
      <c r="CD20">
        <f>IF(P20=0,0,COUNTIF('Transect 2_imgsummary'!E20:I20,"NoIDINV")*100/P20)</f>
        <v>0</v>
      </c>
      <c r="CE20">
        <f>IF(P20=0,0,COUNTIF('Transect 2_imgsummary'!E20:I20,"OLV")*100/P20)</f>
        <v>0</v>
      </c>
      <c r="CF20">
        <f>IF(P20=0,0,COUNTIF('Transect 2_imgsummary'!E20:I20,"SC")*100/P20)</f>
        <v>0</v>
      </c>
      <c r="CG20">
        <f>IF(P20=0,0,COUNTIF('Transect 2_imgsummary'!E20:I20,"S")*100/P20)</f>
        <v>0</v>
      </c>
      <c r="CH20">
        <f>IF(P20=0,0,COUNTIF('Transect 2_imgsummary'!E20:I20,"TERPS")*100/P20)</f>
        <v>0</v>
      </c>
      <c r="CI20">
        <f>IF(P20=0,0,COUNTIF('Transect 2_imgsummary'!E20:I20,"Z")*100/P20)</f>
        <v>0</v>
      </c>
      <c r="CK20">
        <f>IF(P20=0,0,COUNTIF('Transect 2_imgsummary'!E20:I20,"ASP")*100/P20)</f>
        <v>0</v>
      </c>
      <c r="CL20">
        <f>IF(P20=0,0,COUNTIF('Transect 2_imgsummary'!E20:I20,"BG")*100/P20)</f>
        <v>0</v>
      </c>
      <c r="CM20">
        <f>IF(P20=0,0,COUNTIF('Transect 2_imgsummary'!E20:I20,"Bood")*100/P20)</f>
        <v>0</v>
      </c>
      <c r="CN20">
        <f>IF(P20=0,0,COUNTIF('Transect 2_imgsummary'!E20:I20,"BRYP")*100/P20)</f>
        <v>0</v>
      </c>
      <c r="CO20">
        <f>IF(P20=0,0,COUNTIF('Transect 2_imgsummary'!E20:I20,"CLP")*100/P20)</f>
        <v>0</v>
      </c>
      <c r="CP20">
        <f>IF(P20=0,0,COUNTIF('Transect 2_imgsummary'!E20:I20,"CHLDES")*100/P20)</f>
        <v>0</v>
      </c>
      <c r="CQ20">
        <f>IF(P20=0,0,COUNTIF('Transect 2_imgsummary'!E20:I20,"DYCTY")*100/P20)</f>
        <v>0</v>
      </c>
      <c r="CR20">
        <f>IF(P20=0,0,COUNTIF('Transect 2_imgsummary'!E20:I20,"DICT")*100/P20)</f>
        <v>0</v>
      </c>
      <c r="CS20">
        <f>IF(P20=0,0,COUNTIF('Transect 2_imgsummary'!E20:I20,"GLXU")*100/P20)</f>
        <v>0</v>
      </c>
      <c r="CT20">
        <f>IF(P20=0,0,COUNTIF('Transect 2_imgsummary'!E20:I20,"HALI")*100/P20)</f>
        <v>0</v>
      </c>
      <c r="CU20">
        <f>IF(P20=0,0,COUNTIF('Transect 2_imgsummary'!E20:I20,"LIAG")*100/P20)</f>
        <v>0</v>
      </c>
      <c r="CV20">
        <f>IF(P20=0,0,COUNTIF('Transect 2_imgsummary'!E20:I20,"LOBO")*100/P20)</f>
        <v>0</v>
      </c>
      <c r="CW20">
        <f>IF(P20=0,0,COUNTIF('Transect 2_imgsummary'!E20:I20,"MAST")*100/P20)</f>
        <v>0</v>
      </c>
      <c r="CX20">
        <f>IF(P20=0,0,COUNTIF('Transect 2_imgsummary'!E20:I20,"MICDTY")*100/P20)</f>
        <v>0</v>
      </c>
      <c r="CY20">
        <f>IF(P20=0,0,COUNTIF('Transect 2_imgsummary'!E20:I20,"NEOM")*100/P20)</f>
        <v>0</v>
      </c>
      <c r="CZ20">
        <f>IF(P20=0,0,COUNTIF('Transect 2_imgsummary'!E20:I20,"NOIDMAC")*100/P20)</f>
        <v>0</v>
      </c>
      <c r="DA20">
        <f>IF(P20=0,0,COUNTIF('Transect 2_imgsummary'!E20:I20,"PAD")*100/P20)</f>
        <v>0</v>
      </c>
      <c r="DB20">
        <f>IF(P20=0,0,COUNTIF('Transect 2_imgsummary'!E20:I20,"SARG")*100/P20)</f>
        <v>0</v>
      </c>
      <c r="DC20">
        <f>IF(P20=0,0,COUNTIF('Transect 2_imgsummary'!E20:I20,"SCHIZ")*100/P20)</f>
        <v>0</v>
      </c>
      <c r="DD20">
        <f>IF(P20=0,0,COUNTIF('Transect 2_imgsummary'!E20:I20,"TURB")*100/P20)</f>
        <v>0</v>
      </c>
      <c r="DE20">
        <f>IF(P20=0,0,COUNTIF('Transect 2_imgsummary'!E20:I20,"TYDM")*100/P20)</f>
        <v>0</v>
      </c>
      <c r="DG20">
        <f>IF(P20=0,0,COUNTIF('Transect 2_imgsummary'!E20:I20,"AMP")*100/P20)</f>
        <v>0</v>
      </c>
      <c r="DH20">
        <f>IF(P20=0,0,COUNTIF('Transect 2_imgsummary'!E20:I20,"BCA1")*100/P20)</f>
        <v>0</v>
      </c>
      <c r="DI20">
        <f>IF(P20=0,0,COUNTIF('Transect 2_imgsummary'!E20:I20,"JAN")*100/P20)</f>
        <v>0</v>
      </c>
      <c r="DK20" s="29">
        <f>IF(P20=0,0,COUNTIF('Transect 2_imgsummary'!E20:I20,"CCA1")*100/P20)</f>
        <v>20</v>
      </c>
      <c r="DM20">
        <f>IF(P20=0,0,COUNTIF('Transect 2_imgsummary'!E20:I20,"Sand")*100/P20)</f>
        <v>0</v>
      </c>
      <c r="DO20">
        <f>IF(P20=0,0,COUNTIF('Transect 2_imgsummary'!E20:I20,"FCA1")*100/P20)</f>
        <v>0</v>
      </c>
      <c r="DQ20">
        <f>IF(P20=0,0,COUNTIF('Transect 2_imgsummary'!E20:I20,"CHRYOBRN")*100/P20)</f>
        <v>0</v>
      </c>
      <c r="DS20">
        <f>IF(P20=0,0,COUNTIF('Transect 2_imgsummary'!E20:I20,"TURF")*100/P20)</f>
        <v>0</v>
      </c>
      <c r="DU20">
        <f>COUNTIF('Transect 2_imgsummary'!E20:I20,"Shadow")*100/5</f>
        <v>0</v>
      </c>
      <c r="DV20">
        <f>COUNTIF('Transect 2_imgsummary'!E20:I20,"Tape")*100/5</f>
        <v>0</v>
      </c>
      <c r="DW20">
        <f>COUNTIF('Transect 2_imgsummary'!E20:I20,"Wand")*100/5</f>
        <v>0</v>
      </c>
      <c r="DY20">
        <f>IF(P20=0,0,COUNTIF('Transect 2_imgsummary'!O20:S20,"BC")*100/P20)</f>
        <v>0</v>
      </c>
    </row>
    <row r="21" spans="1:129">
      <c r="A21">
        <v>19</v>
      </c>
      <c r="B21" t="s">
        <v>448</v>
      </c>
      <c r="F21" s="29">
        <f>IF(P21=0,0,COUNTIF('Transect 2_imgsummary'!J21:N21,"C")*100/P21)</f>
        <v>40</v>
      </c>
      <c r="G21">
        <f>IF(P21=0,0,COUNTIF('Transect 2_imgsummary'!J21:N21,"OI")*100/P21)</f>
        <v>0</v>
      </c>
      <c r="H21">
        <f>IF(P21=0,0,COUNTIF('Transect 2_imgsummary'!J21:N21,"MA")*100/P21)</f>
        <v>0</v>
      </c>
      <c r="I21">
        <f>IF(P21=0,0,COUNTIF('Transect 2_imgsummary'!J21:N21,"BCA")*100/P21)</f>
        <v>0</v>
      </c>
      <c r="J21" s="29">
        <f>IF(P21=0,0,COUNTIF('Transect 2_imgsummary'!J21:N21,"CCA")*100/P21)</f>
        <v>40</v>
      </c>
      <c r="K21">
        <f>IF(P21=0,0,COUNTIF('Transect 2_imgsummary'!J21:N21,"SD")*100/P21)</f>
        <v>0</v>
      </c>
      <c r="L21">
        <f>IF(P21=0,0,COUNTIF('Transect 2_imgsummary'!J21:N21,"FCA")*100/P21)</f>
        <v>0</v>
      </c>
      <c r="M21">
        <f>IF(P21=0,0,COUNTIF('Transect 2_imgsummary'!J21:N21,"CHRYS")*100/P21)</f>
        <v>0</v>
      </c>
      <c r="N21" s="29">
        <f>IF(P21=0,0,COUNTIF('Transect 2_imgsummary'!J21:N21,"T")*100/P21)</f>
        <v>20</v>
      </c>
      <c r="O21">
        <f>IF(P21=0,0,COUNTIF('Transect 2_imgsummary'!J21:N21,"TWS")*100/P21)</f>
        <v>0</v>
      </c>
      <c r="P21">
        <f>5-COUNTIF('Transect 2_imgsummary'!J21:N21,"TWS")</f>
        <v>5</v>
      </c>
      <c r="S21">
        <f>IF(P21=0,0,COUNTIF('Transect 2_imgsummary'!E21:I21,"ACAN")*100/P21)</f>
        <v>0</v>
      </c>
      <c r="T21">
        <f>IF(P21=0,0,COUNTIF('Transect 2_imgsummary'!E21:I21,"ACROP")*100/P21)</f>
        <v>0</v>
      </c>
      <c r="U21">
        <f>IF(P21=0,0,COUNTIF('Transect 2_imgsummary'!E21:I21,"ACROPARB")*100/P21)</f>
        <v>0</v>
      </c>
      <c r="V21">
        <f>IF(P21=0,0,COUNTIF('Transect 2_imgsummary'!E21:I21,"ACROST")*100/P21)</f>
        <v>0</v>
      </c>
      <c r="W21">
        <f>IF(P21=0,0,COUNTIF('Transect 2_imgsummary'!E21:I21,"ACROTBL")*100/P21)</f>
        <v>0</v>
      </c>
      <c r="X21" s="29">
        <f>IF(P21=0,0,COUNTIF('Transect 2_imgsummary'!E21:I21,"ASTRP")*100/P21)</f>
        <v>20</v>
      </c>
      <c r="Y21">
        <f>IF(P21=0,0,COUNTIF('Transect 2_imgsummary'!E21:I21,"CAUL")*100/P21)</f>
        <v>0</v>
      </c>
      <c r="Z21">
        <f>IF(P21=0,0,COUNTIF('Transect 2_imgsummary'!E21:I21,"COSC")*100/P21)</f>
        <v>0</v>
      </c>
      <c r="AA21">
        <f>IF(P21=0,0,COUNTIF('Transect 2_imgsummary'!E21:I21,"CTEN")*100/P21)</f>
        <v>0</v>
      </c>
      <c r="AB21">
        <f>IF(P21=0,0,COUNTIF('Transect 2_imgsummary'!E21:I21,"CYPH")*100/P21)</f>
        <v>0</v>
      </c>
      <c r="AC21">
        <f>IF(P21=0,0,COUNTIF('Transect 2_imgsummary'!E21:I21,"DIPLO")*100/P21)</f>
        <v>0</v>
      </c>
      <c r="AD21">
        <f>IF(P21=0,0,COUNTIF('Transect 2_imgsummary'!E21:I21,"ECHPO")*100/P21)</f>
        <v>0</v>
      </c>
      <c r="AE21">
        <f>IF(P21=0,0,COUNTIF('Transect 2_imgsummary'!E21:I21,"ECHPHY")*100/P21)</f>
        <v>0</v>
      </c>
      <c r="AF21">
        <f>IF(P21=0,0,COUNTIF('Transect 2_imgsummary'!E21:I21,"EUPH")*100/P21)</f>
        <v>0</v>
      </c>
      <c r="AG21">
        <f>IF(P21=0,0,COUNTIF('Transect 2_imgsummary'!E21:I21,"FAV")*100/P21)</f>
        <v>0</v>
      </c>
      <c r="AH21">
        <f>IF(P21=0,0,COUNTIF('Transect 2_imgsummary'!E21:I21,"FAVT")*100/P21)</f>
        <v>0</v>
      </c>
      <c r="AI21">
        <f>IF(P21=0,0,COUNTIF('Transect 2_imgsummary'!E21:I21,"FUNG")*100/P21)</f>
        <v>0</v>
      </c>
      <c r="AJ21">
        <f>IF(P21=0,0,COUNTIF('Transect 2_imgsummary'!E21:I21,"GAL")*100/P21)</f>
        <v>0</v>
      </c>
      <c r="AK21">
        <f>IF(P21=0,0,COUNTIF('Transect 2_imgsummary'!E21:I21,"GARD")*100/P21)</f>
        <v>0</v>
      </c>
      <c r="AL21">
        <f>IF(P21=0,0,COUNTIF('Transect 2_imgsummary'!E21:I21,"GON")*100/P21)</f>
        <v>0</v>
      </c>
      <c r="AM21">
        <f>IF(P21=0,0,COUNTIF('Transect 2_imgsummary'!E21:I21,"GONIO")*100/P21)</f>
        <v>0</v>
      </c>
      <c r="AN21">
        <f>IF(P21=0,0,COUNTIF('Transect 2_imgsummary'!E21:I21,"HELIO")*100/P21)</f>
        <v>0</v>
      </c>
      <c r="AO21">
        <f>IF(P21=0,0,COUNTIF('Transect 2_imgsummary'!E21:I21,"HERP")*100/P21)</f>
        <v>0</v>
      </c>
      <c r="AP21">
        <f>IF(P21=0,0,COUNTIF('Transect 2_imgsummary'!E21:I21,"HYD")*100/P21)</f>
        <v>0</v>
      </c>
      <c r="AQ21">
        <f>IF(P21=0,0,COUNTIF('Transect 2_imgsummary'!E21:I21,"ISOP")*100/P21)</f>
        <v>0</v>
      </c>
      <c r="AR21">
        <f>IF(P21=0,0,COUNTIF('Transect 2_imgsummary'!E21:I21,"LEPT")*100/P21)</f>
        <v>0</v>
      </c>
      <c r="AS21">
        <f>IF(P21=0,0,COUNTIF('Transect 2_imgsummary'!E21:I21,"LEPTOR")*100/P21)</f>
        <v>0</v>
      </c>
      <c r="AT21">
        <f>IF(P21=0,0,COUNTIF('Transect 2_imgsummary'!E21:I21,"LEPTOS")*100/P21)</f>
        <v>0</v>
      </c>
      <c r="AU21">
        <f>IF(P21=0,0,COUNTIF('Transect 2_imgsummary'!E21:I21,"LOBOPH")*100/P21)</f>
        <v>0</v>
      </c>
      <c r="AV21">
        <f>IF(P21=0,0,COUNTIF('Transect 2_imgsummary'!E21:I21,"MERU")*100/P21)</f>
        <v>0</v>
      </c>
      <c r="AW21">
        <f>IF(P21=0,0,COUNTIF('Transect 2_imgsummary'!E21:I21,"MILL")*100/P21)</f>
        <v>0</v>
      </c>
      <c r="AX21">
        <f>IF(P21=0,0,COUNTIF('Transect 2_imgsummary'!E21:I21,"MONT")*100/P21)</f>
        <v>0</v>
      </c>
      <c r="AY21">
        <f>IF(P21=0,0,COUNTIF('Transect 2_imgsummary'!E21:I21,"MONTI")*100/P21)</f>
        <v>0</v>
      </c>
      <c r="AZ21">
        <f>IF(P21=0,0,COUNTIF('Transect 2_imgsummary'!E21:I21,"MYCED")*100/P21)</f>
        <v>0</v>
      </c>
      <c r="BA21">
        <f>IF(P21=0,0,COUNTIF('Transect 2_imgsummary'!E21:I21,"OULO")*100/P21)</f>
        <v>0</v>
      </c>
      <c r="BB21">
        <f>IF(P21=0,0,COUNTIF('Transect 2_imgsummary'!E21:I21,"OXYP")*100/P21)</f>
        <v>0</v>
      </c>
      <c r="BC21">
        <f>IF(P21=0,0,COUNTIF('Transect 2_imgsummary'!E21:I21,"PLSIA")*100/P21)</f>
        <v>0</v>
      </c>
      <c r="BD21">
        <f>IF(P21=0,0,COUNTIF('Transect 2_imgsummary'!E21:I21,"PACHY")*100/P21)</f>
        <v>0</v>
      </c>
      <c r="BE21">
        <f>IF(P21=0,0,COUNTIF('Transect 2_imgsummary'!E21:I21,"PAV")*100/P21)</f>
        <v>0</v>
      </c>
      <c r="BF21">
        <f>IF(P21=0,0,COUNTIF('Transect 2_imgsummary'!E21:I21,"PECT")*100/P21)</f>
        <v>0</v>
      </c>
      <c r="BG21">
        <f>IF(P21=0,0,COUNTIF('Transect 2_imgsummary'!E21:I21,"PHYSO")*100/P21)</f>
        <v>0</v>
      </c>
      <c r="BH21" s="29">
        <f>IF(P21=0,0,COUNTIF('Transect 2_imgsummary'!E21:I21,"PLAT")*100/P21)</f>
        <v>20</v>
      </c>
      <c r="BI21">
        <f>IF(P21=0,0,COUNTIF('Transect 2_imgsummary'!E21:I21,"PLERO")*100/P21)</f>
        <v>0</v>
      </c>
      <c r="BJ21">
        <f>IF(P21=0,0,COUNTIF('Transect 2_imgsummary'!E21:I21,"POC")*100/P21)</f>
        <v>0</v>
      </c>
      <c r="BK21">
        <f>IF(P21=0,0,COUNTIF('Transect 2_imgsummary'!E21:I21,"POR")*100/P21)</f>
        <v>0</v>
      </c>
      <c r="BL21">
        <f>IF(P21=0,0,COUNTIF('Transect 2_imgsummary'!E21:I21,"PORCYL")*100/P21)</f>
        <v>0</v>
      </c>
      <c r="BM21">
        <f>IF(P21=0,0,COUNTIF('Transect 2_imgsummary'!E21:I21,"PORMAS")*100/P21)</f>
        <v>0</v>
      </c>
      <c r="BN21">
        <f>IF(P21=0,0,COUNTIF('Transect 2_imgsummary'!E21:I21,"PORRUS")*100/P21)</f>
        <v>0</v>
      </c>
      <c r="BO21">
        <f>IF(P21=0,0,COUNTIF('Transect 2_imgsummary'!E21:I21,"PSAM")*100/P21)</f>
        <v>0</v>
      </c>
      <c r="BP21">
        <f>IF(P21=0,0,COUNTIF('Transect 2_imgsummary'!E21:I21,"SANDO")*100/P21)</f>
        <v>0</v>
      </c>
      <c r="BQ21">
        <f>IF(P21=0,0,COUNTIF('Transect 2_imgsummary'!E21:I21,"SCAP")*100/P21)</f>
        <v>0</v>
      </c>
      <c r="BR21">
        <f>IF(P21=0,0,COUNTIF('Transect 2_imgsummary'!E21:I21,"SERIA")*100/P21)</f>
        <v>0</v>
      </c>
      <c r="BS21">
        <f>IF(P21=0,0,COUNTIF('Transect 2_imgsummary'!E21:I21,"STYLC")*100/P21)</f>
        <v>0</v>
      </c>
      <c r="BT21">
        <f>IF(P21=0,0,COUNTIF('Transect 2_imgsummary'!E21:I21,"STYLO")*100/P21)</f>
        <v>0</v>
      </c>
      <c r="BU21">
        <f>IF(P21=0,0,COUNTIF('Transect 2_imgsummary'!E21:I21,"SYMP")*100/P21)</f>
        <v>0</v>
      </c>
      <c r="BV21">
        <f>IF(P21=0,0,COUNTIF('Transect 2_imgsummary'!E21:I21,"TURBIN")*100/P21)</f>
        <v>0</v>
      </c>
      <c r="BX21">
        <f>IF(P21=0,0,COUNTIF('Transect 2_imgsummary'!E21:I21,"ANEM")*100/P21)</f>
        <v>0</v>
      </c>
      <c r="BY21">
        <f>IF(P21=0,0,COUNTIF('Transect 2_imgsummary'!E21:I21,"ASC")*100/P21)</f>
        <v>0</v>
      </c>
      <c r="BZ21">
        <f>IF(P21=0,0,COUNTIF('Transect 2_imgsummary'!E21:I21,"CUPS")*100/P21)</f>
        <v>0</v>
      </c>
      <c r="CA21">
        <f>IF(P21=0,0,COUNTIF('Transect 2_imgsummary'!E21:I21,"DISCO")*100/P21)</f>
        <v>0</v>
      </c>
      <c r="CB21">
        <f>IF(P21=0,0,COUNTIF('Transect 2_imgsummary'!E21:I21,"DYS")*100/P21)</f>
        <v>0</v>
      </c>
      <c r="CC21">
        <f>IF(P21=0,0,COUNTIF('Transect 2_imgsummary'!E21:I21,"G")*100/P21)</f>
        <v>0</v>
      </c>
      <c r="CD21">
        <f>IF(P21=0,0,COUNTIF('Transect 2_imgsummary'!E21:I21,"NoIDINV")*100/P21)</f>
        <v>0</v>
      </c>
      <c r="CE21">
        <f>IF(P21=0,0,COUNTIF('Transect 2_imgsummary'!E21:I21,"OLV")*100/P21)</f>
        <v>0</v>
      </c>
      <c r="CF21">
        <f>IF(P21=0,0,COUNTIF('Transect 2_imgsummary'!E21:I21,"SC")*100/P21)</f>
        <v>0</v>
      </c>
      <c r="CG21">
        <f>IF(P21=0,0,COUNTIF('Transect 2_imgsummary'!E21:I21,"S")*100/P21)</f>
        <v>0</v>
      </c>
      <c r="CH21">
        <f>IF(P21=0,0,COUNTIF('Transect 2_imgsummary'!E21:I21,"TERPS")*100/P21)</f>
        <v>0</v>
      </c>
      <c r="CI21">
        <f>IF(P21=0,0,COUNTIF('Transect 2_imgsummary'!E21:I21,"Z")*100/P21)</f>
        <v>0</v>
      </c>
      <c r="CK21">
        <f>IF(P21=0,0,COUNTIF('Transect 2_imgsummary'!E21:I21,"ASP")*100/P21)</f>
        <v>0</v>
      </c>
      <c r="CL21">
        <f>IF(P21=0,0,COUNTIF('Transect 2_imgsummary'!E21:I21,"BG")*100/P21)</f>
        <v>0</v>
      </c>
      <c r="CM21">
        <f>IF(P21=0,0,COUNTIF('Transect 2_imgsummary'!E21:I21,"Bood")*100/P21)</f>
        <v>0</v>
      </c>
      <c r="CN21">
        <f>IF(P21=0,0,COUNTIF('Transect 2_imgsummary'!E21:I21,"BRYP")*100/P21)</f>
        <v>0</v>
      </c>
      <c r="CO21">
        <f>IF(P21=0,0,COUNTIF('Transect 2_imgsummary'!E21:I21,"CLP")*100/P21)</f>
        <v>0</v>
      </c>
      <c r="CP21">
        <f>IF(P21=0,0,COUNTIF('Transect 2_imgsummary'!E21:I21,"CHLDES")*100/P21)</f>
        <v>0</v>
      </c>
      <c r="CQ21">
        <f>IF(P21=0,0,COUNTIF('Transect 2_imgsummary'!E21:I21,"DYCTY")*100/P21)</f>
        <v>0</v>
      </c>
      <c r="CR21">
        <f>IF(P21=0,0,COUNTIF('Transect 2_imgsummary'!E21:I21,"DICT")*100/P21)</f>
        <v>0</v>
      </c>
      <c r="CS21">
        <f>IF(P21=0,0,COUNTIF('Transect 2_imgsummary'!E21:I21,"GLXU")*100/P21)</f>
        <v>0</v>
      </c>
      <c r="CT21">
        <f>IF(P21=0,0,COUNTIF('Transect 2_imgsummary'!E21:I21,"HALI")*100/P21)</f>
        <v>0</v>
      </c>
      <c r="CU21">
        <f>IF(P21=0,0,COUNTIF('Transect 2_imgsummary'!E21:I21,"LIAG")*100/P21)</f>
        <v>0</v>
      </c>
      <c r="CV21">
        <f>IF(P21=0,0,COUNTIF('Transect 2_imgsummary'!E21:I21,"LOBO")*100/P21)</f>
        <v>0</v>
      </c>
      <c r="CW21">
        <f>IF(P21=0,0,COUNTIF('Transect 2_imgsummary'!E21:I21,"MAST")*100/P21)</f>
        <v>0</v>
      </c>
      <c r="CX21">
        <f>IF(P21=0,0,COUNTIF('Transect 2_imgsummary'!E21:I21,"MICDTY")*100/P21)</f>
        <v>0</v>
      </c>
      <c r="CY21">
        <f>IF(P21=0,0,COUNTIF('Transect 2_imgsummary'!E21:I21,"NEOM")*100/P21)</f>
        <v>0</v>
      </c>
      <c r="CZ21">
        <f>IF(P21=0,0,COUNTIF('Transect 2_imgsummary'!E21:I21,"NOIDMAC")*100/P21)</f>
        <v>0</v>
      </c>
      <c r="DA21">
        <f>IF(P21=0,0,COUNTIF('Transect 2_imgsummary'!E21:I21,"PAD")*100/P21)</f>
        <v>0</v>
      </c>
      <c r="DB21">
        <f>IF(P21=0,0,COUNTIF('Transect 2_imgsummary'!E21:I21,"SARG")*100/P21)</f>
        <v>0</v>
      </c>
      <c r="DC21">
        <f>IF(P21=0,0,COUNTIF('Transect 2_imgsummary'!E21:I21,"SCHIZ")*100/P21)</f>
        <v>0</v>
      </c>
      <c r="DD21">
        <f>IF(P21=0,0,COUNTIF('Transect 2_imgsummary'!E21:I21,"TURB")*100/P21)</f>
        <v>0</v>
      </c>
      <c r="DE21">
        <f>IF(P21=0,0,COUNTIF('Transect 2_imgsummary'!E21:I21,"TYDM")*100/P21)</f>
        <v>0</v>
      </c>
      <c r="DG21">
        <f>IF(P21=0,0,COUNTIF('Transect 2_imgsummary'!E21:I21,"AMP")*100/P21)</f>
        <v>0</v>
      </c>
      <c r="DH21">
        <f>IF(P21=0,0,COUNTIF('Transect 2_imgsummary'!E21:I21,"BCA1")*100/P21)</f>
        <v>0</v>
      </c>
      <c r="DI21">
        <f>IF(P21=0,0,COUNTIF('Transect 2_imgsummary'!E21:I21,"JAN")*100/P21)</f>
        <v>0</v>
      </c>
      <c r="DK21" s="29">
        <f>IF(P21=0,0,COUNTIF('Transect 2_imgsummary'!E21:I21,"CCA1")*100/P21)</f>
        <v>40</v>
      </c>
      <c r="DM21">
        <f>IF(P21=0,0,COUNTIF('Transect 2_imgsummary'!E21:I21,"Sand")*100/P21)</f>
        <v>0</v>
      </c>
      <c r="DO21">
        <f>IF(P21=0,0,COUNTIF('Transect 2_imgsummary'!E21:I21,"FCA1")*100/P21)</f>
        <v>0</v>
      </c>
      <c r="DQ21">
        <f>IF(P21=0,0,COUNTIF('Transect 2_imgsummary'!E21:I21,"CHRYOBRN")*100/P21)</f>
        <v>0</v>
      </c>
      <c r="DS21" s="29">
        <f>IF(P21=0,0,COUNTIF('Transect 2_imgsummary'!E21:I21,"TURF")*100/P21)</f>
        <v>20</v>
      </c>
      <c r="DU21">
        <f>COUNTIF('Transect 2_imgsummary'!E21:I21,"Shadow")*100/5</f>
        <v>0</v>
      </c>
      <c r="DV21">
        <f>COUNTIF('Transect 2_imgsummary'!E21:I21,"Tape")*100/5</f>
        <v>0</v>
      </c>
      <c r="DW21">
        <f>COUNTIF('Transect 2_imgsummary'!E21:I21,"Wand")*100/5</f>
        <v>0</v>
      </c>
      <c r="DY21">
        <f>IF(P21=0,0,COUNTIF('Transect 2_imgsummary'!O21:S21,"BC")*100/P21)</f>
        <v>0</v>
      </c>
    </row>
    <row r="22" spans="1:129">
      <c r="A22">
        <v>20</v>
      </c>
      <c r="B22" t="s">
        <v>449</v>
      </c>
      <c r="F22" s="29">
        <f>IF(P22=0,0,COUNTIF('Transect 2_imgsummary'!J22:N22,"C")*100/P22)</f>
        <v>80</v>
      </c>
      <c r="G22">
        <f>IF(P22=0,0,COUNTIF('Transect 2_imgsummary'!J22:N22,"OI")*100/P22)</f>
        <v>0</v>
      </c>
      <c r="H22">
        <f>IF(P22=0,0,COUNTIF('Transect 2_imgsummary'!J22:N22,"MA")*100/P22)</f>
        <v>0</v>
      </c>
      <c r="I22">
        <f>IF(P22=0,0,COUNTIF('Transect 2_imgsummary'!J22:N22,"BCA")*100/P22)</f>
        <v>0</v>
      </c>
      <c r="J22" s="29">
        <f>IF(P22=0,0,COUNTIF('Transect 2_imgsummary'!J22:N22,"CCA")*100/P22)</f>
        <v>20</v>
      </c>
      <c r="K22">
        <f>IF(P22=0,0,COUNTIF('Transect 2_imgsummary'!J22:N22,"SD")*100/P22)</f>
        <v>0</v>
      </c>
      <c r="L22">
        <f>IF(P22=0,0,COUNTIF('Transect 2_imgsummary'!J22:N22,"FCA")*100/P22)</f>
        <v>0</v>
      </c>
      <c r="M22">
        <f>IF(P22=0,0,COUNTIF('Transect 2_imgsummary'!J22:N22,"CHRYS")*100/P22)</f>
        <v>0</v>
      </c>
      <c r="N22">
        <f>IF(P22=0,0,COUNTIF('Transect 2_imgsummary'!J22:N22,"T")*100/P22)</f>
        <v>0</v>
      </c>
      <c r="O22">
        <f>IF(P22=0,0,COUNTIF('Transect 2_imgsummary'!J22:N22,"TWS")*100/P22)</f>
        <v>0</v>
      </c>
      <c r="P22">
        <f>5-COUNTIF('Transect 2_imgsummary'!J22:N22,"TWS")</f>
        <v>5</v>
      </c>
      <c r="S22">
        <f>IF(P22=0,0,COUNTIF('Transect 2_imgsummary'!E22:I22,"ACAN")*100/P22)</f>
        <v>0</v>
      </c>
      <c r="T22">
        <f>IF(P22=0,0,COUNTIF('Transect 2_imgsummary'!E22:I22,"ACROP")*100/P22)</f>
        <v>0</v>
      </c>
      <c r="U22">
        <f>IF(P22=0,0,COUNTIF('Transect 2_imgsummary'!E22:I22,"ACROPARB")*100/P22)</f>
        <v>0</v>
      </c>
      <c r="V22">
        <f>IF(P22=0,0,COUNTIF('Transect 2_imgsummary'!E22:I22,"ACROST")*100/P22)</f>
        <v>0</v>
      </c>
      <c r="W22">
        <f>IF(P22=0,0,COUNTIF('Transect 2_imgsummary'!E22:I22,"ACROTBL")*100/P22)</f>
        <v>0</v>
      </c>
      <c r="X22">
        <f>IF(P22=0,0,COUNTIF('Transect 2_imgsummary'!E22:I22,"ASTRP")*100/P22)</f>
        <v>0</v>
      </c>
      <c r="Y22">
        <f>IF(P22=0,0,COUNTIF('Transect 2_imgsummary'!E22:I22,"CAUL")*100/P22)</f>
        <v>0</v>
      </c>
      <c r="Z22">
        <f>IF(P22=0,0,COUNTIF('Transect 2_imgsummary'!E22:I22,"COSC")*100/P22)</f>
        <v>0</v>
      </c>
      <c r="AA22">
        <f>IF(P22=0,0,COUNTIF('Transect 2_imgsummary'!E22:I22,"CTEN")*100/P22)</f>
        <v>0</v>
      </c>
      <c r="AB22">
        <f>IF(P22=0,0,COUNTIF('Transect 2_imgsummary'!E22:I22,"CYPH")*100/P22)</f>
        <v>0</v>
      </c>
      <c r="AC22">
        <f>IF(P22=0,0,COUNTIF('Transect 2_imgsummary'!E22:I22,"DIPLO")*100/P22)</f>
        <v>0</v>
      </c>
      <c r="AD22" s="29">
        <f>IF(P22=0,0,COUNTIF('Transect 2_imgsummary'!E22:I22,"ECHPO")*100/P22)</f>
        <v>40</v>
      </c>
      <c r="AE22">
        <f>IF(P22=0,0,COUNTIF('Transect 2_imgsummary'!E22:I22,"ECHPHY")*100/P22)</f>
        <v>0</v>
      </c>
      <c r="AF22">
        <f>IF(P22=0,0,COUNTIF('Transect 2_imgsummary'!E22:I22,"EUPH")*100/P22)</f>
        <v>0</v>
      </c>
      <c r="AG22">
        <f>IF(P22=0,0,COUNTIF('Transect 2_imgsummary'!E22:I22,"FAV")*100/P22)</f>
        <v>0</v>
      </c>
      <c r="AH22">
        <f>IF(P22=0,0,COUNTIF('Transect 2_imgsummary'!E22:I22,"FAVT")*100/P22)</f>
        <v>0</v>
      </c>
      <c r="AI22">
        <f>IF(P22=0,0,COUNTIF('Transect 2_imgsummary'!E22:I22,"FUNG")*100/P22)</f>
        <v>0</v>
      </c>
      <c r="AJ22">
        <f>IF(P22=0,0,COUNTIF('Transect 2_imgsummary'!E22:I22,"GAL")*100/P22)</f>
        <v>0</v>
      </c>
      <c r="AK22">
        <f>IF(P22=0,0,COUNTIF('Transect 2_imgsummary'!E22:I22,"GARD")*100/P22)</f>
        <v>0</v>
      </c>
      <c r="AL22">
        <f>IF(P22=0,0,COUNTIF('Transect 2_imgsummary'!E22:I22,"GON")*100/P22)</f>
        <v>0</v>
      </c>
      <c r="AM22">
        <f>IF(P22=0,0,COUNTIF('Transect 2_imgsummary'!E22:I22,"GONIO")*100/P22)</f>
        <v>0</v>
      </c>
      <c r="AN22">
        <f>IF(P22=0,0,COUNTIF('Transect 2_imgsummary'!E22:I22,"HELIO")*100/P22)</f>
        <v>0</v>
      </c>
      <c r="AO22">
        <f>IF(P22=0,0,COUNTIF('Transect 2_imgsummary'!E22:I22,"HERP")*100/P22)</f>
        <v>0</v>
      </c>
      <c r="AP22">
        <f>IF(P22=0,0,COUNTIF('Transect 2_imgsummary'!E22:I22,"HYD")*100/P22)</f>
        <v>0</v>
      </c>
      <c r="AQ22">
        <f>IF(P22=0,0,COUNTIF('Transect 2_imgsummary'!E22:I22,"ISOP")*100/P22)</f>
        <v>0</v>
      </c>
      <c r="AR22">
        <f>IF(P22=0,0,COUNTIF('Transect 2_imgsummary'!E22:I22,"LEPT")*100/P22)</f>
        <v>0</v>
      </c>
      <c r="AS22">
        <f>IF(P22=0,0,COUNTIF('Transect 2_imgsummary'!E22:I22,"LEPTOR")*100/P22)</f>
        <v>0</v>
      </c>
      <c r="AT22">
        <f>IF(P22=0,0,COUNTIF('Transect 2_imgsummary'!E22:I22,"LEPTOS")*100/P22)</f>
        <v>0</v>
      </c>
      <c r="AU22">
        <f>IF(P22=0,0,COUNTIF('Transect 2_imgsummary'!E22:I22,"LOBOPH")*100/P22)</f>
        <v>0</v>
      </c>
      <c r="AV22">
        <f>IF(P22=0,0,COUNTIF('Transect 2_imgsummary'!E22:I22,"MERU")*100/P22)</f>
        <v>0</v>
      </c>
      <c r="AW22">
        <f>IF(P22=0,0,COUNTIF('Transect 2_imgsummary'!E22:I22,"MILL")*100/P22)</f>
        <v>0</v>
      </c>
      <c r="AX22">
        <f>IF(P22=0,0,COUNTIF('Transect 2_imgsummary'!E22:I22,"MONT")*100/P22)</f>
        <v>0</v>
      </c>
      <c r="AY22">
        <f>IF(P22=0,0,COUNTIF('Transect 2_imgsummary'!E22:I22,"MONTI")*100/P22)</f>
        <v>0</v>
      </c>
      <c r="AZ22">
        <f>IF(P22=0,0,COUNTIF('Transect 2_imgsummary'!E22:I22,"MYCED")*100/P22)</f>
        <v>0</v>
      </c>
      <c r="BA22">
        <f>IF(P22=0,0,COUNTIF('Transect 2_imgsummary'!E22:I22,"OULO")*100/P22)</f>
        <v>0</v>
      </c>
      <c r="BB22">
        <f>IF(P22=0,0,COUNTIF('Transect 2_imgsummary'!E22:I22,"OXYP")*100/P22)</f>
        <v>0</v>
      </c>
      <c r="BC22">
        <f>IF(P22=0,0,COUNTIF('Transect 2_imgsummary'!E22:I22,"PLSIA")*100/P22)</f>
        <v>0</v>
      </c>
      <c r="BD22">
        <f>IF(P22=0,0,COUNTIF('Transect 2_imgsummary'!E22:I22,"PACHY")*100/P22)</f>
        <v>0</v>
      </c>
      <c r="BE22">
        <f>IF(P22=0,0,COUNTIF('Transect 2_imgsummary'!E22:I22,"PAV")*100/P22)</f>
        <v>0</v>
      </c>
      <c r="BF22">
        <f>IF(P22=0,0,COUNTIF('Transect 2_imgsummary'!E22:I22,"PECT")*100/P22)</f>
        <v>0</v>
      </c>
      <c r="BG22">
        <f>IF(P22=0,0,COUNTIF('Transect 2_imgsummary'!E22:I22,"PHYSO")*100/P22)</f>
        <v>0</v>
      </c>
      <c r="BH22" s="29">
        <f>IF(P22=0,0,COUNTIF('Transect 2_imgsummary'!E22:I22,"PLAT")*100/P22)</f>
        <v>40</v>
      </c>
      <c r="BI22">
        <f>IF(P22=0,0,COUNTIF('Transect 2_imgsummary'!E22:I22,"PLERO")*100/P22)</f>
        <v>0</v>
      </c>
      <c r="BJ22">
        <f>IF(P22=0,0,COUNTIF('Transect 2_imgsummary'!E22:I22,"POC")*100/P22)</f>
        <v>0</v>
      </c>
      <c r="BK22">
        <f>IF(P22=0,0,COUNTIF('Transect 2_imgsummary'!E22:I22,"POR")*100/P22)</f>
        <v>0</v>
      </c>
      <c r="BL22">
        <f>IF(P22=0,0,COUNTIF('Transect 2_imgsummary'!E22:I22,"PORCYL")*100/P22)</f>
        <v>0</v>
      </c>
      <c r="BM22">
        <f>IF(P22=0,0,COUNTIF('Transect 2_imgsummary'!E22:I22,"PORMAS")*100/P22)</f>
        <v>0</v>
      </c>
      <c r="BN22">
        <f>IF(P22=0,0,COUNTIF('Transect 2_imgsummary'!E22:I22,"PORRUS")*100/P22)</f>
        <v>0</v>
      </c>
      <c r="BO22">
        <f>IF(P22=0,0,COUNTIF('Transect 2_imgsummary'!E22:I22,"PSAM")*100/P22)</f>
        <v>0</v>
      </c>
      <c r="BP22">
        <f>IF(P22=0,0,COUNTIF('Transect 2_imgsummary'!E22:I22,"SANDO")*100/P22)</f>
        <v>0</v>
      </c>
      <c r="BQ22">
        <f>IF(P22=0,0,COUNTIF('Transect 2_imgsummary'!E22:I22,"SCAP")*100/P22)</f>
        <v>0</v>
      </c>
      <c r="BR22">
        <f>IF(P22=0,0,COUNTIF('Transect 2_imgsummary'!E22:I22,"SERIA")*100/P22)</f>
        <v>0</v>
      </c>
      <c r="BS22">
        <f>IF(P22=0,0,COUNTIF('Transect 2_imgsummary'!E22:I22,"STYLC")*100/P22)</f>
        <v>0</v>
      </c>
      <c r="BT22">
        <f>IF(P22=0,0,COUNTIF('Transect 2_imgsummary'!E22:I22,"STYLO")*100/P22)</f>
        <v>0</v>
      </c>
      <c r="BU22">
        <f>IF(P22=0,0,COUNTIF('Transect 2_imgsummary'!E22:I22,"SYMP")*100/P22)</f>
        <v>0</v>
      </c>
      <c r="BV22">
        <f>IF(P22=0,0,COUNTIF('Transect 2_imgsummary'!E22:I22,"TURBIN")*100/P22)</f>
        <v>0</v>
      </c>
      <c r="BX22">
        <f>IF(P22=0,0,COUNTIF('Transect 2_imgsummary'!E22:I22,"ANEM")*100/P22)</f>
        <v>0</v>
      </c>
      <c r="BY22">
        <f>IF(P22=0,0,COUNTIF('Transect 2_imgsummary'!E22:I22,"ASC")*100/P22)</f>
        <v>0</v>
      </c>
      <c r="BZ22">
        <f>IF(P22=0,0,COUNTIF('Transect 2_imgsummary'!E22:I22,"CUPS")*100/P22)</f>
        <v>0</v>
      </c>
      <c r="CA22">
        <f>IF(P22=0,0,COUNTIF('Transect 2_imgsummary'!E22:I22,"DISCO")*100/P22)</f>
        <v>0</v>
      </c>
      <c r="CB22">
        <f>IF(P22=0,0,COUNTIF('Transect 2_imgsummary'!E22:I22,"DYS")*100/P22)</f>
        <v>0</v>
      </c>
      <c r="CC22">
        <f>IF(P22=0,0,COUNTIF('Transect 2_imgsummary'!E22:I22,"G")*100/P22)</f>
        <v>0</v>
      </c>
      <c r="CD22">
        <f>IF(P22=0,0,COUNTIF('Transect 2_imgsummary'!E22:I22,"NoIDINV")*100/P22)</f>
        <v>0</v>
      </c>
      <c r="CE22">
        <f>IF(P22=0,0,COUNTIF('Transect 2_imgsummary'!E22:I22,"OLV")*100/P22)</f>
        <v>0</v>
      </c>
      <c r="CF22">
        <f>IF(P22=0,0,COUNTIF('Transect 2_imgsummary'!E22:I22,"SC")*100/P22)</f>
        <v>0</v>
      </c>
      <c r="CG22">
        <f>IF(P22=0,0,COUNTIF('Transect 2_imgsummary'!E22:I22,"S")*100/P22)</f>
        <v>0</v>
      </c>
      <c r="CH22">
        <f>IF(P22=0,0,COUNTIF('Transect 2_imgsummary'!E22:I22,"TERPS")*100/P22)</f>
        <v>0</v>
      </c>
      <c r="CI22">
        <f>IF(P22=0,0,COUNTIF('Transect 2_imgsummary'!E22:I22,"Z")*100/P22)</f>
        <v>0</v>
      </c>
      <c r="CK22">
        <f>IF(P22=0,0,COUNTIF('Transect 2_imgsummary'!E22:I22,"ASP")*100/P22)</f>
        <v>0</v>
      </c>
      <c r="CL22">
        <f>IF(P22=0,0,COUNTIF('Transect 2_imgsummary'!E22:I22,"BG")*100/P22)</f>
        <v>0</v>
      </c>
      <c r="CM22">
        <f>IF(P22=0,0,COUNTIF('Transect 2_imgsummary'!E22:I22,"Bood")*100/P22)</f>
        <v>0</v>
      </c>
      <c r="CN22">
        <f>IF(P22=0,0,COUNTIF('Transect 2_imgsummary'!E22:I22,"BRYP")*100/P22)</f>
        <v>0</v>
      </c>
      <c r="CO22">
        <f>IF(P22=0,0,COUNTIF('Transect 2_imgsummary'!E22:I22,"CLP")*100/P22)</f>
        <v>0</v>
      </c>
      <c r="CP22">
        <f>IF(P22=0,0,COUNTIF('Transect 2_imgsummary'!E22:I22,"CHLDES")*100/P22)</f>
        <v>0</v>
      </c>
      <c r="CQ22">
        <f>IF(P22=0,0,COUNTIF('Transect 2_imgsummary'!E22:I22,"DYCTY")*100/P22)</f>
        <v>0</v>
      </c>
      <c r="CR22">
        <f>IF(P22=0,0,COUNTIF('Transect 2_imgsummary'!E22:I22,"DICT")*100/P22)</f>
        <v>0</v>
      </c>
      <c r="CS22">
        <f>IF(P22=0,0,COUNTIF('Transect 2_imgsummary'!E22:I22,"GLXU")*100/P22)</f>
        <v>0</v>
      </c>
      <c r="CT22">
        <f>IF(P22=0,0,COUNTIF('Transect 2_imgsummary'!E22:I22,"HALI")*100/P22)</f>
        <v>0</v>
      </c>
      <c r="CU22">
        <f>IF(P22=0,0,COUNTIF('Transect 2_imgsummary'!E22:I22,"LIAG")*100/P22)</f>
        <v>0</v>
      </c>
      <c r="CV22">
        <f>IF(P22=0,0,COUNTIF('Transect 2_imgsummary'!E22:I22,"LOBO")*100/P22)</f>
        <v>0</v>
      </c>
      <c r="CW22">
        <f>IF(P22=0,0,COUNTIF('Transect 2_imgsummary'!E22:I22,"MAST")*100/P22)</f>
        <v>0</v>
      </c>
      <c r="CX22">
        <f>IF(P22=0,0,COUNTIF('Transect 2_imgsummary'!E22:I22,"MICDTY")*100/P22)</f>
        <v>0</v>
      </c>
      <c r="CY22">
        <f>IF(P22=0,0,COUNTIF('Transect 2_imgsummary'!E22:I22,"NEOM")*100/P22)</f>
        <v>0</v>
      </c>
      <c r="CZ22">
        <f>IF(P22=0,0,COUNTIF('Transect 2_imgsummary'!E22:I22,"NOIDMAC")*100/P22)</f>
        <v>0</v>
      </c>
      <c r="DA22">
        <f>IF(P22=0,0,COUNTIF('Transect 2_imgsummary'!E22:I22,"PAD")*100/P22)</f>
        <v>0</v>
      </c>
      <c r="DB22">
        <f>IF(P22=0,0,COUNTIF('Transect 2_imgsummary'!E22:I22,"SARG")*100/P22)</f>
        <v>0</v>
      </c>
      <c r="DC22">
        <f>IF(P22=0,0,COUNTIF('Transect 2_imgsummary'!E22:I22,"SCHIZ")*100/P22)</f>
        <v>0</v>
      </c>
      <c r="DD22">
        <f>IF(P22=0,0,COUNTIF('Transect 2_imgsummary'!E22:I22,"TURB")*100/P22)</f>
        <v>0</v>
      </c>
      <c r="DE22">
        <f>IF(P22=0,0,COUNTIF('Transect 2_imgsummary'!E22:I22,"TYDM")*100/P22)</f>
        <v>0</v>
      </c>
      <c r="DG22">
        <f>IF(P22=0,0,COUNTIF('Transect 2_imgsummary'!E22:I22,"AMP")*100/P22)</f>
        <v>0</v>
      </c>
      <c r="DH22">
        <f>IF(P22=0,0,COUNTIF('Transect 2_imgsummary'!E22:I22,"BCA1")*100/P22)</f>
        <v>0</v>
      </c>
      <c r="DI22">
        <f>IF(P22=0,0,COUNTIF('Transect 2_imgsummary'!E22:I22,"JAN")*100/P22)</f>
        <v>0</v>
      </c>
      <c r="DK22" s="29">
        <f>IF(P22=0,0,COUNTIF('Transect 2_imgsummary'!E22:I22,"CCA1")*100/P22)</f>
        <v>20</v>
      </c>
      <c r="DM22">
        <f>IF(P22=0,0,COUNTIF('Transect 2_imgsummary'!E22:I22,"Sand")*100/P22)</f>
        <v>0</v>
      </c>
      <c r="DO22">
        <f>IF(P22=0,0,COUNTIF('Transect 2_imgsummary'!E22:I22,"FCA1")*100/P22)</f>
        <v>0</v>
      </c>
      <c r="DQ22">
        <f>IF(P22=0,0,COUNTIF('Transect 2_imgsummary'!E22:I22,"CHRYOBRN")*100/P22)</f>
        <v>0</v>
      </c>
      <c r="DS22">
        <f>IF(P22=0,0,COUNTIF('Transect 2_imgsummary'!E22:I22,"TURF")*100/P22)</f>
        <v>0</v>
      </c>
      <c r="DU22">
        <f>COUNTIF('Transect 2_imgsummary'!E22:I22,"Shadow")*100/5</f>
        <v>0</v>
      </c>
      <c r="DV22">
        <f>COUNTIF('Transect 2_imgsummary'!E22:I22,"Tape")*100/5</f>
        <v>0</v>
      </c>
      <c r="DW22">
        <f>COUNTIF('Transect 2_imgsummary'!E22:I22,"Wand")*100/5</f>
        <v>0</v>
      </c>
      <c r="DY22">
        <f>IF(P22=0,0,COUNTIF('Transect 2_imgsummary'!O22:S22,"BC")*100/P22)</f>
        <v>0</v>
      </c>
    </row>
    <row r="23" spans="1:129">
      <c r="A23">
        <v>21</v>
      </c>
      <c r="B23" t="s">
        <v>450</v>
      </c>
      <c r="F23" s="29">
        <f>IF(P23=0,0,COUNTIF('Transect 2_imgsummary'!J23:N23,"C")*100/P23)</f>
        <v>80</v>
      </c>
      <c r="G23">
        <f>IF(P23=0,0,COUNTIF('Transect 2_imgsummary'!J23:N23,"OI")*100/P23)</f>
        <v>0</v>
      </c>
      <c r="H23">
        <f>IF(P23=0,0,COUNTIF('Transect 2_imgsummary'!J23:N23,"MA")*100/P23)</f>
        <v>0</v>
      </c>
      <c r="I23">
        <f>IF(P23=0,0,COUNTIF('Transect 2_imgsummary'!J23:N23,"BCA")*100/P23)</f>
        <v>0</v>
      </c>
      <c r="J23" s="29">
        <f>IF(P23=0,0,COUNTIF('Transect 2_imgsummary'!J23:N23,"CCA")*100/P23)</f>
        <v>20</v>
      </c>
      <c r="K23">
        <f>IF(P23=0,0,COUNTIF('Transect 2_imgsummary'!J23:N23,"SD")*100/P23)</f>
        <v>0</v>
      </c>
      <c r="L23">
        <f>IF(P23=0,0,COUNTIF('Transect 2_imgsummary'!J23:N23,"FCA")*100/P23)</f>
        <v>0</v>
      </c>
      <c r="M23">
        <f>IF(P23=0,0,COUNTIF('Transect 2_imgsummary'!J23:N23,"CHRYS")*100/P23)</f>
        <v>0</v>
      </c>
      <c r="N23">
        <f>IF(P23=0,0,COUNTIF('Transect 2_imgsummary'!J23:N23,"T")*100/P23)</f>
        <v>0</v>
      </c>
      <c r="O23">
        <f>IF(P23=0,0,COUNTIF('Transect 2_imgsummary'!J23:N23,"TWS")*100/P23)</f>
        <v>0</v>
      </c>
      <c r="P23">
        <f>5-COUNTIF('Transect 2_imgsummary'!J23:N23,"TWS")</f>
        <v>5</v>
      </c>
      <c r="S23">
        <f>IF(P23=0,0,COUNTIF('Transect 2_imgsummary'!E23:I23,"ACAN")*100/P23)</f>
        <v>0</v>
      </c>
      <c r="T23">
        <f>IF(P23=0,0,COUNTIF('Transect 2_imgsummary'!E23:I23,"ACROP")*100/P23)</f>
        <v>0</v>
      </c>
      <c r="U23">
        <f>IF(P23=0,0,COUNTIF('Transect 2_imgsummary'!E23:I23,"ACROPARB")*100/P23)</f>
        <v>0</v>
      </c>
      <c r="V23">
        <f>IF(P23=0,0,COUNTIF('Transect 2_imgsummary'!E23:I23,"ACROST")*100/P23)</f>
        <v>0</v>
      </c>
      <c r="W23">
        <f>IF(P23=0,0,COUNTIF('Transect 2_imgsummary'!E23:I23,"ACROTBL")*100/P23)</f>
        <v>0</v>
      </c>
      <c r="X23">
        <f>IF(P23=0,0,COUNTIF('Transect 2_imgsummary'!E23:I23,"ASTRP")*100/P23)</f>
        <v>0</v>
      </c>
      <c r="Y23">
        <f>IF(P23=0,0,COUNTIF('Transect 2_imgsummary'!E23:I23,"CAUL")*100/P23)</f>
        <v>0</v>
      </c>
      <c r="Z23">
        <f>IF(P23=0,0,COUNTIF('Transect 2_imgsummary'!E23:I23,"COSC")*100/P23)</f>
        <v>0</v>
      </c>
      <c r="AA23">
        <f>IF(P23=0,0,COUNTIF('Transect 2_imgsummary'!E23:I23,"CTEN")*100/P23)</f>
        <v>0</v>
      </c>
      <c r="AB23">
        <f>IF(P23=0,0,COUNTIF('Transect 2_imgsummary'!E23:I23,"CYPH")*100/P23)</f>
        <v>0</v>
      </c>
      <c r="AC23">
        <f>IF(P23=0,0,COUNTIF('Transect 2_imgsummary'!E23:I23,"DIPLO")*100/P23)</f>
        <v>0</v>
      </c>
      <c r="AD23" s="29">
        <f>IF(P23=0,0,COUNTIF('Transect 2_imgsummary'!E23:I23,"ECHPO")*100/P23)</f>
        <v>80</v>
      </c>
      <c r="AE23">
        <f>IF(P23=0,0,COUNTIF('Transect 2_imgsummary'!E23:I23,"ECHPHY")*100/P23)</f>
        <v>0</v>
      </c>
      <c r="AF23">
        <f>IF(P23=0,0,COUNTIF('Transect 2_imgsummary'!E23:I23,"EUPH")*100/P23)</f>
        <v>0</v>
      </c>
      <c r="AG23">
        <f>IF(P23=0,0,COUNTIF('Transect 2_imgsummary'!E23:I23,"FAV")*100/P23)</f>
        <v>0</v>
      </c>
      <c r="AH23">
        <f>IF(P23=0,0,COUNTIF('Transect 2_imgsummary'!E23:I23,"FAVT")*100/P23)</f>
        <v>0</v>
      </c>
      <c r="AI23">
        <f>IF(P23=0,0,COUNTIF('Transect 2_imgsummary'!E23:I23,"FUNG")*100/P23)</f>
        <v>0</v>
      </c>
      <c r="AJ23">
        <f>IF(P23=0,0,COUNTIF('Transect 2_imgsummary'!E23:I23,"GAL")*100/P23)</f>
        <v>0</v>
      </c>
      <c r="AK23">
        <f>IF(P23=0,0,COUNTIF('Transect 2_imgsummary'!E23:I23,"GARD")*100/P23)</f>
        <v>0</v>
      </c>
      <c r="AL23">
        <f>IF(P23=0,0,COUNTIF('Transect 2_imgsummary'!E23:I23,"GON")*100/P23)</f>
        <v>0</v>
      </c>
      <c r="AM23">
        <f>IF(P23=0,0,COUNTIF('Transect 2_imgsummary'!E23:I23,"GONIO")*100/P23)</f>
        <v>0</v>
      </c>
      <c r="AN23">
        <f>IF(P23=0,0,COUNTIF('Transect 2_imgsummary'!E23:I23,"HELIO")*100/P23)</f>
        <v>0</v>
      </c>
      <c r="AO23">
        <f>IF(P23=0,0,COUNTIF('Transect 2_imgsummary'!E23:I23,"HERP")*100/P23)</f>
        <v>0</v>
      </c>
      <c r="AP23">
        <f>IF(P23=0,0,COUNTIF('Transect 2_imgsummary'!E23:I23,"HYD")*100/P23)</f>
        <v>0</v>
      </c>
      <c r="AQ23">
        <f>IF(P23=0,0,COUNTIF('Transect 2_imgsummary'!E23:I23,"ISOP")*100/P23)</f>
        <v>0</v>
      </c>
      <c r="AR23">
        <f>IF(P23=0,0,COUNTIF('Transect 2_imgsummary'!E23:I23,"LEPT")*100/P23)</f>
        <v>0</v>
      </c>
      <c r="AS23">
        <f>IF(P23=0,0,COUNTIF('Transect 2_imgsummary'!E23:I23,"LEPTOR")*100/P23)</f>
        <v>0</v>
      </c>
      <c r="AT23">
        <f>IF(P23=0,0,COUNTIF('Transect 2_imgsummary'!E23:I23,"LEPTOS")*100/P23)</f>
        <v>0</v>
      </c>
      <c r="AU23">
        <f>IF(P23=0,0,COUNTIF('Transect 2_imgsummary'!E23:I23,"LOBOPH")*100/P23)</f>
        <v>0</v>
      </c>
      <c r="AV23">
        <f>IF(P23=0,0,COUNTIF('Transect 2_imgsummary'!E23:I23,"MERU")*100/P23)</f>
        <v>0</v>
      </c>
      <c r="AW23">
        <f>IF(P23=0,0,COUNTIF('Transect 2_imgsummary'!E23:I23,"MILL")*100/P23)</f>
        <v>0</v>
      </c>
      <c r="AX23">
        <f>IF(P23=0,0,COUNTIF('Transect 2_imgsummary'!E23:I23,"MONT")*100/P23)</f>
        <v>0</v>
      </c>
      <c r="AY23">
        <f>IF(P23=0,0,COUNTIF('Transect 2_imgsummary'!E23:I23,"MONTI")*100/P23)</f>
        <v>0</v>
      </c>
      <c r="AZ23">
        <f>IF(P23=0,0,COUNTIF('Transect 2_imgsummary'!E23:I23,"MYCED")*100/P23)</f>
        <v>0</v>
      </c>
      <c r="BA23">
        <f>IF(P23=0,0,COUNTIF('Transect 2_imgsummary'!E23:I23,"OULO")*100/P23)</f>
        <v>0</v>
      </c>
      <c r="BB23">
        <f>IF(P23=0,0,COUNTIF('Transect 2_imgsummary'!E23:I23,"OXYP")*100/P23)</f>
        <v>0</v>
      </c>
      <c r="BC23">
        <f>IF(P23=0,0,COUNTIF('Transect 2_imgsummary'!E23:I23,"PLSIA")*100/P23)</f>
        <v>0</v>
      </c>
      <c r="BD23">
        <f>IF(P23=0,0,COUNTIF('Transect 2_imgsummary'!E23:I23,"PACHY")*100/P23)</f>
        <v>0</v>
      </c>
      <c r="BE23">
        <f>IF(P23=0,0,COUNTIF('Transect 2_imgsummary'!E23:I23,"PAV")*100/P23)</f>
        <v>0</v>
      </c>
      <c r="BF23">
        <f>IF(P23=0,0,COUNTIF('Transect 2_imgsummary'!E23:I23,"PECT")*100/P23)</f>
        <v>0</v>
      </c>
      <c r="BG23">
        <f>IF(P23=0,0,COUNTIF('Transect 2_imgsummary'!E23:I23,"PHYSO")*100/P23)</f>
        <v>0</v>
      </c>
      <c r="BH23">
        <f>IF(P23=0,0,COUNTIF('Transect 2_imgsummary'!E23:I23,"PLAT")*100/P23)</f>
        <v>0</v>
      </c>
      <c r="BI23">
        <f>IF(P23=0,0,COUNTIF('Transect 2_imgsummary'!E23:I23,"PLERO")*100/P23)</f>
        <v>0</v>
      </c>
      <c r="BJ23">
        <f>IF(P23=0,0,COUNTIF('Transect 2_imgsummary'!E23:I23,"POC")*100/P23)</f>
        <v>0</v>
      </c>
      <c r="BK23">
        <f>IF(P23=0,0,COUNTIF('Transect 2_imgsummary'!E23:I23,"POR")*100/P23)</f>
        <v>0</v>
      </c>
      <c r="BL23">
        <f>IF(P23=0,0,COUNTIF('Transect 2_imgsummary'!E23:I23,"PORCYL")*100/P23)</f>
        <v>0</v>
      </c>
      <c r="BM23">
        <f>IF(P23=0,0,COUNTIF('Transect 2_imgsummary'!E23:I23,"PORMAS")*100/P23)</f>
        <v>0</v>
      </c>
      <c r="BN23">
        <f>IF(P23=0,0,COUNTIF('Transect 2_imgsummary'!E23:I23,"PORRUS")*100/P23)</f>
        <v>0</v>
      </c>
      <c r="BO23">
        <f>IF(P23=0,0,COUNTIF('Transect 2_imgsummary'!E23:I23,"PSAM")*100/P23)</f>
        <v>0</v>
      </c>
      <c r="BP23">
        <f>IF(P23=0,0,COUNTIF('Transect 2_imgsummary'!E23:I23,"SANDO")*100/P23)</f>
        <v>0</v>
      </c>
      <c r="BQ23">
        <f>IF(P23=0,0,COUNTIF('Transect 2_imgsummary'!E23:I23,"SCAP")*100/P23)</f>
        <v>0</v>
      </c>
      <c r="BR23">
        <f>IF(P23=0,0,COUNTIF('Transect 2_imgsummary'!E23:I23,"SERIA")*100/P23)</f>
        <v>0</v>
      </c>
      <c r="BS23">
        <f>IF(P23=0,0,COUNTIF('Transect 2_imgsummary'!E23:I23,"STYLC")*100/P23)</f>
        <v>0</v>
      </c>
      <c r="BT23">
        <f>IF(P23=0,0,COUNTIF('Transect 2_imgsummary'!E23:I23,"STYLO")*100/P23)</f>
        <v>0</v>
      </c>
      <c r="BU23">
        <f>IF(P23=0,0,COUNTIF('Transect 2_imgsummary'!E23:I23,"SYMP")*100/P23)</f>
        <v>0</v>
      </c>
      <c r="BV23">
        <f>IF(P23=0,0,COUNTIF('Transect 2_imgsummary'!E23:I23,"TURBIN")*100/P23)</f>
        <v>0</v>
      </c>
      <c r="BX23">
        <f>IF(P23=0,0,COUNTIF('Transect 2_imgsummary'!E23:I23,"ANEM")*100/P23)</f>
        <v>0</v>
      </c>
      <c r="BY23">
        <f>IF(P23=0,0,COUNTIF('Transect 2_imgsummary'!E23:I23,"ASC")*100/P23)</f>
        <v>0</v>
      </c>
      <c r="BZ23">
        <f>IF(P23=0,0,COUNTIF('Transect 2_imgsummary'!E23:I23,"CUPS")*100/P23)</f>
        <v>0</v>
      </c>
      <c r="CA23">
        <f>IF(P23=0,0,COUNTIF('Transect 2_imgsummary'!E23:I23,"DISCO")*100/P23)</f>
        <v>0</v>
      </c>
      <c r="CB23">
        <f>IF(P23=0,0,COUNTIF('Transect 2_imgsummary'!E23:I23,"DYS")*100/P23)</f>
        <v>0</v>
      </c>
      <c r="CC23">
        <f>IF(P23=0,0,COUNTIF('Transect 2_imgsummary'!E23:I23,"G")*100/P23)</f>
        <v>0</v>
      </c>
      <c r="CD23">
        <f>IF(P23=0,0,COUNTIF('Transect 2_imgsummary'!E23:I23,"NoIDINV")*100/P23)</f>
        <v>0</v>
      </c>
      <c r="CE23">
        <f>IF(P23=0,0,COUNTIF('Transect 2_imgsummary'!E23:I23,"OLV")*100/P23)</f>
        <v>0</v>
      </c>
      <c r="CF23">
        <f>IF(P23=0,0,COUNTIF('Transect 2_imgsummary'!E23:I23,"SC")*100/P23)</f>
        <v>0</v>
      </c>
      <c r="CG23">
        <f>IF(P23=0,0,COUNTIF('Transect 2_imgsummary'!E23:I23,"S")*100/P23)</f>
        <v>0</v>
      </c>
      <c r="CH23">
        <f>IF(P23=0,0,COUNTIF('Transect 2_imgsummary'!E23:I23,"TERPS")*100/P23)</f>
        <v>0</v>
      </c>
      <c r="CI23">
        <f>IF(P23=0,0,COUNTIF('Transect 2_imgsummary'!E23:I23,"Z")*100/P23)</f>
        <v>0</v>
      </c>
      <c r="CK23">
        <f>IF(P23=0,0,COUNTIF('Transect 2_imgsummary'!E23:I23,"ASP")*100/P23)</f>
        <v>0</v>
      </c>
      <c r="CL23">
        <f>IF(P23=0,0,COUNTIF('Transect 2_imgsummary'!E23:I23,"BG")*100/P23)</f>
        <v>0</v>
      </c>
      <c r="CM23">
        <f>IF(P23=0,0,COUNTIF('Transect 2_imgsummary'!E23:I23,"Bood")*100/P23)</f>
        <v>0</v>
      </c>
      <c r="CN23">
        <f>IF(P23=0,0,COUNTIF('Transect 2_imgsummary'!E23:I23,"BRYP")*100/P23)</f>
        <v>0</v>
      </c>
      <c r="CO23">
        <f>IF(P23=0,0,COUNTIF('Transect 2_imgsummary'!E23:I23,"CLP")*100/P23)</f>
        <v>0</v>
      </c>
      <c r="CP23">
        <f>IF(P23=0,0,COUNTIF('Transect 2_imgsummary'!E23:I23,"CHLDES")*100/P23)</f>
        <v>0</v>
      </c>
      <c r="CQ23">
        <f>IF(P23=0,0,COUNTIF('Transect 2_imgsummary'!E23:I23,"DYCTY")*100/P23)</f>
        <v>0</v>
      </c>
      <c r="CR23">
        <f>IF(P23=0,0,COUNTIF('Transect 2_imgsummary'!E23:I23,"DICT")*100/P23)</f>
        <v>0</v>
      </c>
      <c r="CS23">
        <f>IF(P23=0,0,COUNTIF('Transect 2_imgsummary'!E23:I23,"GLXU")*100/P23)</f>
        <v>0</v>
      </c>
      <c r="CT23">
        <f>IF(P23=0,0,COUNTIF('Transect 2_imgsummary'!E23:I23,"HALI")*100/P23)</f>
        <v>0</v>
      </c>
      <c r="CU23">
        <f>IF(P23=0,0,COUNTIF('Transect 2_imgsummary'!E23:I23,"LIAG")*100/P23)</f>
        <v>0</v>
      </c>
      <c r="CV23">
        <f>IF(P23=0,0,COUNTIF('Transect 2_imgsummary'!E23:I23,"LOBO")*100/P23)</f>
        <v>0</v>
      </c>
      <c r="CW23">
        <f>IF(P23=0,0,COUNTIF('Transect 2_imgsummary'!E23:I23,"MAST")*100/P23)</f>
        <v>0</v>
      </c>
      <c r="CX23">
        <f>IF(P23=0,0,COUNTIF('Transect 2_imgsummary'!E23:I23,"MICDTY")*100/P23)</f>
        <v>0</v>
      </c>
      <c r="CY23">
        <f>IF(P23=0,0,COUNTIF('Transect 2_imgsummary'!E23:I23,"NEOM")*100/P23)</f>
        <v>0</v>
      </c>
      <c r="CZ23">
        <f>IF(P23=0,0,COUNTIF('Transect 2_imgsummary'!E23:I23,"NOIDMAC")*100/P23)</f>
        <v>0</v>
      </c>
      <c r="DA23">
        <f>IF(P23=0,0,COUNTIF('Transect 2_imgsummary'!E23:I23,"PAD")*100/P23)</f>
        <v>0</v>
      </c>
      <c r="DB23">
        <f>IF(P23=0,0,COUNTIF('Transect 2_imgsummary'!E23:I23,"SARG")*100/P23)</f>
        <v>0</v>
      </c>
      <c r="DC23">
        <f>IF(P23=0,0,COUNTIF('Transect 2_imgsummary'!E23:I23,"SCHIZ")*100/P23)</f>
        <v>0</v>
      </c>
      <c r="DD23">
        <f>IF(P23=0,0,COUNTIF('Transect 2_imgsummary'!E23:I23,"TURB")*100/P23)</f>
        <v>0</v>
      </c>
      <c r="DE23">
        <f>IF(P23=0,0,COUNTIF('Transect 2_imgsummary'!E23:I23,"TYDM")*100/P23)</f>
        <v>0</v>
      </c>
      <c r="DG23">
        <f>IF(P23=0,0,COUNTIF('Transect 2_imgsummary'!E23:I23,"AMP")*100/P23)</f>
        <v>0</v>
      </c>
      <c r="DH23">
        <f>IF(P23=0,0,COUNTIF('Transect 2_imgsummary'!E23:I23,"BCA1")*100/P23)</f>
        <v>0</v>
      </c>
      <c r="DI23">
        <f>IF(P23=0,0,COUNTIF('Transect 2_imgsummary'!E23:I23,"JAN")*100/P23)</f>
        <v>0</v>
      </c>
      <c r="DK23" s="29">
        <f>IF(P23=0,0,COUNTIF('Transect 2_imgsummary'!E23:I23,"CCA1")*100/P23)</f>
        <v>20</v>
      </c>
      <c r="DM23">
        <f>IF(P23=0,0,COUNTIF('Transect 2_imgsummary'!E23:I23,"Sand")*100/P23)</f>
        <v>0</v>
      </c>
      <c r="DO23">
        <f>IF(P23=0,0,COUNTIF('Transect 2_imgsummary'!E23:I23,"FCA1")*100/P23)</f>
        <v>0</v>
      </c>
      <c r="DQ23">
        <f>IF(P23=0,0,COUNTIF('Transect 2_imgsummary'!E23:I23,"CHRYOBRN")*100/P23)</f>
        <v>0</v>
      </c>
      <c r="DS23">
        <f>IF(P23=0,0,COUNTIF('Transect 2_imgsummary'!E23:I23,"TURF")*100/P23)</f>
        <v>0</v>
      </c>
      <c r="DU23">
        <f>COUNTIF('Transect 2_imgsummary'!E23:I23,"Shadow")*100/5</f>
        <v>0</v>
      </c>
      <c r="DV23">
        <f>COUNTIF('Transect 2_imgsummary'!E23:I23,"Tape")*100/5</f>
        <v>0</v>
      </c>
      <c r="DW23">
        <f>COUNTIF('Transect 2_imgsummary'!E23:I23,"Wand")*100/5</f>
        <v>0</v>
      </c>
      <c r="DY23">
        <f>IF(P23=0,0,COUNTIF('Transect 2_imgsummary'!O23:S23,"BC")*100/P23)</f>
        <v>0</v>
      </c>
    </row>
    <row r="24" spans="1:129">
      <c r="A24">
        <v>22</v>
      </c>
      <c r="B24" t="s">
        <v>451</v>
      </c>
      <c r="F24" s="29">
        <f>IF(P24=0,0,COUNTIF('Transect 2_imgsummary'!J24:N24,"C")*100/P24)</f>
        <v>60</v>
      </c>
      <c r="G24">
        <f>IF(P24=0,0,COUNTIF('Transect 2_imgsummary'!J24:N24,"OI")*100/P24)</f>
        <v>0</v>
      </c>
      <c r="H24">
        <f>IF(P24=0,0,COUNTIF('Transect 2_imgsummary'!J24:N24,"MA")*100/P24)</f>
        <v>0</v>
      </c>
      <c r="I24">
        <f>IF(P24=0,0,COUNTIF('Transect 2_imgsummary'!J24:N24,"BCA")*100/P24)</f>
        <v>0</v>
      </c>
      <c r="J24" s="29">
        <f>IF(P24=0,0,COUNTIF('Transect 2_imgsummary'!J24:N24,"CCA")*100/P24)</f>
        <v>20</v>
      </c>
      <c r="K24">
        <f>IF(P24=0,0,COUNTIF('Transect 2_imgsummary'!J24:N24,"SD")*100/P24)</f>
        <v>0</v>
      </c>
      <c r="L24" s="29">
        <f>IF(P24=0,0,COUNTIF('Transect 2_imgsummary'!J24:N24,"FCA")*100/P24)</f>
        <v>20</v>
      </c>
      <c r="M24">
        <f>IF(P24=0,0,COUNTIF('Transect 2_imgsummary'!J24:N24,"CHRYS")*100/P24)</f>
        <v>0</v>
      </c>
      <c r="N24">
        <f>IF(P24=0,0,COUNTIF('Transect 2_imgsummary'!J24:N24,"T")*100/P24)</f>
        <v>0</v>
      </c>
      <c r="O24">
        <f>IF(P24=0,0,COUNTIF('Transect 2_imgsummary'!J24:N24,"TWS")*100/P24)</f>
        <v>0</v>
      </c>
      <c r="P24">
        <f>5-COUNTIF('Transect 2_imgsummary'!J24:N24,"TWS")</f>
        <v>5</v>
      </c>
      <c r="S24">
        <f>IF(P24=0,0,COUNTIF('Transect 2_imgsummary'!E24:I24,"ACAN")*100/P24)</f>
        <v>0</v>
      </c>
      <c r="T24">
        <f>IF(P24=0,0,COUNTIF('Transect 2_imgsummary'!E24:I24,"ACROP")*100/P24)</f>
        <v>0</v>
      </c>
      <c r="U24">
        <f>IF(P24=0,0,COUNTIF('Transect 2_imgsummary'!E24:I24,"ACROPARB")*100/P24)</f>
        <v>0</v>
      </c>
      <c r="V24">
        <f>IF(P24=0,0,COUNTIF('Transect 2_imgsummary'!E24:I24,"ACROST")*100/P24)</f>
        <v>0</v>
      </c>
      <c r="W24">
        <f>IF(P24=0,0,COUNTIF('Transect 2_imgsummary'!E24:I24,"ACROTBL")*100/P24)</f>
        <v>0</v>
      </c>
      <c r="X24">
        <f>IF(P24=0,0,COUNTIF('Transect 2_imgsummary'!E24:I24,"ASTRP")*100/P24)</f>
        <v>0</v>
      </c>
      <c r="Y24">
        <f>IF(P24=0,0,COUNTIF('Transect 2_imgsummary'!E24:I24,"CAUL")*100/P24)</f>
        <v>0</v>
      </c>
      <c r="Z24">
        <f>IF(P24=0,0,COUNTIF('Transect 2_imgsummary'!E24:I24,"COSC")*100/P24)</f>
        <v>0</v>
      </c>
      <c r="AA24">
        <f>IF(P24=0,0,COUNTIF('Transect 2_imgsummary'!E24:I24,"CTEN")*100/P24)</f>
        <v>0</v>
      </c>
      <c r="AB24">
        <f>IF(P24=0,0,COUNTIF('Transect 2_imgsummary'!E24:I24,"CYPH")*100/P24)</f>
        <v>0</v>
      </c>
      <c r="AC24">
        <f>IF(P24=0,0,COUNTIF('Transect 2_imgsummary'!E24:I24,"DIPLO")*100/P24)</f>
        <v>0</v>
      </c>
      <c r="AD24" s="29">
        <f>IF(P24=0,0,COUNTIF('Transect 2_imgsummary'!E24:I24,"ECHPO")*100/P24)</f>
        <v>20</v>
      </c>
      <c r="AE24">
        <f>IF(P24=0,0,COUNTIF('Transect 2_imgsummary'!E24:I24,"ECHPHY")*100/P24)</f>
        <v>0</v>
      </c>
      <c r="AF24">
        <f>IF(P24=0,0,COUNTIF('Transect 2_imgsummary'!E24:I24,"EUPH")*100/P24)</f>
        <v>0</v>
      </c>
      <c r="AG24">
        <f>IF(P24=0,0,COUNTIF('Transect 2_imgsummary'!E24:I24,"FAV")*100/P24)</f>
        <v>0</v>
      </c>
      <c r="AH24">
        <f>IF(P24=0,0,COUNTIF('Transect 2_imgsummary'!E24:I24,"FAVT")*100/P24)</f>
        <v>0</v>
      </c>
      <c r="AI24">
        <f>IF(P24=0,0,COUNTIF('Transect 2_imgsummary'!E24:I24,"FUNG")*100/P24)</f>
        <v>0</v>
      </c>
      <c r="AJ24">
        <f>IF(P24=0,0,COUNTIF('Transect 2_imgsummary'!E24:I24,"GAL")*100/P24)</f>
        <v>0</v>
      </c>
      <c r="AK24">
        <f>IF(P24=0,0,COUNTIF('Transect 2_imgsummary'!E24:I24,"GARD")*100/P24)</f>
        <v>0</v>
      </c>
      <c r="AL24" s="29">
        <f>IF(P24=0,0,COUNTIF('Transect 2_imgsummary'!E24:I24,"GON")*100/P24)</f>
        <v>20</v>
      </c>
      <c r="AM24">
        <f>IF(P24=0,0,COUNTIF('Transect 2_imgsummary'!E24:I24,"GONIO")*100/P24)</f>
        <v>0</v>
      </c>
      <c r="AN24">
        <f>IF(P24=0,0,COUNTIF('Transect 2_imgsummary'!E24:I24,"HELIO")*100/P24)</f>
        <v>0</v>
      </c>
      <c r="AO24">
        <f>IF(P24=0,0,COUNTIF('Transect 2_imgsummary'!E24:I24,"HERP")*100/P24)</f>
        <v>0</v>
      </c>
      <c r="AP24">
        <f>IF(P24=0,0,COUNTIF('Transect 2_imgsummary'!E24:I24,"HYD")*100/P24)</f>
        <v>0</v>
      </c>
      <c r="AQ24">
        <f>IF(P24=0,0,COUNTIF('Transect 2_imgsummary'!E24:I24,"ISOP")*100/P24)</f>
        <v>0</v>
      </c>
      <c r="AR24">
        <f>IF(P24=0,0,COUNTIF('Transect 2_imgsummary'!E24:I24,"LEPT")*100/P24)</f>
        <v>0</v>
      </c>
      <c r="AS24">
        <f>IF(P24=0,0,COUNTIF('Transect 2_imgsummary'!E24:I24,"LEPTOR")*100/P24)</f>
        <v>0</v>
      </c>
      <c r="AT24">
        <f>IF(P24=0,0,COUNTIF('Transect 2_imgsummary'!E24:I24,"LEPTOS")*100/P24)</f>
        <v>0</v>
      </c>
      <c r="AU24">
        <f>IF(P24=0,0,COUNTIF('Transect 2_imgsummary'!E24:I24,"LOBOPH")*100/P24)</f>
        <v>0</v>
      </c>
      <c r="AV24">
        <f>IF(P24=0,0,COUNTIF('Transect 2_imgsummary'!E24:I24,"MERU")*100/P24)</f>
        <v>0</v>
      </c>
      <c r="AW24">
        <f>IF(P24=0,0,COUNTIF('Transect 2_imgsummary'!E24:I24,"MILL")*100/P24)</f>
        <v>0</v>
      </c>
      <c r="AX24">
        <f>IF(P24=0,0,COUNTIF('Transect 2_imgsummary'!E24:I24,"MONT")*100/P24)</f>
        <v>0</v>
      </c>
      <c r="AY24">
        <f>IF(P24=0,0,COUNTIF('Transect 2_imgsummary'!E24:I24,"MONTI")*100/P24)</f>
        <v>0</v>
      </c>
      <c r="AZ24">
        <f>IF(P24=0,0,COUNTIF('Transect 2_imgsummary'!E24:I24,"MYCED")*100/P24)</f>
        <v>0</v>
      </c>
      <c r="BA24">
        <f>IF(P24=0,0,COUNTIF('Transect 2_imgsummary'!E24:I24,"OULO")*100/P24)</f>
        <v>0</v>
      </c>
      <c r="BB24">
        <f>IF(P24=0,0,COUNTIF('Transect 2_imgsummary'!E24:I24,"OXYP")*100/P24)</f>
        <v>0</v>
      </c>
      <c r="BC24">
        <f>IF(P24=0,0,COUNTIF('Transect 2_imgsummary'!E24:I24,"PLSIA")*100/P24)</f>
        <v>0</v>
      </c>
      <c r="BD24">
        <f>IF(P24=0,0,COUNTIF('Transect 2_imgsummary'!E24:I24,"PACHY")*100/P24)</f>
        <v>0</v>
      </c>
      <c r="BE24">
        <f>IF(P24=0,0,COUNTIF('Transect 2_imgsummary'!E24:I24,"PAV")*100/P24)</f>
        <v>0</v>
      </c>
      <c r="BF24">
        <f>IF(P24=0,0,COUNTIF('Transect 2_imgsummary'!E24:I24,"PECT")*100/P24)</f>
        <v>0</v>
      </c>
      <c r="BG24">
        <f>IF(P24=0,0,COUNTIF('Transect 2_imgsummary'!E24:I24,"PHYSO")*100/P24)</f>
        <v>0</v>
      </c>
      <c r="BH24">
        <f>IF(P24=0,0,COUNTIF('Transect 2_imgsummary'!E24:I24,"PLAT")*100/P24)</f>
        <v>0</v>
      </c>
      <c r="BI24">
        <f>IF(P24=0,0,COUNTIF('Transect 2_imgsummary'!E24:I24,"PLERO")*100/P24)</f>
        <v>0</v>
      </c>
      <c r="BJ24">
        <f>IF(P24=0,0,COUNTIF('Transect 2_imgsummary'!E24:I24,"POC")*100/P24)</f>
        <v>0</v>
      </c>
      <c r="BK24">
        <f>IF(P24=0,0,COUNTIF('Transect 2_imgsummary'!E24:I24,"POR")*100/P24)</f>
        <v>0</v>
      </c>
      <c r="BL24">
        <f>IF(P24=0,0,COUNTIF('Transect 2_imgsummary'!E24:I24,"PORCYL")*100/P24)</f>
        <v>0</v>
      </c>
      <c r="BM24">
        <f>IF(P24=0,0,COUNTIF('Transect 2_imgsummary'!E24:I24,"PORMAS")*100/P24)</f>
        <v>0</v>
      </c>
      <c r="BN24">
        <f>IF(P24=0,0,COUNTIF('Transect 2_imgsummary'!E24:I24,"PORRUS")*100/P24)</f>
        <v>0</v>
      </c>
      <c r="BO24">
        <f>IF(P24=0,0,COUNTIF('Transect 2_imgsummary'!E24:I24,"PSAM")*100/P24)</f>
        <v>0</v>
      </c>
      <c r="BP24">
        <f>IF(P24=0,0,COUNTIF('Transect 2_imgsummary'!E24:I24,"SANDO")*100/P24)</f>
        <v>0</v>
      </c>
      <c r="BQ24">
        <f>IF(P24=0,0,COUNTIF('Transect 2_imgsummary'!E24:I24,"SCAP")*100/P24)</f>
        <v>0</v>
      </c>
      <c r="BR24">
        <f>IF(P24=0,0,COUNTIF('Transect 2_imgsummary'!E24:I24,"SERIA")*100/P24)</f>
        <v>0</v>
      </c>
      <c r="BS24">
        <f>IF(P24=0,0,COUNTIF('Transect 2_imgsummary'!E24:I24,"STYLC")*100/P24)</f>
        <v>0</v>
      </c>
      <c r="BT24" s="29">
        <f>IF(P24=0,0,COUNTIF('Transect 2_imgsummary'!E24:I24,"STYLO")*100/P24)</f>
        <v>20</v>
      </c>
      <c r="BU24">
        <f>IF(P24=0,0,COUNTIF('Transect 2_imgsummary'!E24:I24,"SYMP")*100/P24)</f>
        <v>0</v>
      </c>
      <c r="BV24">
        <f>IF(P24=0,0,COUNTIF('Transect 2_imgsummary'!E24:I24,"TURBIN")*100/P24)</f>
        <v>0</v>
      </c>
      <c r="BX24">
        <f>IF(P24=0,0,COUNTIF('Transect 2_imgsummary'!E24:I24,"ANEM")*100/P24)</f>
        <v>0</v>
      </c>
      <c r="BY24">
        <f>IF(P24=0,0,COUNTIF('Transect 2_imgsummary'!E24:I24,"ASC")*100/P24)</f>
        <v>0</v>
      </c>
      <c r="BZ24">
        <f>IF(P24=0,0,COUNTIF('Transect 2_imgsummary'!E24:I24,"CUPS")*100/P24)</f>
        <v>0</v>
      </c>
      <c r="CA24">
        <f>IF(P24=0,0,COUNTIF('Transect 2_imgsummary'!E24:I24,"DISCO")*100/P24)</f>
        <v>0</v>
      </c>
      <c r="CB24">
        <f>IF(P24=0,0,COUNTIF('Transect 2_imgsummary'!E24:I24,"DYS")*100/P24)</f>
        <v>0</v>
      </c>
      <c r="CC24">
        <f>IF(P24=0,0,COUNTIF('Transect 2_imgsummary'!E24:I24,"G")*100/P24)</f>
        <v>0</v>
      </c>
      <c r="CD24">
        <f>IF(P24=0,0,COUNTIF('Transect 2_imgsummary'!E24:I24,"NoIDINV")*100/P24)</f>
        <v>0</v>
      </c>
      <c r="CE24">
        <f>IF(P24=0,0,COUNTIF('Transect 2_imgsummary'!E24:I24,"OLV")*100/P24)</f>
        <v>0</v>
      </c>
      <c r="CF24">
        <f>IF(P24=0,0,COUNTIF('Transect 2_imgsummary'!E24:I24,"SC")*100/P24)</f>
        <v>0</v>
      </c>
      <c r="CG24">
        <f>IF(P24=0,0,COUNTIF('Transect 2_imgsummary'!E24:I24,"S")*100/P24)</f>
        <v>0</v>
      </c>
      <c r="CH24">
        <f>IF(P24=0,0,COUNTIF('Transect 2_imgsummary'!E24:I24,"TERPS")*100/P24)</f>
        <v>0</v>
      </c>
      <c r="CI24">
        <f>IF(P24=0,0,COUNTIF('Transect 2_imgsummary'!E24:I24,"Z")*100/P24)</f>
        <v>0</v>
      </c>
      <c r="CK24">
        <f>IF(P24=0,0,COUNTIF('Transect 2_imgsummary'!E24:I24,"ASP")*100/P24)</f>
        <v>0</v>
      </c>
      <c r="CL24">
        <f>IF(P24=0,0,COUNTIF('Transect 2_imgsummary'!E24:I24,"BG")*100/P24)</f>
        <v>0</v>
      </c>
      <c r="CM24">
        <f>IF(P24=0,0,COUNTIF('Transect 2_imgsummary'!E24:I24,"Bood")*100/P24)</f>
        <v>0</v>
      </c>
      <c r="CN24">
        <f>IF(P24=0,0,COUNTIF('Transect 2_imgsummary'!E24:I24,"BRYP")*100/P24)</f>
        <v>0</v>
      </c>
      <c r="CO24">
        <f>IF(P24=0,0,COUNTIF('Transect 2_imgsummary'!E24:I24,"CLP")*100/P24)</f>
        <v>0</v>
      </c>
      <c r="CP24">
        <f>IF(P24=0,0,COUNTIF('Transect 2_imgsummary'!E24:I24,"CHLDES")*100/P24)</f>
        <v>0</v>
      </c>
      <c r="CQ24">
        <f>IF(P24=0,0,COUNTIF('Transect 2_imgsummary'!E24:I24,"DYCTY")*100/P24)</f>
        <v>0</v>
      </c>
      <c r="CR24">
        <f>IF(P24=0,0,COUNTIF('Transect 2_imgsummary'!E24:I24,"DICT")*100/P24)</f>
        <v>0</v>
      </c>
      <c r="CS24">
        <f>IF(P24=0,0,COUNTIF('Transect 2_imgsummary'!E24:I24,"GLXU")*100/P24)</f>
        <v>0</v>
      </c>
      <c r="CT24">
        <f>IF(P24=0,0,COUNTIF('Transect 2_imgsummary'!E24:I24,"HALI")*100/P24)</f>
        <v>0</v>
      </c>
      <c r="CU24">
        <f>IF(P24=0,0,COUNTIF('Transect 2_imgsummary'!E24:I24,"LIAG")*100/P24)</f>
        <v>0</v>
      </c>
      <c r="CV24">
        <f>IF(P24=0,0,COUNTIF('Transect 2_imgsummary'!E24:I24,"LOBO")*100/P24)</f>
        <v>0</v>
      </c>
      <c r="CW24">
        <f>IF(P24=0,0,COUNTIF('Transect 2_imgsummary'!E24:I24,"MAST")*100/P24)</f>
        <v>0</v>
      </c>
      <c r="CX24">
        <f>IF(P24=0,0,COUNTIF('Transect 2_imgsummary'!E24:I24,"MICDTY")*100/P24)</f>
        <v>0</v>
      </c>
      <c r="CY24">
        <f>IF(P24=0,0,COUNTIF('Transect 2_imgsummary'!E24:I24,"NEOM")*100/P24)</f>
        <v>0</v>
      </c>
      <c r="CZ24">
        <f>IF(P24=0,0,COUNTIF('Transect 2_imgsummary'!E24:I24,"NOIDMAC")*100/P24)</f>
        <v>0</v>
      </c>
      <c r="DA24">
        <f>IF(P24=0,0,COUNTIF('Transect 2_imgsummary'!E24:I24,"PAD")*100/P24)</f>
        <v>0</v>
      </c>
      <c r="DB24">
        <f>IF(P24=0,0,COUNTIF('Transect 2_imgsummary'!E24:I24,"SARG")*100/P24)</f>
        <v>0</v>
      </c>
      <c r="DC24">
        <f>IF(P24=0,0,COUNTIF('Transect 2_imgsummary'!E24:I24,"SCHIZ")*100/P24)</f>
        <v>0</v>
      </c>
      <c r="DD24">
        <f>IF(P24=0,0,COUNTIF('Transect 2_imgsummary'!E24:I24,"TURB")*100/P24)</f>
        <v>0</v>
      </c>
      <c r="DE24">
        <f>IF(P24=0,0,COUNTIF('Transect 2_imgsummary'!E24:I24,"TYDM")*100/P24)</f>
        <v>0</v>
      </c>
      <c r="DG24">
        <f>IF(P24=0,0,COUNTIF('Transect 2_imgsummary'!E24:I24,"AMP")*100/P24)</f>
        <v>0</v>
      </c>
      <c r="DH24">
        <f>IF(P24=0,0,COUNTIF('Transect 2_imgsummary'!E24:I24,"BCA1")*100/P24)</f>
        <v>0</v>
      </c>
      <c r="DI24">
        <f>IF(P24=0,0,COUNTIF('Transect 2_imgsummary'!E24:I24,"JAN")*100/P24)</f>
        <v>0</v>
      </c>
      <c r="DK24" s="29">
        <f>IF(P24=0,0,COUNTIF('Transect 2_imgsummary'!E24:I24,"CCA1")*100/P24)</f>
        <v>20</v>
      </c>
      <c r="DM24">
        <f>IF(P24=0,0,COUNTIF('Transect 2_imgsummary'!E24:I24,"Sand")*100/P24)</f>
        <v>0</v>
      </c>
      <c r="DO24" s="29">
        <f>IF(P24=0,0,COUNTIF('Transect 2_imgsummary'!E24:I24,"FCA1")*100/P24)</f>
        <v>20</v>
      </c>
      <c r="DQ24">
        <f>IF(P24=0,0,COUNTIF('Transect 2_imgsummary'!E24:I24,"CHRYOBRN")*100/P24)</f>
        <v>0</v>
      </c>
      <c r="DS24">
        <f>IF(P24=0,0,COUNTIF('Transect 2_imgsummary'!E24:I24,"TURF")*100/P24)</f>
        <v>0</v>
      </c>
      <c r="DU24">
        <f>COUNTIF('Transect 2_imgsummary'!E24:I24,"Shadow")*100/5</f>
        <v>0</v>
      </c>
      <c r="DV24">
        <f>COUNTIF('Transect 2_imgsummary'!E24:I24,"Tape")*100/5</f>
        <v>0</v>
      </c>
      <c r="DW24">
        <f>COUNTIF('Transect 2_imgsummary'!E24:I24,"Wand")*100/5</f>
        <v>0</v>
      </c>
      <c r="DY24">
        <f>IF(P24=0,0,COUNTIF('Transect 2_imgsummary'!O24:S24,"BC")*100/P24)</f>
        <v>0</v>
      </c>
    </row>
    <row r="25" spans="1:129">
      <c r="A25">
        <v>23</v>
      </c>
      <c r="B25" t="s">
        <v>452</v>
      </c>
      <c r="F25" s="29">
        <f>IF(P25=0,0,COUNTIF('Transect 2_imgsummary'!J25:N25,"C")*100/P25)</f>
        <v>100</v>
      </c>
      <c r="G25">
        <f>IF(P25=0,0,COUNTIF('Transect 2_imgsummary'!J25:N25,"OI")*100/P25)</f>
        <v>0</v>
      </c>
      <c r="H25">
        <f>IF(P25=0,0,COUNTIF('Transect 2_imgsummary'!J25:N25,"MA")*100/P25)</f>
        <v>0</v>
      </c>
      <c r="I25">
        <f>IF(P25=0,0,COUNTIF('Transect 2_imgsummary'!J25:N25,"BCA")*100/P25)</f>
        <v>0</v>
      </c>
      <c r="J25">
        <f>IF(P25=0,0,COUNTIF('Transect 2_imgsummary'!J25:N25,"CCA")*100/P25)</f>
        <v>0</v>
      </c>
      <c r="K25">
        <f>IF(P25=0,0,COUNTIF('Transect 2_imgsummary'!J25:N25,"SD")*100/P25)</f>
        <v>0</v>
      </c>
      <c r="L25">
        <f>IF(P25=0,0,COUNTIF('Transect 2_imgsummary'!J25:N25,"FCA")*100/P25)</f>
        <v>0</v>
      </c>
      <c r="M25">
        <f>IF(P25=0,0,COUNTIF('Transect 2_imgsummary'!J25:N25,"CHRYS")*100/P25)</f>
        <v>0</v>
      </c>
      <c r="N25">
        <f>IF(P25=0,0,COUNTIF('Transect 2_imgsummary'!J25:N25,"T")*100/P25)</f>
        <v>0</v>
      </c>
      <c r="O25">
        <f>IF(P25=0,0,COUNTIF('Transect 2_imgsummary'!J25:N25,"TWS")*100/P25)</f>
        <v>0</v>
      </c>
      <c r="P25">
        <f>5-COUNTIF('Transect 2_imgsummary'!J25:N25,"TWS")</f>
        <v>5</v>
      </c>
      <c r="S25">
        <f>IF(P25=0,0,COUNTIF('Transect 2_imgsummary'!E25:I25,"ACAN")*100/P25)</f>
        <v>0</v>
      </c>
      <c r="T25" s="29">
        <f>IF(P25=0,0,COUNTIF('Transect 2_imgsummary'!E25:I25,"ACROP")*100/P25)</f>
        <v>20</v>
      </c>
      <c r="U25">
        <f>IF(P25=0,0,COUNTIF('Transect 2_imgsummary'!E25:I25,"ACROPARB")*100/P25)</f>
        <v>0</v>
      </c>
      <c r="V25">
        <f>IF(P25=0,0,COUNTIF('Transect 2_imgsummary'!E25:I25,"ACROST")*100/P25)</f>
        <v>0</v>
      </c>
      <c r="W25">
        <f>IF(P25=0,0,COUNTIF('Transect 2_imgsummary'!E25:I25,"ACROTBL")*100/P25)</f>
        <v>0</v>
      </c>
      <c r="X25">
        <f>IF(P25=0,0,COUNTIF('Transect 2_imgsummary'!E25:I25,"ASTRP")*100/P25)</f>
        <v>0</v>
      </c>
      <c r="Y25">
        <f>IF(P25=0,0,COUNTIF('Transect 2_imgsummary'!E25:I25,"CAUL")*100/P25)</f>
        <v>0</v>
      </c>
      <c r="Z25">
        <f>IF(P25=0,0,COUNTIF('Transect 2_imgsummary'!E25:I25,"COSC")*100/P25)</f>
        <v>0</v>
      </c>
      <c r="AA25">
        <f>IF(P25=0,0,COUNTIF('Transect 2_imgsummary'!E25:I25,"CTEN")*100/P25)</f>
        <v>0</v>
      </c>
      <c r="AB25">
        <f>IF(P25=0,0,COUNTIF('Transect 2_imgsummary'!E25:I25,"CYPH")*100/P25)</f>
        <v>0</v>
      </c>
      <c r="AC25">
        <f>IF(P25=0,0,COUNTIF('Transect 2_imgsummary'!E25:I25,"DIPLO")*100/P25)</f>
        <v>0</v>
      </c>
      <c r="AD25" s="29">
        <f>IF(P25=0,0,COUNTIF('Transect 2_imgsummary'!E25:I25,"ECHPO")*100/P25)</f>
        <v>80</v>
      </c>
      <c r="AE25">
        <f>IF(P25=0,0,COUNTIF('Transect 2_imgsummary'!E25:I25,"ECHPHY")*100/P25)</f>
        <v>0</v>
      </c>
      <c r="AF25">
        <f>IF(P25=0,0,COUNTIF('Transect 2_imgsummary'!E25:I25,"EUPH")*100/P25)</f>
        <v>0</v>
      </c>
      <c r="AG25">
        <f>IF(P25=0,0,COUNTIF('Transect 2_imgsummary'!E25:I25,"FAV")*100/P25)</f>
        <v>0</v>
      </c>
      <c r="AH25">
        <f>IF(P25=0,0,COUNTIF('Transect 2_imgsummary'!E25:I25,"FAVT")*100/P25)</f>
        <v>0</v>
      </c>
      <c r="AI25">
        <f>IF(P25=0,0,COUNTIF('Transect 2_imgsummary'!E25:I25,"FUNG")*100/P25)</f>
        <v>0</v>
      </c>
      <c r="AJ25">
        <f>IF(P25=0,0,COUNTIF('Transect 2_imgsummary'!E25:I25,"GAL")*100/P25)</f>
        <v>0</v>
      </c>
      <c r="AK25">
        <f>IF(P25=0,0,COUNTIF('Transect 2_imgsummary'!E25:I25,"GARD")*100/P25)</f>
        <v>0</v>
      </c>
      <c r="AL25">
        <f>IF(P25=0,0,COUNTIF('Transect 2_imgsummary'!E25:I25,"GON")*100/P25)</f>
        <v>0</v>
      </c>
      <c r="AM25">
        <f>IF(P25=0,0,COUNTIF('Transect 2_imgsummary'!E25:I25,"GONIO")*100/P25)</f>
        <v>0</v>
      </c>
      <c r="AN25">
        <f>IF(P25=0,0,COUNTIF('Transect 2_imgsummary'!E25:I25,"HELIO")*100/P25)</f>
        <v>0</v>
      </c>
      <c r="AO25">
        <f>IF(P25=0,0,COUNTIF('Transect 2_imgsummary'!E25:I25,"HERP")*100/P25)</f>
        <v>0</v>
      </c>
      <c r="AP25">
        <f>IF(P25=0,0,COUNTIF('Transect 2_imgsummary'!E25:I25,"HYD")*100/P25)</f>
        <v>0</v>
      </c>
      <c r="AQ25">
        <f>IF(P25=0,0,COUNTIF('Transect 2_imgsummary'!E25:I25,"ISOP")*100/P25)</f>
        <v>0</v>
      </c>
      <c r="AR25">
        <f>IF(P25=0,0,COUNTIF('Transect 2_imgsummary'!E25:I25,"LEPT")*100/P25)</f>
        <v>0</v>
      </c>
      <c r="AS25">
        <f>IF(P25=0,0,COUNTIF('Transect 2_imgsummary'!E25:I25,"LEPTOR")*100/P25)</f>
        <v>0</v>
      </c>
      <c r="AT25">
        <f>IF(P25=0,0,COUNTIF('Transect 2_imgsummary'!E25:I25,"LEPTOS")*100/P25)</f>
        <v>0</v>
      </c>
      <c r="AU25">
        <f>IF(P25=0,0,COUNTIF('Transect 2_imgsummary'!E25:I25,"LOBOPH")*100/P25)</f>
        <v>0</v>
      </c>
      <c r="AV25">
        <f>IF(P25=0,0,COUNTIF('Transect 2_imgsummary'!E25:I25,"MERU")*100/P25)</f>
        <v>0</v>
      </c>
      <c r="AW25">
        <f>IF(P25=0,0,COUNTIF('Transect 2_imgsummary'!E25:I25,"MILL")*100/P25)</f>
        <v>0</v>
      </c>
      <c r="AX25">
        <f>IF(P25=0,0,COUNTIF('Transect 2_imgsummary'!E25:I25,"MONT")*100/P25)</f>
        <v>0</v>
      </c>
      <c r="AY25">
        <f>IF(P25=0,0,COUNTIF('Transect 2_imgsummary'!E25:I25,"MONTI")*100/P25)</f>
        <v>0</v>
      </c>
      <c r="AZ25">
        <f>IF(P25=0,0,COUNTIF('Transect 2_imgsummary'!E25:I25,"MYCED")*100/P25)</f>
        <v>0</v>
      </c>
      <c r="BA25">
        <f>IF(P25=0,0,COUNTIF('Transect 2_imgsummary'!E25:I25,"OULO")*100/P25)</f>
        <v>0</v>
      </c>
      <c r="BB25">
        <f>IF(P25=0,0,COUNTIF('Transect 2_imgsummary'!E25:I25,"OXYP")*100/P25)</f>
        <v>0</v>
      </c>
      <c r="BC25">
        <f>IF(P25=0,0,COUNTIF('Transect 2_imgsummary'!E25:I25,"PLSIA")*100/P25)</f>
        <v>0</v>
      </c>
      <c r="BD25">
        <f>IF(P25=0,0,COUNTIF('Transect 2_imgsummary'!E25:I25,"PACHY")*100/P25)</f>
        <v>0</v>
      </c>
      <c r="BE25">
        <f>IF(P25=0,0,COUNTIF('Transect 2_imgsummary'!E25:I25,"PAV")*100/P25)</f>
        <v>0</v>
      </c>
      <c r="BF25">
        <f>IF(P25=0,0,COUNTIF('Transect 2_imgsummary'!E25:I25,"PECT")*100/P25)</f>
        <v>0</v>
      </c>
      <c r="BG25">
        <f>IF(P25=0,0,COUNTIF('Transect 2_imgsummary'!E25:I25,"PHYSO")*100/P25)</f>
        <v>0</v>
      </c>
      <c r="BH25">
        <f>IF(P25=0,0,COUNTIF('Transect 2_imgsummary'!E25:I25,"PLAT")*100/P25)</f>
        <v>0</v>
      </c>
      <c r="BI25">
        <f>IF(P25=0,0,COUNTIF('Transect 2_imgsummary'!E25:I25,"PLERO")*100/P25)</f>
        <v>0</v>
      </c>
      <c r="BJ25">
        <f>IF(P25=0,0,COUNTIF('Transect 2_imgsummary'!E25:I25,"POC")*100/P25)</f>
        <v>0</v>
      </c>
      <c r="BK25">
        <f>IF(P25=0,0,COUNTIF('Transect 2_imgsummary'!E25:I25,"POR")*100/P25)</f>
        <v>0</v>
      </c>
      <c r="BL25">
        <f>IF(P25=0,0,COUNTIF('Transect 2_imgsummary'!E25:I25,"PORCYL")*100/P25)</f>
        <v>0</v>
      </c>
      <c r="BM25">
        <f>IF(P25=0,0,COUNTIF('Transect 2_imgsummary'!E25:I25,"PORMAS")*100/P25)</f>
        <v>0</v>
      </c>
      <c r="BN25">
        <f>IF(P25=0,0,COUNTIF('Transect 2_imgsummary'!E25:I25,"PORRUS")*100/P25)</f>
        <v>0</v>
      </c>
      <c r="BO25">
        <f>IF(P25=0,0,COUNTIF('Transect 2_imgsummary'!E25:I25,"PSAM")*100/P25)</f>
        <v>0</v>
      </c>
      <c r="BP25">
        <f>IF(P25=0,0,COUNTIF('Transect 2_imgsummary'!E25:I25,"SANDO")*100/P25)</f>
        <v>0</v>
      </c>
      <c r="BQ25">
        <f>IF(P25=0,0,COUNTIF('Transect 2_imgsummary'!E25:I25,"SCAP")*100/P25)</f>
        <v>0</v>
      </c>
      <c r="BR25">
        <f>IF(P25=0,0,COUNTIF('Transect 2_imgsummary'!E25:I25,"SERIA")*100/P25)</f>
        <v>0</v>
      </c>
      <c r="BS25">
        <f>IF(P25=0,0,COUNTIF('Transect 2_imgsummary'!E25:I25,"STYLC")*100/P25)</f>
        <v>0</v>
      </c>
      <c r="BT25">
        <f>IF(P25=0,0,COUNTIF('Transect 2_imgsummary'!E25:I25,"STYLO")*100/P25)</f>
        <v>0</v>
      </c>
      <c r="BU25">
        <f>IF(P25=0,0,COUNTIF('Transect 2_imgsummary'!E25:I25,"SYMP")*100/P25)</f>
        <v>0</v>
      </c>
      <c r="BV25">
        <f>IF(P25=0,0,COUNTIF('Transect 2_imgsummary'!E25:I25,"TURBIN")*100/P25)</f>
        <v>0</v>
      </c>
      <c r="BX25">
        <f>IF(P25=0,0,COUNTIF('Transect 2_imgsummary'!E25:I25,"ANEM")*100/P25)</f>
        <v>0</v>
      </c>
      <c r="BY25">
        <f>IF(P25=0,0,COUNTIF('Transect 2_imgsummary'!E25:I25,"ASC")*100/P25)</f>
        <v>0</v>
      </c>
      <c r="BZ25">
        <f>IF(P25=0,0,COUNTIF('Transect 2_imgsummary'!E25:I25,"CUPS")*100/P25)</f>
        <v>0</v>
      </c>
      <c r="CA25">
        <f>IF(P25=0,0,COUNTIF('Transect 2_imgsummary'!E25:I25,"DISCO")*100/P25)</f>
        <v>0</v>
      </c>
      <c r="CB25">
        <f>IF(P25=0,0,COUNTIF('Transect 2_imgsummary'!E25:I25,"DYS")*100/P25)</f>
        <v>0</v>
      </c>
      <c r="CC25">
        <f>IF(P25=0,0,COUNTIF('Transect 2_imgsummary'!E25:I25,"G")*100/P25)</f>
        <v>0</v>
      </c>
      <c r="CD25">
        <f>IF(P25=0,0,COUNTIF('Transect 2_imgsummary'!E25:I25,"NoIDINV")*100/P25)</f>
        <v>0</v>
      </c>
      <c r="CE25">
        <f>IF(P25=0,0,COUNTIF('Transect 2_imgsummary'!E25:I25,"OLV")*100/P25)</f>
        <v>0</v>
      </c>
      <c r="CF25">
        <f>IF(P25=0,0,COUNTIF('Transect 2_imgsummary'!E25:I25,"SC")*100/P25)</f>
        <v>0</v>
      </c>
      <c r="CG25">
        <f>IF(P25=0,0,COUNTIF('Transect 2_imgsummary'!E25:I25,"S")*100/P25)</f>
        <v>0</v>
      </c>
      <c r="CH25">
        <f>IF(P25=0,0,COUNTIF('Transect 2_imgsummary'!E25:I25,"TERPS")*100/P25)</f>
        <v>0</v>
      </c>
      <c r="CI25">
        <f>IF(P25=0,0,COUNTIF('Transect 2_imgsummary'!E25:I25,"Z")*100/P25)</f>
        <v>0</v>
      </c>
      <c r="CK25">
        <f>IF(P25=0,0,COUNTIF('Transect 2_imgsummary'!E25:I25,"ASP")*100/P25)</f>
        <v>0</v>
      </c>
      <c r="CL25">
        <f>IF(P25=0,0,COUNTIF('Transect 2_imgsummary'!E25:I25,"BG")*100/P25)</f>
        <v>0</v>
      </c>
      <c r="CM25">
        <f>IF(P25=0,0,COUNTIF('Transect 2_imgsummary'!E25:I25,"Bood")*100/P25)</f>
        <v>0</v>
      </c>
      <c r="CN25">
        <f>IF(P25=0,0,COUNTIF('Transect 2_imgsummary'!E25:I25,"BRYP")*100/P25)</f>
        <v>0</v>
      </c>
      <c r="CO25">
        <f>IF(P25=0,0,COUNTIF('Transect 2_imgsummary'!E25:I25,"CLP")*100/P25)</f>
        <v>0</v>
      </c>
      <c r="CP25">
        <f>IF(P25=0,0,COUNTIF('Transect 2_imgsummary'!E25:I25,"CHLDES")*100/P25)</f>
        <v>0</v>
      </c>
      <c r="CQ25">
        <f>IF(P25=0,0,COUNTIF('Transect 2_imgsummary'!E25:I25,"DYCTY")*100/P25)</f>
        <v>0</v>
      </c>
      <c r="CR25">
        <f>IF(P25=0,0,COUNTIF('Transect 2_imgsummary'!E25:I25,"DICT")*100/P25)</f>
        <v>0</v>
      </c>
      <c r="CS25">
        <f>IF(P25=0,0,COUNTIF('Transect 2_imgsummary'!E25:I25,"GLXU")*100/P25)</f>
        <v>0</v>
      </c>
      <c r="CT25">
        <f>IF(P25=0,0,COUNTIF('Transect 2_imgsummary'!E25:I25,"HALI")*100/P25)</f>
        <v>0</v>
      </c>
      <c r="CU25">
        <f>IF(P25=0,0,COUNTIF('Transect 2_imgsummary'!E25:I25,"LIAG")*100/P25)</f>
        <v>0</v>
      </c>
      <c r="CV25">
        <f>IF(P25=0,0,COUNTIF('Transect 2_imgsummary'!E25:I25,"LOBO")*100/P25)</f>
        <v>0</v>
      </c>
      <c r="CW25">
        <f>IF(P25=0,0,COUNTIF('Transect 2_imgsummary'!E25:I25,"MAST")*100/P25)</f>
        <v>0</v>
      </c>
      <c r="CX25">
        <f>IF(P25=0,0,COUNTIF('Transect 2_imgsummary'!E25:I25,"MICDTY")*100/P25)</f>
        <v>0</v>
      </c>
      <c r="CY25">
        <f>IF(P25=0,0,COUNTIF('Transect 2_imgsummary'!E25:I25,"NEOM")*100/P25)</f>
        <v>0</v>
      </c>
      <c r="CZ25">
        <f>IF(P25=0,0,COUNTIF('Transect 2_imgsummary'!E25:I25,"NOIDMAC")*100/P25)</f>
        <v>0</v>
      </c>
      <c r="DA25">
        <f>IF(P25=0,0,COUNTIF('Transect 2_imgsummary'!E25:I25,"PAD")*100/P25)</f>
        <v>0</v>
      </c>
      <c r="DB25">
        <f>IF(P25=0,0,COUNTIF('Transect 2_imgsummary'!E25:I25,"SARG")*100/P25)</f>
        <v>0</v>
      </c>
      <c r="DC25">
        <f>IF(P25=0,0,COUNTIF('Transect 2_imgsummary'!E25:I25,"SCHIZ")*100/P25)</f>
        <v>0</v>
      </c>
      <c r="DD25">
        <f>IF(P25=0,0,COUNTIF('Transect 2_imgsummary'!E25:I25,"TURB")*100/P25)</f>
        <v>0</v>
      </c>
      <c r="DE25">
        <f>IF(P25=0,0,COUNTIF('Transect 2_imgsummary'!E25:I25,"TYDM")*100/P25)</f>
        <v>0</v>
      </c>
      <c r="DG25">
        <f>IF(P25=0,0,COUNTIF('Transect 2_imgsummary'!E25:I25,"AMP")*100/P25)</f>
        <v>0</v>
      </c>
      <c r="DH25">
        <f>IF(P25=0,0,COUNTIF('Transect 2_imgsummary'!E25:I25,"BCA1")*100/P25)</f>
        <v>0</v>
      </c>
      <c r="DI25">
        <f>IF(P25=0,0,COUNTIF('Transect 2_imgsummary'!E25:I25,"JAN")*100/P25)</f>
        <v>0</v>
      </c>
      <c r="DK25">
        <f>IF(P25=0,0,COUNTIF('Transect 2_imgsummary'!E25:I25,"CCA1")*100/P25)</f>
        <v>0</v>
      </c>
      <c r="DM25">
        <f>IF(P25=0,0,COUNTIF('Transect 2_imgsummary'!E25:I25,"Sand")*100/P25)</f>
        <v>0</v>
      </c>
      <c r="DO25">
        <f>IF(P25=0,0,COUNTIF('Transect 2_imgsummary'!E25:I25,"FCA1")*100/P25)</f>
        <v>0</v>
      </c>
      <c r="DQ25">
        <f>IF(P25=0,0,COUNTIF('Transect 2_imgsummary'!E25:I25,"CHRYOBRN")*100/P25)</f>
        <v>0</v>
      </c>
      <c r="DS25">
        <f>IF(P25=0,0,COUNTIF('Transect 2_imgsummary'!E25:I25,"TURF")*100/P25)</f>
        <v>0</v>
      </c>
      <c r="DU25">
        <f>COUNTIF('Transect 2_imgsummary'!E25:I25,"Shadow")*100/5</f>
        <v>0</v>
      </c>
      <c r="DV25">
        <f>COUNTIF('Transect 2_imgsummary'!E25:I25,"Tape")*100/5</f>
        <v>0</v>
      </c>
      <c r="DW25">
        <f>COUNTIF('Transect 2_imgsummary'!E25:I25,"Wand")*100/5</f>
        <v>0</v>
      </c>
      <c r="DY25">
        <f>IF(P25=0,0,COUNTIF('Transect 2_imgsummary'!O25:S25,"BC")*100/P25)</f>
        <v>0</v>
      </c>
    </row>
    <row r="26" spans="1:129">
      <c r="A26">
        <v>24</v>
      </c>
      <c r="B26" t="s">
        <v>453</v>
      </c>
      <c r="F26" s="29">
        <f>IF(P26=0,0,COUNTIF('Transect 2_imgsummary'!J26:N26,"C")*100/P26)</f>
        <v>100</v>
      </c>
      <c r="G26">
        <f>IF(P26=0,0,COUNTIF('Transect 2_imgsummary'!J26:N26,"OI")*100/P26)</f>
        <v>0</v>
      </c>
      <c r="H26">
        <f>IF(P26=0,0,COUNTIF('Transect 2_imgsummary'!J26:N26,"MA")*100/P26)</f>
        <v>0</v>
      </c>
      <c r="I26">
        <f>IF(P26=0,0,COUNTIF('Transect 2_imgsummary'!J26:N26,"BCA")*100/P26)</f>
        <v>0</v>
      </c>
      <c r="J26">
        <f>IF(P26=0,0,COUNTIF('Transect 2_imgsummary'!J26:N26,"CCA")*100/P26)</f>
        <v>0</v>
      </c>
      <c r="K26">
        <f>IF(P26=0,0,COUNTIF('Transect 2_imgsummary'!J26:N26,"SD")*100/P26)</f>
        <v>0</v>
      </c>
      <c r="L26">
        <f>IF(P26=0,0,COUNTIF('Transect 2_imgsummary'!J26:N26,"FCA")*100/P26)</f>
        <v>0</v>
      </c>
      <c r="M26">
        <f>IF(P26=0,0,COUNTIF('Transect 2_imgsummary'!J26:N26,"CHRYS")*100/P26)</f>
        <v>0</v>
      </c>
      <c r="N26">
        <f>IF(P26=0,0,COUNTIF('Transect 2_imgsummary'!J26:N26,"T")*100/P26)</f>
        <v>0</v>
      </c>
      <c r="O26">
        <f>IF(P26=0,0,COUNTIF('Transect 2_imgsummary'!J26:N26,"TWS")*100/P26)</f>
        <v>0</v>
      </c>
      <c r="P26">
        <f>5-COUNTIF('Transect 2_imgsummary'!J26:N26,"TWS")</f>
        <v>5</v>
      </c>
      <c r="S26">
        <f>IF(P26=0,0,COUNTIF('Transect 2_imgsummary'!E26:I26,"ACAN")*100/P26)</f>
        <v>0</v>
      </c>
      <c r="T26" s="29">
        <f>IF(P26=0,0,COUNTIF('Transect 2_imgsummary'!E26:I26,"ACROP")*100/P26)</f>
        <v>20</v>
      </c>
      <c r="U26">
        <f>IF(P26=0,0,COUNTIF('Transect 2_imgsummary'!E26:I26,"ACROPARB")*100/P26)</f>
        <v>0</v>
      </c>
      <c r="V26">
        <f>IF(P26=0,0,COUNTIF('Transect 2_imgsummary'!E26:I26,"ACROST")*100/P26)</f>
        <v>0</v>
      </c>
      <c r="W26">
        <f>IF(P26=0,0,COUNTIF('Transect 2_imgsummary'!E26:I26,"ACROTBL")*100/P26)</f>
        <v>0</v>
      </c>
      <c r="X26">
        <f>IF(P26=0,0,COUNTIF('Transect 2_imgsummary'!E26:I26,"ASTRP")*100/P26)</f>
        <v>0</v>
      </c>
      <c r="Y26">
        <f>IF(P26=0,0,COUNTIF('Transect 2_imgsummary'!E26:I26,"CAUL")*100/P26)</f>
        <v>0</v>
      </c>
      <c r="Z26">
        <f>IF(P26=0,0,COUNTIF('Transect 2_imgsummary'!E26:I26,"COSC")*100/P26)</f>
        <v>0</v>
      </c>
      <c r="AA26">
        <f>IF(P26=0,0,COUNTIF('Transect 2_imgsummary'!E26:I26,"CTEN")*100/P26)</f>
        <v>0</v>
      </c>
      <c r="AB26">
        <f>IF(P26=0,0,COUNTIF('Transect 2_imgsummary'!E26:I26,"CYPH")*100/P26)</f>
        <v>0</v>
      </c>
      <c r="AC26">
        <f>IF(P26=0,0,COUNTIF('Transect 2_imgsummary'!E26:I26,"DIPLO")*100/P26)</f>
        <v>0</v>
      </c>
      <c r="AD26" s="29">
        <f>IF(P26=0,0,COUNTIF('Transect 2_imgsummary'!E26:I26,"ECHPO")*100/P26)</f>
        <v>60</v>
      </c>
      <c r="AE26">
        <f>IF(P26=0,0,COUNTIF('Transect 2_imgsummary'!E26:I26,"ECHPHY")*100/P26)</f>
        <v>0</v>
      </c>
      <c r="AF26">
        <f>IF(P26=0,0,COUNTIF('Transect 2_imgsummary'!E26:I26,"EUPH")*100/P26)</f>
        <v>0</v>
      </c>
      <c r="AG26">
        <f>IF(P26=0,0,COUNTIF('Transect 2_imgsummary'!E26:I26,"FAV")*100/P26)</f>
        <v>0</v>
      </c>
      <c r="AH26">
        <f>IF(P26=0,0,COUNTIF('Transect 2_imgsummary'!E26:I26,"FAVT")*100/P26)</f>
        <v>0</v>
      </c>
      <c r="AI26">
        <f>IF(P26=0,0,COUNTIF('Transect 2_imgsummary'!E26:I26,"FUNG")*100/P26)</f>
        <v>0</v>
      </c>
      <c r="AJ26">
        <f>IF(P26=0,0,COUNTIF('Transect 2_imgsummary'!E26:I26,"GAL")*100/P26)</f>
        <v>0</v>
      </c>
      <c r="AK26">
        <f>IF(P26=0,0,COUNTIF('Transect 2_imgsummary'!E26:I26,"GARD")*100/P26)</f>
        <v>0</v>
      </c>
      <c r="AL26">
        <f>IF(P26=0,0,COUNTIF('Transect 2_imgsummary'!E26:I26,"GON")*100/P26)</f>
        <v>0</v>
      </c>
      <c r="AM26">
        <f>IF(P26=0,0,COUNTIF('Transect 2_imgsummary'!E26:I26,"GONIO")*100/P26)</f>
        <v>0</v>
      </c>
      <c r="AN26">
        <f>IF(P26=0,0,COUNTIF('Transect 2_imgsummary'!E26:I26,"HELIO")*100/P26)</f>
        <v>0</v>
      </c>
      <c r="AO26">
        <f>IF(P26=0,0,COUNTIF('Transect 2_imgsummary'!E26:I26,"HERP")*100/P26)</f>
        <v>0</v>
      </c>
      <c r="AP26">
        <f>IF(P26=0,0,COUNTIF('Transect 2_imgsummary'!E26:I26,"HYD")*100/P26)</f>
        <v>0</v>
      </c>
      <c r="AQ26">
        <f>IF(P26=0,0,COUNTIF('Transect 2_imgsummary'!E26:I26,"ISOP")*100/P26)</f>
        <v>0</v>
      </c>
      <c r="AR26">
        <f>IF(P26=0,0,COUNTIF('Transect 2_imgsummary'!E26:I26,"LEPT")*100/P26)</f>
        <v>0</v>
      </c>
      <c r="AS26">
        <f>IF(P26=0,0,COUNTIF('Transect 2_imgsummary'!E26:I26,"LEPTOR")*100/P26)</f>
        <v>0</v>
      </c>
      <c r="AT26">
        <f>IF(P26=0,0,COUNTIF('Transect 2_imgsummary'!E26:I26,"LEPTOS")*100/P26)</f>
        <v>0</v>
      </c>
      <c r="AU26">
        <f>IF(P26=0,0,COUNTIF('Transect 2_imgsummary'!E26:I26,"LOBOPH")*100/P26)</f>
        <v>0</v>
      </c>
      <c r="AV26">
        <f>IF(P26=0,0,COUNTIF('Transect 2_imgsummary'!E26:I26,"MERU")*100/P26)</f>
        <v>0</v>
      </c>
      <c r="AW26">
        <f>IF(P26=0,0,COUNTIF('Transect 2_imgsummary'!E26:I26,"MILL")*100/P26)</f>
        <v>0</v>
      </c>
      <c r="AX26">
        <f>IF(P26=0,0,COUNTIF('Transect 2_imgsummary'!E26:I26,"MONT")*100/P26)</f>
        <v>0</v>
      </c>
      <c r="AY26">
        <f>IF(P26=0,0,COUNTIF('Transect 2_imgsummary'!E26:I26,"MONTI")*100/P26)</f>
        <v>0</v>
      </c>
      <c r="AZ26">
        <f>IF(P26=0,0,COUNTIF('Transect 2_imgsummary'!E26:I26,"MYCED")*100/P26)</f>
        <v>0</v>
      </c>
      <c r="BA26">
        <f>IF(P26=0,0,COUNTIF('Transect 2_imgsummary'!E26:I26,"OULO")*100/P26)</f>
        <v>0</v>
      </c>
      <c r="BB26">
        <f>IF(P26=0,0,COUNTIF('Transect 2_imgsummary'!E26:I26,"OXYP")*100/P26)</f>
        <v>0</v>
      </c>
      <c r="BC26">
        <f>IF(P26=0,0,COUNTIF('Transect 2_imgsummary'!E26:I26,"PLSIA")*100/P26)</f>
        <v>0</v>
      </c>
      <c r="BD26">
        <f>IF(P26=0,0,COUNTIF('Transect 2_imgsummary'!E26:I26,"PACHY")*100/P26)</f>
        <v>0</v>
      </c>
      <c r="BE26">
        <f>IF(P26=0,0,COUNTIF('Transect 2_imgsummary'!E26:I26,"PAV")*100/P26)</f>
        <v>0</v>
      </c>
      <c r="BF26">
        <f>IF(P26=0,0,COUNTIF('Transect 2_imgsummary'!E26:I26,"PECT")*100/P26)</f>
        <v>0</v>
      </c>
      <c r="BG26">
        <f>IF(P26=0,0,COUNTIF('Transect 2_imgsummary'!E26:I26,"PHYSO")*100/P26)</f>
        <v>0</v>
      </c>
      <c r="BH26">
        <f>IF(P26=0,0,COUNTIF('Transect 2_imgsummary'!E26:I26,"PLAT")*100/P26)</f>
        <v>0</v>
      </c>
      <c r="BI26">
        <f>IF(P26=0,0,COUNTIF('Transect 2_imgsummary'!E26:I26,"PLERO")*100/P26)</f>
        <v>0</v>
      </c>
      <c r="BJ26">
        <f>IF(P26=0,0,COUNTIF('Transect 2_imgsummary'!E26:I26,"POC")*100/P26)</f>
        <v>0</v>
      </c>
      <c r="BK26" s="29">
        <f>IF(P26=0,0,COUNTIF('Transect 2_imgsummary'!E26:I26,"POR")*100/P26)</f>
        <v>20</v>
      </c>
      <c r="BL26">
        <f>IF(P26=0,0,COUNTIF('Transect 2_imgsummary'!E26:I26,"PORCYL")*100/P26)</f>
        <v>0</v>
      </c>
      <c r="BM26">
        <f>IF(P26=0,0,COUNTIF('Transect 2_imgsummary'!E26:I26,"PORMAS")*100/P26)</f>
        <v>0</v>
      </c>
      <c r="BN26">
        <f>IF(P26=0,0,COUNTIF('Transect 2_imgsummary'!E26:I26,"PORRUS")*100/P26)</f>
        <v>0</v>
      </c>
      <c r="BO26">
        <f>IF(P26=0,0,COUNTIF('Transect 2_imgsummary'!E26:I26,"PSAM")*100/P26)</f>
        <v>0</v>
      </c>
      <c r="BP26">
        <f>IF(P26=0,0,COUNTIF('Transect 2_imgsummary'!E26:I26,"SANDO")*100/P26)</f>
        <v>0</v>
      </c>
      <c r="BQ26">
        <f>IF(P26=0,0,COUNTIF('Transect 2_imgsummary'!E26:I26,"SCAP")*100/P26)</f>
        <v>0</v>
      </c>
      <c r="BR26">
        <f>IF(P26=0,0,COUNTIF('Transect 2_imgsummary'!E26:I26,"SERIA")*100/P26)</f>
        <v>0</v>
      </c>
      <c r="BS26">
        <f>IF(P26=0,0,COUNTIF('Transect 2_imgsummary'!E26:I26,"STYLC")*100/P26)</f>
        <v>0</v>
      </c>
      <c r="BT26">
        <f>IF(P26=0,0,COUNTIF('Transect 2_imgsummary'!E26:I26,"STYLO")*100/P26)</f>
        <v>0</v>
      </c>
      <c r="BU26">
        <f>IF(P26=0,0,COUNTIF('Transect 2_imgsummary'!E26:I26,"SYMP")*100/P26)</f>
        <v>0</v>
      </c>
      <c r="BV26">
        <f>IF(P26=0,0,COUNTIF('Transect 2_imgsummary'!E26:I26,"TURBIN")*100/P26)</f>
        <v>0</v>
      </c>
      <c r="BX26">
        <f>IF(P26=0,0,COUNTIF('Transect 2_imgsummary'!E26:I26,"ANEM")*100/P26)</f>
        <v>0</v>
      </c>
      <c r="BY26">
        <f>IF(P26=0,0,COUNTIF('Transect 2_imgsummary'!E26:I26,"ASC")*100/P26)</f>
        <v>0</v>
      </c>
      <c r="BZ26">
        <f>IF(P26=0,0,COUNTIF('Transect 2_imgsummary'!E26:I26,"CUPS")*100/P26)</f>
        <v>0</v>
      </c>
      <c r="CA26">
        <f>IF(P26=0,0,COUNTIF('Transect 2_imgsummary'!E26:I26,"DISCO")*100/P26)</f>
        <v>0</v>
      </c>
      <c r="CB26">
        <f>IF(P26=0,0,COUNTIF('Transect 2_imgsummary'!E26:I26,"DYS")*100/P26)</f>
        <v>0</v>
      </c>
      <c r="CC26">
        <f>IF(P26=0,0,COUNTIF('Transect 2_imgsummary'!E26:I26,"G")*100/P26)</f>
        <v>0</v>
      </c>
      <c r="CD26">
        <f>IF(P26=0,0,COUNTIF('Transect 2_imgsummary'!E26:I26,"NoIDINV")*100/P26)</f>
        <v>0</v>
      </c>
      <c r="CE26">
        <f>IF(P26=0,0,COUNTIF('Transect 2_imgsummary'!E26:I26,"OLV")*100/P26)</f>
        <v>0</v>
      </c>
      <c r="CF26">
        <f>IF(P26=0,0,COUNTIF('Transect 2_imgsummary'!E26:I26,"SC")*100/P26)</f>
        <v>0</v>
      </c>
      <c r="CG26">
        <f>IF(P26=0,0,COUNTIF('Transect 2_imgsummary'!E26:I26,"S")*100/P26)</f>
        <v>0</v>
      </c>
      <c r="CH26">
        <f>IF(P26=0,0,COUNTIF('Transect 2_imgsummary'!E26:I26,"TERPS")*100/P26)</f>
        <v>0</v>
      </c>
      <c r="CI26">
        <f>IF(P26=0,0,COUNTIF('Transect 2_imgsummary'!E26:I26,"Z")*100/P26)</f>
        <v>0</v>
      </c>
      <c r="CK26">
        <f>IF(P26=0,0,COUNTIF('Transect 2_imgsummary'!E26:I26,"ASP")*100/P26)</f>
        <v>0</v>
      </c>
      <c r="CL26">
        <f>IF(P26=0,0,COUNTIF('Transect 2_imgsummary'!E26:I26,"BG")*100/P26)</f>
        <v>0</v>
      </c>
      <c r="CM26">
        <f>IF(P26=0,0,COUNTIF('Transect 2_imgsummary'!E26:I26,"Bood")*100/P26)</f>
        <v>0</v>
      </c>
      <c r="CN26">
        <f>IF(P26=0,0,COUNTIF('Transect 2_imgsummary'!E26:I26,"BRYP")*100/P26)</f>
        <v>0</v>
      </c>
      <c r="CO26">
        <f>IF(P26=0,0,COUNTIF('Transect 2_imgsummary'!E26:I26,"CLP")*100/P26)</f>
        <v>0</v>
      </c>
      <c r="CP26">
        <f>IF(P26=0,0,COUNTIF('Transect 2_imgsummary'!E26:I26,"CHLDES")*100/P26)</f>
        <v>0</v>
      </c>
      <c r="CQ26">
        <f>IF(P26=0,0,COUNTIF('Transect 2_imgsummary'!E26:I26,"DYCTY")*100/P26)</f>
        <v>0</v>
      </c>
      <c r="CR26">
        <f>IF(P26=0,0,COUNTIF('Transect 2_imgsummary'!E26:I26,"DICT")*100/P26)</f>
        <v>0</v>
      </c>
      <c r="CS26">
        <f>IF(P26=0,0,COUNTIF('Transect 2_imgsummary'!E26:I26,"GLXU")*100/P26)</f>
        <v>0</v>
      </c>
      <c r="CT26">
        <f>IF(P26=0,0,COUNTIF('Transect 2_imgsummary'!E26:I26,"HALI")*100/P26)</f>
        <v>0</v>
      </c>
      <c r="CU26">
        <f>IF(P26=0,0,COUNTIF('Transect 2_imgsummary'!E26:I26,"LIAG")*100/P26)</f>
        <v>0</v>
      </c>
      <c r="CV26">
        <f>IF(P26=0,0,COUNTIF('Transect 2_imgsummary'!E26:I26,"LOBO")*100/P26)</f>
        <v>0</v>
      </c>
      <c r="CW26">
        <f>IF(P26=0,0,COUNTIF('Transect 2_imgsummary'!E26:I26,"MAST")*100/P26)</f>
        <v>0</v>
      </c>
      <c r="CX26">
        <f>IF(P26=0,0,COUNTIF('Transect 2_imgsummary'!E26:I26,"MICDTY")*100/P26)</f>
        <v>0</v>
      </c>
      <c r="CY26">
        <f>IF(P26=0,0,COUNTIF('Transect 2_imgsummary'!E26:I26,"NEOM")*100/P26)</f>
        <v>0</v>
      </c>
      <c r="CZ26">
        <f>IF(P26=0,0,COUNTIF('Transect 2_imgsummary'!E26:I26,"NOIDMAC")*100/P26)</f>
        <v>0</v>
      </c>
      <c r="DA26">
        <f>IF(P26=0,0,COUNTIF('Transect 2_imgsummary'!E26:I26,"PAD")*100/P26)</f>
        <v>0</v>
      </c>
      <c r="DB26">
        <f>IF(P26=0,0,COUNTIF('Transect 2_imgsummary'!E26:I26,"SARG")*100/P26)</f>
        <v>0</v>
      </c>
      <c r="DC26">
        <f>IF(P26=0,0,COUNTIF('Transect 2_imgsummary'!E26:I26,"SCHIZ")*100/P26)</f>
        <v>0</v>
      </c>
      <c r="DD26">
        <f>IF(P26=0,0,COUNTIF('Transect 2_imgsummary'!E26:I26,"TURB")*100/P26)</f>
        <v>0</v>
      </c>
      <c r="DE26">
        <f>IF(P26=0,0,COUNTIF('Transect 2_imgsummary'!E26:I26,"TYDM")*100/P26)</f>
        <v>0</v>
      </c>
      <c r="DG26">
        <f>IF(P26=0,0,COUNTIF('Transect 2_imgsummary'!E26:I26,"AMP")*100/P26)</f>
        <v>0</v>
      </c>
      <c r="DH26">
        <f>IF(P26=0,0,COUNTIF('Transect 2_imgsummary'!E26:I26,"BCA1")*100/P26)</f>
        <v>0</v>
      </c>
      <c r="DI26">
        <f>IF(P26=0,0,COUNTIF('Transect 2_imgsummary'!E26:I26,"JAN")*100/P26)</f>
        <v>0</v>
      </c>
      <c r="DK26">
        <f>IF(P26=0,0,COUNTIF('Transect 2_imgsummary'!E26:I26,"CCA1")*100/P26)</f>
        <v>0</v>
      </c>
      <c r="DM26">
        <f>IF(P26=0,0,COUNTIF('Transect 2_imgsummary'!E26:I26,"Sand")*100/P26)</f>
        <v>0</v>
      </c>
      <c r="DO26">
        <f>IF(P26=0,0,COUNTIF('Transect 2_imgsummary'!E26:I26,"FCA1")*100/P26)</f>
        <v>0</v>
      </c>
      <c r="DQ26">
        <f>IF(P26=0,0,COUNTIF('Transect 2_imgsummary'!E26:I26,"CHRYOBRN")*100/P26)</f>
        <v>0</v>
      </c>
      <c r="DS26">
        <f>IF(P26=0,0,COUNTIF('Transect 2_imgsummary'!E26:I26,"TURF")*100/P26)</f>
        <v>0</v>
      </c>
      <c r="DU26">
        <f>COUNTIF('Transect 2_imgsummary'!E26:I26,"Shadow")*100/5</f>
        <v>0</v>
      </c>
      <c r="DV26">
        <f>COUNTIF('Transect 2_imgsummary'!E26:I26,"Tape")*100/5</f>
        <v>0</v>
      </c>
      <c r="DW26">
        <f>COUNTIF('Transect 2_imgsummary'!E26:I26,"Wand")*100/5</f>
        <v>0</v>
      </c>
      <c r="DY26">
        <f>IF(P26=0,0,COUNTIF('Transect 2_imgsummary'!O26:S26,"BC")*100/P26)</f>
        <v>0</v>
      </c>
    </row>
    <row r="27" spans="1:129">
      <c r="A27">
        <v>25</v>
      </c>
      <c r="B27" t="s">
        <v>454</v>
      </c>
      <c r="F27" s="29">
        <f>IF(P27=0,0,COUNTIF('Transect 2_imgsummary'!J27:N27,"C")*100/P27)</f>
        <v>40</v>
      </c>
      <c r="G27">
        <f>IF(P27=0,0,COUNTIF('Transect 2_imgsummary'!J27:N27,"OI")*100/P27)</f>
        <v>0</v>
      </c>
      <c r="H27">
        <f>IF(P27=0,0,COUNTIF('Transect 2_imgsummary'!J27:N27,"MA")*100/P27)</f>
        <v>0</v>
      </c>
      <c r="I27">
        <f>IF(P27=0,0,COUNTIF('Transect 2_imgsummary'!J27:N27,"BCA")*100/P27)</f>
        <v>0</v>
      </c>
      <c r="J27" s="29">
        <f>IF(P27=0,0,COUNTIF('Transect 2_imgsummary'!J27:N27,"CCA")*100/P27)</f>
        <v>60</v>
      </c>
      <c r="K27">
        <f>IF(P27=0,0,COUNTIF('Transect 2_imgsummary'!J27:N27,"SD")*100/P27)</f>
        <v>0</v>
      </c>
      <c r="L27">
        <f>IF(P27=0,0,COUNTIF('Transect 2_imgsummary'!J27:N27,"FCA")*100/P27)</f>
        <v>0</v>
      </c>
      <c r="M27">
        <f>IF(P27=0,0,COUNTIF('Transect 2_imgsummary'!J27:N27,"CHRYS")*100/P27)</f>
        <v>0</v>
      </c>
      <c r="N27">
        <f>IF(P27=0,0,COUNTIF('Transect 2_imgsummary'!J27:N27,"T")*100/P27)</f>
        <v>0</v>
      </c>
      <c r="O27">
        <f>IF(P27=0,0,COUNTIF('Transect 2_imgsummary'!J27:N27,"TWS")*100/P27)</f>
        <v>0</v>
      </c>
      <c r="P27">
        <f>5-COUNTIF('Transect 2_imgsummary'!J27:N27,"TWS")</f>
        <v>5</v>
      </c>
      <c r="S27">
        <f>IF(P27=0,0,COUNTIF('Transect 2_imgsummary'!E27:I27,"ACAN")*100/P27)</f>
        <v>0</v>
      </c>
      <c r="T27">
        <f>IF(P27=0,0,COUNTIF('Transect 2_imgsummary'!E27:I27,"ACROP")*100/P27)</f>
        <v>0</v>
      </c>
      <c r="U27">
        <f>IF(P27=0,0,COUNTIF('Transect 2_imgsummary'!E27:I27,"ACROPARB")*100/P27)</f>
        <v>0</v>
      </c>
      <c r="V27">
        <f>IF(P27=0,0,COUNTIF('Transect 2_imgsummary'!E27:I27,"ACROST")*100/P27)</f>
        <v>0</v>
      </c>
      <c r="W27" s="29">
        <f>IF(P27=0,0,COUNTIF('Transect 2_imgsummary'!E27:I27,"ACROTBL")*100/P27)</f>
        <v>20</v>
      </c>
      <c r="X27">
        <f>IF(P27=0,0,COUNTIF('Transect 2_imgsummary'!E27:I27,"ASTRP")*100/P27)</f>
        <v>0</v>
      </c>
      <c r="Y27">
        <f>IF(P27=0,0,COUNTIF('Transect 2_imgsummary'!E27:I27,"CAUL")*100/P27)</f>
        <v>0</v>
      </c>
      <c r="Z27">
        <f>IF(P27=0,0,COUNTIF('Transect 2_imgsummary'!E27:I27,"COSC")*100/P27)</f>
        <v>0</v>
      </c>
      <c r="AA27">
        <f>IF(P27=0,0,COUNTIF('Transect 2_imgsummary'!E27:I27,"CTEN")*100/P27)</f>
        <v>0</v>
      </c>
      <c r="AB27">
        <f>IF(P27=0,0,COUNTIF('Transect 2_imgsummary'!E27:I27,"CYPH")*100/P27)</f>
        <v>0</v>
      </c>
      <c r="AC27">
        <f>IF(P27=0,0,COUNTIF('Transect 2_imgsummary'!E27:I27,"DIPLO")*100/P27)</f>
        <v>0</v>
      </c>
      <c r="AD27" s="29">
        <f>IF(P27=0,0,COUNTIF('Transect 2_imgsummary'!E27:I27,"ECHPO")*100/P27)</f>
        <v>20</v>
      </c>
      <c r="AE27">
        <f>IF(P27=0,0,COUNTIF('Transect 2_imgsummary'!E27:I27,"ECHPHY")*100/P27)</f>
        <v>0</v>
      </c>
      <c r="AF27">
        <f>IF(P27=0,0,COUNTIF('Transect 2_imgsummary'!E27:I27,"EUPH")*100/P27)</f>
        <v>0</v>
      </c>
      <c r="AG27">
        <f>IF(P27=0,0,COUNTIF('Transect 2_imgsummary'!E27:I27,"FAV")*100/P27)</f>
        <v>0</v>
      </c>
      <c r="AH27">
        <f>IF(P27=0,0,COUNTIF('Transect 2_imgsummary'!E27:I27,"FAVT")*100/P27)</f>
        <v>0</v>
      </c>
      <c r="AI27">
        <f>IF(P27=0,0,COUNTIF('Transect 2_imgsummary'!E27:I27,"FUNG")*100/P27)</f>
        <v>0</v>
      </c>
      <c r="AJ27">
        <f>IF(P27=0,0,COUNTIF('Transect 2_imgsummary'!E27:I27,"GAL")*100/P27)</f>
        <v>0</v>
      </c>
      <c r="AK27">
        <f>IF(P27=0,0,COUNTIF('Transect 2_imgsummary'!E27:I27,"GARD")*100/P27)</f>
        <v>0</v>
      </c>
      <c r="AL27">
        <f>IF(P27=0,0,COUNTIF('Transect 2_imgsummary'!E27:I27,"GON")*100/P27)</f>
        <v>0</v>
      </c>
      <c r="AM27">
        <f>IF(P27=0,0,COUNTIF('Transect 2_imgsummary'!E27:I27,"GONIO")*100/P27)</f>
        <v>0</v>
      </c>
      <c r="AN27">
        <f>IF(P27=0,0,COUNTIF('Transect 2_imgsummary'!E27:I27,"HELIO")*100/P27)</f>
        <v>0</v>
      </c>
      <c r="AO27">
        <f>IF(P27=0,0,COUNTIF('Transect 2_imgsummary'!E27:I27,"HERP")*100/P27)</f>
        <v>0</v>
      </c>
      <c r="AP27">
        <f>IF(P27=0,0,COUNTIF('Transect 2_imgsummary'!E27:I27,"HYD")*100/P27)</f>
        <v>0</v>
      </c>
      <c r="AQ27">
        <f>IF(P27=0,0,COUNTIF('Transect 2_imgsummary'!E27:I27,"ISOP")*100/P27)</f>
        <v>0</v>
      </c>
      <c r="AR27">
        <f>IF(P27=0,0,COUNTIF('Transect 2_imgsummary'!E27:I27,"LEPT")*100/P27)</f>
        <v>0</v>
      </c>
      <c r="AS27">
        <f>IF(P27=0,0,COUNTIF('Transect 2_imgsummary'!E27:I27,"LEPTOR")*100/P27)</f>
        <v>0</v>
      </c>
      <c r="AT27">
        <f>IF(P27=0,0,COUNTIF('Transect 2_imgsummary'!E27:I27,"LEPTOS")*100/P27)</f>
        <v>0</v>
      </c>
      <c r="AU27">
        <f>IF(P27=0,0,COUNTIF('Transect 2_imgsummary'!E27:I27,"LOBOPH")*100/P27)</f>
        <v>0</v>
      </c>
      <c r="AV27">
        <f>IF(P27=0,0,COUNTIF('Transect 2_imgsummary'!E27:I27,"MERU")*100/P27)</f>
        <v>0</v>
      </c>
      <c r="AW27">
        <f>IF(P27=0,0,COUNTIF('Transect 2_imgsummary'!E27:I27,"MILL")*100/P27)</f>
        <v>0</v>
      </c>
      <c r="AX27">
        <f>IF(P27=0,0,COUNTIF('Transect 2_imgsummary'!E27:I27,"MONT")*100/P27)</f>
        <v>0</v>
      </c>
      <c r="AY27">
        <f>IF(P27=0,0,COUNTIF('Transect 2_imgsummary'!E27:I27,"MONTI")*100/P27)</f>
        <v>0</v>
      </c>
      <c r="AZ27">
        <f>IF(P27=0,0,COUNTIF('Transect 2_imgsummary'!E27:I27,"MYCED")*100/P27)</f>
        <v>0</v>
      </c>
      <c r="BA27">
        <f>IF(P27=0,0,COUNTIF('Transect 2_imgsummary'!E27:I27,"OULO")*100/P27)</f>
        <v>0</v>
      </c>
      <c r="BB27">
        <f>IF(P27=0,0,COUNTIF('Transect 2_imgsummary'!E27:I27,"OXYP")*100/P27)</f>
        <v>0</v>
      </c>
      <c r="BC27">
        <f>IF(P27=0,0,COUNTIF('Transect 2_imgsummary'!E27:I27,"PLSIA")*100/P27)</f>
        <v>0</v>
      </c>
      <c r="BD27">
        <f>IF(P27=0,0,COUNTIF('Transect 2_imgsummary'!E27:I27,"PACHY")*100/P27)</f>
        <v>0</v>
      </c>
      <c r="BE27">
        <f>IF(P27=0,0,COUNTIF('Transect 2_imgsummary'!E27:I27,"PAV")*100/P27)</f>
        <v>0</v>
      </c>
      <c r="BF27">
        <f>IF(P27=0,0,COUNTIF('Transect 2_imgsummary'!E27:I27,"PECT")*100/P27)</f>
        <v>0</v>
      </c>
      <c r="BG27">
        <f>IF(P27=0,0,COUNTIF('Transect 2_imgsummary'!E27:I27,"PHYSO")*100/P27)</f>
        <v>0</v>
      </c>
      <c r="BH27">
        <f>IF(P27=0,0,COUNTIF('Transect 2_imgsummary'!E27:I27,"PLAT")*100/P27)</f>
        <v>0</v>
      </c>
      <c r="BI27">
        <f>IF(P27=0,0,COUNTIF('Transect 2_imgsummary'!E27:I27,"PLERO")*100/P27)</f>
        <v>0</v>
      </c>
      <c r="BJ27">
        <f>IF(P27=0,0,COUNTIF('Transect 2_imgsummary'!E27:I27,"POC")*100/P27)</f>
        <v>0</v>
      </c>
      <c r="BK27">
        <f>IF(P27=0,0,COUNTIF('Transect 2_imgsummary'!E27:I27,"POR")*100/P27)</f>
        <v>0</v>
      </c>
      <c r="BL27">
        <f>IF(P27=0,0,COUNTIF('Transect 2_imgsummary'!E27:I27,"PORCYL")*100/P27)</f>
        <v>0</v>
      </c>
      <c r="BM27">
        <f>IF(P27=0,0,COUNTIF('Transect 2_imgsummary'!E27:I27,"PORMAS")*100/P27)</f>
        <v>0</v>
      </c>
      <c r="BN27">
        <f>IF(P27=0,0,COUNTIF('Transect 2_imgsummary'!E27:I27,"PORRUS")*100/P27)</f>
        <v>0</v>
      </c>
      <c r="BO27">
        <f>IF(P27=0,0,COUNTIF('Transect 2_imgsummary'!E27:I27,"PSAM")*100/P27)</f>
        <v>0</v>
      </c>
      <c r="BP27">
        <f>IF(P27=0,0,COUNTIF('Transect 2_imgsummary'!E27:I27,"SANDO")*100/P27)</f>
        <v>0</v>
      </c>
      <c r="BQ27">
        <f>IF(P27=0,0,COUNTIF('Transect 2_imgsummary'!E27:I27,"SCAP")*100/P27)</f>
        <v>0</v>
      </c>
      <c r="BR27">
        <f>IF(P27=0,0,COUNTIF('Transect 2_imgsummary'!E27:I27,"SERIA")*100/P27)</f>
        <v>0</v>
      </c>
      <c r="BS27">
        <f>IF(P27=0,0,COUNTIF('Transect 2_imgsummary'!E27:I27,"STYLC")*100/P27)</f>
        <v>0</v>
      </c>
      <c r="BT27">
        <f>IF(P27=0,0,COUNTIF('Transect 2_imgsummary'!E27:I27,"STYLO")*100/P27)</f>
        <v>0</v>
      </c>
      <c r="BU27">
        <f>IF(P27=0,0,COUNTIF('Transect 2_imgsummary'!E27:I27,"SYMP")*100/P27)</f>
        <v>0</v>
      </c>
      <c r="BV27">
        <f>IF(P27=0,0,COUNTIF('Transect 2_imgsummary'!E27:I27,"TURBIN")*100/P27)</f>
        <v>0</v>
      </c>
      <c r="BX27">
        <f>IF(P27=0,0,COUNTIF('Transect 2_imgsummary'!E27:I27,"ANEM")*100/P27)</f>
        <v>0</v>
      </c>
      <c r="BY27">
        <f>IF(P27=0,0,COUNTIF('Transect 2_imgsummary'!E27:I27,"ASC")*100/P27)</f>
        <v>0</v>
      </c>
      <c r="BZ27">
        <f>IF(P27=0,0,COUNTIF('Transect 2_imgsummary'!E27:I27,"CUPS")*100/P27)</f>
        <v>0</v>
      </c>
      <c r="CA27">
        <f>IF(P27=0,0,COUNTIF('Transect 2_imgsummary'!E27:I27,"DISCO")*100/P27)</f>
        <v>0</v>
      </c>
      <c r="CB27">
        <f>IF(P27=0,0,COUNTIF('Transect 2_imgsummary'!E27:I27,"DYS")*100/P27)</f>
        <v>0</v>
      </c>
      <c r="CC27">
        <f>IF(P27=0,0,COUNTIF('Transect 2_imgsummary'!E27:I27,"G")*100/P27)</f>
        <v>0</v>
      </c>
      <c r="CD27">
        <f>IF(P27=0,0,COUNTIF('Transect 2_imgsummary'!E27:I27,"NoIDINV")*100/P27)</f>
        <v>0</v>
      </c>
      <c r="CE27">
        <f>IF(P27=0,0,COUNTIF('Transect 2_imgsummary'!E27:I27,"OLV")*100/P27)</f>
        <v>0</v>
      </c>
      <c r="CF27">
        <f>IF(P27=0,0,COUNTIF('Transect 2_imgsummary'!E27:I27,"SC")*100/P27)</f>
        <v>0</v>
      </c>
      <c r="CG27">
        <f>IF(P27=0,0,COUNTIF('Transect 2_imgsummary'!E27:I27,"S")*100/P27)</f>
        <v>0</v>
      </c>
      <c r="CH27">
        <f>IF(P27=0,0,COUNTIF('Transect 2_imgsummary'!E27:I27,"TERPS")*100/P27)</f>
        <v>0</v>
      </c>
      <c r="CI27">
        <f>IF(P27=0,0,COUNTIF('Transect 2_imgsummary'!E27:I27,"Z")*100/P27)</f>
        <v>0</v>
      </c>
      <c r="CK27">
        <f>IF(P27=0,0,COUNTIF('Transect 2_imgsummary'!E27:I27,"ASP")*100/P27)</f>
        <v>0</v>
      </c>
      <c r="CL27">
        <f>IF(P27=0,0,COUNTIF('Transect 2_imgsummary'!E27:I27,"BG")*100/P27)</f>
        <v>0</v>
      </c>
      <c r="CM27">
        <f>IF(P27=0,0,COUNTIF('Transect 2_imgsummary'!E27:I27,"Bood")*100/P27)</f>
        <v>0</v>
      </c>
      <c r="CN27">
        <f>IF(P27=0,0,COUNTIF('Transect 2_imgsummary'!E27:I27,"BRYP")*100/P27)</f>
        <v>0</v>
      </c>
      <c r="CO27">
        <f>IF(P27=0,0,COUNTIF('Transect 2_imgsummary'!E27:I27,"CLP")*100/P27)</f>
        <v>0</v>
      </c>
      <c r="CP27">
        <f>IF(P27=0,0,COUNTIF('Transect 2_imgsummary'!E27:I27,"CHLDES")*100/P27)</f>
        <v>0</v>
      </c>
      <c r="CQ27">
        <f>IF(P27=0,0,COUNTIF('Transect 2_imgsummary'!E27:I27,"DYCTY")*100/P27)</f>
        <v>0</v>
      </c>
      <c r="CR27">
        <f>IF(P27=0,0,COUNTIF('Transect 2_imgsummary'!E27:I27,"DICT")*100/P27)</f>
        <v>0</v>
      </c>
      <c r="CS27">
        <f>IF(P27=0,0,COUNTIF('Transect 2_imgsummary'!E27:I27,"GLXU")*100/P27)</f>
        <v>0</v>
      </c>
      <c r="CT27">
        <f>IF(P27=0,0,COUNTIF('Transect 2_imgsummary'!E27:I27,"HALI")*100/P27)</f>
        <v>0</v>
      </c>
      <c r="CU27">
        <f>IF(P27=0,0,COUNTIF('Transect 2_imgsummary'!E27:I27,"LIAG")*100/P27)</f>
        <v>0</v>
      </c>
      <c r="CV27">
        <f>IF(P27=0,0,COUNTIF('Transect 2_imgsummary'!E27:I27,"LOBO")*100/P27)</f>
        <v>0</v>
      </c>
      <c r="CW27">
        <f>IF(P27=0,0,COUNTIF('Transect 2_imgsummary'!E27:I27,"MAST")*100/P27)</f>
        <v>0</v>
      </c>
      <c r="CX27">
        <f>IF(P27=0,0,COUNTIF('Transect 2_imgsummary'!E27:I27,"MICDTY")*100/P27)</f>
        <v>0</v>
      </c>
      <c r="CY27">
        <f>IF(P27=0,0,COUNTIF('Transect 2_imgsummary'!E27:I27,"NEOM")*100/P27)</f>
        <v>0</v>
      </c>
      <c r="CZ27">
        <f>IF(P27=0,0,COUNTIF('Transect 2_imgsummary'!E27:I27,"NOIDMAC")*100/P27)</f>
        <v>0</v>
      </c>
      <c r="DA27">
        <f>IF(P27=0,0,COUNTIF('Transect 2_imgsummary'!E27:I27,"PAD")*100/P27)</f>
        <v>0</v>
      </c>
      <c r="DB27">
        <f>IF(P27=0,0,COUNTIF('Transect 2_imgsummary'!E27:I27,"SARG")*100/P27)</f>
        <v>0</v>
      </c>
      <c r="DC27">
        <f>IF(P27=0,0,COUNTIF('Transect 2_imgsummary'!E27:I27,"SCHIZ")*100/P27)</f>
        <v>0</v>
      </c>
      <c r="DD27">
        <f>IF(P27=0,0,COUNTIF('Transect 2_imgsummary'!E27:I27,"TURB")*100/P27)</f>
        <v>0</v>
      </c>
      <c r="DE27">
        <f>IF(P27=0,0,COUNTIF('Transect 2_imgsummary'!E27:I27,"TYDM")*100/P27)</f>
        <v>0</v>
      </c>
      <c r="DG27">
        <f>IF(P27=0,0,COUNTIF('Transect 2_imgsummary'!E27:I27,"AMP")*100/P27)</f>
        <v>0</v>
      </c>
      <c r="DH27">
        <f>IF(P27=0,0,COUNTIF('Transect 2_imgsummary'!E27:I27,"BCA1")*100/P27)</f>
        <v>0</v>
      </c>
      <c r="DI27">
        <f>IF(P27=0,0,COUNTIF('Transect 2_imgsummary'!E27:I27,"JAN")*100/P27)</f>
        <v>0</v>
      </c>
      <c r="DK27" s="29">
        <f>IF(P27=0,0,COUNTIF('Transect 2_imgsummary'!E27:I27,"CCA1")*100/P27)</f>
        <v>60</v>
      </c>
      <c r="DM27">
        <f>IF(P27=0,0,COUNTIF('Transect 2_imgsummary'!E27:I27,"Sand")*100/P27)</f>
        <v>0</v>
      </c>
      <c r="DO27">
        <f>IF(P27=0,0,COUNTIF('Transect 2_imgsummary'!E27:I27,"FCA1")*100/P27)</f>
        <v>0</v>
      </c>
      <c r="DQ27">
        <f>IF(P27=0,0,COUNTIF('Transect 2_imgsummary'!E27:I27,"CHRYOBRN")*100/P27)</f>
        <v>0</v>
      </c>
      <c r="DS27">
        <f>IF(P27=0,0,COUNTIF('Transect 2_imgsummary'!E27:I27,"TURF")*100/P27)</f>
        <v>0</v>
      </c>
      <c r="DU27">
        <f>COUNTIF('Transect 2_imgsummary'!E27:I27,"Shadow")*100/5</f>
        <v>0</v>
      </c>
      <c r="DV27">
        <f>COUNTIF('Transect 2_imgsummary'!E27:I27,"Tape")*100/5</f>
        <v>0</v>
      </c>
      <c r="DW27">
        <f>COUNTIF('Transect 2_imgsummary'!E27:I27,"Wand")*100/5</f>
        <v>0</v>
      </c>
      <c r="DY27">
        <f>IF(P27=0,0,COUNTIF('Transect 2_imgsummary'!O27:S27,"BC")*100/P27)</f>
        <v>0</v>
      </c>
    </row>
    <row r="28" spans="1:129">
      <c r="A28">
        <v>26</v>
      </c>
      <c r="B28" t="s">
        <v>455</v>
      </c>
      <c r="F28" s="29">
        <f>IF(P28=0,0,COUNTIF('Transect 2_imgsummary'!J28:N28,"C")*100/P28)</f>
        <v>40</v>
      </c>
      <c r="G28">
        <f>IF(P28=0,0,COUNTIF('Transect 2_imgsummary'!J28:N28,"OI")*100/P28)</f>
        <v>0</v>
      </c>
      <c r="H28">
        <f>IF(P28=0,0,COUNTIF('Transect 2_imgsummary'!J28:N28,"MA")*100/P28)</f>
        <v>0</v>
      </c>
      <c r="I28">
        <f>IF(P28=0,0,COUNTIF('Transect 2_imgsummary'!J28:N28,"BCA")*100/P28)</f>
        <v>0</v>
      </c>
      <c r="J28" s="29">
        <f>IF(P28=0,0,COUNTIF('Transect 2_imgsummary'!J28:N28,"CCA")*100/P28)</f>
        <v>60</v>
      </c>
      <c r="K28">
        <f>IF(P28=0,0,COUNTIF('Transect 2_imgsummary'!J28:N28,"SD")*100/P28)</f>
        <v>0</v>
      </c>
      <c r="L28">
        <f>IF(P28=0,0,COUNTIF('Transect 2_imgsummary'!J28:N28,"FCA")*100/P28)</f>
        <v>0</v>
      </c>
      <c r="M28">
        <f>IF(P28=0,0,COUNTIF('Transect 2_imgsummary'!J28:N28,"CHRYS")*100/P28)</f>
        <v>0</v>
      </c>
      <c r="N28">
        <f>IF(P28=0,0,COUNTIF('Transect 2_imgsummary'!J28:N28,"T")*100/P28)</f>
        <v>0</v>
      </c>
      <c r="O28">
        <f>IF(P28=0,0,COUNTIF('Transect 2_imgsummary'!J28:N28,"TWS")*100/P28)</f>
        <v>0</v>
      </c>
      <c r="P28">
        <f>5-COUNTIF('Transect 2_imgsummary'!J28:N28,"TWS")</f>
        <v>5</v>
      </c>
      <c r="S28">
        <f>IF(P28=0,0,COUNTIF('Transect 2_imgsummary'!E28:I28,"ACAN")*100/P28)</f>
        <v>0</v>
      </c>
      <c r="T28">
        <f>IF(P28=0,0,COUNTIF('Transect 2_imgsummary'!E28:I28,"ACROP")*100/P28)</f>
        <v>0</v>
      </c>
      <c r="U28">
        <f>IF(P28=0,0,COUNTIF('Transect 2_imgsummary'!E28:I28,"ACROPARB")*100/P28)</f>
        <v>0</v>
      </c>
      <c r="V28">
        <f>IF(P28=0,0,COUNTIF('Transect 2_imgsummary'!E28:I28,"ACROST")*100/P28)</f>
        <v>0</v>
      </c>
      <c r="W28">
        <f>IF(P28=0,0,COUNTIF('Transect 2_imgsummary'!E28:I28,"ACROTBL")*100/P28)</f>
        <v>0</v>
      </c>
      <c r="X28">
        <f>IF(P28=0,0,COUNTIF('Transect 2_imgsummary'!E28:I28,"ASTRP")*100/P28)</f>
        <v>0</v>
      </c>
      <c r="Y28">
        <f>IF(P28=0,0,COUNTIF('Transect 2_imgsummary'!E28:I28,"CAUL")*100/P28)</f>
        <v>0</v>
      </c>
      <c r="Z28">
        <f>IF(P28=0,0,COUNTIF('Transect 2_imgsummary'!E28:I28,"COSC")*100/P28)</f>
        <v>0</v>
      </c>
      <c r="AA28">
        <f>IF(P28=0,0,COUNTIF('Transect 2_imgsummary'!E28:I28,"CTEN")*100/P28)</f>
        <v>0</v>
      </c>
      <c r="AB28">
        <f>IF(P28=0,0,COUNTIF('Transect 2_imgsummary'!E28:I28,"CYPH")*100/P28)</f>
        <v>0</v>
      </c>
      <c r="AC28">
        <f>IF(P28=0,0,COUNTIF('Transect 2_imgsummary'!E28:I28,"DIPLO")*100/P28)</f>
        <v>0</v>
      </c>
      <c r="AD28">
        <f>IF(P28=0,0,COUNTIF('Transect 2_imgsummary'!E28:I28,"ECHPO")*100/P28)</f>
        <v>0</v>
      </c>
      <c r="AE28">
        <f>IF(P28=0,0,COUNTIF('Transect 2_imgsummary'!E28:I28,"ECHPHY")*100/P28)</f>
        <v>0</v>
      </c>
      <c r="AF28">
        <f>IF(P28=0,0,COUNTIF('Transect 2_imgsummary'!E28:I28,"EUPH")*100/P28)</f>
        <v>0</v>
      </c>
      <c r="AG28">
        <f>IF(P28=0,0,COUNTIF('Transect 2_imgsummary'!E28:I28,"FAV")*100/P28)</f>
        <v>0</v>
      </c>
      <c r="AH28">
        <f>IF(P28=0,0,COUNTIF('Transect 2_imgsummary'!E28:I28,"FAVT")*100/P28)</f>
        <v>0</v>
      </c>
      <c r="AI28">
        <f>IF(P28=0,0,COUNTIF('Transect 2_imgsummary'!E28:I28,"FUNG")*100/P28)</f>
        <v>0</v>
      </c>
      <c r="AJ28">
        <f>IF(P28=0,0,COUNTIF('Transect 2_imgsummary'!E28:I28,"GAL")*100/P28)</f>
        <v>0</v>
      </c>
      <c r="AK28">
        <f>IF(P28=0,0,COUNTIF('Transect 2_imgsummary'!E28:I28,"GARD")*100/P28)</f>
        <v>0</v>
      </c>
      <c r="AL28" s="29">
        <f>IF(P28=0,0,COUNTIF('Transect 2_imgsummary'!E28:I28,"GON")*100/P28)</f>
        <v>40</v>
      </c>
      <c r="AM28">
        <f>IF(P28=0,0,COUNTIF('Transect 2_imgsummary'!E28:I28,"GONIO")*100/P28)</f>
        <v>0</v>
      </c>
      <c r="AN28">
        <f>IF(P28=0,0,COUNTIF('Transect 2_imgsummary'!E28:I28,"HELIO")*100/P28)</f>
        <v>0</v>
      </c>
      <c r="AO28">
        <f>IF(P28=0,0,COUNTIF('Transect 2_imgsummary'!E28:I28,"HERP")*100/P28)</f>
        <v>0</v>
      </c>
      <c r="AP28">
        <f>IF(P28=0,0,COUNTIF('Transect 2_imgsummary'!E28:I28,"HYD")*100/P28)</f>
        <v>0</v>
      </c>
      <c r="AQ28">
        <f>IF(P28=0,0,COUNTIF('Transect 2_imgsummary'!E28:I28,"ISOP")*100/P28)</f>
        <v>0</v>
      </c>
      <c r="AR28">
        <f>IF(P28=0,0,COUNTIF('Transect 2_imgsummary'!E28:I28,"LEPT")*100/P28)</f>
        <v>0</v>
      </c>
      <c r="AS28">
        <f>IF(P28=0,0,COUNTIF('Transect 2_imgsummary'!E28:I28,"LEPTOR")*100/P28)</f>
        <v>0</v>
      </c>
      <c r="AT28">
        <f>IF(P28=0,0,COUNTIF('Transect 2_imgsummary'!E28:I28,"LEPTOS")*100/P28)</f>
        <v>0</v>
      </c>
      <c r="AU28">
        <f>IF(P28=0,0,COUNTIF('Transect 2_imgsummary'!E28:I28,"LOBOPH")*100/P28)</f>
        <v>0</v>
      </c>
      <c r="AV28">
        <f>IF(P28=0,0,COUNTIF('Transect 2_imgsummary'!E28:I28,"MERU")*100/P28)</f>
        <v>0</v>
      </c>
      <c r="AW28">
        <f>IF(P28=0,0,COUNTIF('Transect 2_imgsummary'!E28:I28,"MILL")*100/P28)</f>
        <v>0</v>
      </c>
      <c r="AX28">
        <f>IF(P28=0,0,COUNTIF('Transect 2_imgsummary'!E28:I28,"MONT")*100/P28)</f>
        <v>0</v>
      </c>
      <c r="AY28">
        <f>IF(P28=0,0,COUNTIF('Transect 2_imgsummary'!E28:I28,"MONTI")*100/P28)</f>
        <v>0</v>
      </c>
      <c r="AZ28">
        <f>IF(P28=0,0,COUNTIF('Transect 2_imgsummary'!E28:I28,"MYCED")*100/P28)</f>
        <v>0</v>
      </c>
      <c r="BA28">
        <f>IF(P28=0,0,COUNTIF('Transect 2_imgsummary'!E28:I28,"OULO")*100/P28)</f>
        <v>0</v>
      </c>
      <c r="BB28">
        <f>IF(P28=0,0,COUNTIF('Transect 2_imgsummary'!E28:I28,"OXYP")*100/P28)</f>
        <v>0</v>
      </c>
      <c r="BC28">
        <f>IF(P28=0,0,COUNTIF('Transect 2_imgsummary'!E28:I28,"PLSIA")*100/P28)</f>
        <v>0</v>
      </c>
      <c r="BD28">
        <f>IF(P28=0,0,COUNTIF('Transect 2_imgsummary'!E28:I28,"PACHY")*100/P28)</f>
        <v>0</v>
      </c>
      <c r="BE28">
        <f>IF(P28=0,0,COUNTIF('Transect 2_imgsummary'!E28:I28,"PAV")*100/P28)</f>
        <v>0</v>
      </c>
      <c r="BF28">
        <f>IF(P28=0,0,COUNTIF('Transect 2_imgsummary'!E28:I28,"PECT")*100/P28)</f>
        <v>0</v>
      </c>
      <c r="BG28">
        <f>IF(P28=0,0,COUNTIF('Transect 2_imgsummary'!E28:I28,"PHYSO")*100/P28)</f>
        <v>0</v>
      </c>
      <c r="BH28">
        <f>IF(P28=0,0,COUNTIF('Transect 2_imgsummary'!E28:I28,"PLAT")*100/P28)</f>
        <v>0</v>
      </c>
      <c r="BI28">
        <f>IF(P28=0,0,COUNTIF('Transect 2_imgsummary'!E28:I28,"PLERO")*100/P28)</f>
        <v>0</v>
      </c>
      <c r="BJ28">
        <f>IF(P28=0,0,COUNTIF('Transect 2_imgsummary'!E28:I28,"POC")*100/P28)</f>
        <v>0</v>
      </c>
      <c r="BK28">
        <f>IF(P28=0,0,COUNTIF('Transect 2_imgsummary'!E28:I28,"POR")*100/P28)</f>
        <v>0</v>
      </c>
      <c r="BL28">
        <f>IF(P28=0,0,COUNTIF('Transect 2_imgsummary'!E28:I28,"PORCYL")*100/P28)</f>
        <v>0</v>
      </c>
      <c r="BM28">
        <f>IF(P28=0,0,COUNTIF('Transect 2_imgsummary'!E28:I28,"PORMAS")*100/P28)</f>
        <v>0</v>
      </c>
      <c r="BN28">
        <f>IF(P28=0,0,COUNTIF('Transect 2_imgsummary'!E28:I28,"PORRUS")*100/P28)</f>
        <v>0</v>
      </c>
      <c r="BO28">
        <f>IF(P28=0,0,COUNTIF('Transect 2_imgsummary'!E28:I28,"PSAM")*100/P28)</f>
        <v>0</v>
      </c>
      <c r="BP28">
        <f>IF(P28=0,0,COUNTIF('Transect 2_imgsummary'!E28:I28,"SANDO")*100/P28)</f>
        <v>0</v>
      </c>
      <c r="BQ28">
        <f>IF(P28=0,0,COUNTIF('Transect 2_imgsummary'!E28:I28,"SCAP")*100/P28)</f>
        <v>0</v>
      </c>
      <c r="BR28">
        <f>IF(P28=0,0,COUNTIF('Transect 2_imgsummary'!E28:I28,"SERIA")*100/P28)</f>
        <v>0</v>
      </c>
      <c r="BS28">
        <f>IF(P28=0,0,COUNTIF('Transect 2_imgsummary'!E28:I28,"STYLC")*100/P28)</f>
        <v>0</v>
      </c>
      <c r="BT28">
        <f>IF(P28=0,0,COUNTIF('Transect 2_imgsummary'!E28:I28,"STYLO")*100/P28)</f>
        <v>0</v>
      </c>
      <c r="BU28">
        <f>IF(P28=0,0,COUNTIF('Transect 2_imgsummary'!E28:I28,"SYMP")*100/P28)</f>
        <v>0</v>
      </c>
      <c r="BV28">
        <f>IF(P28=0,0,COUNTIF('Transect 2_imgsummary'!E28:I28,"TURBIN")*100/P28)</f>
        <v>0</v>
      </c>
      <c r="BX28">
        <f>IF(P28=0,0,COUNTIF('Transect 2_imgsummary'!E28:I28,"ANEM")*100/P28)</f>
        <v>0</v>
      </c>
      <c r="BY28">
        <f>IF(P28=0,0,COUNTIF('Transect 2_imgsummary'!E28:I28,"ASC")*100/P28)</f>
        <v>0</v>
      </c>
      <c r="BZ28">
        <f>IF(P28=0,0,COUNTIF('Transect 2_imgsummary'!E28:I28,"CUPS")*100/P28)</f>
        <v>0</v>
      </c>
      <c r="CA28">
        <f>IF(P28=0,0,COUNTIF('Transect 2_imgsummary'!E28:I28,"DISCO")*100/P28)</f>
        <v>0</v>
      </c>
      <c r="CB28">
        <f>IF(P28=0,0,COUNTIF('Transect 2_imgsummary'!E28:I28,"DYS")*100/P28)</f>
        <v>0</v>
      </c>
      <c r="CC28">
        <f>IF(P28=0,0,COUNTIF('Transect 2_imgsummary'!E28:I28,"G")*100/P28)</f>
        <v>0</v>
      </c>
      <c r="CD28">
        <f>IF(P28=0,0,COUNTIF('Transect 2_imgsummary'!E28:I28,"NoIDINV")*100/P28)</f>
        <v>0</v>
      </c>
      <c r="CE28">
        <f>IF(P28=0,0,COUNTIF('Transect 2_imgsummary'!E28:I28,"OLV")*100/P28)</f>
        <v>0</v>
      </c>
      <c r="CF28">
        <f>IF(P28=0,0,COUNTIF('Transect 2_imgsummary'!E28:I28,"SC")*100/P28)</f>
        <v>0</v>
      </c>
      <c r="CG28">
        <f>IF(P28=0,0,COUNTIF('Transect 2_imgsummary'!E28:I28,"S")*100/P28)</f>
        <v>0</v>
      </c>
      <c r="CH28">
        <f>IF(P28=0,0,COUNTIF('Transect 2_imgsummary'!E28:I28,"TERPS")*100/P28)</f>
        <v>0</v>
      </c>
      <c r="CI28">
        <f>IF(P28=0,0,COUNTIF('Transect 2_imgsummary'!E28:I28,"Z")*100/P28)</f>
        <v>0</v>
      </c>
      <c r="CK28">
        <f>IF(P28=0,0,COUNTIF('Transect 2_imgsummary'!E28:I28,"ASP")*100/P28)</f>
        <v>0</v>
      </c>
      <c r="CL28">
        <f>IF(P28=0,0,COUNTIF('Transect 2_imgsummary'!E28:I28,"BG")*100/P28)</f>
        <v>0</v>
      </c>
      <c r="CM28">
        <f>IF(P28=0,0,COUNTIF('Transect 2_imgsummary'!E28:I28,"Bood")*100/P28)</f>
        <v>0</v>
      </c>
      <c r="CN28">
        <f>IF(P28=0,0,COUNTIF('Transect 2_imgsummary'!E28:I28,"BRYP")*100/P28)</f>
        <v>0</v>
      </c>
      <c r="CO28">
        <f>IF(P28=0,0,COUNTIF('Transect 2_imgsummary'!E28:I28,"CLP")*100/P28)</f>
        <v>0</v>
      </c>
      <c r="CP28">
        <f>IF(P28=0,0,COUNTIF('Transect 2_imgsummary'!E28:I28,"CHLDES")*100/P28)</f>
        <v>0</v>
      </c>
      <c r="CQ28">
        <f>IF(P28=0,0,COUNTIF('Transect 2_imgsummary'!E28:I28,"DYCTY")*100/P28)</f>
        <v>0</v>
      </c>
      <c r="CR28">
        <f>IF(P28=0,0,COUNTIF('Transect 2_imgsummary'!E28:I28,"DICT")*100/P28)</f>
        <v>0</v>
      </c>
      <c r="CS28">
        <f>IF(P28=0,0,COUNTIF('Transect 2_imgsummary'!E28:I28,"GLXU")*100/P28)</f>
        <v>0</v>
      </c>
      <c r="CT28">
        <f>IF(P28=0,0,COUNTIF('Transect 2_imgsummary'!E28:I28,"HALI")*100/P28)</f>
        <v>0</v>
      </c>
      <c r="CU28">
        <f>IF(P28=0,0,COUNTIF('Transect 2_imgsummary'!E28:I28,"LIAG")*100/P28)</f>
        <v>0</v>
      </c>
      <c r="CV28">
        <f>IF(P28=0,0,COUNTIF('Transect 2_imgsummary'!E28:I28,"LOBO")*100/P28)</f>
        <v>0</v>
      </c>
      <c r="CW28">
        <f>IF(P28=0,0,COUNTIF('Transect 2_imgsummary'!E28:I28,"MAST")*100/P28)</f>
        <v>0</v>
      </c>
      <c r="CX28">
        <f>IF(P28=0,0,COUNTIF('Transect 2_imgsummary'!E28:I28,"MICDTY")*100/P28)</f>
        <v>0</v>
      </c>
      <c r="CY28">
        <f>IF(P28=0,0,COUNTIF('Transect 2_imgsummary'!E28:I28,"NEOM")*100/P28)</f>
        <v>0</v>
      </c>
      <c r="CZ28">
        <f>IF(P28=0,0,COUNTIF('Transect 2_imgsummary'!E28:I28,"NOIDMAC")*100/P28)</f>
        <v>0</v>
      </c>
      <c r="DA28">
        <f>IF(P28=0,0,COUNTIF('Transect 2_imgsummary'!E28:I28,"PAD")*100/P28)</f>
        <v>0</v>
      </c>
      <c r="DB28">
        <f>IF(P28=0,0,COUNTIF('Transect 2_imgsummary'!E28:I28,"SARG")*100/P28)</f>
        <v>0</v>
      </c>
      <c r="DC28">
        <f>IF(P28=0,0,COUNTIF('Transect 2_imgsummary'!E28:I28,"SCHIZ")*100/P28)</f>
        <v>0</v>
      </c>
      <c r="DD28">
        <f>IF(P28=0,0,COUNTIF('Transect 2_imgsummary'!E28:I28,"TURB")*100/P28)</f>
        <v>0</v>
      </c>
      <c r="DE28">
        <f>IF(P28=0,0,COUNTIF('Transect 2_imgsummary'!E28:I28,"TYDM")*100/P28)</f>
        <v>0</v>
      </c>
      <c r="DG28">
        <f>IF(P28=0,0,COUNTIF('Transect 2_imgsummary'!E28:I28,"AMP")*100/P28)</f>
        <v>0</v>
      </c>
      <c r="DH28">
        <f>IF(P28=0,0,COUNTIF('Transect 2_imgsummary'!E28:I28,"BCA1")*100/P28)</f>
        <v>0</v>
      </c>
      <c r="DI28">
        <f>IF(P28=0,0,COUNTIF('Transect 2_imgsummary'!E28:I28,"JAN")*100/P28)</f>
        <v>0</v>
      </c>
      <c r="DK28" s="29">
        <f>IF(P28=0,0,COUNTIF('Transect 2_imgsummary'!E28:I28,"CCA1")*100/P28)</f>
        <v>60</v>
      </c>
      <c r="DM28">
        <f>IF(P28=0,0,COUNTIF('Transect 2_imgsummary'!E28:I28,"Sand")*100/P28)</f>
        <v>0</v>
      </c>
      <c r="DO28">
        <f>IF(P28=0,0,COUNTIF('Transect 2_imgsummary'!E28:I28,"FCA1")*100/P28)</f>
        <v>0</v>
      </c>
      <c r="DQ28">
        <f>IF(P28=0,0,COUNTIF('Transect 2_imgsummary'!E28:I28,"CHRYOBRN")*100/P28)</f>
        <v>0</v>
      </c>
      <c r="DS28">
        <f>IF(P28=0,0,COUNTIF('Transect 2_imgsummary'!E28:I28,"TURF")*100/P28)</f>
        <v>0</v>
      </c>
      <c r="DU28">
        <f>COUNTIF('Transect 2_imgsummary'!E28:I28,"Shadow")*100/5</f>
        <v>0</v>
      </c>
      <c r="DV28">
        <f>COUNTIF('Transect 2_imgsummary'!E28:I28,"Tape")*100/5</f>
        <v>0</v>
      </c>
      <c r="DW28">
        <f>COUNTIF('Transect 2_imgsummary'!E28:I28,"Wand")*100/5</f>
        <v>0</v>
      </c>
      <c r="DY28">
        <f>IF(P28=0,0,COUNTIF('Transect 2_imgsummary'!O28:S28,"BC")*100/P28)</f>
        <v>0</v>
      </c>
    </row>
    <row r="29" spans="1:129">
      <c r="A29">
        <v>27</v>
      </c>
      <c r="B29" t="s">
        <v>456</v>
      </c>
      <c r="F29" s="29">
        <f>IF(P29=0,0,COUNTIF('Transect 2_imgsummary'!J29:N29,"C")*100/P29)</f>
        <v>20</v>
      </c>
      <c r="G29">
        <f>IF(P29=0,0,COUNTIF('Transect 2_imgsummary'!J29:N29,"OI")*100/P29)</f>
        <v>0</v>
      </c>
      <c r="H29">
        <f>IF(P29=0,0,COUNTIF('Transect 2_imgsummary'!J29:N29,"MA")*100/P29)</f>
        <v>0</v>
      </c>
      <c r="I29">
        <f>IF(P29=0,0,COUNTIF('Transect 2_imgsummary'!J29:N29,"BCA")*100/P29)</f>
        <v>0</v>
      </c>
      <c r="J29" s="29">
        <f>IF(P29=0,0,COUNTIF('Transect 2_imgsummary'!J29:N29,"CCA")*100/P29)</f>
        <v>40</v>
      </c>
      <c r="K29">
        <f>IF(P29=0,0,COUNTIF('Transect 2_imgsummary'!J29:N29,"SD")*100/P29)</f>
        <v>0</v>
      </c>
      <c r="L29" s="29">
        <f>IF(P29=0,0,COUNTIF('Transect 2_imgsummary'!J29:N29,"FCA")*100/P29)</f>
        <v>20</v>
      </c>
      <c r="M29">
        <f>IF(P29=0,0,COUNTIF('Transect 2_imgsummary'!J29:N29,"CHRYS")*100/P29)</f>
        <v>0</v>
      </c>
      <c r="N29" s="29">
        <f>IF(P29=0,0,COUNTIF('Transect 2_imgsummary'!J29:N29,"T")*100/P29)</f>
        <v>20</v>
      </c>
      <c r="O29">
        <f>IF(P29=0,0,COUNTIF('Transect 2_imgsummary'!J29:N29,"TWS")*100/P29)</f>
        <v>0</v>
      </c>
      <c r="P29">
        <f>5-COUNTIF('Transect 2_imgsummary'!J29:N29,"TWS")</f>
        <v>5</v>
      </c>
      <c r="S29">
        <f>IF(P29=0,0,COUNTIF('Transect 2_imgsummary'!E29:I29,"ACAN")*100/P29)</f>
        <v>0</v>
      </c>
      <c r="T29">
        <f>IF(P29=0,0,COUNTIF('Transect 2_imgsummary'!E29:I29,"ACROP")*100/P29)</f>
        <v>0</v>
      </c>
      <c r="U29">
        <f>IF(P29=0,0,COUNTIF('Transect 2_imgsummary'!E29:I29,"ACROPARB")*100/P29)</f>
        <v>0</v>
      </c>
      <c r="V29">
        <f>IF(P29=0,0,COUNTIF('Transect 2_imgsummary'!E29:I29,"ACROST")*100/P29)</f>
        <v>0</v>
      </c>
      <c r="W29">
        <f>IF(P29=0,0,COUNTIF('Transect 2_imgsummary'!E29:I29,"ACROTBL")*100/P29)</f>
        <v>0</v>
      </c>
      <c r="X29">
        <f>IF(P29=0,0,COUNTIF('Transect 2_imgsummary'!E29:I29,"ASTRP")*100/P29)</f>
        <v>0</v>
      </c>
      <c r="Y29">
        <f>IF(P29=0,0,COUNTIF('Transect 2_imgsummary'!E29:I29,"CAUL")*100/P29)</f>
        <v>0</v>
      </c>
      <c r="Z29">
        <f>IF(P29=0,0,COUNTIF('Transect 2_imgsummary'!E29:I29,"COSC")*100/P29)</f>
        <v>0</v>
      </c>
      <c r="AA29">
        <f>IF(P29=0,0,COUNTIF('Transect 2_imgsummary'!E29:I29,"CTEN")*100/P29)</f>
        <v>0</v>
      </c>
      <c r="AB29">
        <f>IF(P29=0,0,COUNTIF('Transect 2_imgsummary'!E29:I29,"CYPH")*100/P29)</f>
        <v>0</v>
      </c>
      <c r="AC29">
        <f>IF(P29=0,0,COUNTIF('Transect 2_imgsummary'!E29:I29,"DIPLO")*100/P29)</f>
        <v>0</v>
      </c>
      <c r="AD29">
        <f>IF(P29=0,0,COUNTIF('Transect 2_imgsummary'!E29:I29,"ECHPO")*100/P29)</f>
        <v>0</v>
      </c>
      <c r="AE29">
        <f>IF(P29=0,0,COUNTIF('Transect 2_imgsummary'!E29:I29,"ECHPHY")*100/P29)</f>
        <v>0</v>
      </c>
      <c r="AF29">
        <f>IF(P29=0,0,COUNTIF('Transect 2_imgsummary'!E29:I29,"EUPH")*100/P29)</f>
        <v>0</v>
      </c>
      <c r="AG29">
        <f>IF(P29=0,0,COUNTIF('Transect 2_imgsummary'!E29:I29,"FAV")*100/P29)</f>
        <v>0</v>
      </c>
      <c r="AH29">
        <f>IF(P29=0,0,COUNTIF('Transect 2_imgsummary'!E29:I29,"FAVT")*100/P29)</f>
        <v>0</v>
      </c>
      <c r="AI29">
        <f>IF(P29=0,0,COUNTIF('Transect 2_imgsummary'!E29:I29,"FUNG")*100/P29)</f>
        <v>0</v>
      </c>
      <c r="AJ29">
        <f>IF(P29=0,0,COUNTIF('Transect 2_imgsummary'!E29:I29,"GAL")*100/P29)</f>
        <v>0</v>
      </c>
      <c r="AK29">
        <f>IF(P29=0,0,COUNTIF('Transect 2_imgsummary'!E29:I29,"GARD")*100/P29)</f>
        <v>0</v>
      </c>
      <c r="AL29">
        <f>IF(P29=0,0,COUNTIF('Transect 2_imgsummary'!E29:I29,"GON")*100/P29)</f>
        <v>0</v>
      </c>
      <c r="AM29">
        <f>IF(P29=0,0,COUNTIF('Transect 2_imgsummary'!E29:I29,"GONIO")*100/P29)</f>
        <v>0</v>
      </c>
      <c r="AN29">
        <f>IF(P29=0,0,COUNTIF('Transect 2_imgsummary'!E29:I29,"HELIO")*100/P29)</f>
        <v>0</v>
      </c>
      <c r="AO29">
        <f>IF(P29=0,0,COUNTIF('Transect 2_imgsummary'!E29:I29,"HERP")*100/P29)</f>
        <v>0</v>
      </c>
      <c r="AP29">
        <f>IF(P29=0,0,COUNTIF('Transect 2_imgsummary'!E29:I29,"HYD")*100/P29)</f>
        <v>0</v>
      </c>
      <c r="AQ29">
        <f>IF(P29=0,0,COUNTIF('Transect 2_imgsummary'!E29:I29,"ISOP")*100/P29)</f>
        <v>0</v>
      </c>
      <c r="AR29">
        <f>IF(P29=0,0,COUNTIF('Transect 2_imgsummary'!E29:I29,"LEPT")*100/P29)</f>
        <v>0</v>
      </c>
      <c r="AS29" s="29">
        <f>IF(P29=0,0,COUNTIF('Transect 2_imgsummary'!E29:I29,"LEPTOR")*100/P29)</f>
        <v>20</v>
      </c>
      <c r="AT29">
        <f>IF(P29=0,0,COUNTIF('Transect 2_imgsummary'!E29:I29,"LEPTOS")*100/P29)</f>
        <v>0</v>
      </c>
      <c r="AU29">
        <f>IF(P29=0,0,COUNTIF('Transect 2_imgsummary'!E29:I29,"LOBOPH")*100/P29)</f>
        <v>0</v>
      </c>
      <c r="AV29">
        <f>IF(P29=0,0,COUNTIF('Transect 2_imgsummary'!E29:I29,"MERU")*100/P29)</f>
        <v>0</v>
      </c>
      <c r="AW29">
        <f>IF(P29=0,0,COUNTIF('Transect 2_imgsummary'!E29:I29,"MILL")*100/P29)</f>
        <v>0</v>
      </c>
      <c r="AX29">
        <f>IF(P29=0,0,COUNTIF('Transect 2_imgsummary'!E29:I29,"MONT")*100/P29)</f>
        <v>0</v>
      </c>
      <c r="AY29">
        <f>IF(P29=0,0,COUNTIF('Transect 2_imgsummary'!E29:I29,"MONTI")*100/P29)</f>
        <v>0</v>
      </c>
      <c r="AZ29">
        <f>IF(P29=0,0,COUNTIF('Transect 2_imgsummary'!E29:I29,"MYCED")*100/P29)</f>
        <v>0</v>
      </c>
      <c r="BA29">
        <f>IF(P29=0,0,COUNTIF('Transect 2_imgsummary'!E29:I29,"OULO")*100/P29)</f>
        <v>0</v>
      </c>
      <c r="BB29">
        <f>IF(P29=0,0,COUNTIF('Transect 2_imgsummary'!E29:I29,"OXYP")*100/P29)</f>
        <v>0</v>
      </c>
      <c r="BC29">
        <f>IF(P29=0,0,COUNTIF('Transect 2_imgsummary'!E29:I29,"PLSIA")*100/P29)</f>
        <v>0</v>
      </c>
      <c r="BD29">
        <f>IF(P29=0,0,COUNTIF('Transect 2_imgsummary'!E29:I29,"PACHY")*100/P29)</f>
        <v>0</v>
      </c>
      <c r="BE29">
        <f>IF(P29=0,0,COUNTIF('Transect 2_imgsummary'!E29:I29,"PAV")*100/P29)</f>
        <v>0</v>
      </c>
      <c r="BF29">
        <f>IF(P29=0,0,COUNTIF('Transect 2_imgsummary'!E29:I29,"PECT")*100/P29)</f>
        <v>0</v>
      </c>
      <c r="BG29">
        <f>IF(P29=0,0,COUNTIF('Transect 2_imgsummary'!E29:I29,"PHYSO")*100/P29)</f>
        <v>0</v>
      </c>
      <c r="BH29">
        <f>IF(P29=0,0,COUNTIF('Transect 2_imgsummary'!E29:I29,"PLAT")*100/P29)</f>
        <v>0</v>
      </c>
      <c r="BI29">
        <f>IF(P29=0,0,COUNTIF('Transect 2_imgsummary'!E29:I29,"PLERO")*100/P29)</f>
        <v>0</v>
      </c>
      <c r="BJ29">
        <f>IF(P29=0,0,COUNTIF('Transect 2_imgsummary'!E29:I29,"POC")*100/P29)</f>
        <v>0</v>
      </c>
      <c r="BK29">
        <f>IF(P29=0,0,COUNTIF('Transect 2_imgsummary'!E29:I29,"POR")*100/P29)</f>
        <v>0</v>
      </c>
      <c r="BL29">
        <f>IF(P29=0,0,COUNTIF('Transect 2_imgsummary'!E29:I29,"PORCYL")*100/P29)</f>
        <v>0</v>
      </c>
      <c r="BM29">
        <f>IF(P29=0,0,COUNTIF('Transect 2_imgsummary'!E29:I29,"PORMAS")*100/P29)</f>
        <v>0</v>
      </c>
      <c r="BN29">
        <f>IF(P29=0,0,COUNTIF('Transect 2_imgsummary'!E29:I29,"PORRUS")*100/P29)</f>
        <v>0</v>
      </c>
      <c r="BO29">
        <f>IF(P29=0,0,COUNTIF('Transect 2_imgsummary'!E29:I29,"PSAM")*100/P29)</f>
        <v>0</v>
      </c>
      <c r="BP29">
        <f>IF(P29=0,0,COUNTIF('Transect 2_imgsummary'!E29:I29,"SANDO")*100/P29)</f>
        <v>0</v>
      </c>
      <c r="BQ29">
        <f>IF(P29=0,0,COUNTIF('Transect 2_imgsummary'!E29:I29,"SCAP")*100/P29)</f>
        <v>0</v>
      </c>
      <c r="BR29">
        <f>IF(P29=0,0,COUNTIF('Transect 2_imgsummary'!E29:I29,"SERIA")*100/P29)</f>
        <v>0</v>
      </c>
      <c r="BS29">
        <f>IF(P29=0,0,COUNTIF('Transect 2_imgsummary'!E29:I29,"STYLC")*100/P29)</f>
        <v>0</v>
      </c>
      <c r="BT29">
        <f>IF(P29=0,0,COUNTIF('Transect 2_imgsummary'!E29:I29,"STYLO")*100/P29)</f>
        <v>0</v>
      </c>
      <c r="BU29">
        <f>IF(P29=0,0,COUNTIF('Transect 2_imgsummary'!E29:I29,"SYMP")*100/P29)</f>
        <v>0</v>
      </c>
      <c r="BV29">
        <f>IF(P29=0,0,COUNTIF('Transect 2_imgsummary'!E29:I29,"TURBIN")*100/P29)</f>
        <v>0</v>
      </c>
      <c r="BX29">
        <f>IF(P29=0,0,COUNTIF('Transect 2_imgsummary'!E29:I29,"ANEM")*100/P29)</f>
        <v>0</v>
      </c>
      <c r="BY29">
        <f>IF(P29=0,0,COUNTIF('Transect 2_imgsummary'!E29:I29,"ASC")*100/P29)</f>
        <v>0</v>
      </c>
      <c r="BZ29">
        <f>IF(P29=0,0,COUNTIF('Transect 2_imgsummary'!E29:I29,"CUPS")*100/P29)</f>
        <v>0</v>
      </c>
      <c r="CA29">
        <f>IF(P29=0,0,COUNTIF('Transect 2_imgsummary'!E29:I29,"DISCO")*100/P29)</f>
        <v>0</v>
      </c>
      <c r="CB29">
        <f>IF(P29=0,0,COUNTIF('Transect 2_imgsummary'!E29:I29,"DYS")*100/P29)</f>
        <v>0</v>
      </c>
      <c r="CC29">
        <f>IF(P29=0,0,COUNTIF('Transect 2_imgsummary'!E29:I29,"G")*100/P29)</f>
        <v>0</v>
      </c>
      <c r="CD29">
        <f>IF(P29=0,0,COUNTIF('Transect 2_imgsummary'!E29:I29,"NoIDINV")*100/P29)</f>
        <v>0</v>
      </c>
      <c r="CE29">
        <f>IF(P29=0,0,COUNTIF('Transect 2_imgsummary'!E29:I29,"OLV")*100/P29)</f>
        <v>0</v>
      </c>
      <c r="CF29">
        <f>IF(P29=0,0,COUNTIF('Transect 2_imgsummary'!E29:I29,"SC")*100/P29)</f>
        <v>0</v>
      </c>
      <c r="CG29">
        <f>IF(P29=0,0,COUNTIF('Transect 2_imgsummary'!E29:I29,"S")*100/P29)</f>
        <v>0</v>
      </c>
      <c r="CH29">
        <f>IF(P29=0,0,COUNTIF('Transect 2_imgsummary'!E29:I29,"TERPS")*100/P29)</f>
        <v>0</v>
      </c>
      <c r="CI29">
        <f>IF(P29=0,0,COUNTIF('Transect 2_imgsummary'!E29:I29,"Z")*100/P29)</f>
        <v>0</v>
      </c>
      <c r="CK29">
        <f>IF(P29=0,0,COUNTIF('Transect 2_imgsummary'!E29:I29,"ASP")*100/P29)</f>
        <v>0</v>
      </c>
      <c r="CL29">
        <f>IF(P29=0,0,COUNTIF('Transect 2_imgsummary'!E29:I29,"BG")*100/P29)</f>
        <v>0</v>
      </c>
      <c r="CM29">
        <f>IF(P29=0,0,COUNTIF('Transect 2_imgsummary'!E29:I29,"Bood")*100/P29)</f>
        <v>0</v>
      </c>
      <c r="CN29">
        <f>IF(P29=0,0,COUNTIF('Transect 2_imgsummary'!E29:I29,"BRYP")*100/P29)</f>
        <v>0</v>
      </c>
      <c r="CO29">
        <f>IF(P29=0,0,COUNTIF('Transect 2_imgsummary'!E29:I29,"CLP")*100/P29)</f>
        <v>0</v>
      </c>
      <c r="CP29">
        <f>IF(P29=0,0,COUNTIF('Transect 2_imgsummary'!E29:I29,"CHLDES")*100/P29)</f>
        <v>0</v>
      </c>
      <c r="CQ29">
        <f>IF(P29=0,0,COUNTIF('Transect 2_imgsummary'!E29:I29,"DYCTY")*100/P29)</f>
        <v>0</v>
      </c>
      <c r="CR29">
        <f>IF(P29=0,0,COUNTIF('Transect 2_imgsummary'!E29:I29,"DICT")*100/P29)</f>
        <v>0</v>
      </c>
      <c r="CS29">
        <f>IF(P29=0,0,COUNTIF('Transect 2_imgsummary'!E29:I29,"GLXU")*100/P29)</f>
        <v>0</v>
      </c>
      <c r="CT29">
        <f>IF(P29=0,0,COUNTIF('Transect 2_imgsummary'!E29:I29,"HALI")*100/P29)</f>
        <v>0</v>
      </c>
      <c r="CU29">
        <f>IF(P29=0,0,COUNTIF('Transect 2_imgsummary'!E29:I29,"LIAG")*100/P29)</f>
        <v>0</v>
      </c>
      <c r="CV29">
        <f>IF(P29=0,0,COUNTIF('Transect 2_imgsummary'!E29:I29,"LOBO")*100/P29)</f>
        <v>0</v>
      </c>
      <c r="CW29">
        <f>IF(P29=0,0,COUNTIF('Transect 2_imgsummary'!E29:I29,"MAST")*100/P29)</f>
        <v>0</v>
      </c>
      <c r="CX29">
        <f>IF(P29=0,0,COUNTIF('Transect 2_imgsummary'!E29:I29,"MICDTY")*100/P29)</f>
        <v>0</v>
      </c>
      <c r="CY29">
        <f>IF(P29=0,0,COUNTIF('Transect 2_imgsummary'!E29:I29,"NEOM")*100/P29)</f>
        <v>0</v>
      </c>
      <c r="CZ29">
        <f>IF(P29=0,0,COUNTIF('Transect 2_imgsummary'!E29:I29,"NOIDMAC")*100/P29)</f>
        <v>0</v>
      </c>
      <c r="DA29">
        <f>IF(P29=0,0,COUNTIF('Transect 2_imgsummary'!E29:I29,"PAD")*100/P29)</f>
        <v>0</v>
      </c>
      <c r="DB29">
        <f>IF(P29=0,0,COUNTIF('Transect 2_imgsummary'!E29:I29,"SARG")*100/P29)</f>
        <v>0</v>
      </c>
      <c r="DC29">
        <f>IF(P29=0,0,COUNTIF('Transect 2_imgsummary'!E29:I29,"SCHIZ")*100/P29)</f>
        <v>0</v>
      </c>
      <c r="DD29">
        <f>IF(P29=0,0,COUNTIF('Transect 2_imgsummary'!E29:I29,"TURB")*100/P29)</f>
        <v>0</v>
      </c>
      <c r="DE29">
        <f>IF(P29=0,0,COUNTIF('Transect 2_imgsummary'!E29:I29,"TYDM")*100/P29)</f>
        <v>0</v>
      </c>
      <c r="DG29">
        <f>IF(P29=0,0,COUNTIF('Transect 2_imgsummary'!E29:I29,"AMP")*100/P29)</f>
        <v>0</v>
      </c>
      <c r="DH29">
        <f>IF(P29=0,0,COUNTIF('Transect 2_imgsummary'!E29:I29,"BCA1")*100/P29)</f>
        <v>0</v>
      </c>
      <c r="DI29">
        <f>IF(P29=0,0,COUNTIF('Transect 2_imgsummary'!E29:I29,"JAN")*100/P29)</f>
        <v>0</v>
      </c>
      <c r="DK29" s="29">
        <f>IF(P29=0,0,COUNTIF('Transect 2_imgsummary'!E29:I29,"CCA1")*100/P29)</f>
        <v>40</v>
      </c>
      <c r="DM29">
        <f>IF(P29=0,0,COUNTIF('Transect 2_imgsummary'!E29:I29,"Sand")*100/P29)</f>
        <v>0</v>
      </c>
      <c r="DO29" s="29">
        <f>IF(P29=0,0,COUNTIF('Transect 2_imgsummary'!E29:I29,"FCA1")*100/P29)</f>
        <v>20</v>
      </c>
      <c r="DQ29">
        <f>IF(P29=0,0,COUNTIF('Transect 2_imgsummary'!E29:I29,"CHRYOBRN")*100/P29)</f>
        <v>0</v>
      </c>
      <c r="DS29" s="29">
        <f>IF(P29=0,0,COUNTIF('Transect 2_imgsummary'!E29:I29,"TURF")*100/P29)</f>
        <v>20</v>
      </c>
      <c r="DU29">
        <f>COUNTIF('Transect 2_imgsummary'!E29:I29,"Shadow")*100/5</f>
        <v>0</v>
      </c>
      <c r="DV29">
        <f>COUNTIF('Transect 2_imgsummary'!E29:I29,"Tape")*100/5</f>
        <v>0</v>
      </c>
      <c r="DW29">
        <f>COUNTIF('Transect 2_imgsummary'!E29:I29,"Wand")*100/5</f>
        <v>0</v>
      </c>
      <c r="DY29">
        <f>IF(P29=0,0,COUNTIF('Transect 2_imgsummary'!O29:S29,"BC")*100/P29)</f>
        <v>0</v>
      </c>
    </row>
    <row r="30" spans="1:129">
      <c r="A30">
        <v>28</v>
      </c>
      <c r="B30" t="s">
        <v>457</v>
      </c>
      <c r="F30" s="29">
        <f>IF(P30=0,0,COUNTIF('Transect 2_imgsummary'!J30:N30,"C")*100/P30)</f>
        <v>80</v>
      </c>
      <c r="G30">
        <f>IF(P30=0,0,COUNTIF('Transect 2_imgsummary'!J30:N30,"OI")*100/P30)</f>
        <v>0</v>
      </c>
      <c r="H30">
        <f>IF(P30=0,0,COUNTIF('Transect 2_imgsummary'!J30:N30,"MA")*100/P30)</f>
        <v>0</v>
      </c>
      <c r="I30">
        <f>IF(P30=0,0,COUNTIF('Transect 2_imgsummary'!J30:N30,"BCA")*100/P30)</f>
        <v>0</v>
      </c>
      <c r="J30">
        <f>IF(P30=0,0,COUNTIF('Transect 2_imgsummary'!J30:N30,"CCA")*100/P30)</f>
        <v>0</v>
      </c>
      <c r="K30">
        <f>IF(P30=0,0,COUNTIF('Transect 2_imgsummary'!J30:N30,"SD")*100/P30)</f>
        <v>0</v>
      </c>
      <c r="L30">
        <f>IF(P30=0,0,COUNTIF('Transect 2_imgsummary'!J30:N30,"FCA")*100/P30)</f>
        <v>0</v>
      </c>
      <c r="M30">
        <f>IF(P30=0,0,COUNTIF('Transect 2_imgsummary'!J30:N30,"CHRYS")*100/P30)</f>
        <v>0</v>
      </c>
      <c r="N30" s="29">
        <f>IF(P30=0,0,COUNTIF('Transect 2_imgsummary'!J30:N30,"T")*100/P30)</f>
        <v>20</v>
      </c>
      <c r="O30">
        <f>IF(P30=0,0,COUNTIF('Transect 2_imgsummary'!J30:N30,"TWS")*100/P30)</f>
        <v>0</v>
      </c>
      <c r="P30">
        <f>5-COUNTIF('Transect 2_imgsummary'!J30:N30,"TWS")</f>
        <v>5</v>
      </c>
      <c r="S30">
        <f>IF(P30=0,0,COUNTIF('Transect 2_imgsummary'!E30:I30,"ACAN")*100/P30)</f>
        <v>0</v>
      </c>
      <c r="T30">
        <f>IF(P30=0,0,COUNTIF('Transect 2_imgsummary'!E30:I30,"ACROP")*100/P30)</f>
        <v>0</v>
      </c>
      <c r="U30">
        <f>IF(P30=0,0,COUNTIF('Transect 2_imgsummary'!E30:I30,"ACROPARB")*100/P30)</f>
        <v>0</v>
      </c>
      <c r="V30">
        <f>IF(P30=0,0,COUNTIF('Transect 2_imgsummary'!E30:I30,"ACROST")*100/P30)</f>
        <v>0</v>
      </c>
      <c r="W30">
        <f>IF(P30=0,0,COUNTIF('Transect 2_imgsummary'!E30:I30,"ACROTBL")*100/P30)</f>
        <v>0</v>
      </c>
      <c r="X30">
        <f>IF(P30=0,0,COUNTIF('Transect 2_imgsummary'!E30:I30,"ASTRP")*100/P30)</f>
        <v>0</v>
      </c>
      <c r="Y30">
        <f>IF(P30=0,0,COUNTIF('Transect 2_imgsummary'!E30:I30,"CAUL")*100/P30)</f>
        <v>0</v>
      </c>
      <c r="Z30">
        <f>IF(P30=0,0,COUNTIF('Transect 2_imgsummary'!E30:I30,"COSC")*100/P30)</f>
        <v>0</v>
      </c>
      <c r="AA30">
        <f>IF(P30=0,0,COUNTIF('Transect 2_imgsummary'!E30:I30,"CTEN")*100/P30)</f>
        <v>0</v>
      </c>
      <c r="AB30">
        <f>IF(P30=0,0,COUNTIF('Transect 2_imgsummary'!E30:I30,"CYPH")*100/P30)</f>
        <v>0</v>
      </c>
      <c r="AC30">
        <f>IF(P30=0,0,COUNTIF('Transect 2_imgsummary'!E30:I30,"DIPLO")*100/P30)</f>
        <v>0</v>
      </c>
      <c r="AD30">
        <f>IF(P30=0,0,COUNTIF('Transect 2_imgsummary'!E30:I30,"ECHPO")*100/P30)</f>
        <v>0</v>
      </c>
      <c r="AE30">
        <f>IF(P30=0,0,COUNTIF('Transect 2_imgsummary'!E30:I30,"ECHPHY")*100/P30)</f>
        <v>0</v>
      </c>
      <c r="AF30">
        <f>IF(P30=0,0,COUNTIF('Transect 2_imgsummary'!E30:I30,"EUPH")*100/P30)</f>
        <v>0</v>
      </c>
      <c r="AG30">
        <f>IF(P30=0,0,COUNTIF('Transect 2_imgsummary'!E30:I30,"FAV")*100/P30)</f>
        <v>0</v>
      </c>
      <c r="AH30">
        <f>IF(P30=0,0,COUNTIF('Transect 2_imgsummary'!E30:I30,"FAVT")*100/P30)</f>
        <v>0</v>
      </c>
      <c r="AI30">
        <f>IF(P30=0,0,COUNTIF('Transect 2_imgsummary'!E30:I30,"FUNG")*100/P30)</f>
        <v>0</v>
      </c>
      <c r="AJ30">
        <f>IF(P30=0,0,COUNTIF('Transect 2_imgsummary'!E30:I30,"GAL")*100/P30)</f>
        <v>0</v>
      </c>
      <c r="AK30">
        <f>IF(P30=0,0,COUNTIF('Transect 2_imgsummary'!E30:I30,"GARD")*100/P30)</f>
        <v>0</v>
      </c>
      <c r="AL30">
        <f>IF(P30=0,0,COUNTIF('Transect 2_imgsummary'!E30:I30,"GON")*100/P30)</f>
        <v>0</v>
      </c>
      <c r="AM30">
        <f>IF(P30=0,0,COUNTIF('Transect 2_imgsummary'!E30:I30,"GONIO")*100/P30)</f>
        <v>0</v>
      </c>
      <c r="AN30">
        <f>IF(P30=0,0,COUNTIF('Transect 2_imgsummary'!E30:I30,"HELIO")*100/P30)</f>
        <v>0</v>
      </c>
      <c r="AO30">
        <f>IF(P30=0,0,COUNTIF('Transect 2_imgsummary'!E30:I30,"HERP")*100/P30)</f>
        <v>0</v>
      </c>
      <c r="AP30">
        <f>IF(P30=0,0,COUNTIF('Transect 2_imgsummary'!E30:I30,"HYD")*100/P30)</f>
        <v>0</v>
      </c>
      <c r="AQ30">
        <f>IF(P30=0,0,COUNTIF('Transect 2_imgsummary'!E30:I30,"ISOP")*100/P30)</f>
        <v>0</v>
      </c>
      <c r="AR30">
        <f>IF(P30=0,0,COUNTIF('Transect 2_imgsummary'!E30:I30,"LEPT")*100/P30)</f>
        <v>0</v>
      </c>
      <c r="AS30" s="29">
        <f>IF(P30=0,0,COUNTIF('Transect 2_imgsummary'!E30:I30,"LEPTOR")*100/P30)</f>
        <v>40</v>
      </c>
      <c r="AT30">
        <f>IF(P30=0,0,COUNTIF('Transect 2_imgsummary'!E30:I30,"LEPTOS")*100/P30)</f>
        <v>0</v>
      </c>
      <c r="AU30">
        <f>IF(P30=0,0,COUNTIF('Transect 2_imgsummary'!E30:I30,"LOBOPH")*100/P30)</f>
        <v>0</v>
      </c>
      <c r="AV30">
        <f>IF(P30=0,0,COUNTIF('Transect 2_imgsummary'!E30:I30,"MERU")*100/P30)</f>
        <v>0</v>
      </c>
      <c r="AW30">
        <f>IF(P30=0,0,COUNTIF('Transect 2_imgsummary'!E30:I30,"MILL")*100/P30)</f>
        <v>0</v>
      </c>
      <c r="AX30">
        <f>IF(P30=0,0,COUNTIF('Transect 2_imgsummary'!E30:I30,"MONT")*100/P30)</f>
        <v>0</v>
      </c>
      <c r="AY30">
        <f>IF(P30=0,0,COUNTIF('Transect 2_imgsummary'!E30:I30,"MONTI")*100/P30)</f>
        <v>0</v>
      </c>
      <c r="AZ30">
        <f>IF(P30=0,0,COUNTIF('Transect 2_imgsummary'!E30:I30,"MYCED")*100/P30)</f>
        <v>0</v>
      </c>
      <c r="BA30">
        <f>IF(P30=0,0,COUNTIF('Transect 2_imgsummary'!E30:I30,"OULO")*100/P30)</f>
        <v>0</v>
      </c>
      <c r="BB30">
        <f>IF(P30=0,0,COUNTIF('Transect 2_imgsummary'!E30:I30,"OXYP")*100/P30)</f>
        <v>0</v>
      </c>
      <c r="BC30">
        <f>IF(P30=0,0,COUNTIF('Transect 2_imgsummary'!E30:I30,"PLSIA")*100/P30)</f>
        <v>0</v>
      </c>
      <c r="BD30">
        <f>IF(P30=0,0,COUNTIF('Transect 2_imgsummary'!E30:I30,"PACHY")*100/P30)</f>
        <v>0</v>
      </c>
      <c r="BE30">
        <f>IF(P30=0,0,COUNTIF('Transect 2_imgsummary'!E30:I30,"PAV")*100/P30)</f>
        <v>0</v>
      </c>
      <c r="BF30">
        <f>IF(P30=0,0,COUNTIF('Transect 2_imgsummary'!E30:I30,"PECT")*100/P30)</f>
        <v>0</v>
      </c>
      <c r="BG30">
        <f>IF(P30=0,0,COUNTIF('Transect 2_imgsummary'!E30:I30,"PHYSO")*100/P30)</f>
        <v>0</v>
      </c>
      <c r="BH30">
        <f>IF(P30=0,0,COUNTIF('Transect 2_imgsummary'!E30:I30,"PLAT")*100/P30)</f>
        <v>0</v>
      </c>
      <c r="BI30">
        <f>IF(P30=0,0,COUNTIF('Transect 2_imgsummary'!E30:I30,"PLERO")*100/P30)</f>
        <v>0</v>
      </c>
      <c r="BJ30">
        <f>IF(P30=0,0,COUNTIF('Transect 2_imgsummary'!E30:I30,"POC")*100/P30)</f>
        <v>0</v>
      </c>
      <c r="BK30">
        <f>IF(P30=0,0,COUNTIF('Transect 2_imgsummary'!E30:I30,"POR")*100/P30)</f>
        <v>0</v>
      </c>
      <c r="BL30">
        <f>IF(P30=0,0,COUNTIF('Transect 2_imgsummary'!E30:I30,"PORCYL")*100/P30)</f>
        <v>0</v>
      </c>
      <c r="BM30">
        <f>IF(P30=0,0,COUNTIF('Transect 2_imgsummary'!E30:I30,"PORMAS")*100/P30)</f>
        <v>0</v>
      </c>
      <c r="BN30">
        <f>IF(P30=0,0,COUNTIF('Transect 2_imgsummary'!E30:I30,"PORRUS")*100/P30)</f>
        <v>0</v>
      </c>
      <c r="BO30">
        <f>IF(P30=0,0,COUNTIF('Transect 2_imgsummary'!E30:I30,"PSAM")*100/P30)</f>
        <v>0</v>
      </c>
      <c r="BP30">
        <f>IF(P30=0,0,COUNTIF('Transect 2_imgsummary'!E30:I30,"SANDO")*100/P30)</f>
        <v>0</v>
      </c>
      <c r="BQ30">
        <f>IF(P30=0,0,COUNTIF('Transect 2_imgsummary'!E30:I30,"SCAP")*100/P30)</f>
        <v>0</v>
      </c>
      <c r="BR30">
        <f>IF(P30=0,0,COUNTIF('Transect 2_imgsummary'!E30:I30,"SERIA")*100/P30)</f>
        <v>0</v>
      </c>
      <c r="BS30">
        <f>IF(P30=0,0,COUNTIF('Transect 2_imgsummary'!E30:I30,"STYLC")*100/P30)</f>
        <v>0</v>
      </c>
      <c r="BT30" s="29">
        <f>IF(P30=0,0,COUNTIF('Transect 2_imgsummary'!E30:I30,"STYLO")*100/P30)</f>
        <v>40</v>
      </c>
      <c r="BU30">
        <f>IF(P30=0,0,COUNTIF('Transect 2_imgsummary'!E30:I30,"SYMP")*100/P30)</f>
        <v>0</v>
      </c>
      <c r="BV30">
        <f>IF(P30=0,0,COUNTIF('Transect 2_imgsummary'!E30:I30,"TURBIN")*100/P30)</f>
        <v>0</v>
      </c>
      <c r="BX30">
        <f>IF(P30=0,0,COUNTIF('Transect 2_imgsummary'!E30:I30,"ANEM")*100/P30)</f>
        <v>0</v>
      </c>
      <c r="BY30">
        <f>IF(P30=0,0,COUNTIF('Transect 2_imgsummary'!E30:I30,"ASC")*100/P30)</f>
        <v>0</v>
      </c>
      <c r="BZ30">
        <f>IF(P30=0,0,COUNTIF('Transect 2_imgsummary'!E30:I30,"CUPS")*100/P30)</f>
        <v>0</v>
      </c>
      <c r="CA30">
        <f>IF(P30=0,0,COUNTIF('Transect 2_imgsummary'!E30:I30,"DISCO")*100/P30)</f>
        <v>0</v>
      </c>
      <c r="CB30">
        <f>IF(P30=0,0,COUNTIF('Transect 2_imgsummary'!E30:I30,"DYS")*100/P30)</f>
        <v>0</v>
      </c>
      <c r="CC30">
        <f>IF(P30=0,0,COUNTIF('Transect 2_imgsummary'!E30:I30,"G")*100/P30)</f>
        <v>0</v>
      </c>
      <c r="CD30">
        <f>IF(P30=0,0,COUNTIF('Transect 2_imgsummary'!E30:I30,"NoIDINV")*100/P30)</f>
        <v>0</v>
      </c>
      <c r="CE30">
        <f>IF(P30=0,0,COUNTIF('Transect 2_imgsummary'!E30:I30,"OLV")*100/P30)</f>
        <v>0</v>
      </c>
      <c r="CF30">
        <f>IF(P30=0,0,COUNTIF('Transect 2_imgsummary'!E30:I30,"SC")*100/P30)</f>
        <v>0</v>
      </c>
      <c r="CG30">
        <f>IF(P30=0,0,COUNTIF('Transect 2_imgsummary'!E30:I30,"S")*100/P30)</f>
        <v>0</v>
      </c>
      <c r="CH30">
        <f>IF(P30=0,0,COUNTIF('Transect 2_imgsummary'!E30:I30,"TERPS")*100/P30)</f>
        <v>0</v>
      </c>
      <c r="CI30">
        <f>IF(P30=0,0,COUNTIF('Transect 2_imgsummary'!E30:I30,"Z")*100/P30)</f>
        <v>0</v>
      </c>
      <c r="CK30">
        <f>IF(P30=0,0,COUNTIF('Transect 2_imgsummary'!E30:I30,"ASP")*100/P30)</f>
        <v>0</v>
      </c>
      <c r="CL30">
        <f>IF(P30=0,0,COUNTIF('Transect 2_imgsummary'!E30:I30,"BG")*100/P30)</f>
        <v>0</v>
      </c>
      <c r="CM30">
        <f>IF(P30=0,0,COUNTIF('Transect 2_imgsummary'!E30:I30,"Bood")*100/P30)</f>
        <v>0</v>
      </c>
      <c r="CN30">
        <f>IF(P30=0,0,COUNTIF('Transect 2_imgsummary'!E30:I30,"BRYP")*100/P30)</f>
        <v>0</v>
      </c>
      <c r="CO30">
        <f>IF(P30=0,0,COUNTIF('Transect 2_imgsummary'!E30:I30,"CLP")*100/P30)</f>
        <v>0</v>
      </c>
      <c r="CP30">
        <f>IF(P30=0,0,COUNTIF('Transect 2_imgsummary'!E30:I30,"CHLDES")*100/P30)</f>
        <v>0</v>
      </c>
      <c r="CQ30">
        <f>IF(P30=0,0,COUNTIF('Transect 2_imgsummary'!E30:I30,"DYCTY")*100/P30)</f>
        <v>0</v>
      </c>
      <c r="CR30">
        <f>IF(P30=0,0,COUNTIF('Transect 2_imgsummary'!E30:I30,"DICT")*100/P30)</f>
        <v>0</v>
      </c>
      <c r="CS30">
        <f>IF(P30=0,0,COUNTIF('Transect 2_imgsummary'!E30:I30,"GLXU")*100/P30)</f>
        <v>0</v>
      </c>
      <c r="CT30">
        <f>IF(P30=0,0,COUNTIF('Transect 2_imgsummary'!E30:I30,"HALI")*100/P30)</f>
        <v>0</v>
      </c>
      <c r="CU30">
        <f>IF(P30=0,0,COUNTIF('Transect 2_imgsummary'!E30:I30,"LIAG")*100/P30)</f>
        <v>0</v>
      </c>
      <c r="CV30">
        <f>IF(P30=0,0,COUNTIF('Transect 2_imgsummary'!E30:I30,"LOBO")*100/P30)</f>
        <v>0</v>
      </c>
      <c r="CW30">
        <f>IF(P30=0,0,COUNTIF('Transect 2_imgsummary'!E30:I30,"MAST")*100/P30)</f>
        <v>0</v>
      </c>
      <c r="CX30">
        <f>IF(P30=0,0,COUNTIF('Transect 2_imgsummary'!E30:I30,"MICDTY")*100/P30)</f>
        <v>0</v>
      </c>
      <c r="CY30">
        <f>IF(P30=0,0,COUNTIF('Transect 2_imgsummary'!E30:I30,"NEOM")*100/P30)</f>
        <v>0</v>
      </c>
      <c r="CZ30">
        <f>IF(P30=0,0,COUNTIF('Transect 2_imgsummary'!E30:I30,"NOIDMAC")*100/P30)</f>
        <v>0</v>
      </c>
      <c r="DA30">
        <f>IF(P30=0,0,COUNTIF('Transect 2_imgsummary'!E30:I30,"PAD")*100/P30)</f>
        <v>0</v>
      </c>
      <c r="DB30">
        <f>IF(P30=0,0,COUNTIF('Transect 2_imgsummary'!E30:I30,"SARG")*100/P30)</f>
        <v>0</v>
      </c>
      <c r="DC30">
        <f>IF(P30=0,0,COUNTIF('Transect 2_imgsummary'!E30:I30,"SCHIZ")*100/P30)</f>
        <v>0</v>
      </c>
      <c r="DD30">
        <f>IF(P30=0,0,COUNTIF('Transect 2_imgsummary'!E30:I30,"TURB")*100/P30)</f>
        <v>0</v>
      </c>
      <c r="DE30">
        <f>IF(P30=0,0,COUNTIF('Transect 2_imgsummary'!E30:I30,"TYDM")*100/P30)</f>
        <v>0</v>
      </c>
      <c r="DG30">
        <f>IF(P30=0,0,COUNTIF('Transect 2_imgsummary'!E30:I30,"AMP")*100/P30)</f>
        <v>0</v>
      </c>
      <c r="DH30">
        <f>IF(P30=0,0,COUNTIF('Transect 2_imgsummary'!E30:I30,"BCA1")*100/P30)</f>
        <v>0</v>
      </c>
      <c r="DI30">
        <f>IF(P30=0,0,COUNTIF('Transect 2_imgsummary'!E30:I30,"JAN")*100/P30)</f>
        <v>0</v>
      </c>
      <c r="DK30">
        <f>IF(P30=0,0,COUNTIF('Transect 2_imgsummary'!E30:I30,"CCA1")*100/P30)</f>
        <v>0</v>
      </c>
      <c r="DM30">
        <f>IF(P30=0,0,COUNTIF('Transect 2_imgsummary'!E30:I30,"Sand")*100/P30)</f>
        <v>0</v>
      </c>
      <c r="DO30">
        <f>IF(P30=0,0,COUNTIF('Transect 2_imgsummary'!E30:I30,"FCA1")*100/P30)</f>
        <v>0</v>
      </c>
      <c r="DQ30">
        <f>IF(P30=0,0,COUNTIF('Transect 2_imgsummary'!E30:I30,"CHRYOBRN")*100/P30)</f>
        <v>0</v>
      </c>
      <c r="DS30" s="29">
        <f>IF(P30=0,0,COUNTIF('Transect 2_imgsummary'!E30:I30,"TURF")*100/P30)</f>
        <v>20</v>
      </c>
      <c r="DU30">
        <f>COUNTIF('Transect 2_imgsummary'!E30:I30,"Shadow")*100/5</f>
        <v>0</v>
      </c>
      <c r="DV30">
        <f>COUNTIF('Transect 2_imgsummary'!E30:I30,"Tape")*100/5</f>
        <v>0</v>
      </c>
      <c r="DW30">
        <f>COUNTIF('Transect 2_imgsummary'!E30:I30,"Wand")*100/5</f>
        <v>0</v>
      </c>
      <c r="DY30">
        <f>IF(P30=0,0,COUNTIF('Transect 2_imgsummary'!O30:S30,"BC")*100/P30)</f>
        <v>0</v>
      </c>
    </row>
    <row r="31" spans="1:129">
      <c r="A31">
        <v>29</v>
      </c>
      <c r="B31" t="s">
        <v>458</v>
      </c>
      <c r="F31" s="29">
        <f>IF(P31=0,0,COUNTIF('Transect 2_imgsummary'!J31:N31,"C")*100/P31)</f>
        <v>40</v>
      </c>
      <c r="G31">
        <f>IF(P31=0,0,COUNTIF('Transect 2_imgsummary'!J31:N31,"OI")*100/P31)</f>
        <v>0</v>
      </c>
      <c r="H31">
        <f>IF(P31=0,0,COUNTIF('Transect 2_imgsummary'!J31:N31,"MA")*100/P31)</f>
        <v>0</v>
      </c>
      <c r="I31">
        <f>IF(P31=0,0,COUNTIF('Transect 2_imgsummary'!J31:N31,"BCA")*100/P31)</f>
        <v>0</v>
      </c>
      <c r="J31" s="29">
        <f>IF(P31=0,0,COUNTIF('Transect 2_imgsummary'!J31:N31,"CCA")*100/P31)</f>
        <v>40</v>
      </c>
      <c r="K31">
        <f>IF(P31=0,0,COUNTIF('Transect 2_imgsummary'!J31:N31,"SD")*100/P31)</f>
        <v>0</v>
      </c>
      <c r="L31">
        <f>IF(P31=0,0,COUNTIF('Transect 2_imgsummary'!J31:N31,"FCA")*100/P31)</f>
        <v>0</v>
      </c>
      <c r="M31">
        <f>IF(P31=0,0,COUNTIF('Transect 2_imgsummary'!J31:N31,"CHRYS")*100/P31)</f>
        <v>0</v>
      </c>
      <c r="N31" s="29">
        <f>IF(P31=0,0,COUNTIF('Transect 2_imgsummary'!J31:N31,"T")*100/P31)</f>
        <v>20</v>
      </c>
      <c r="O31">
        <f>IF(P31=0,0,COUNTIF('Transect 2_imgsummary'!J31:N31,"TWS")*100/P31)</f>
        <v>0</v>
      </c>
      <c r="P31">
        <f>5-COUNTIF('Transect 2_imgsummary'!J31:N31,"TWS")</f>
        <v>5</v>
      </c>
      <c r="S31">
        <f>IF(P31=0,0,COUNTIF('Transect 2_imgsummary'!E31:I31,"ACAN")*100/P31)</f>
        <v>0</v>
      </c>
      <c r="T31">
        <f>IF(P31=0,0,COUNTIF('Transect 2_imgsummary'!E31:I31,"ACROP")*100/P31)</f>
        <v>0</v>
      </c>
      <c r="U31">
        <f>IF(P31=0,0,COUNTIF('Transect 2_imgsummary'!E31:I31,"ACROPARB")*100/P31)</f>
        <v>0</v>
      </c>
      <c r="V31">
        <f>IF(P31=0,0,COUNTIF('Transect 2_imgsummary'!E31:I31,"ACROST")*100/P31)</f>
        <v>0</v>
      </c>
      <c r="W31">
        <f>IF(P31=0,0,COUNTIF('Transect 2_imgsummary'!E31:I31,"ACROTBL")*100/P31)</f>
        <v>0</v>
      </c>
      <c r="X31">
        <f>IF(P31=0,0,COUNTIF('Transect 2_imgsummary'!E31:I31,"ASTRP")*100/P31)</f>
        <v>0</v>
      </c>
      <c r="Y31">
        <f>IF(P31=0,0,COUNTIF('Transect 2_imgsummary'!E31:I31,"CAUL")*100/P31)</f>
        <v>0</v>
      </c>
      <c r="Z31">
        <f>IF(P31=0,0,COUNTIF('Transect 2_imgsummary'!E31:I31,"COSC")*100/P31)</f>
        <v>0</v>
      </c>
      <c r="AA31">
        <f>IF(P31=0,0,COUNTIF('Transect 2_imgsummary'!E31:I31,"CTEN")*100/P31)</f>
        <v>0</v>
      </c>
      <c r="AB31">
        <f>IF(P31=0,0,COUNTIF('Transect 2_imgsummary'!E31:I31,"CYPH")*100/P31)</f>
        <v>0</v>
      </c>
      <c r="AC31">
        <f>IF(P31=0,0,COUNTIF('Transect 2_imgsummary'!E31:I31,"DIPLO")*100/P31)</f>
        <v>0</v>
      </c>
      <c r="AD31">
        <f>IF(P31=0,0,COUNTIF('Transect 2_imgsummary'!E31:I31,"ECHPO")*100/P31)</f>
        <v>0</v>
      </c>
      <c r="AE31">
        <f>IF(P31=0,0,COUNTIF('Transect 2_imgsummary'!E31:I31,"ECHPHY")*100/P31)</f>
        <v>0</v>
      </c>
      <c r="AF31">
        <f>IF(P31=0,0,COUNTIF('Transect 2_imgsummary'!E31:I31,"EUPH")*100/P31)</f>
        <v>0</v>
      </c>
      <c r="AG31">
        <f>IF(P31=0,0,COUNTIF('Transect 2_imgsummary'!E31:I31,"FAV")*100/P31)</f>
        <v>0</v>
      </c>
      <c r="AH31">
        <f>IF(P31=0,0,COUNTIF('Transect 2_imgsummary'!E31:I31,"FAVT")*100/P31)</f>
        <v>0</v>
      </c>
      <c r="AI31">
        <f>IF(P31=0,0,COUNTIF('Transect 2_imgsummary'!E31:I31,"FUNG")*100/P31)</f>
        <v>0</v>
      </c>
      <c r="AJ31" s="29">
        <f>IF(P31=0,0,COUNTIF('Transect 2_imgsummary'!E31:I31,"GAL")*100/P31)</f>
        <v>20</v>
      </c>
      <c r="AK31">
        <f>IF(P31=0,0,COUNTIF('Transect 2_imgsummary'!E31:I31,"GARD")*100/P31)</f>
        <v>0</v>
      </c>
      <c r="AL31">
        <f>IF(P31=0,0,COUNTIF('Transect 2_imgsummary'!E31:I31,"GON")*100/P31)</f>
        <v>0</v>
      </c>
      <c r="AM31">
        <f>IF(P31=0,0,COUNTIF('Transect 2_imgsummary'!E31:I31,"GONIO")*100/P31)</f>
        <v>0</v>
      </c>
      <c r="AN31">
        <f>IF(P31=0,0,COUNTIF('Transect 2_imgsummary'!E31:I31,"HELIO")*100/P31)</f>
        <v>0</v>
      </c>
      <c r="AO31">
        <f>IF(P31=0,0,COUNTIF('Transect 2_imgsummary'!E31:I31,"HERP")*100/P31)</f>
        <v>0</v>
      </c>
      <c r="AP31">
        <f>IF(P31=0,0,COUNTIF('Transect 2_imgsummary'!E31:I31,"HYD")*100/P31)</f>
        <v>0</v>
      </c>
      <c r="AQ31">
        <f>IF(P31=0,0,COUNTIF('Transect 2_imgsummary'!E31:I31,"ISOP")*100/P31)</f>
        <v>0</v>
      </c>
      <c r="AR31">
        <f>IF(P31=0,0,COUNTIF('Transect 2_imgsummary'!E31:I31,"LEPT")*100/P31)</f>
        <v>0</v>
      </c>
      <c r="AS31">
        <f>IF(P31=0,0,COUNTIF('Transect 2_imgsummary'!E31:I31,"LEPTOR")*100/P31)</f>
        <v>0</v>
      </c>
      <c r="AT31">
        <f>IF(P31=0,0,COUNTIF('Transect 2_imgsummary'!E31:I31,"LEPTOS")*100/P31)</f>
        <v>0</v>
      </c>
      <c r="AU31">
        <f>IF(P31=0,0,COUNTIF('Transect 2_imgsummary'!E31:I31,"LOBOPH")*100/P31)</f>
        <v>0</v>
      </c>
      <c r="AV31">
        <f>IF(P31=0,0,COUNTIF('Transect 2_imgsummary'!E31:I31,"MERU")*100/P31)</f>
        <v>0</v>
      </c>
      <c r="AW31">
        <f>IF(P31=0,0,COUNTIF('Transect 2_imgsummary'!E31:I31,"MILL")*100/P31)</f>
        <v>0</v>
      </c>
      <c r="AX31">
        <f>IF(P31=0,0,COUNTIF('Transect 2_imgsummary'!E31:I31,"MONT")*100/P31)</f>
        <v>0</v>
      </c>
      <c r="AY31">
        <f>IF(P31=0,0,COUNTIF('Transect 2_imgsummary'!E31:I31,"MONTI")*100/P31)</f>
        <v>0</v>
      </c>
      <c r="AZ31">
        <f>IF(P31=0,0,COUNTIF('Transect 2_imgsummary'!E31:I31,"MYCED")*100/P31)</f>
        <v>0</v>
      </c>
      <c r="BA31">
        <f>IF(P31=0,0,COUNTIF('Transect 2_imgsummary'!E31:I31,"OULO")*100/P31)</f>
        <v>0</v>
      </c>
      <c r="BB31">
        <f>IF(P31=0,0,COUNTIF('Transect 2_imgsummary'!E31:I31,"OXYP")*100/P31)</f>
        <v>0</v>
      </c>
      <c r="BC31">
        <f>IF(P31=0,0,COUNTIF('Transect 2_imgsummary'!E31:I31,"PLSIA")*100/P31)</f>
        <v>0</v>
      </c>
      <c r="BD31">
        <f>IF(P31=0,0,COUNTIF('Transect 2_imgsummary'!E31:I31,"PACHY")*100/P31)</f>
        <v>0</v>
      </c>
      <c r="BE31">
        <f>IF(P31=0,0,COUNTIF('Transect 2_imgsummary'!E31:I31,"PAV")*100/P31)</f>
        <v>0</v>
      </c>
      <c r="BF31">
        <f>IF(P31=0,0,COUNTIF('Transect 2_imgsummary'!E31:I31,"PECT")*100/P31)</f>
        <v>0</v>
      </c>
      <c r="BG31">
        <f>IF(P31=0,0,COUNTIF('Transect 2_imgsummary'!E31:I31,"PHYSO")*100/P31)</f>
        <v>0</v>
      </c>
      <c r="BH31" s="29">
        <f>IF(P31=0,0,COUNTIF('Transect 2_imgsummary'!E31:I31,"PLAT")*100/P31)</f>
        <v>20</v>
      </c>
      <c r="BI31">
        <f>IF(P31=0,0,COUNTIF('Transect 2_imgsummary'!E31:I31,"PLERO")*100/P31)</f>
        <v>0</v>
      </c>
      <c r="BJ31">
        <f>IF(P31=0,0,COUNTIF('Transect 2_imgsummary'!E31:I31,"POC")*100/P31)</f>
        <v>0</v>
      </c>
      <c r="BK31">
        <f>IF(P31=0,0,COUNTIF('Transect 2_imgsummary'!E31:I31,"POR")*100/P31)</f>
        <v>0</v>
      </c>
      <c r="BL31">
        <f>IF(P31=0,0,COUNTIF('Transect 2_imgsummary'!E31:I31,"PORCYL")*100/P31)</f>
        <v>0</v>
      </c>
      <c r="BM31">
        <f>IF(P31=0,0,COUNTIF('Transect 2_imgsummary'!E31:I31,"PORMAS")*100/P31)</f>
        <v>0</v>
      </c>
      <c r="BN31">
        <f>IF(P31=0,0,COUNTIF('Transect 2_imgsummary'!E31:I31,"PORRUS")*100/P31)</f>
        <v>0</v>
      </c>
      <c r="BO31">
        <f>IF(P31=0,0,COUNTIF('Transect 2_imgsummary'!E31:I31,"PSAM")*100/P31)</f>
        <v>0</v>
      </c>
      <c r="BP31">
        <f>IF(P31=0,0,COUNTIF('Transect 2_imgsummary'!E31:I31,"SANDO")*100/P31)</f>
        <v>0</v>
      </c>
      <c r="BQ31">
        <f>IF(P31=0,0,COUNTIF('Transect 2_imgsummary'!E31:I31,"SCAP")*100/P31)</f>
        <v>0</v>
      </c>
      <c r="BR31">
        <f>IF(P31=0,0,COUNTIF('Transect 2_imgsummary'!E31:I31,"SERIA")*100/P31)</f>
        <v>0</v>
      </c>
      <c r="BS31">
        <f>IF(P31=0,0,COUNTIF('Transect 2_imgsummary'!E31:I31,"STYLC")*100/P31)</f>
        <v>0</v>
      </c>
      <c r="BT31">
        <f>IF(P31=0,0,COUNTIF('Transect 2_imgsummary'!E31:I31,"STYLO")*100/P31)</f>
        <v>0</v>
      </c>
      <c r="BU31">
        <f>IF(P31=0,0,COUNTIF('Transect 2_imgsummary'!E31:I31,"SYMP")*100/P31)</f>
        <v>0</v>
      </c>
      <c r="BV31">
        <f>IF(P31=0,0,COUNTIF('Transect 2_imgsummary'!E31:I31,"TURBIN")*100/P31)</f>
        <v>0</v>
      </c>
      <c r="BX31">
        <f>IF(P31=0,0,COUNTIF('Transect 2_imgsummary'!E31:I31,"ANEM")*100/P31)</f>
        <v>0</v>
      </c>
      <c r="BY31">
        <f>IF(P31=0,0,COUNTIF('Transect 2_imgsummary'!E31:I31,"ASC")*100/P31)</f>
        <v>0</v>
      </c>
      <c r="BZ31">
        <f>IF(P31=0,0,COUNTIF('Transect 2_imgsummary'!E31:I31,"CUPS")*100/P31)</f>
        <v>0</v>
      </c>
      <c r="CA31">
        <f>IF(P31=0,0,COUNTIF('Transect 2_imgsummary'!E31:I31,"DISCO")*100/P31)</f>
        <v>0</v>
      </c>
      <c r="CB31">
        <f>IF(P31=0,0,COUNTIF('Transect 2_imgsummary'!E31:I31,"DYS")*100/P31)</f>
        <v>0</v>
      </c>
      <c r="CC31">
        <f>IF(P31=0,0,COUNTIF('Transect 2_imgsummary'!E31:I31,"G")*100/P31)</f>
        <v>0</v>
      </c>
      <c r="CD31">
        <f>IF(P31=0,0,COUNTIF('Transect 2_imgsummary'!E31:I31,"NoIDINV")*100/P31)</f>
        <v>0</v>
      </c>
      <c r="CE31">
        <f>IF(P31=0,0,COUNTIF('Transect 2_imgsummary'!E31:I31,"OLV")*100/P31)</f>
        <v>0</v>
      </c>
      <c r="CF31">
        <f>IF(P31=0,0,COUNTIF('Transect 2_imgsummary'!E31:I31,"SC")*100/P31)</f>
        <v>0</v>
      </c>
      <c r="CG31">
        <f>IF(P31=0,0,COUNTIF('Transect 2_imgsummary'!E31:I31,"S")*100/P31)</f>
        <v>0</v>
      </c>
      <c r="CH31">
        <f>IF(P31=0,0,COUNTIF('Transect 2_imgsummary'!E31:I31,"TERPS")*100/P31)</f>
        <v>0</v>
      </c>
      <c r="CI31">
        <f>IF(P31=0,0,COUNTIF('Transect 2_imgsummary'!E31:I31,"Z")*100/P31)</f>
        <v>0</v>
      </c>
      <c r="CK31">
        <f>IF(P31=0,0,COUNTIF('Transect 2_imgsummary'!E31:I31,"ASP")*100/P31)</f>
        <v>0</v>
      </c>
      <c r="CL31">
        <f>IF(P31=0,0,COUNTIF('Transect 2_imgsummary'!E31:I31,"BG")*100/P31)</f>
        <v>0</v>
      </c>
      <c r="CM31">
        <f>IF(P31=0,0,COUNTIF('Transect 2_imgsummary'!E31:I31,"Bood")*100/P31)</f>
        <v>0</v>
      </c>
      <c r="CN31">
        <f>IF(P31=0,0,COUNTIF('Transect 2_imgsummary'!E31:I31,"BRYP")*100/P31)</f>
        <v>0</v>
      </c>
      <c r="CO31">
        <f>IF(P31=0,0,COUNTIF('Transect 2_imgsummary'!E31:I31,"CLP")*100/P31)</f>
        <v>0</v>
      </c>
      <c r="CP31">
        <f>IF(P31=0,0,COUNTIF('Transect 2_imgsummary'!E31:I31,"CHLDES")*100/P31)</f>
        <v>0</v>
      </c>
      <c r="CQ31">
        <f>IF(P31=0,0,COUNTIF('Transect 2_imgsummary'!E31:I31,"DYCTY")*100/P31)</f>
        <v>0</v>
      </c>
      <c r="CR31">
        <f>IF(P31=0,0,COUNTIF('Transect 2_imgsummary'!E31:I31,"DICT")*100/P31)</f>
        <v>0</v>
      </c>
      <c r="CS31">
        <f>IF(P31=0,0,COUNTIF('Transect 2_imgsummary'!E31:I31,"GLXU")*100/P31)</f>
        <v>0</v>
      </c>
      <c r="CT31">
        <f>IF(P31=0,0,COUNTIF('Transect 2_imgsummary'!E31:I31,"HALI")*100/P31)</f>
        <v>0</v>
      </c>
      <c r="CU31">
        <f>IF(P31=0,0,COUNTIF('Transect 2_imgsummary'!E31:I31,"LIAG")*100/P31)</f>
        <v>0</v>
      </c>
      <c r="CV31">
        <f>IF(P31=0,0,COUNTIF('Transect 2_imgsummary'!E31:I31,"LOBO")*100/P31)</f>
        <v>0</v>
      </c>
      <c r="CW31">
        <f>IF(P31=0,0,COUNTIF('Transect 2_imgsummary'!E31:I31,"MAST")*100/P31)</f>
        <v>0</v>
      </c>
      <c r="CX31">
        <f>IF(P31=0,0,COUNTIF('Transect 2_imgsummary'!E31:I31,"MICDTY")*100/P31)</f>
        <v>0</v>
      </c>
      <c r="CY31">
        <f>IF(P31=0,0,COUNTIF('Transect 2_imgsummary'!E31:I31,"NEOM")*100/P31)</f>
        <v>0</v>
      </c>
      <c r="CZ31">
        <f>IF(P31=0,0,COUNTIF('Transect 2_imgsummary'!E31:I31,"NOIDMAC")*100/P31)</f>
        <v>0</v>
      </c>
      <c r="DA31">
        <f>IF(P31=0,0,COUNTIF('Transect 2_imgsummary'!E31:I31,"PAD")*100/P31)</f>
        <v>0</v>
      </c>
      <c r="DB31">
        <f>IF(P31=0,0,COUNTIF('Transect 2_imgsummary'!E31:I31,"SARG")*100/P31)</f>
        <v>0</v>
      </c>
      <c r="DC31">
        <f>IF(P31=0,0,COUNTIF('Transect 2_imgsummary'!E31:I31,"SCHIZ")*100/P31)</f>
        <v>0</v>
      </c>
      <c r="DD31">
        <f>IF(P31=0,0,COUNTIF('Transect 2_imgsummary'!E31:I31,"TURB")*100/P31)</f>
        <v>0</v>
      </c>
      <c r="DE31">
        <f>IF(P31=0,0,COUNTIF('Transect 2_imgsummary'!E31:I31,"TYDM")*100/P31)</f>
        <v>0</v>
      </c>
      <c r="DG31">
        <f>IF(P31=0,0,COUNTIF('Transect 2_imgsummary'!E31:I31,"AMP")*100/P31)</f>
        <v>0</v>
      </c>
      <c r="DH31">
        <f>IF(P31=0,0,COUNTIF('Transect 2_imgsummary'!E31:I31,"BCA1")*100/P31)</f>
        <v>0</v>
      </c>
      <c r="DI31">
        <f>IF(P31=0,0,COUNTIF('Transect 2_imgsummary'!E31:I31,"JAN")*100/P31)</f>
        <v>0</v>
      </c>
      <c r="DK31" s="29">
        <f>IF(P31=0,0,COUNTIF('Transect 2_imgsummary'!E31:I31,"CCA1")*100/P31)</f>
        <v>40</v>
      </c>
      <c r="DM31">
        <f>IF(P31=0,0,COUNTIF('Transect 2_imgsummary'!E31:I31,"Sand")*100/P31)</f>
        <v>0</v>
      </c>
      <c r="DO31">
        <f>IF(P31=0,0,COUNTIF('Transect 2_imgsummary'!E31:I31,"FCA1")*100/P31)</f>
        <v>0</v>
      </c>
      <c r="DQ31">
        <f>IF(P31=0,0,COUNTIF('Transect 2_imgsummary'!E31:I31,"CHRYOBRN")*100/P31)</f>
        <v>0</v>
      </c>
      <c r="DS31" s="29">
        <f>IF(P31=0,0,COUNTIF('Transect 2_imgsummary'!E31:I31,"TURF")*100/P31)</f>
        <v>20</v>
      </c>
      <c r="DU31">
        <f>COUNTIF('Transect 2_imgsummary'!E31:I31,"Shadow")*100/5</f>
        <v>0</v>
      </c>
      <c r="DV31">
        <f>COUNTIF('Transect 2_imgsummary'!E31:I31,"Tape")*100/5</f>
        <v>0</v>
      </c>
      <c r="DW31">
        <f>COUNTIF('Transect 2_imgsummary'!E31:I31,"Wand")*100/5</f>
        <v>0</v>
      </c>
      <c r="DY31">
        <f>IF(P31=0,0,COUNTIF('Transect 2_imgsummary'!O31:S31,"BC")*100/P31)</f>
        <v>0</v>
      </c>
    </row>
    <row r="32" spans="1:129">
      <c r="A32">
        <v>30</v>
      </c>
      <c r="B32" t="s">
        <v>459</v>
      </c>
      <c r="F32" s="29">
        <f>IF(P32=0,0,COUNTIF('Transect 2_imgsummary'!J32:N32,"C")*100/P32)</f>
        <v>60</v>
      </c>
      <c r="G32">
        <f>IF(P32=0,0,COUNTIF('Transect 2_imgsummary'!J32:N32,"OI")*100/P32)</f>
        <v>0</v>
      </c>
      <c r="H32">
        <f>IF(P32=0,0,COUNTIF('Transect 2_imgsummary'!J32:N32,"MA")*100/P32)</f>
        <v>0</v>
      </c>
      <c r="I32">
        <f>IF(P32=0,0,COUNTIF('Transect 2_imgsummary'!J32:N32,"BCA")*100/P32)</f>
        <v>0</v>
      </c>
      <c r="J32" s="29">
        <f>IF(P32=0,0,COUNTIF('Transect 2_imgsummary'!J32:N32,"CCA")*100/P32)</f>
        <v>20</v>
      </c>
      <c r="K32">
        <f>IF(P32=0,0,COUNTIF('Transect 2_imgsummary'!J32:N32,"SD")*100/P32)</f>
        <v>0</v>
      </c>
      <c r="L32">
        <f>IF(P32=0,0,COUNTIF('Transect 2_imgsummary'!J32:N32,"FCA")*100/P32)</f>
        <v>0</v>
      </c>
      <c r="M32">
        <f>IF(P32=0,0,COUNTIF('Transect 2_imgsummary'!J32:N32,"CHRYS")*100/P32)</f>
        <v>0</v>
      </c>
      <c r="N32" s="29">
        <f>IF(P32=0,0,COUNTIF('Transect 2_imgsummary'!J32:N32,"T")*100/P32)</f>
        <v>20</v>
      </c>
      <c r="O32">
        <f>IF(P32=0,0,COUNTIF('Transect 2_imgsummary'!J32:N32,"TWS")*100/P32)</f>
        <v>0</v>
      </c>
      <c r="P32">
        <f>5-COUNTIF('Transect 2_imgsummary'!J32:N32,"TWS")</f>
        <v>5</v>
      </c>
      <c r="S32">
        <f>IF(P32=0,0,COUNTIF('Transect 2_imgsummary'!E32:I32,"ACAN")*100/P32)</f>
        <v>0</v>
      </c>
      <c r="T32">
        <f>IF(P32=0,0,COUNTIF('Transect 2_imgsummary'!E32:I32,"ACROP")*100/P32)</f>
        <v>0</v>
      </c>
      <c r="U32">
        <f>IF(P32=0,0,COUNTIF('Transect 2_imgsummary'!E32:I32,"ACROPARB")*100/P32)</f>
        <v>0</v>
      </c>
      <c r="V32">
        <f>IF(P32=0,0,COUNTIF('Transect 2_imgsummary'!E32:I32,"ACROST")*100/P32)</f>
        <v>0</v>
      </c>
      <c r="W32">
        <f>IF(P32=0,0,COUNTIF('Transect 2_imgsummary'!E32:I32,"ACROTBL")*100/P32)</f>
        <v>0</v>
      </c>
      <c r="X32">
        <f>IF(P32=0,0,COUNTIF('Transect 2_imgsummary'!E32:I32,"ASTRP")*100/P32)</f>
        <v>0</v>
      </c>
      <c r="Y32">
        <f>IF(P32=0,0,COUNTIF('Transect 2_imgsummary'!E32:I32,"CAUL")*100/P32)</f>
        <v>0</v>
      </c>
      <c r="Z32">
        <f>IF(P32=0,0,COUNTIF('Transect 2_imgsummary'!E32:I32,"COSC")*100/P32)</f>
        <v>0</v>
      </c>
      <c r="AA32">
        <f>IF(P32=0,0,COUNTIF('Transect 2_imgsummary'!E32:I32,"CTEN")*100/P32)</f>
        <v>0</v>
      </c>
      <c r="AB32">
        <f>IF(P32=0,0,COUNTIF('Transect 2_imgsummary'!E32:I32,"CYPH")*100/P32)</f>
        <v>0</v>
      </c>
      <c r="AC32">
        <f>IF(P32=0,0,COUNTIF('Transect 2_imgsummary'!E32:I32,"DIPLO")*100/P32)</f>
        <v>0</v>
      </c>
      <c r="AD32">
        <f>IF(P32=0,0,COUNTIF('Transect 2_imgsummary'!E32:I32,"ECHPO")*100/P32)</f>
        <v>0</v>
      </c>
      <c r="AE32">
        <f>IF(P32=0,0,COUNTIF('Transect 2_imgsummary'!E32:I32,"ECHPHY")*100/P32)</f>
        <v>0</v>
      </c>
      <c r="AF32">
        <f>IF(P32=0,0,COUNTIF('Transect 2_imgsummary'!E32:I32,"EUPH")*100/P32)</f>
        <v>0</v>
      </c>
      <c r="AG32">
        <f>IF(P32=0,0,COUNTIF('Transect 2_imgsummary'!E32:I32,"FAV")*100/P32)</f>
        <v>0</v>
      </c>
      <c r="AH32">
        <f>IF(P32=0,0,COUNTIF('Transect 2_imgsummary'!E32:I32,"FAVT")*100/P32)</f>
        <v>0</v>
      </c>
      <c r="AI32">
        <f>IF(P32=0,0,COUNTIF('Transect 2_imgsummary'!E32:I32,"FUNG")*100/P32)</f>
        <v>0</v>
      </c>
      <c r="AJ32">
        <f>IF(P32=0,0,COUNTIF('Transect 2_imgsummary'!E32:I32,"GAL")*100/P32)</f>
        <v>0</v>
      </c>
      <c r="AK32">
        <f>IF(P32=0,0,COUNTIF('Transect 2_imgsummary'!E32:I32,"GARD")*100/P32)</f>
        <v>0</v>
      </c>
      <c r="AL32">
        <f>IF(P32=0,0,COUNTIF('Transect 2_imgsummary'!E32:I32,"GON")*100/P32)</f>
        <v>0</v>
      </c>
      <c r="AM32">
        <f>IF(P32=0,0,COUNTIF('Transect 2_imgsummary'!E32:I32,"GONIO")*100/P32)</f>
        <v>0</v>
      </c>
      <c r="AN32">
        <f>IF(P32=0,0,COUNTIF('Transect 2_imgsummary'!E32:I32,"HELIO")*100/P32)</f>
        <v>0</v>
      </c>
      <c r="AO32">
        <f>IF(P32=0,0,COUNTIF('Transect 2_imgsummary'!E32:I32,"HERP")*100/P32)</f>
        <v>0</v>
      </c>
      <c r="AP32">
        <f>IF(P32=0,0,COUNTIF('Transect 2_imgsummary'!E32:I32,"HYD")*100/P32)</f>
        <v>0</v>
      </c>
      <c r="AQ32">
        <f>IF(P32=0,0,COUNTIF('Transect 2_imgsummary'!E32:I32,"ISOP")*100/P32)</f>
        <v>0</v>
      </c>
      <c r="AR32">
        <f>IF(P32=0,0,COUNTIF('Transect 2_imgsummary'!E32:I32,"LEPT")*100/P32)</f>
        <v>0</v>
      </c>
      <c r="AS32">
        <f>IF(P32=0,0,COUNTIF('Transect 2_imgsummary'!E32:I32,"LEPTOR")*100/P32)</f>
        <v>0</v>
      </c>
      <c r="AT32">
        <f>IF(P32=0,0,COUNTIF('Transect 2_imgsummary'!E32:I32,"LEPTOS")*100/P32)</f>
        <v>0</v>
      </c>
      <c r="AU32">
        <f>IF(P32=0,0,COUNTIF('Transect 2_imgsummary'!E32:I32,"LOBOPH")*100/P32)</f>
        <v>0</v>
      </c>
      <c r="AV32">
        <f>IF(P32=0,0,COUNTIF('Transect 2_imgsummary'!E32:I32,"MERU")*100/P32)</f>
        <v>0</v>
      </c>
      <c r="AW32">
        <f>IF(P32=0,0,COUNTIF('Transect 2_imgsummary'!E32:I32,"MILL")*100/P32)</f>
        <v>0</v>
      </c>
      <c r="AX32">
        <f>IF(P32=0,0,COUNTIF('Transect 2_imgsummary'!E32:I32,"MONT")*100/P32)</f>
        <v>0</v>
      </c>
      <c r="AY32">
        <f>IF(P32=0,0,COUNTIF('Transect 2_imgsummary'!E32:I32,"MONTI")*100/P32)</f>
        <v>0</v>
      </c>
      <c r="AZ32">
        <f>IF(P32=0,0,COUNTIF('Transect 2_imgsummary'!E32:I32,"MYCED")*100/P32)</f>
        <v>0</v>
      </c>
      <c r="BA32">
        <f>IF(P32=0,0,COUNTIF('Transect 2_imgsummary'!E32:I32,"OULO")*100/P32)</f>
        <v>0</v>
      </c>
      <c r="BB32">
        <f>IF(P32=0,0,COUNTIF('Transect 2_imgsummary'!E32:I32,"OXYP")*100/P32)</f>
        <v>0</v>
      </c>
      <c r="BC32">
        <f>IF(P32=0,0,COUNTIF('Transect 2_imgsummary'!E32:I32,"PLSIA")*100/P32)</f>
        <v>0</v>
      </c>
      <c r="BD32">
        <f>IF(P32=0,0,COUNTIF('Transect 2_imgsummary'!E32:I32,"PACHY")*100/P32)</f>
        <v>0</v>
      </c>
      <c r="BE32">
        <f>IF(P32=0,0,COUNTIF('Transect 2_imgsummary'!E32:I32,"PAV")*100/P32)</f>
        <v>0</v>
      </c>
      <c r="BF32">
        <f>IF(P32=0,0,COUNTIF('Transect 2_imgsummary'!E32:I32,"PECT")*100/P32)</f>
        <v>0</v>
      </c>
      <c r="BG32">
        <f>IF(P32=0,0,COUNTIF('Transect 2_imgsummary'!E32:I32,"PHYSO")*100/P32)</f>
        <v>0</v>
      </c>
      <c r="BH32" s="29">
        <f>IF(P32=0,0,COUNTIF('Transect 2_imgsummary'!E32:I32,"PLAT")*100/P32)</f>
        <v>60</v>
      </c>
      <c r="BI32">
        <f>IF(P32=0,0,COUNTIF('Transect 2_imgsummary'!E32:I32,"PLERO")*100/P32)</f>
        <v>0</v>
      </c>
      <c r="BJ32">
        <f>IF(P32=0,0,COUNTIF('Transect 2_imgsummary'!E32:I32,"POC")*100/P32)</f>
        <v>0</v>
      </c>
      <c r="BK32">
        <f>IF(P32=0,0,COUNTIF('Transect 2_imgsummary'!E32:I32,"POR")*100/P32)</f>
        <v>0</v>
      </c>
      <c r="BL32">
        <f>IF(P32=0,0,COUNTIF('Transect 2_imgsummary'!E32:I32,"PORCYL")*100/P32)</f>
        <v>0</v>
      </c>
      <c r="BM32">
        <f>IF(P32=0,0,COUNTIF('Transect 2_imgsummary'!E32:I32,"PORMAS")*100/P32)</f>
        <v>0</v>
      </c>
      <c r="BN32">
        <f>IF(P32=0,0,COUNTIF('Transect 2_imgsummary'!E32:I32,"PORRUS")*100/P32)</f>
        <v>0</v>
      </c>
      <c r="BO32">
        <f>IF(P32=0,0,COUNTIF('Transect 2_imgsummary'!E32:I32,"PSAM")*100/P32)</f>
        <v>0</v>
      </c>
      <c r="BP32">
        <f>IF(P32=0,0,COUNTIF('Transect 2_imgsummary'!E32:I32,"SANDO")*100/P32)</f>
        <v>0</v>
      </c>
      <c r="BQ32">
        <f>IF(P32=0,0,COUNTIF('Transect 2_imgsummary'!E32:I32,"SCAP")*100/P32)</f>
        <v>0</v>
      </c>
      <c r="BR32">
        <f>IF(P32=0,0,COUNTIF('Transect 2_imgsummary'!E32:I32,"SERIA")*100/P32)</f>
        <v>0</v>
      </c>
      <c r="BS32">
        <f>IF(P32=0,0,COUNTIF('Transect 2_imgsummary'!E32:I32,"STYLC")*100/P32)</f>
        <v>0</v>
      </c>
      <c r="BT32">
        <f>IF(P32=0,0,COUNTIF('Transect 2_imgsummary'!E32:I32,"STYLO")*100/P32)</f>
        <v>0</v>
      </c>
      <c r="BU32">
        <f>IF(P32=0,0,COUNTIF('Transect 2_imgsummary'!E32:I32,"SYMP")*100/P32)</f>
        <v>0</v>
      </c>
      <c r="BV32">
        <f>IF(P32=0,0,COUNTIF('Transect 2_imgsummary'!E32:I32,"TURBIN")*100/P32)</f>
        <v>0</v>
      </c>
      <c r="BX32">
        <f>IF(P32=0,0,COUNTIF('Transect 2_imgsummary'!E32:I32,"ANEM")*100/P32)</f>
        <v>0</v>
      </c>
      <c r="BY32">
        <f>IF(P32=0,0,COUNTIF('Transect 2_imgsummary'!E32:I32,"ASC")*100/P32)</f>
        <v>0</v>
      </c>
      <c r="BZ32">
        <f>IF(P32=0,0,COUNTIF('Transect 2_imgsummary'!E32:I32,"CUPS")*100/P32)</f>
        <v>0</v>
      </c>
      <c r="CA32">
        <f>IF(P32=0,0,COUNTIF('Transect 2_imgsummary'!E32:I32,"DISCO")*100/P32)</f>
        <v>0</v>
      </c>
      <c r="CB32">
        <f>IF(P32=0,0,COUNTIF('Transect 2_imgsummary'!E32:I32,"DYS")*100/P32)</f>
        <v>0</v>
      </c>
      <c r="CC32">
        <f>IF(P32=0,0,COUNTIF('Transect 2_imgsummary'!E32:I32,"G")*100/P32)</f>
        <v>0</v>
      </c>
      <c r="CD32">
        <f>IF(P32=0,0,COUNTIF('Transect 2_imgsummary'!E32:I32,"NoIDINV")*100/P32)</f>
        <v>0</v>
      </c>
      <c r="CE32">
        <f>IF(P32=0,0,COUNTIF('Transect 2_imgsummary'!E32:I32,"OLV")*100/P32)</f>
        <v>0</v>
      </c>
      <c r="CF32">
        <f>IF(P32=0,0,COUNTIF('Transect 2_imgsummary'!E32:I32,"SC")*100/P32)</f>
        <v>0</v>
      </c>
      <c r="CG32">
        <f>IF(P32=0,0,COUNTIF('Transect 2_imgsummary'!E32:I32,"S")*100/P32)</f>
        <v>0</v>
      </c>
      <c r="CH32">
        <f>IF(P32=0,0,COUNTIF('Transect 2_imgsummary'!E32:I32,"TERPS")*100/P32)</f>
        <v>0</v>
      </c>
      <c r="CI32">
        <f>IF(P32=0,0,COUNTIF('Transect 2_imgsummary'!E32:I32,"Z")*100/P32)</f>
        <v>0</v>
      </c>
      <c r="CK32">
        <f>IF(P32=0,0,COUNTIF('Transect 2_imgsummary'!E32:I32,"ASP")*100/P32)</f>
        <v>0</v>
      </c>
      <c r="CL32">
        <f>IF(P32=0,0,COUNTIF('Transect 2_imgsummary'!E32:I32,"BG")*100/P32)</f>
        <v>0</v>
      </c>
      <c r="CM32">
        <f>IF(P32=0,0,COUNTIF('Transect 2_imgsummary'!E32:I32,"Bood")*100/P32)</f>
        <v>0</v>
      </c>
      <c r="CN32">
        <f>IF(P32=0,0,COUNTIF('Transect 2_imgsummary'!E32:I32,"BRYP")*100/P32)</f>
        <v>0</v>
      </c>
      <c r="CO32">
        <f>IF(P32=0,0,COUNTIF('Transect 2_imgsummary'!E32:I32,"CLP")*100/P32)</f>
        <v>0</v>
      </c>
      <c r="CP32">
        <f>IF(P32=0,0,COUNTIF('Transect 2_imgsummary'!E32:I32,"CHLDES")*100/P32)</f>
        <v>0</v>
      </c>
      <c r="CQ32">
        <f>IF(P32=0,0,COUNTIF('Transect 2_imgsummary'!E32:I32,"DYCTY")*100/P32)</f>
        <v>0</v>
      </c>
      <c r="CR32">
        <f>IF(P32=0,0,COUNTIF('Transect 2_imgsummary'!E32:I32,"DICT")*100/P32)</f>
        <v>0</v>
      </c>
      <c r="CS32">
        <f>IF(P32=0,0,COUNTIF('Transect 2_imgsummary'!E32:I32,"GLXU")*100/P32)</f>
        <v>0</v>
      </c>
      <c r="CT32">
        <f>IF(P32=0,0,COUNTIF('Transect 2_imgsummary'!E32:I32,"HALI")*100/P32)</f>
        <v>0</v>
      </c>
      <c r="CU32">
        <f>IF(P32=0,0,COUNTIF('Transect 2_imgsummary'!E32:I32,"LIAG")*100/P32)</f>
        <v>0</v>
      </c>
      <c r="CV32">
        <f>IF(P32=0,0,COUNTIF('Transect 2_imgsummary'!E32:I32,"LOBO")*100/P32)</f>
        <v>0</v>
      </c>
      <c r="CW32">
        <f>IF(P32=0,0,COUNTIF('Transect 2_imgsummary'!E32:I32,"MAST")*100/P32)</f>
        <v>0</v>
      </c>
      <c r="CX32">
        <f>IF(P32=0,0,COUNTIF('Transect 2_imgsummary'!E32:I32,"MICDTY")*100/P32)</f>
        <v>0</v>
      </c>
      <c r="CY32">
        <f>IF(P32=0,0,COUNTIF('Transect 2_imgsummary'!E32:I32,"NEOM")*100/P32)</f>
        <v>0</v>
      </c>
      <c r="CZ32">
        <f>IF(P32=0,0,COUNTIF('Transect 2_imgsummary'!E32:I32,"NOIDMAC")*100/P32)</f>
        <v>0</v>
      </c>
      <c r="DA32">
        <f>IF(P32=0,0,COUNTIF('Transect 2_imgsummary'!E32:I32,"PAD")*100/P32)</f>
        <v>0</v>
      </c>
      <c r="DB32">
        <f>IF(P32=0,0,COUNTIF('Transect 2_imgsummary'!E32:I32,"SARG")*100/P32)</f>
        <v>0</v>
      </c>
      <c r="DC32">
        <f>IF(P32=0,0,COUNTIF('Transect 2_imgsummary'!E32:I32,"SCHIZ")*100/P32)</f>
        <v>0</v>
      </c>
      <c r="DD32">
        <f>IF(P32=0,0,COUNTIF('Transect 2_imgsummary'!E32:I32,"TURB")*100/P32)</f>
        <v>0</v>
      </c>
      <c r="DE32">
        <f>IF(P32=0,0,COUNTIF('Transect 2_imgsummary'!E32:I32,"TYDM")*100/P32)</f>
        <v>0</v>
      </c>
      <c r="DG32">
        <f>IF(P32=0,0,COUNTIF('Transect 2_imgsummary'!E32:I32,"AMP")*100/P32)</f>
        <v>0</v>
      </c>
      <c r="DH32">
        <f>IF(P32=0,0,COUNTIF('Transect 2_imgsummary'!E32:I32,"BCA1")*100/P32)</f>
        <v>0</v>
      </c>
      <c r="DI32">
        <f>IF(P32=0,0,COUNTIF('Transect 2_imgsummary'!E32:I32,"JAN")*100/P32)</f>
        <v>0</v>
      </c>
      <c r="DK32" s="29">
        <f>IF(P32=0,0,COUNTIF('Transect 2_imgsummary'!E32:I32,"CCA1")*100/P32)</f>
        <v>20</v>
      </c>
      <c r="DM32">
        <f>IF(P32=0,0,COUNTIF('Transect 2_imgsummary'!E32:I32,"Sand")*100/P32)</f>
        <v>0</v>
      </c>
      <c r="DO32">
        <f>IF(P32=0,0,COUNTIF('Transect 2_imgsummary'!E32:I32,"FCA1")*100/P32)</f>
        <v>0</v>
      </c>
      <c r="DQ32">
        <f>IF(P32=0,0,COUNTIF('Transect 2_imgsummary'!E32:I32,"CHRYOBRN")*100/P32)</f>
        <v>0</v>
      </c>
      <c r="DS32" s="29">
        <f>IF(P32=0,0,COUNTIF('Transect 2_imgsummary'!E32:I32,"TURF")*100/P32)</f>
        <v>20</v>
      </c>
      <c r="DU32">
        <f>COUNTIF('Transect 2_imgsummary'!E32:I32,"Shadow")*100/5</f>
        <v>0</v>
      </c>
      <c r="DV32">
        <f>COUNTIF('Transect 2_imgsummary'!E32:I32,"Tape")*100/5</f>
        <v>0</v>
      </c>
      <c r="DW32">
        <f>COUNTIF('Transect 2_imgsummary'!E32:I32,"Wand")*100/5</f>
        <v>0</v>
      </c>
      <c r="DY32">
        <f>IF(P32=0,0,COUNTIF('Transect 2_imgsummary'!O32:S32,"BC")*100/P32)</f>
        <v>0</v>
      </c>
    </row>
    <row r="33" spans="1:129">
      <c r="A33">
        <v>31</v>
      </c>
      <c r="B33" t="s">
        <v>460</v>
      </c>
      <c r="F33" s="29">
        <f>IF(P33=0,0,COUNTIF('Transect 2_imgsummary'!J33:N33,"C")*100/P33)</f>
        <v>60</v>
      </c>
      <c r="G33">
        <f>IF(P33=0,0,COUNTIF('Transect 2_imgsummary'!J33:N33,"OI")*100/P33)</f>
        <v>0</v>
      </c>
      <c r="H33">
        <f>IF(P33=0,0,COUNTIF('Transect 2_imgsummary'!J33:N33,"MA")*100/P33)</f>
        <v>0</v>
      </c>
      <c r="I33">
        <f>IF(P33=0,0,COUNTIF('Transect 2_imgsummary'!J33:N33,"BCA")*100/P33)</f>
        <v>0</v>
      </c>
      <c r="J33" s="29">
        <f>IF(P33=0,0,COUNTIF('Transect 2_imgsummary'!J33:N33,"CCA")*100/P33)</f>
        <v>40</v>
      </c>
      <c r="K33">
        <f>IF(P33=0,0,COUNTIF('Transect 2_imgsummary'!J33:N33,"SD")*100/P33)</f>
        <v>0</v>
      </c>
      <c r="L33">
        <f>IF(P33=0,0,COUNTIF('Transect 2_imgsummary'!J33:N33,"FCA")*100/P33)</f>
        <v>0</v>
      </c>
      <c r="M33">
        <f>IF(P33=0,0,COUNTIF('Transect 2_imgsummary'!J33:N33,"CHRYS")*100/P33)</f>
        <v>0</v>
      </c>
      <c r="N33">
        <f>IF(P33=0,0,COUNTIF('Transect 2_imgsummary'!J33:N33,"T")*100/P33)</f>
        <v>0</v>
      </c>
      <c r="O33">
        <f>IF(P33=0,0,COUNTIF('Transect 2_imgsummary'!J33:N33,"TWS")*100/P33)</f>
        <v>0</v>
      </c>
      <c r="P33">
        <f>5-COUNTIF('Transect 2_imgsummary'!J33:N33,"TWS")</f>
        <v>5</v>
      </c>
      <c r="S33">
        <f>IF(P33=0,0,COUNTIF('Transect 2_imgsummary'!E33:I33,"ACAN")*100/P33)</f>
        <v>0</v>
      </c>
      <c r="T33">
        <f>IF(P33=0,0,COUNTIF('Transect 2_imgsummary'!E33:I33,"ACROP")*100/P33)</f>
        <v>0</v>
      </c>
      <c r="U33">
        <f>IF(P33=0,0,COUNTIF('Transect 2_imgsummary'!E33:I33,"ACROPARB")*100/P33)</f>
        <v>0</v>
      </c>
      <c r="V33">
        <f>IF(P33=0,0,COUNTIF('Transect 2_imgsummary'!E33:I33,"ACROST")*100/P33)</f>
        <v>0</v>
      </c>
      <c r="W33">
        <f>IF(P33=0,0,COUNTIF('Transect 2_imgsummary'!E33:I33,"ACROTBL")*100/P33)</f>
        <v>0</v>
      </c>
      <c r="X33">
        <f>IF(P33=0,0,COUNTIF('Transect 2_imgsummary'!E33:I33,"ASTRP")*100/P33)</f>
        <v>0</v>
      </c>
      <c r="Y33">
        <f>IF(P33=0,0,COUNTIF('Transect 2_imgsummary'!E33:I33,"CAUL")*100/P33)</f>
        <v>0</v>
      </c>
      <c r="Z33">
        <f>IF(P33=0,0,COUNTIF('Transect 2_imgsummary'!E33:I33,"COSC")*100/P33)</f>
        <v>0</v>
      </c>
      <c r="AA33">
        <f>IF(P33=0,0,COUNTIF('Transect 2_imgsummary'!E33:I33,"CTEN")*100/P33)</f>
        <v>0</v>
      </c>
      <c r="AB33">
        <f>IF(P33=0,0,COUNTIF('Transect 2_imgsummary'!E33:I33,"CYPH")*100/P33)</f>
        <v>0</v>
      </c>
      <c r="AC33">
        <f>IF(P33=0,0,COUNTIF('Transect 2_imgsummary'!E33:I33,"DIPLO")*100/P33)</f>
        <v>0</v>
      </c>
      <c r="AD33" s="29">
        <f>IF(P33=0,0,COUNTIF('Transect 2_imgsummary'!E33:I33,"ECHPO")*100/P33)</f>
        <v>20</v>
      </c>
      <c r="AE33">
        <f>IF(P33=0,0,COUNTIF('Transect 2_imgsummary'!E33:I33,"ECHPHY")*100/P33)</f>
        <v>0</v>
      </c>
      <c r="AF33">
        <f>IF(P33=0,0,COUNTIF('Transect 2_imgsummary'!E33:I33,"EUPH")*100/P33)</f>
        <v>0</v>
      </c>
      <c r="AG33">
        <f>IF(P33=0,0,COUNTIF('Transect 2_imgsummary'!E33:I33,"FAV")*100/P33)</f>
        <v>0</v>
      </c>
      <c r="AH33" s="29">
        <f>IF(P33=0,0,COUNTIF('Transect 2_imgsummary'!E33:I33,"FAVT")*100/P33)</f>
        <v>20</v>
      </c>
      <c r="AI33">
        <f>IF(P33=0,0,COUNTIF('Transect 2_imgsummary'!E33:I33,"FUNG")*100/P33)</f>
        <v>0</v>
      </c>
      <c r="AJ33">
        <f>IF(P33=0,0,COUNTIF('Transect 2_imgsummary'!E33:I33,"GAL")*100/P33)</f>
        <v>0</v>
      </c>
      <c r="AK33">
        <f>IF(P33=0,0,COUNTIF('Transect 2_imgsummary'!E33:I33,"GARD")*100/P33)</f>
        <v>0</v>
      </c>
      <c r="AL33">
        <f>IF(P33=0,0,COUNTIF('Transect 2_imgsummary'!E33:I33,"GON")*100/P33)</f>
        <v>0</v>
      </c>
      <c r="AM33">
        <f>IF(P33=0,0,COUNTIF('Transect 2_imgsummary'!E33:I33,"GONIO")*100/P33)</f>
        <v>0</v>
      </c>
      <c r="AN33">
        <f>IF(P33=0,0,COUNTIF('Transect 2_imgsummary'!E33:I33,"HELIO")*100/P33)</f>
        <v>0</v>
      </c>
      <c r="AO33">
        <f>IF(P33=0,0,COUNTIF('Transect 2_imgsummary'!E33:I33,"HERP")*100/P33)</f>
        <v>0</v>
      </c>
      <c r="AP33">
        <f>IF(P33=0,0,COUNTIF('Transect 2_imgsummary'!E33:I33,"HYD")*100/P33)</f>
        <v>0</v>
      </c>
      <c r="AQ33">
        <f>IF(P33=0,0,COUNTIF('Transect 2_imgsummary'!E33:I33,"ISOP")*100/P33)</f>
        <v>0</v>
      </c>
      <c r="AR33">
        <f>IF(P33=0,0,COUNTIF('Transect 2_imgsummary'!E33:I33,"LEPT")*100/P33)</f>
        <v>0</v>
      </c>
      <c r="AS33">
        <f>IF(P33=0,0,COUNTIF('Transect 2_imgsummary'!E33:I33,"LEPTOR")*100/P33)</f>
        <v>0</v>
      </c>
      <c r="AT33">
        <f>IF(P33=0,0,COUNTIF('Transect 2_imgsummary'!E33:I33,"LEPTOS")*100/P33)</f>
        <v>0</v>
      </c>
      <c r="AU33">
        <f>IF(P33=0,0,COUNTIF('Transect 2_imgsummary'!E33:I33,"LOBOPH")*100/P33)</f>
        <v>0</v>
      </c>
      <c r="AV33">
        <f>IF(P33=0,0,COUNTIF('Transect 2_imgsummary'!E33:I33,"MERU")*100/P33)</f>
        <v>0</v>
      </c>
      <c r="AW33">
        <f>IF(P33=0,0,COUNTIF('Transect 2_imgsummary'!E33:I33,"MILL")*100/P33)</f>
        <v>0</v>
      </c>
      <c r="AX33">
        <f>IF(P33=0,0,COUNTIF('Transect 2_imgsummary'!E33:I33,"MONT")*100/P33)</f>
        <v>0</v>
      </c>
      <c r="AY33">
        <f>IF(P33=0,0,COUNTIF('Transect 2_imgsummary'!E33:I33,"MONTI")*100/P33)</f>
        <v>0</v>
      </c>
      <c r="AZ33">
        <f>IF(P33=0,0,COUNTIF('Transect 2_imgsummary'!E33:I33,"MYCED")*100/P33)</f>
        <v>0</v>
      </c>
      <c r="BA33">
        <f>IF(P33=0,0,COUNTIF('Transect 2_imgsummary'!E33:I33,"OULO")*100/P33)</f>
        <v>0</v>
      </c>
      <c r="BB33">
        <f>IF(P33=0,0,COUNTIF('Transect 2_imgsummary'!E33:I33,"OXYP")*100/P33)</f>
        <v>0</v>
      </c>
      <c r="BC33">
        <f>IF(P33=0,0,COUNTIF('Transect 2_imgsummary'!E33:I33,"PLSIA")*100/P33)</f>
        <v>0</v>
      </c>
      <c r="BD33">
        <f>IF(P33=0,0,COUNTIF('Transect 2_imgsummary'!E33:I33,"PACHY")*100/P33)</f>
        <v>0</v>
      </c>
      <c r="BE33">
        <f>IF(P33=0,0,COUNTIF('Transect 2_imgsummary'!E33:I33,"PAV")*100/P33)</f>
        <v>0</v>
      </c>
      <c r="BF33">
        <f>IF(P33=0,0,COUNTIF('Transect 2_imgsummary'!E33:I33,"PECT")*100/P33)</f>
        <v>0</v>
      </c>
      <c r="BG33">
        <f>IF(P33=0,0,COUNTIF('Transect 2_imgsummary'!E33:I33,"PHYSO")*100/P33)</f>
        <v>0</v>
      </c>
      <c r="BH33" s="29">
        <f>IF(P33=0,0,COUNTIF('Transect 2_imgsummary'!E33:I33,"PLAT")*100/P33)</f>
        <v>20</v>
      </c>
      <c r="BI33">
        <f>IF(P33=0,0,COUNTIF('Transect 2_imgsummary'!E33:I33,"PLERO")*100/P33)</f>
        <v>0</v>
      </c>
      <c r="BJ33">
        <f>IF(P33=0,0,COUNTIF('Transect 2_imgsummary'!E33:I33,"POC")*100/P33)</f>
        <v>0</v>
      </c>
      <c r="BK33">
        <f>IF(P33=0,0,COUNTIF('Transect 2_imgsummary'!E33:I33,"POR")*100/P33)</f>
        <v>0</v>
      </c>
      <c r="BL33">
        <f>IF(P33=0,0,COUNTIF('Transect 2_imgsummary'!E33:I33,"PORCYL")*100/P33)</f>
        <v>0</v>
      </c>
      <c r="BM33">
        <f>IF(P33=0,0,COUNTIF('Transect 2_imgsummary'!E33:I33,"PORMAS")*100/P33)</f>
        <v>0</v>
      </c>
      <c r="BN33">
        <f>IF(P33=0,0,COUNTIF('Transect 2_imgsummary'!E33:I33,"PORRUS")*100/P33)</f>
        <v>0</v>
      </c>
      <c r="BO33">
        <f>IF(P33=0,0,COUNTIF('Transect 2_imgsummary'!E33:I33,"PSAM")*100/P33)</f>
        <v>0</v>
      </c>
      <c r="BP33">
        <f>IF(P33=0,0,COUNTIF('Transect 2_imgsummary'!E33:I33,"SANDO")*100/P33)</f>
        <v>0</v>
      </c>
      <c r="BQ33">
        <f>IF(P33=0,0,COUNTIF('Transect 2_imgsummary'!E33:I33,"SCAP")*100/P33)</f>
        <v>0</v>
      </c>
      <c r="BR33">
        <f>IF(P33=0,0,COUNTIF('Transect 2_imgsummary'!E33:I33,"SERIA")*100/P33)</f>
        <v>0</v>
      </c>
      <c r="BS33">
        <f>IF(P33=0,0,COUNTIF('Transect 2_imgsummary'!E33:I33,"STYLC")*100/P33)</f>
        <v>0</v>
      </c>
      <c r="BT33">
        <f>IF(P33=0,0,COUNTIF('Transect 2_imgsummary'!E33:I33,"STYLO")*100/P33)</f>
        <v>0</v>
      </c>
      <c r="BU33">
        <f>IF(P33=0,0,COUNTIF('Transect 2_imgsummary'!E33:I33,"SYMP")*100/P33)</f>
        <v>0</v>
      </c>
      <c r="BV33">
        <f>IF(P33=0,0,COUNTIF('Transect 2_imgsummary'!E33:I33,"TURBIN")*100/P33)</f>
        <v>0</v>
      </c>
      <c r="BX33">
        <f>IF(P33=0,0,COUNTIF('Transect 2_imgsummary'!E33:I33,"ANEM")*100/P33)</f>
        <v>0</v>
      </c>
      <c r="BY33">
        <f>IF(P33=0,0,COUNTIF('Transect 2_imgsummary'!E33:I33,"ASC")*100/P33)</f>
        <v>0</v>
      </c>
      <c r="BZ33">
        <f>IF(P33=0,0,COUNTIF('Transect 2_imgsummary'!E33:I33,"CUPS")*100/P33)</f>
        <v>0</v>
      </c>
      <c r="CA33">
        <f>IF(P33=0,0,COUNTIF('Transect 2_imgsummary'!E33:I33,"DISCO")*100/P33)</f>
        <v>0</v>
      </c>
      <c r="CB33">
        <f>IF(P33=0,0,COUNTIF('Transect 2_imgsummary'!E33:I33,"DYS")*100/P33)</f>
        <v>0</v>
      </c>
      <c r="CC33">
        <f>IF(P33=0,0,COUNTIF('Transect 2_imgsummary'!E33:I33,"G")*100/P33)</f>
        <v>0</v>
      </c>
      <c r="CD33">
        <f>IF(P33=0,0,COUNTIF('Transect 2_imgsummary'!E33:I33,"NoIDINV")*100/P33)</f>
        <v>0</v>
      </c>
      <c r="CE33">
        <f>IF(P33=0,0,COUNTIF('Transect 2_imgsummary'!E33:I33,"OLV")*100/P33)</f>
        <v>0</v>
      </c>
      <c r="CF33">
        <f>IF(P33=0,0,COUNTIF('Transect 2_imgsummary'!E33:I33,"SC")*100/P33)</f>
        <v>0</v>
      </c>
      <c r="CG33">
        <f>IF(P33=0,0,COUNTIF('Transect 2_imgsummary'!E33:I33,"S")*100/P33)</f>
        <v>0</v>
      </c>
      <c r="CH33">
        <f>IF(P33=0,0,COUNTIF('Transect 2_imgsummary'!E33:I33,"TERPS")*100/P33)</f>
        <v>0</v>
      </c>
      <c r="CI33">
        <f>IF(P33=0,0,COUNTIF('Transect 2_imgsummary'!E33:I33,"Z")*100/P33)</f>
        <v>0</v>
      </c>
      <c r="CK33">
        <f>IF(P33=0,0,COUNTIF('Transect 2_imgsummary'!E33:I33,"ASP")*100/P33)</f>
        <v>0</v>
      </c>
      <c r="CL33">
        <f>IF(P33=0,0,COUNTIF('Transect 2_imgsummary'!E33:I33,"BG")*100/P33)</f>
        <v>0</v>
      </c>
      <c r="CM33">
        <f>IF(P33=0,0,COUNTIF('Transect 2_imgsummary'!E33:I33,"Bood")*100/P33)</f>
        <v>0</v>
      </c>
      <c r="CN33">
        <f>IF(P33=0,0,COUNTIF('Transect 2_imgsummary'!E33:I33,"BRYP")*100/P33)</f>
        <v>0</v>
      </c>
      <c r="CO33">
        <f>IF(P33=0,0,COUNTIF('Transect 2_imgsummary'!E33:I33,"CLP")*100/P33)</f>
        <v>0</v>
      </c>
      <c r="CP33">
        <f>IF(P33=0,0,COUNTIF('Transect 2_imgsummary'!E33:I33,"CHLDES")*100/P33)</f>
        <v>0</v>
      </c>
      <c r="CQ33">
        <f>IF(P33=0,0,COUNTIF('Transect 2_imgsummary'!E33:I33,"DYCTY")*100/P33)</f>
        <v>0</v>
      </c>
      <c r="CR33">
        <f>IF(P33=0,0,COUNTIF('Transect 2_imgsummary'!E33:I33,"DICT")*100/P33)</f>
        <v>0</v>
      </c>
      <c r="CS33">
        <f>IF(P33=0,0,COUNTIF('Transect 2_imgsummary'!E33:I33,"GLXU")*100/P33)</f>
        <v>0</v>
      </c>
      <c r="CT33">
        <f>IF(P33=0,0,COUNTIF('Transect 2_imgsummary'!E33:I33,"HALI")*100/P33)</f>
        <v>0</v>
      </c>
      <c r="CU33">
        <f>IF(P33=0,0,COUNTIF('Transect 2_imgsummary'!E33:I33,"LIAG")*100/P33)</f>
        <v>0</v>
      </c>
      <c r="CV33">
        <f>IF(P33=0,0,COUNTIF('Transect 2_imgsummary'!E33:I33,"LOBO")*100/P33)</f>
        <v>0</v>
      </c>
      <c r="CW33">
        <f>IF(P33=0,0,COUNTIF('Transect 2_imgsummary'!E33:I33,"MAST")*100/P33)</f>
        <v>0</v>
      </c>
      <c r="CX33">
        <f>IF(P33=0,0,COUNTIF('Transect 2_imgsummary'!E33:I33,"MICDTY")*100/P33)</f>
        <v>0</v>
      </c>
      <c r="CY33">
        <f>IF(P33=0,0,COUNTIF('Transect 2_imgsummary'!E33:I33,"NEOM")*100/P33)</f>
        <v>0</v>
      </c>
      <c r="CZ33">
        <f>IF(P33=0,0,COUNTIF('Transect 2_imgsummary'!E33:I33,"NOIDMAC")*100/P33)</f>
        <v>0</v>
      </c>
      <c r="DA33">
        <f>IF(P33=0,0,COUNTIF('Transect 2_imgsummary'!E33:I33,"PAD")*100/P33)</f>
        <v>0</v>
      </c>
      <c r="DB33">
        <f>IF(P33=0,0,COUNTIF('Transect 2_imgsummary'!E33:I33,"SARG")*100/P33)</f>
        <v>0</v>
      </c>
      <c r="DC33">
        <f>IF(P33=0,0,COUNTIF('Transect 2_imgsummary'!E33:I33,"SCHIZ")*100/P33)</f>
        <v>0</v>
      </c>
      <c r="DD33">
        <f>IF(P33=0,0,COUNTIF('Transect 2_imgsummary'!E33:I33,"TURB")*100/P33)</f>
        <v>0</v>
      </c>
      <c r="DE33">
        <f>IF(P33=0,0,COUNTIF('Transect 2_imgsummary'!E33:I33,"TYDM")*100/P33)</f>
        <v>0</v>
      </c>
      <c r="DG33">
        <f>IF(P33=0,0,COUNTIF('Transect 2_imgsummary'!E33:I33,"AMP")*100/P33)</f>
        <v>0</v>
      </c>
      <c r="DH33">
        <f>IF(P33=0,0,COUNTIF('Transect 2_imgsummary'!E33:I33,"BCA1")*100/P33)</f>
        <v>0</v>
      </c>
      <c r="DI33">
        <f>IF(P33=0,0,COUNTIF('Transect 2_imgsummary'!E33:I33,"JAN")*100/P33)</f>
        <v>0</v>
      </c>
      <c r="DK33" s="29">
        <f>IF(P33=0,0,COUNTIF('Transect 2_imgsummary'!E33:I33,"CCA1")*100/P33)</f>
        <v>40</v>
      </c>
      <c r="DM33">
        <f>IF(P33=0,0,COUNTIF('Transect 2_imgsummary'!E33:I33,"Sand")*100/P33)</f>
        <v>0</v>
      </c>
      <c r="DO33">
        <f>IF(P33=0,0,COUNTIF('Transect 2_imgsummary'!E33:I33,"FCA1")*100/P33)</f>
        <v>0</v>
      </c>
      <c r="DQ33">
        <f>IF(P33=0,0,COUNTIF('Transect 2_imgsummary'!E33:I33,"CHRYOBRN")*100/P33)</f>
        <v>0</v>
      </c>
      <c r="DS33">
        <f>IF(P33=0,0,COUNTIF('Transect 2_imgsummary'!E33:I33,"TURF")*100/P33)</f>
        <v>0</v>
      </c>
      <c r="DU33">
        <f>COUNTIF('Transect 2_imgsummary'!E33:I33,"Shadow")*100/5</f>
        <v>0</v>
      </c>
      <c r="DV33">
        <f>COUNTIF('Transect 2_imgsummary'!E33:I33,"Tape")*100/5</f>
        <v>0</v>
      </c>
      <c r="DW33">
        <f>COUNTIF('Transect 2_imgsummary'!E33:I33,"Wand")*100/5</f>
        <v>0</v>
      </c>
      <c r="DY33">
        <f>IF(P33=0,0,COUNTIF('Transect 2_imgsummary'!O33:S33,"BC")*100/P33)</f>
        <v>0</v>
      </c>
    </row>
    <row r="34" spans="1:129">
      <c r="A34">
        <v>32</v>
      </c>
      <c r="B34" t="s">
        <v>461</v>
      </c>
      <c r="F34" s="29">
        <f>IF(P34=0,0,COUNTIF('Transect 2_imgsummary'!J34:N34,"C")*100/P34)</f>
        <v>80</v>
      </c>
      <c r="G34">
        <f>IF(P34=0,0,COUNTIF('Transect 2_imgsummary'!J34:N34,"OI")*100/P34)</f>
        <v>0</v>
      </c>
      <c r="H34">
        <f>IF(P34=0,0,COUNTIF('Transect 2_imgsummary'!J34:N34,"MA")*100/P34)</f>
        <v>0</v>
      </c>
      <c r="I34">
        <f>IF(P34=0,0,COUNTIF('Transect 2_imgsummary'!J34:N34,"BCA")*100/P34)</f>
        <v>0</v>
      </c>
      <c r="J34">
        <f>IF(P34=0,0,COUNTIF('Transect 2_imgsummary'!J34:N34,"CCA")*100/P34)</f>
        <v>0</v>
      </c>
      <c r="K34">
        <f>IF(P34=0,0,COUNTIF('Transect 2_imgsummary'!J34:N34,"SD")*100/P34)</f>
        <v>0</v>
      </c>
      <c r="L34">
        <f>IF(P34=0,0,COUNTIF('Transect 2_imgsummary'!J34:N34,"FCA")*100/P34)</f>
        <v>0</v>
      </c>
      <c r="M34">
        <f>IF(P34=0,0,COUNTIF('Transect 2_imgsummary'!J34:N34,"CHRYS")*100/P34)</f>
        <v>0</v>
      </c>
      <c r="N34" s="29">
        <f>IF(P34=0,0,COUNTIF('Transect 2_imgsummary'!J34:N34,"T")*100/P34)</f>
        <v>20</v>
      </c>
      <c r="O34">
        <f>IF(P34=0,0,COUNTIF('Transect 2_imgsummary'!J34:N34,"TWS")*100/P34)</f>
        <v>0</v>
      </c>
      <c r="P34">
        <f>5-COUNTIF('Transect 2_imgsummary'!J34:N34,"TWS")</f>
        <v>5</v>
      </c>
      <c r="S34">
        <f>IF(P34=0,0,COUNTIF('Transect 2_imgsummary'!E34:I34,"ACAN")*100/P34)</f>
        <v>0</v>
      </c>
      <c r="T34">
        <f>IF(P34=0,0,COUNTIF('Transect 2_imgsummary'!E34:I34,"ACROP")*100/P34)</f>
        <v>0</v>
      </c>
      <c r="U34">
        <f>IF(P34=0,0,COUNTIF('Transect 2_imgsummary'!E34:I34,"ACROPARB")*100/P34)</f>
        <v>0</v>
      </c>
      <c r="V34">
        <f>IF(P34=0,0,COUNTIF('Transect 2_imgsummary'!E34:I34,"ACROST")*100/P34)</f>
        <v>0</v>
      </c>
      <c r="W34" s="29">
        <f>IF(P34=0,0,COUNTIF('Transect 2_imgsummary'!E34:I34,"ACROTBL")*100/P34)</f>
        <v>80</v>
      </c>
      <c r="X34">
        <f>IF(P34=0,0,COUNTIF('Transect 2_imgsummary'!E34:I34,"ASTRP")*100/P34)</f>
        <v>0</v>
      </c>
      <c r="Y34">
        <f>IF(P34=0,0,COUNTIF('Transect 2_imgsummary'!E34:I34,"CAUL")*100/P34)</f>
        <v>0</v>
      </c>
      <c r="Z34">
        <f>IF(P34=0,0,COUNTIF('Transect 2_imgsummary'!E34:I34,"COSC")*100/P34)</f>
        <v>0</v>
      </c>
      <c r="AA34">
        <f>IF(P34=0,0,COUNTIF('Transect 2_imgsummary'!E34:I34,"CTEN")*100/P34)</f>
        <v>0</v>
      </c>
      <c r="AB34">
        <f>IF(P34=0,0,COUNTIF('Transect 2_imgsummary'!E34:I34,"CYPH")*100/P34)</f>
        <v>0</v>
      </c>
      <c r="AC34">
        <f>IF(P34=0,0,COUNTIF('Transect 2_imgsummary'!E34:I34,"DIPLO")*100/P34)</f>
        <v>0</v>
      </c>
      <c r="AD34">
        <f>IF(P34=0,0,COUNTIF('Transect 2_imgsummary'!E34:I34,"ECHPO")*100/P34)</f>
        <v>0</v>
      </c>
      <c r="AE34">
        <f>IF(P34=0,0,COUNTIF('Transect 2_imgsummary'!E34:I34,"ECHPHY")*100/P34)</f>
        <v>0</v>
      </c>
      <c r="AF34">
        <f>IF(P34=0,0,COUNTIF('Transect 2_imgsummary'!E34:I34,"EUPH")*100/P34)</f>
        <v>0</v>
      </c>
      <c r="AG34">
        <f>IF(P34=0,0,COUNTIF('Transect 2_imgsummary'!E34:I34,"FAV")*100/P34)</f>
        <v>0</v>
      </c>
      <c r="AH34">
        <f>IF(P34=0,0,COUNTIF('Transect 2_imgsummary'!E34:I34,"FAVT")*100/P34)</f>
        <v>0</v>
      </c>
      <c r="AI34">
        <f>IF(P34=0,0,COUNTIF('Transect 2_imgsummary'!E34:I34,"FUNG")*100/P34)</f>
        <v>0</v>
      </c>
      <c r="AJ34">
        <f>IF(P34=0,0,COUNTIF('Transect 2_imgsummary'!E34:I34,"GAL")*100/P34)</f>
        <v>0</v>
      </c>
      <c r="AK34">
        <f>IF(P34=0,0,COUNTIF('Transect 2_imgsummary'!E34:I34,"GARD")*100/P34)</f>
        <v>0</v>
      </c>
      <c r="AL34">
        <f>IF(P34=0,0,COUNTIF('Transect 2_imgsummary'!E34:I34,"GON")*100/P34)</f>
        <v>0</v>
      </c>
      <c r="AM34">
        <f>IF(P34=0,0,COUNTIF('Transect 2_imgsummary'!E34:I34,"GONIO")*100/P34)</f>
        <v>0</v>
      </c>
      <c r="AN34">
        <f>IF(P34=0,0,COUNTIF('Transect 2_imgsummary'!E34:I34,"HELIO")*100/P34)</f>
        <v>0</v>
      </c>
      <c r="AO34">
        <f>IF(P34=0,0,COUNTIF('Transect 2_imgsummary'!E34:I34,"HERP")*100/P34)</f>
        <v>0</v>
      </c>
      <c r="AP34">
        <f>IF(P34=0,0,COUNTIF('Transect 2_imgsummary'!E34:I34,"HYD")*100/P34)</f>
        <v>0</v>
      </c>
      <c r="AQ34">
        <f>IF(P34=0,0,COUNTIF('Transect 2_imgsummary'!E34:I34,"ISOP")*100/P34)</f>
        <v>0</v>
      </c>
      <c r="AR34">
        <f>IF(P34=0,0,COUNTIF('Transect 2_imgsummary'!E34:I34,"LEPT")*100/P34)</f>
        <v>0</v>
      </c>
      <c r="AS34">
        <f>IF(P34=0,0,COUNTIF('Transect 2_imgsummary'!E34:I34,"LEPTOR")*100/P34)</f>
        <v>0</v>
      </c>
      <c r="AT34">
        <f>IF(P34=0,0,COUNTIF('Transect 2_imgsummary'!E34:I34,"LEPTOS")*100/P34)</f>
        <v>0</v>
      </c>
      <c r="AU34">
        <f>IF(P34=0,0,COUNTIF('Transect 2_imgsummary'!E34:I34,"LOBOPH")*100/P34)</f>
        <v>0</v>
      </c>
      <c r="AV34">
        <f>IF(P34=0,0,COUNTIF('Transect 2_imgsummary'!E34:I34,"MERU")*100/P34)</f>
        <v>0</v>
      </c>
      <c r="AW34">
        <f>IF(P34=0,0,COUNTIF('Transect 2_imgsummary'!E34:I34,"MILL")*100/P34)</f>
        <v>0</v>
      </c>
      <c r="AX34">
        <f>IF(P34=0,0,COUNTIF('Transect 2_imgsummary'!E34:I34,"MONT")*100/P34)</f>
        <v>0</v>
      </c>
      <c r="AY34">
        <f>IF(P34=0,0,COUNTIF('Transect 2_imgsummary'!E34:I34,"MONTI")*100/P34)</f>
        <v>0</v>
      </c>
      <c r="AZ34">
        <f>IF(P34=0,0,COUNTIF('Transect 2_imgsummary'!E34:I34,"MYCED")*100/P34)</f>
        <v>0</v>
      </c>
      <c r="BA34">
        <f>IF(P34=0,0,COUNTIF('Transect 2_imgsummary'!E34:I34,"OULO")*100/P34)</f>
        <v>0</v>
      </c>
      <c r="BB34">
        <f>IF(P34=0,0,COUNTIF('Transect 2_imgsummary'!E34:I34,"OXYP")*100/P34)</f>
        <v>0</v>
      </c>
      <c r="BC34">
        <f>IF(P34=0,0,COUNTIF('Transect 2_imgsummary'!E34:I34,"PLSIA")*100/P34)</f>
        <v>0</v>
      </c>
      <c r="BD34">
        <f>IF(P34=0,0,COUNTIF('Transect 2_imgsummary'!E34:I34,"PACHY")*100/P34)</f>
        <v>0</v>
      </c>
      <c r="BE34">
        <f>IF(P34=0,0,COUNTIF('Transect 2_imgsummary'!E34:I34,"PAV")*100/P34)</f>
        <v>0</v>
      </c>
      <c r="BF34">
        <f>IF(P34=0,0,COUNTIF('Transect 2_imgsummary'!E34:I34,"PECT")*100/P34)</f>
        <v>0</v>
      </c>
      <c r="BG34">
        <f>IF(P34=0,0,COUNTIF('Transect 2_imgsummary'!E34:I34,"PHYSO")*100/P34)</f>
        <v>0</v>
      </c>
      <c r="BH34">
        <f>IF(P34=0,0,COUNTIF('Transect 2_imgsummary'!E34:I34,"PLAT")*100/P34)</f>
        <v>0</v>
      </c>
      <c r="BI34">
        <f>IF(P34=0,0,COUNTIF('Transect 2_imgsummary'!E34:I34,"PLERO")*100/P34)</f>
        <v>0</v>
      </c>
      <c r="BJ34">
        <f>IF(P34=0,0,COUNTIF('Transect 2_imgsummary'!E34:I34,"POC")*100/P34)</f>
        <v>0</v>
      </c>
      <c r="BK34">
        <f>IF(P34=0,0,COUNTIF('Transect 2_imgsummary'!E34:I34,"POR")*100/P34)</f>
        <v>0</v>
      </c>
      <c r="BL34">
        <f>IF(P34=0,0,COUNTIF('Transect 2_imgsummary'!E34:I34,"PORCYL")*100/P34)</f>
        <v>0</v>
      </c>
      <c r="BM34">
        <f>IF(P34=0,0,COUNTIF('Transect 2_imgsummary'!E34:I34,"PORMAS")*100/P34)</f>
        <v>0</v>
      </c>
      <c r="BN34">
        <f>IF(P34=0,0,COUNTIF('Transect 2_imgsummary'!E34:I34,"PORRUS")*100/P34)</f>
        <v>0</v>
      </c>
      <c r="BO34">
        <f>IF(P34=0,0,COUNTIF('Transect 2_imgsummary'!E34:I34,"PSAM")*100/P34)</f>
        <v>0</v>
      </c>
      <c r="BP34">
        <f>IF(P34=0,0,COUNTIF('Transect 2_imgsummary'!E34:I34,"SANDO")*100/P34)</f>
        <v>0</v>
      </c>
      <c r="BQ34">
        <f>IF(P34=0,0,COUNTIF('Transect 2_imgsummary'!E34:I34,"SCAP")*100/P34)</f>
        <v>0</v>
      </c>
      <c r="BR34">
        <f>IF(P34=0,0,COUNTIF('Transect 2_imgsummary'!E34:I34,"SERIA")*100/P34)</f>
        <v>0</v>
      </c>
      <c r="BS34">
        <f>IF(P34=0,0,COUNTIF('Transect 2_imgsummary'!E34:I34,"STYLC")*100/P34)</f>
        <v>0</v>
      </c>
      <c r="BT34">
        <f>IF(P34=0,0,COUNTIF('Transect 2_imgsummary'!E34:I34,"STYLO")*100/P34)</f>
        <v>0</v>
      </c>
      <c r="BU34">
        <f>IF(P34=0,0,COUNTIF('Transect 2_imgsummary'!E34:I34,"SYMP")*100/P34)</f>
        <v>0</v>
      </c>
      <c r="BV34">
        <f>IF(P34=0,0,COUNTIF('Transect 2_imgsummary'!E34:I34,"TURBIN")*100/P34)</f>
        <v>0</v>
      </c>
      <c r="BX34">
        <f>IF(P34=0,0,COUNTIF('Transect 2_imgsummary'!E34:I34,"ANEM")*100/P34)</f>
        <v>0</v>
      </c>
      <c r="BY34">
        <f>IF(P34=0,0,COUNTIF('Transect 2_imgsummary'!E34:I34,"ASC")*100/P34)</f>
        <v>0</v>
      </c>
      <c r="BZ34">
        <f>IF(P34=0,0,COUNTIF('Transect 2_imgsummary'!E34:I34,"CUPS")*100/P34)</f>
        <v>0</v>
      </c>
      <c r="CA34">
        <f>IF(P34=0,0,COUNTIF('Transect 2_imgsummary'!E34:I34,"DISCO")*100/P34)</f>
        <v>0</v>
      </c>
      <c r="CB34">
        <f>IF(P34=0,0,COUNTIF('Transect 2_imgsummary'!E34:I34,"DYS")*100/P34)</f>
        <v>0</v>
      </c>
      <c r="CC34">
        <f>IF(P34=0,0,COUNTIF('Transect 2_imgsummary'!E34:I34,"G")*100/P34)</f>
        <v>0</v>
      </c>
      <c r="CD34">
        <f>IF(P34=0,0,COUNTIF('Transect 2_imgsummary'!E34:I34,"NoIDINV")*100/P34)</f>
        <v>0</v>
      </c>
      <c r="CE34">
        <f>IF(P34=0,0,COUNTIF('Transect 2_imgsummary'!E34:I34,"OLV")*100/P34)</f>
        <v>0</v>
      </c>
      <c r="CF34">
        <f>IF(P34=0,0,COUNTIF('Transect 2_imgsummary'!E34:I34,"SC")*100/P34)</f>
        <v>0</v>
      </c>
      <c r="CG34">
        <f>IF(P34=0,0,COUNTIF('Transect 2_imgsummary'!E34:I34,"S")*100/P34)</f>
        <v>0</v>
      </c>
      <c r="CH34">
        <f>IF(P34=0,0,COUNTIF('Transect 2_imgsummary'!E34:I34,"TERPS")*100/P34)</f>
        <v>0</v>
      </c>
      <c r="CI34">
        <f>IF(P34=0,0,COUNTIF('Transect 2_imgsummary'!E34:I34,"Z")*100/P34)</f>
        <v>0</v>
      </c>
      <c r="CK34">
        <f>IF(P34=0,0,COUNTIF('Transect 2_imgsummary'!E34:I34,"ASP")*100/P34)</f>
        <v>0</v>
      </c>
      <c r="CL34">
        <f>IF(P34=0,0,COUNTIF('Transect 2_imgsummary'!E34:I34,"BG")*100/P34)</f>
        <v>0</v>
      </c>
      <c r="CM34">
        <f>IF(P34=0,0,COUNTIF('Transect 2_imgsummary'!E34:I34,"Bood")*100/P34)</f>
        <v>0</v>
      </c>
      <c r="CN34">
        <f>IF(P34=0,0,COUNTIF('Transect 2_imgsummary'!E34:I34,"BRYP")*100/P34)</f>
        <v>0</v>
      </c>
      <c r="CO34">
        <f>IF(P34=0,0,COUNTIF('Transect 2_imgsummary'!E34:I34,"CLP")*100/P34)</f>
        <v>0</v>
      </c>
      <c r="CP34">
        <f>IF(P34=0,0,COUNTIF('Transect 2_imgsummary'!E34:I34,"CHLDES")*100/P34)</f>
        <v>0</v>
      </c>
      <c r="CQ34">
        <f>IF(P34=0,0,COUNTIF('Transect 2_imgsummary'!E34:I34,"DYCTY")*100/P34)</f>
        <v>0</v>
      </c>
      <c r="CR34">
        <f>IF(P34=0,0,COUNTIF('Transect 2_imgsummary'!E34:I34,"DICT")*100/P34)</f>
        <v>0</v>
      </c>
      <c r="CS34">
        <f>IF(P34=0,0,COUNTIF('Transect 2_imgsummary'!E34:I34,"GLXU")*100/P34)</f>
        <v>0</v>
      </c>
      <c r="CT34">
        <f>IF(P34=0,0,COUNTIF('Transect 2_imgsummary'!E34:I34,"HALI")*100/P34)</f>
        <v>0</v>
      </c>
      <c r="CU34">
        <f>IF(P34=0,0,COUNTIF('Transect 2_imgsummary'!E34:I34,"LIAG")*100/P34)</f>
        <v>0</v>
      </c>
      <c r="CV34">
        <f>IF(P34=0,0,COUNTIF('Transect 2_imgsummary'!E34:I34,"LOBO")*100/P34)</f>
        <v>0</v>
      </c>
      <c r="CW34">
        <f>IF(P34=0,0,COUNTIF('Transect 2_imgsummary'!E34:I34,"MAST")*100/P34)</f>
        <v>0</v>
      </c>
      <c r="CX34">
        <f>IF(P34=0,0,COUNTIF('Transect 2_imgsummary'!E34:I34,"MICDTY")*100/P34)</f>
        <v>0</v>
      </c>
      <c r="CY34">
        <f>IF(P34=0,0,COUNTIF('Transect 2_imgsummary'!E34:I34,"NEOM")*100/P34)</f>
        <v>0</v>
      </c>
      <c r="CZ34">
        <f>IF(P34=0,0,COUNTIF('Transect 2_imgsummary'!E34:I34,"NOIDMAC")*100/P34)</f>
        <v>0</v>
      </c>
      <c r="DA34">
        <f>IF(P34=0,0,COUNTIF('Transect 2_imgsummary'!E34:I34,"PAD")*100/P34)</f>
        <v>0</v>
      </c>
      <c r="DB34">
        <f>IF(P34=0,0,COUNTIF('Transect 2_imgsummary'!E34:I34,"SARG")*100/P34)</f>
        <v>0</v>
      </c>
      <c r="DC34">
        <f>IF(P34=0,0,COUNTIF('Transect 2_imgsummary'!E34:I34,"SCHIZ")*100/P34)</f>
        <v>0</v>
      </c>
      <c r="DD34">
        <f>IF(P34=0,0,COUNTIF('Transect 2_imgsummary'!E34:I34,"TURB")*100/P34)</f>
        <v>0</v>
      </c>
      <c r="DE34">
        <f>IF(P34=0,0,COUNTIF('Transect 2_imgsummary'!E34:I34,"TYDM")*100/P34)</f>
        <v>0</v>
      </c>
      <c r="DG34">
        <f>IF(P34=0,0,COUNTIF('Transect 2_imgsummary'!E34:I34,"AMP")*100/P34)</f>
        <v>0</v>
      </c>
      <c r="DH34">
        <f>IF(P34=0,0,COUNTIF('Transect 2_imgsummary'!E34:I34,"BCA1")*100/P34)</f>
        <v>0</v>
      </c>
      <c r="DI34">
        <f>IF(P34=0,0,COUNTIF('Transect 2_imgsummary'!E34:I34,"JAN")*100/P34)</f>
        <v>0</v>
      </c>
      <c r="DK34">
        <f>IF(P34=0,0,COUNTIF('Transect 2_imgsummary'!E34:I34,"CCA1")*100/P34)</f>
        <v>0</v>
      </c>
      <c r="DM34">
        <f>IF(P34=0,0,COUNTIF('Transect 2_imgsummary'!E34:I34,"Sand")*100/P34)</f>
        <v>0</v>
      </c>
      <c r="DO34">
        <f>IF(P34=0,0,COUNTIF('Transect 2_imgsummary'!E34:I34,"FCA1")*100/P34)</f>
        <v>0</v>
      </c>
      <c r="DQ34">
        <f>IF(P34=0,0,COUNTIF('Transect 2_imgsummary'!E34:I34,"CHRYOBRN")*100/P34)</f>
        <v>0</v>
      </c>
      <c r="DS34" s="29">
        <f>IF(P34=0,0,COUNTIF('Transect 2_imgsummary'!E34:I34,"TURF")*100/P34)</f>
        <v>20</v>
      </c>
      <c r="DU34">
        <f>COUNTIF('Transect 2_imgsummary'!E34:I34,"Shadow")*100/5</f>
        <v>0</v>
      </c>
      <c r="DV34">
        <f>COUNTIF('Transect 2_imgsummary'!E34:I34,"Tape")*100/5</f>
        <v>0</v>
      </c>
      <c r="DW34">
        <f>COUNTIF('Transect 2_imgsummary'!E34:I34,"Wand")*100/5</f>
        <v>0</v>
      </c>
      <c r="DY34">
        <f>IF(P34=0,0,COUNTIF('Transect 2_imgsummary'!O34:S34,"BC")*100/P34)</f>
        <v>0</v>
      </c>
    </row>
    <row r="35" spans="1:129">
      <c r="A35">
        <v>33</v>
      </c>
      <c r="B35" t="s">
        <v>462</v>
      </c>
      <c r="F35" s="29">
        <f>IF(P35=0,0,COUNTIF('Transect 2_imgsummary'!J35:N35,"C")*100/P35)</f>
        <v>80</v>
      </c>
      <c r="G35">
        <f>IF(P35=0,0,COUNTIF('Transect 2_imgsummary'!J35:N35,"OI")*100/P35)</f>
        <v>0</v>
      </c>
      <c r="H35">
        <f>IF(P35=0,0,COUNTIF('Transect 2_imgsummary'!J35:N35,"MA")*100/P35)</f>
        <v>0</v>
      </c>
      <c r="I35">
        <f>IF(P35=0,0,COUNTIF('Transect 2_imgsummary'!J35:N35,"BCA")*100/P35)</f>
        <v>0</v>
      </c>
      <c r="J35">
        <f>IF(P35=0,0,COUNTIF('Transect 2_imgsummary'!J35:N35,"CCA")*100/P35)</f>
        <v>0</v>
      </c>
      <c r="K35">
        <f>IF(P35=0,0,COUNTIF('Transect 2_imgsummary'!J35:N35,"SD")*100/P35)</f>
        <v>0</v>
      </c>
      <c r="L35">
        <f>IF(P35=0,0,COUNTIF('Transect 2_imgsummary'!J35:N35,"FCA")*100/P35)</f>
        <v>0</v>
      </c>
      <c r="M35">
        <f>IF(P35=0,0,COUNTIF('Transect 2_imgsummary'!J35:N35,"CHRYS")*100/P35)</f>
        <v>0</v>
      </c>
      <c r="N35" s="29">
        <f>IF(P35=0,0,COUNTIF('Transect 2_imgsummary'!J35:N35,"T")*100/P35)</f>
        <v>20</v>
      </c>
      <c r="O35">
        <f>IF(P35=0,0,COUNTIF('Transect 2_imgsummary'!J35:N35,"TWS")*100/P35)</f>
        <v>0</v>
      </c>
      <c r="P35">
        <f>5-COUNTIF('Transect 2_imgsummary'!J35:N35,"TWS")</f>
        <v>5</v>
      </c>
      <c r="S35">
        <f>IF(P35=0,0,COUNTIF('Transect 2_imgsummary'!E35:I35,"ACAN")*100/P35)</f>
        <v>0</v>
      </c>
      <c r="T35">
        <f>IF(P35=0,0,COUNTIF('Transect 2_imgsummary'!E35:I35,"ACROP")*100/P35)</f>
        <v>0</v>
      </c>
      <c r="U35">
        <f>IF(P35=0,0,COUNTIF('Transect 2_imgsummary'!E35:I35,"ACROPARB")*100/P35)</f>
        <v>0</v>
      </c>
      <c r="V35">
        <f>IF(P35=0,0,COUNTIF('Transect 2_imgsummary'!E35:I35,"ACROST")*100/P35)</f>
        <v>0</v>
      </c>
      <c r="W35">
        <f>IF(P35=0,0,COUNTIF('Transect 2_imgsummary'!E35:I35,"ACROTBL")*100/P35)</f>
        <v>0</v>
      </c>
      <c r="X35">
        <f>IF(P35=0,0,COUNTIF('Transect 2_imgsummary'!E35:I35,"ASTRP")*100/P35)</f>
        <v>0</v>
      </c>
      <c r="Y35">
        <f>IF(P35=0,0,COUNTIF('Transect 2_imgsummary'!E35:I35,"CAUL")*100/P35)</f>
        <v>0</v>
      </c>
      <c r="Z35">
        <f>IF(P35=0,0,COUNTIF('Transect 2_imgsummary'!E35:I35,"COSC")*100/P35)</f>
        <v>0</v>
      </c>
      <c r="AA35">
        <f>IF(P35=0,0,COUNTIF('Transect 2_imgsummary'!E35:I35,"CTEN")*100/P35)</f>
        <v>0</v>
      </c>
      <c r="AB35">
        <f>IF(P35=0,0,COUNTIF('Transect 2_imgsummary'!E35:I35,"CYPH")*100/P35)</f>
        <v>0</v>
      </c>
      <c r="AC35">
        <f>IF(P35=0,0,COUNTIF('Transect 2_imgsummary'!E35:I35,"DIPLO")*100/P35)</f>
        <v>0</v>
      </c>
      <c r="AD35" s="29">
        <f>IF(P35=0,0,COUNTIF('Transect 2_imgsummary'!E35:I35,"ECHPO")*100/P35)</f>
        <v>60</v>
      </c>
      <c r="AE35">
        <f>IF(P35=0,0,COUNTIF('Transect 2_imgsummary'!E35:I35,"ECHPHY")*100/P35)</f>
        <v>0</v>
      </c>
      <c r="AF35">
        <f>IF(P35=0,0,COUNTIF('Transect 2_imgsummary'!E35:I35,"EUPH")*100/P35)</f>
        <v>0</v>
      </c>
      <c r="AG35">
        <f>IF(P35=0,0,COUNTIF('Transect 2_imgsummary'!E35:I35,"FAV")*100/P35)</f>
        <v>0</v>
      </c>
      <c r="AH35">
        <f>IF(P35=0,0,COUNTIF('Transect 2_imgsummary'!E35:I35,"FAVT")*100/P35)</f>
        <v>0</v>
      </c>
      <c r="AI35">
        <f>IF(P35=0,0,COUNTIF('Transect 2_imgsummary'!E35:I35,"FUNG")*100/P35)</f>
        <v>0</v>
      </c>
      <c r="AJ35">
        <f>IF(P35=0,0,COUNTIF('Transect 2_imgsummary'!E35:I35,"GAL")*100/P35)</f>
        <v>0</v>
      </c>
      <c r="AK35">
        <f>IF(P35=0,0,COUNTIF('Transect 2_imgsummary'!E35:I35,"GARD")*100/P35)</f>
        <v>0</v>
      </c>
      <c r="AL35">
        <f>IF(P35=0,0,COUNTIF('Transect 2_imgsummary'!E35:I35,"GON")*100/P35)</f>
        <v>0</v>
      </c>
      <c r="AM35">
        <f>IF(P35=0,0,COUNTIF('Transect 2_imgsummary'!E35:I35,"GONIO")*100/P35)</f>
        <v>0</v>
      </c>
      <c r="AN35">
        <f>IF(P35=0,0,COUNTIF('Transect 2_imgsummary'!E35:I35,"HELIO")*100/P35)</f>
        <v>0</v>
      </c>
      <c r="AO35">
        <f>IF(P35=0,0,COUNTIF('Transect 2_imgsummary'!E35:I35,"HERP")*100/P35)</f>
        <v>0</v>
      </c>
      <c r="AP35">
        <f>IF(P35=0,0,COUNTIF('Transect 2_imgsummary'!E35:I35,"HYD")*100/P35)</f>
        <v>0</v>
      </c>
      <c r="AQ35">
        <f>IF(P35=0,0,COUNTIF('Transect 2_imgsummary'!E35:I35,"ISOP")*100/P35)</f>
        <v>0</v>
      </c>
      <c r="AR35">
        <f>IF(P35=0,0,COUNTIF('Transect 2_imgsummary'!E35:I35,"LEPT")*100/P35)</f>
        <v>0</v>
      </c>
      <c r="AS35">
        <f>IF(P35=0,0,COUNTIF('Transect 2_imgsummary'!E35:I35,"LEPTOR")*100/P35)</f>
        <v>0</v>
      </c>
      <c r="AT35">
        <f>IF(P35=0,0,COUNTIF('Transect 2_imgsummary'!E35:I35,"LEPTOS")*100/P35)</f>
        <v>0</v>
      </c>
      <c r="AU35">
        <f>IF(P35=0,0,COUNTIF('Transect 2_imgsummary'!E35:I35,"LOBOPH")*100/P35)</f>
        <v>0</v>
      </c>
      <c r="AV35">
        <f>IF(P35=0,0,COUNTIF('Transect 2_imgsummary'!E35:I35,"MERU")*100/P35)</f>
        <v>0</v>
      </c>
      <c r="AW35">
        <f>IF(P35=0,0,COUNTIF('Transect 2_imgsummary'!E35:I35,"MILL")*100/P35)</f>
        <v>0</v>
      </c>
      <c r="AX35">
        <f>IF(P35=0,0,COUNTIF('Transect 2_imgsummary'!E35:I35,"MONT")*100/P35)</f>
        <v>0</v>
      </c>
      <c r="AY35">
        <f>IF(P35=0,0,COUNTIF('Transect 2_imgsummary'!E35:I35,"MONTI")*100/P35)</f>
        <v>0</v>
      </c>
      <c r="AZ35">
        <f>IF(P35=0,0,COUNTIF('Transect 2_imgsummary'!E35:I35,"MYCED")*100/P35)</f>
        <v>0</v>
      </c>
      <c r="BA35">
        <f>IF(P35=0,0,COUNTIF('Transect 2_imgsummary'!E35:I35,"OULO")*100/P35)</f>
        <v>0</v>
      </c>
      <c r="BB35">
        <f>IF(P35=0,0,COUNTIF('Transect 2_imgsummary'!E35:I35,"OXYP")*100/P35)</f>
        <v>0</v>
      </c>
      <c r="BC35">
        <f>IF(P35=0,0,COUNTIF('Transect 2_imgsummary'!E35:I35,"PLSIA")*100/P35)</f>
        <v>0</v>
      </c>
      <c r="BD35">
        <f>IF(P35=0,0,COUNTIF('Transect 2_imgsummary'!E35:I35,"PACHY")*100/P35)</f>
        <v>0</v>
      </c>
      <c r="BE35">
        <f>IF(P35=0,0,COUNTIF('Transect 2_imgsummary'!E35:I35,"PAV")*100/P35)</f>
        <v>0</v>
      </c>
      <c r="BF35">
        <f>IF(P35=0,0,COUNTIF('Transect 2_imgsummary'!E35:I35,"PECT")*100/P35)</f>
        <v>0</v>
      </c>
      <c r="BG35">
        <f>IF(P35=0,0,COUNTIF('Transect 2_imgsummary'!E35:I35,"PHYSO")*100/P35)</f>
        <v>0</v>
      </c>
      <c r="BH35" s="29">
        <f>IF(P35=0,0,COUNTIF('Transect 2_imgsummary'!E35:I35,"PLAT")*100/P35)</f>
        <v>20</v>
      </c>
      <c r="BI35">
        <f>IF(P35=0,0,COUNTIF('Transect 2_imgsummary'!E35:I35,"PLERO")*100/P35)</f>
        <v>0</v>
      </c>
      <c r="BJ35">
        <f>IF(P35=0,0,COUNTIF('Transect 2_imgsummary'!E35:I35,"POC")*100/P35)</f>
        <v>0</v>
      </c>
      <c r="BK35">
        <f>IF(P35=0,0,COUNTIF('Transect 2_imgsummary'!E35:I35,"POR")*100/P35)</f>
        <v>0</v>
      </c>
      <c r="BL35">
        <f>IF(P35=0,0,COUNTIF('Transect 2_imgsummary'!E35:I35,"PORCYL")*100/P35)</f>
        <v>0</v>
      </c>
      <c r="BM35">
        <f>IF(P35=0,0,COUNTIF('Transect 2_imgsummary'!E35:I35,"PORMAS")*100/P35)</f>
        <v>0</v>
      </c>
      <c r="BN35">
        <f>IF(P35=0,0,COUNTIF('Transect 2_imgsummary'!E35:I35,"PORRUS")*100/P35)</f>
        <v>0</v>
      </c>
      <c r="BO35">
        <f>IF(P35=0,0,COUNTIF('Transect 2_imgsummary'!E35:I35,"PSAM")*100/P35)</f>
        <v>0</v>
      </c>
      <c r="BP35">
        <f>IF(P35=0,0,COUNTIF('Transect 2_imgsummary'!E35:I35,"SANDO")*100/P35)</f>
        <v>0</v>
      </c>
      <c r="BQ35">
        <f>IF(P35=0,0,COUNTIF('Transect 2_imgsummary'!E35:I35,"SCAP")*100/P35)</f>
        <v>0</v>
      </c>
      <c r="BR35">
        <f>IF(P35=0,0,COUNTIF('Transect 2_imgsummary'!E35:I35,"SERIA")*100/P35)</f>
        <v>0</v>
      </c>
      <c r="BS35">
        <f>IF(P35=0,0,COUNTIF('Transect 2_imgsummary'!E35:I35,"STYLC")*100/P35)</f>
        <v>0</v>
      </c>
      <c r="BT35">
        <f>IF(P35=0,0,COUNTIF('Transect 2_imgsummary'!E35:I35,"STYLO")*100/P35)</f>
        <v>0</v>
      </c>
      <c r="BU35">
        <f>IF(P35=0,0,COUNTIF('Transect 2_imgsummary'!E35:I35,"SYMP")*100/P35)</f>
        <v>0</v>
      </c>
      <c r="BV35">
        <f>IF(P35=0,0,COUNTIF('Transect 2_imgsummary'!E35:I35,"TURBIN")*100/P35)</f>
        <v>0</v>
      </c>
      <c r="BX35">
        <f>IF(P35=0,0,COUNTIF('Transect 2_imgsummary'!E35:I35,"ANEM")*100/P35)</f>
        <v>0</v>
      </c>
      <c r="BY35">
        <f>IF(P35=0,0,COUNTIF('Transect 2_imgsummary'!E35:I35,"ASC")*100/P35)</f>
        <v>0</v>
      </c>
      <c r="BZ35">
        <f>IF(P35=0,0,COUNTIF('Transect 2_imgsummary'!E35:I35,"CUPS")*100/P35)</f>
        <v>0</v>
      </c>
      <c r="CA35">
        <f>IF(P35=0,0,COUNTIF('Transect 2_imgsummary'!E35:I35,"DISCO")*100/P35)</f>
        <v>0</v>
      </c>
      <c r="CB35">
        <f>IF(P35=0,0,COUNTIF('Transect 2_imgsummary'!E35:I35,"DYS")*100/P35)</f>
        <v>0</v>
      </c>
      <c r="CC35">
        <f>IF(P35=0,0,COUNTIF('Transect 2_imgsummary'!E35:I35,"G")*100/P35)</f>
        <v>0</v>
      </c>
      <c r="CD35">
        <f>IF(P35=0,0,COUNTIF('Transect 2_imgsummary'!E35:I35,"NoIDINV")*100/P35)</f>
        <v>0</v>
      </c>
      <c r="CE35">
        <f>IF(P35=0,0,COUNTIF('Transect 2_imgsummary'!E35:I35,"OLV")*100/P35)</f>
        <v>0</v>
      </c>
      <c r="CF35">
        <f>IF(P35=0,0,COUNTIF('Transect 2_imgsummary'!E35:I35,"SC")*100/P35)</f>
        <v>0</v>
      </c>
      <c r="CG35">
        <f>IF(P35=0,0,COUNTIF('Transect 2_imgsummary'!E35:I35,"S")*100/P35)</f>
        <v>0</v>
      </c>
      <c r="CH35">
        <f>IF(P35=0,0,COUNTIF('Transect 2_imgsummary'!E35:I35,"TERPS")*100/P35)</f>
        <v>0</v>
      </c>
      <c r="CI35">
        <f>IF(P35=0,0,COUNTIF('Transect 2_imgsummary'!E35:I35,"Z")*100/P35)</f>
        <v>0</v>
      </c>
      <c r="CK35">
        <f>IF(P35=0,0,COUNTIF('Transect 2_imgsummary'!E35:I35,"ASP")*100/P35)</f>
        <v>0</v>
      </c>
      <c r="CL35">
        <f>IF(P35=0,0,COUNTIF('Transect 2_imgsummary'!E35:I35,"BG")*100/P35)</f>
        <v>0</v>
      </c>
      <c r="CM35">
        <f>IF(P35=0,0,COUNTIF('Transect 2_imgsummary'!E35:I35,"Bood")*100/P35)</f>
        <v>0</v>
      </c>
      <c r="CN35">
        <f>IF(P35=0,0,COUNTIF('Transect 2_imgsummary'!E35:I35,"BRYP")*100/P35)</f>
        <v>0</v>
      </c>
      <c r="CO35">
        <f>IF(P35=0,0,COUNTIF('Transect 2_imgsummary'!E35:I35,"CLP")*100/P35)</f>
        <v>0</v>
      </c>
      <c r="CP35">
        <f>IF(P35=0,0,COUNTIF('Transect 2_imgsummary'!E35:I35,"CHLDES")*100/P35)</f>
        <v>0</v>
      </c>
      <c r="CQ35">
        <f>IF(P35=0,0,COUNTIF('Transect 2_imgsummary'!E35:I35,"DYCTY")*100/P35)</f>
        <v>0</v>
      </c>
      <c r="CR35">
        <f>IF(P35=0,0,COUNTIF('Transect 2_imgsummary'!E35:I35,"DICT")*100/P35)</f>
        <v>0</v>
      </c>
      <c r="CS35">
        <f>IF(P35=0,0,COUNTIF('Transect 2_imgsummary'!E35:I35,"GLXU")*100/P35)</f>
        <v>0</v>
      </c>
      <c r="CT35">
        <f>IF(P35=0,0,COUNTIF('Transect 2_imgsummary'!E35:I35,"HALI")*100/P35)</f>
        <v>0</v>
      </c>
      <c r="CU35">
        <f>IF(P35=0,0,COUNTIF('Transect 2_imgsummary'!E35:I35,"LIAG")*100/P35)</f>
        <v>0</v>
      </c>
      <c r="CV35">
        <f>IF(P35=0,0,COUNTIF('Transect 2_imgsummary'!E35:I35,"LOBO")*100/P35)</f>
        <v>0</v>
      </c>
      <c r="CW35">
        <f>IF(P35=0,0,COUNTIF('Transect 2_imgsummary'!E35:I35,"MAST")*100/P35)</f>
        <v>0</v>
      </c>
      <c r="CX35">
        <f>IF(P35=0,0,COUNTIF('Transect 2_imgsummary'!E35:I35,"MICDTY")*100/P35)</f>
        <v>0</v>
      </c>
      <c r="CY35">
        <f>IF(P35=0,0,COUNTIF('Transect 2_imgsummary'!E35:I35,"NEOM")*100/P35)</f>
        <v>0</v>
      </c>
      <c r="CZ35">
        <f>IF(P35=0,0,COUNTIF('Transect 2_imgsummary'!E35:I35,"NOIDMAC")*100/P35)</f>
        <v>0</v>
      </c>
      <c r="DA35">
        <f>IF(P35=0,0,COUNTIF('Transect 2_imgsummary'!E35:I35,"PAD")*100/P35)</f>
        <v>0</v>
      </c>
      <c r="DB35">
        <f>IF(P35=0,0,COUNTIF('Transect 2_imgsummary'!E35:I35,"SARG")*100/P35)</f>
        <v>0</v>
      </c>
      <c r="DC35">
        <f>IF(P35=0,0,COUNTIF('Transect 2_imgsummary'!E35:I35,"SCHIZ")*100/P35)</f>
        <v>0</v>
      </c>
      <c r="DD35">
        <f>IF(P35=0,0,COUNTIF('Transect 2_imgsummary'!E35:I35,"TURB")*100/P35)</f>
        <v>0</v>
      </c>
      <c r="DE35">
        <f>IF(P35=0,0,COUNTIF('Transect 2_imgsummary'!E35:I35,"TYDM")*100/P35)</f>
        <v>0</v>
      </c>
      <c r="DG35">
        <f>IF(P35=0,0,COUNTIF('Transect 2_imgsummary'!E35:I35,"AMP")*100/P35)</f>
        <v>0</v>
      </c>
      <c r="DH35">
        <f>IF(P35=0,0,COUNTIF('Transect 2_imgsummary'!E35:I35,"BCA1")*100/P35)</f>
        <v>0</v>
      </c>
      <c r="DI35">
        <f>IF(P35=0,0,COUNTIF('Transect 2_imgsummary'!E35:I35,"JAN")*100/P35)</f>
        <v>0</v>
      </c>
      <c r="DK35">
        <f>IF(P35=0,0,COUNTIF('Transect 2_imgsummary'!E35:I35,"CCA1")*100/P35)</f>
        <v>0</v>
      </c>
      <c r="DM35">
        <f>IF(P35=0,0,COUNTIF('Transect 2_imgsummary'!E35:I35,"Sand")*100/P35)</f>
        <v>0</v>
      </c>
      <c r="DO35">
        <f>IF(P35=0,0,COUNTIF('Transect 2_imgsummary'!E35:I35,"FCA1")*100/P35)</f>
        <v>0</v>
      </c>
      <c r="DQ35">
        <f>IF(P35=0,0,COUNTIF('Transect 2_imgsummary'!E35:I35,"CHRYOBRN")*100/P35)</f>
        <v>0</v>
      </c>
      <c r="DS35" s="29">
        <f>IF(P35=0,0,COUNTIF('Transect 2_imgsummary'!E35:I35,"TURF")*100/P35)</f>
        <v>20</v>
      </c>
      <c r="DU35">
        <f>COUNTIF('Transect 2_imgsummary'!E35:I35,"Shadow")*100/5</f>
        <v>0</v>
      </c>
      <c r="DV35">
        <f>COUNTIF('Transect 2_imgsummary'!E35:I35,"Tape")*100/5</f>
        <v>0</v>
      </c>
      <c r="DW35">
        <f>COUNTIF('Transect 2_imgsummary'!E35:I35,"Wand")*100/5</f>
        <v>0</v>
      </c>
      <c r="DY35">
        <f>IF(P35=0,0,COUNTIF('Transect 2_imgsummary'!O35:S35,"BC")*100/P35)</f>
        <v>0</v>
      </c>
    </row>
    <row r="36" spans="1:129">
      <c r="A36">
        <v>34</v>
      </c>
      <c r="B36" t="s">
        <v>463</v>
      </c>
      <c r="F36" s="29">
        <f>IF(P36=0,0,COUNTIF('Transect 2_imgsummary'!J36:N36,"C")*100/P36)</f>
        <v>80</v>
      </c>
      <c r="G36">
        <f>IF(P36=0,0,COUNTIF('Transect 2_imgsummary'!J36:N36,"OI")*100/P36)</f>
        <v>0</v>
      </c>
      <c r="H36">
        <f>IF(P36=0,0,COUNTIF('Transect 2_imgsummary'!J36:N36,"MA")*100/P36)</f>
        <v>0</v>
      </c>
      <c r="I36">
        <f>IF(P36=0,0,COUNTIF('Transect 2_imgsummary'!J36:N36,"BCA")*100/P36)</f>
        <v>0</v>
      </c>
      <c r="J36">
        <f>IF(P36=0,0,COUNTIF('Transect 2_imgsummary'!J36:N36,"CCA")*100/P36)</f>
        <v>0</v>
      </c>
      <c r="K36">
        <f>IF(P36=0,0,COUNTIF('Transect 2_imgsummary'!J36:N36,"SD")*100/P36)</f>
        <v>0</v>
      </c>
      <c r="L36" s="29">
        <f>IF(P36=0,0,COUNTIF('Transect 2_imgsummary'!J36:N36,"FCA")*100/P36)</f>
        <v>20</v>
      </c>
      <c r="M36">
        <f>IF(P36=0,0,COUNTIF('Transect 2_imgsummary'!J36:N36,"CHRYS")*100/P36)</f>
        <v>0</v>
      </c>
      <c r="N36">
        <f>IF(P36=0,0,COUNTIF('Transect 2_imgsummary'!J36:N36,"T")*100/P36)</f>
        <v>0</v>
      </c>
      <c r="O36">
        <f>IF(P36=0,0,COUNTIF('Transect 2_imgsummary'!J36:N36,"TWS")*100/P36)</f>
        <v>0</v>
      </c>
      <c r="P36">
        <f>5-COUNTIF('Transect 2_imgsummary'!J36:N36,"TWS")</f>
        <v>5</v>
      </c>
      <c r="S36">
        <f>IF(P36=0,0,COUNTIF('Transect 2_imgsummary'!E36:I36,"ACAN")*100/P36)</f>
        <v>0</v>
      </c>
      <c r="T36">
        <f>IF(P36=0,0,COUNTIF('Transect 2_imgsummary'!E36:I36,"ACROP")*100/P36)</f>
        <v>0</v>
      </c>
      <c r="U36">
        <f>IF(P36=0,0,COUNTIF('Transect 2_imgsummary'!E36:I36,"ACROPARB")*100/P36)</f>
        <v>0</v>
      </c>
      <c r="V36">
        <f>IF(P36=0,0,COUNTIF('Transect 2_imgsummary'!E36:I36,"ACROST")*100/P36)</f>
        <v>0</v>
      </c>
      <c r="W36">
        <f>IF(P36=0,0,COUNTIF('Transect 2_imgsummary'!E36:I36,"ACROTBL")*100/P36)</f>
        <v>0</v>
      </c>
      <c r="X36">
        <f>IF(P36=0,0,COUNTIF('Transect 2_imgsummary'!E36:I36,"ASTRP")*100/P36)</f>
        <v>0</v>
      </c>
      <c r="Y36">
        <f>IF(P36=0,0,COUNTIF('Transect 2_imgsummary'!E36:I36,"CAUL")*100/P36)</f>
        <v>0</v>
      </c>
      <c r="Z36">
        <f>IF(P36=0,0,COUNTIF('Transect 2_imgsummary'!E36:I36,"COSC")*100/P36)</f>
        <v>0</v>
      </c>
      <c r="AA36">
        <f>IF(P36=0,0,COUNTIF('Transect 2_imgsummary'!E36:I36,"CTEN")*100/P36)</f>
        <v>0</v>
      </c>
      <c r="AB36">
        <f>IF(P36=0,0,COUNTIF('Transect 2_imgsummary'!E36:I36,"CYPH")*100/P36)</f>
        <v>0</v>
      </c>
      <c r="AC36">
        <f>IF(P36=0,0,COUNTIF('Transect 2_imgsummary'!E36:I36,"DIPLO")*100/P36)</f>
        <v>0</v>
      </c>
      <c r="AD36">
        <f>IF(P36=0,0,COUNTIF('Transect 2_imgsummary'!E36:I36,"ECHPO")*100/P36)</f>
        <v>0</v>
      </c>
      <c r="AE36">
        <f>IF(P36=0,0,COUNTIF('Transect 2_imgsummary'!E36:I36,"ECHPHY")*100/P36)</f>
        <v>0</v>
      </c>
      <c r="AF36">
        <f>IF(P36=0,0,COUNTIF('Transect 2_imgsummary'!E36:I36,"EUPH")*100/P36)</f>
        <v>0</v>
      </c>
      <c r="AG36">
        <f>IF(P36=0,0,COUNTIF('Transect 2_imgsummary'!E36:I36,"FAV")*100/P36)</f>
        <v>0</v>
      </c>
      <c r="AH36">
        <f>IF(P36=0,0,COUNTIF('Transect 2_imgsummary'!E36:I36,"FAVT")*100/P36)</f>
        <v>0</v>
      </c>
      <c r="AI36">
        <f>IF(P36=0,0,COUNTIF('Transect 2_imgsummary'!E36:I36,"FUNG")*100/P36)</f>
        <v>0</v>
      </c>
      <c r="AJ36">
        <f>IF(P36=0,0,COUNTIF('Transect 2_imgsummary'!E36:I36,"GAL")*100/P36)</f>
        <v>0</v>
      </c>
      <c r="AK36">
        <f>IF(P36=0,0,COUNTIF('Transect 2_imgsummary'!E36:I36,"GARD")*100/P36)</f>
        <v>0</v>
      </c>
      <c r="AL36">
        <f>IF(P36=0,0,COUNTIF('Transect 2_imgsummary'!E36:I36,"GON")*100/P36)</f>
        <v>0</v>
      </c>
      <c r="AM36">
        <f>IF(P36=0,0,COUNTIF('Transect 2_imgsummary'!E36:I36,"GONIO")*100/P36)</f>
        <v>0</v>
      </c>
      <c r="AN36">
        <f>IF(P36=0,0,COUNTIF('Transect 2_imgsummary'!E36:I36,"HELIO")*100/P36)</f>
        <v>0</v>
      </c>
      <c r="AO36">
        <f>IF(P36=0,0,COUNTIF('Transect 2_imgsummary'!E36:I36,"HERP")*100/P36)</f>
        <v>0</v>
      </c>
      <c r="AP36">
        <f>IF(P36=0,0,COUNTIF('Transect 2_imgsummary'!E36:I36,"HYD")*100/P36)</f>
        <v>0</v>
      </c>
      <c r="AQ36">
        <f>IF(P36=0,0,COUNTIF('Transect 2_imgsummary'!E36:I36,"ISOP")*100/P36)</f>
        <v>0</v>
      </c>
      <c r="AR36">
        <f>IF(P36=0,0,COUNTIF('Transect 2_imgsummary'!E36:I36,"LEPT")*100/P36)</f>
        <v>0</v>
      </c>
      <c r="AS36">
        <f>IF(P36=0,0,COUNTIF('Transect 2_imgsummary'!E36:I36,"LEPTOR")*100/P36)</f>
        <v>0</v>
      </c>
      <c r="AT36">
        <f>IF(P36=0,0,COUNTIF('Transect 2_imgsummary'!E36:I36,"LEPTOS")*100/P36)</f>
        <v>0</v>
      </c>
      <c r="AU36">
        <f>IF(P36=0,0,COUNTIF('Transect 2_imgsummary'!E36:I36,"LOBOPH")*100/P36)</f>
        <v>0</v>
      </c>
      <c r="AV36">
        <f>IF(P36=0,0,COUNTIF('Transect 2_imgsummary'!E36:I36,"MERU")*100/P36)</f>
        <v>0</v>
      </c>
      <c r="AW36">
        <f>IF(P36=0,0,COUNTIF('Transect 2_imgsummary'!E36:I36,"MILL")*100/P36)</f>
        <v>0</v>
      </c>
      <c r="AX36">
        <f>IF(P36=0,0,COUNTIF('Transect 2_imgsummary'!E36:I36,"MONT")*100/P36)</f>
        <v>0</v>
      </c>
      <c r="AY36">
        <f>IF(P36=0,0,COUNTIF('Transect 2_imgsummary'!E36:I36,"MONTI")*100/P36)</f>
        <v>0</v>
      </c>
      <c r="AZ36">
        <f>IF(P36=0,0,COUNTIF('Transect 2_imgsummary'!E36:I36,"MYCED")*100/P36)</f>
        <v>0</v>
      </c>
      <c r="BA36">
        <f>IF(P36=0,0,COUNTIF('Transect 2_imgsummary'!E36:I36,"OULO")*100/P36)</f>
        <v>0</v>
      </c>
      <c r="BB36">
        <f>IF(P36=0,0,COUNTIF('Transect 2_imgsummary'!E36:I36,"OXYP")*100/P36)</f>
        <v>0</v>
      </c>
      <c r="BC36">
        <f>IF(P36=0,0,COUNTIF('Transect 2_imgsummary'!E36:I36,"PLSIA")*100/P36)</f>
        <v>0</v>
      </c>
      <c r="BD36">
        <f>IF(P36=0,0,COUNTIF('Transect 2_imgsummary'!E36:I36,"PACHY")*100/P36)</f>
        <v>0</v>
      </c>
      <c r="BE36">
        <f>IF(P36=0,0,COUNTIF('Transect 2_imgsummary'!E36:I36,"PAV")*100/P36)</f>
        <v>0</v>
      </c>
      <c r="BF36">
        <f>IF(P36=0,0,COUNTIF('Transect 2_imgsummary'!E36:I36,"PECT")*100/P36)</f>
        <v>0</v>
      </c>
      <c r="BG36">
        <f>IF(P36=0,0,COUNTIF('Transect 2_imgsummary'!E36:I36,"PHYSO")*100/P36)</f>
        <v>0</v>
      </c>
      <c r="BH36" s="29">
        <f>IF(P36=0,0,COUNTIF('Transect 2_imgsummary'!E36:I36,"PLAT")*100/P36)</f>
        <v>80</v>
      </c>
      <c r="BI36">
        <f>IF(P36=0,0,COUNTIF('Transect 2_imgsummary'!E36:I36,"PLERO")*100/P36)</f>
        <v>0</v>
      </c>
      <c r="BJ36">
        <f>IF(P36=0,0,COUNTIF('Transect 2_imgsummary'!E36:I36,"POC")*100/P36)</f>
        <v>0</v>
      </c>
      <c r="BK36">
        <f>IF(P36=0,0,COUNTIF('Transect 2_imgsummary'!E36:I36,"POR")*100/P36)</f>
        <v>0</v>
      </c>
      <c r="BL36">
        <f>IF(P36=0,0,COUNTIF('Transect 2_imgsummary'!E36:I36,"PORCYL")*100/P36)</f>
        <v>0</v>
      </c>
      <c r="BM36">
        <f>IF(P36=0,0,COUNTIF('Transect 2_imgsummary'!E36:I36,"PORMAS")*100/P36)</f>
        <v>0</v>
      </c>
      <c r="BN36">
        <f>IF(P36=0,0,COUNTIF('Transect 2_imgsummary'!E36:I36,"PORRUS")*100/P36)</f>
        <v>0</v>
      </c>
      <c r="BO36">
        <f>IF(P36=0,0,COUNTIF('Transect 2_imgsummary'!E36:I36,"PSAM")*100/P36)</f>
        <v>0</v>
      </c>
      <c r="BP36">
        <f>IF(P36=0,0,COUNTIF('Transect 2_imgsummary'!E36:I36,"SANDO")*100/P36)</f>
        <v>0</v>
      </c>
      <c r="BQ36">
        <f>IF(P36=0,0,COUNTIF('Transect 2_imgsummary'!E36:I36,"SCAP")*100/P36)</f>
        <v>0</v>
      </c>
      <c r="BR36">
        <f>IF(P36=0,0,COUNTIF('Transect 2_imgsummary'!E36:I36,"SERIA")*100/P36)</f>
        <v>0</v>
      </c>
      <c r="BS36">
        <f>IF(P36=0,0,COUNTIF('Transect 2_imgsummary'!E36:I36,"STYLC")*100/P36)</f>
        <v>0</v>
      </c>
      <c r="BT36">
        <f>IF(P36=0,0,COUNTIF('Transect 2_imgsummary'!E36:I36,"STYLO")*100/P36)</f>
        <v>0</v>
      </c>
      <c r="BU36">
        <f>IF(P36=0,0,COUNTIF('Transect 2_imgsummary'!E36:I36,"SYMP")*100/P36)</f>
        <v>0</v>
      </c>
      <c r="BV36">
        <f>IF(P36=0,0,COUNTIF('Transect 2_imgsummary'!E36:I36,"TURBIN")*100/P36)</f>
        <v>0</v>
      </c>
      <c r="BX36">
        <f>IF(P36=0,0,COUNTIF('Transect 2_imgsummary'!E36:I36,"ANEM")*100/P36)</f>
        <v>0</v>
      </c>
      <c r="BY36">
        <f>IF(P36=0,0,COUNTIF('Transect 2_imgsummary'!E36:I36,"ASC")*100/P36)</f>
        <v>0</v>
      </c>
      <c r="BZ36">
        <f>IF(P36=0,0,COUNTIF('Transect 2_imgsummary'!E36:I36,"CUPS")*100/P36)</f>
        <v>0</v>
      </c>
      <c r="CA36">
        <f>IF(P36=0,0,COUNTIF('Transect 2_imgsummary'!E36:I36,"DISCO")*100/P36)</f>
        <v>0</v>
      </c>
      <c r="CB36">
        <f>IF(P36=0,0,COUNTIF('Transect 2_imgsummary'!E36:I36,"DYS")*100/P36)</f>
        <v>0</v>
      </c>
      <c r="CC36">
        <f>IF(P36=0,0,COUNTIF('Transect 2_imgsummary'!E36:I36,"G")*100/P36)</f>
        <v>0</v>
      </c>
      <c r="CD36">
        <f>IF(P36=0,0,COUNTIF('Transect 2_imgsummary'!E36:I36,"NoIDINV")*100/P36)</f>
        <v>0</v>
      </c>
      <c r="CE36">
        <f>IF(P36=0,0,COUNTIF('Transect 2_imgsummary'!E36:I36,"OLV")*100/P36)</f>
        <v>0</v>
      </c>
      <c r="CF36">
        <f>IF(P36=0,0,COUNTIF('Transect 2_imgsummary'!E36:I36,"SC")*100/P36)</f>
        <v>0</v>
      </c>
      <c r="CG36">
        <f>IF(P36=0,0,COUNTIF('Transect 2_imgsummary'!E36:I36,"S")*100/P36)</f>
        <v>0</v>
      </c>
      <c r="CH36">
        <f>IF(P36=0,0,COUNTIF('Transect 2_imgsummary'!E36:I36,"TERPS")*100/P36)</f>
        <v>0</v>
      </c>
      <c r="CI36">
        <f>IF(P36=0,0,COUNTIF('Transect 2_imgsummary'!E36:I36,"Z")*100/P36)</f>
        <v>0</v>
      </c>
      <c r="CK36">
        <f>IF(P36=0,0,COUNTIF('Transect 2_imgsummary'!E36:I36,"ASP")*100/P36)</f>
        <v>0</v>
      </c>
      <c r="CL36">
        <f>IF(P36=0,0,COUNTIF('Transect 2_imgsummary'!E36:I36,"BG")*100/P36)</f>
        <v>0</v>
      </c>
      <c r="CM36">
        <f>IF(P36=0,0,COUNTIF('Transect 2_imgsummary'!E36:I36,"Bood")*100/P36)</f>
        <v>0</v>
      </c>
      <c r="CN36">
        <f>IF(P36=0,0,COUNTIF('Transect 2_imgsummary'!E36:I36,"BRYP")*100/P36)</f>
        <v>0</v>
      </c>
      <c r="CO36">
        <f>IF(P36=0,0,COUNTIF('Transect 2_imgsummary'!E36:I36,"CLP")*100/P36)</f>
        <v>0</v>
      </c>
      <c r="CP36">
        <f>IF(P36=0,0,COUNTIF('Transect 2_imgsummary'!E36:I36,"CHLDES")*100/P36)</f>
        <v>0</v>
      </c>
      <c r="CQ36">
        <f>IF(P36=0,0,COUNTIF('Transect 2_imgsummary'!E36:I36,"DYCTY")*100/P36)</f>
        <v>0</v>
      </c>
      <c r="CR36">
        <f>IF(P36=0,0,COUNTIF('Transect 2_imgsummary'!E36:I36,"DICT")*100/P36)</f>
        <v>0</v>
      </c>
      <c r="CS36">
        <f>IF(P36=0,0,COUNTIF('Transect 2_imgsummary'!E36:I36,"GLXU")*100/P36)</f>
        <v>0</v>
      </c>
      <c r="CT36">
        <f>IF(P36=0,0,COUNTIF('Transect 2_imgsummary'!E36:I36,"HALI")*100/P36)</f>
        <v>0</v>
      </c>
      <c r="CU36">
        <f>IF(P36=0,0,COUNTIF('Transect 2_imgsummary'!E36:I36,"LIAG")*100/P36)</f>
        <v>0</v>
      </c>
      <c r="CV36">
        <f>IF(P36=0,0,COUNTIF('Transect 2_imgsummary'!E36:I36,"LOBO")*100/P36)</f>
        <v>0</v>
      </c>
      <c r="CW36">
        <f>IF(P36=0,0,COUNTIF('Transect 2_imgsummary'!E36:I36,"MAST")*100/P36)</f>
        <v>0</v>
      </c>
      <c r="CX36">
        <f>IF(P36=0,0,COUNTIF('Transect 2_imgsummary'!E36:I36,"MICDTY")*100/P36)</f>
        <v>0</v>
      </c>
      <c r="CY36">
        <f>IF(P36=0,0,COUNTIF('Transect 2_imgsummary'!E36:I36,"NEOM")*100/P36)</f>
        <v>0</v>
      </c>
      <c r="CZ36">
        <f>IF(P36=0,0,COUNTIF('Transect 2_imgsummary'!E36:I36,"NOIDMAC")*100/P36)</f>
        <v>0</v>
      </c>
      <c r="DA36">
        <f>IF(P36=0,0,COUNTIF('Transect 2_imgsummary'!E36:I36,"PAD")*100/P36)</f>
        <v>0</v>
      </c>
      <c r="DB36">
        <f>IF(P36=0,0,COUNTIF('Transect 2_imgsummary'!E36:I36,"SARG")*100/P36)</f>
        <v>0</v>
      </c>
      <c r="DC36">
        <f>IF(P36=0,0,COUNTIF('Transect 2_imgsummary'!E36:I36,"SCHIZ")*100/P36)</f>
        <v>0</v>
      </c>
      <c r="DD36">
        <f>IF(P36=0,0,COUNTIF('Transect 2_imgsummary'!E36:I36,"TURB")*100/P36)</f>
        <v>0</v>
      </c>
      <c r="DE36">
        <f>IF(P36=0,0,COUNTIF('Transect 2_imgsummary'!E36:I36,"TYDM")*100/P36)</f>
        <v>0</v>
      </c>
      <c r="DG36">
        <f>IF(P36=0,0,COUNTIF('Transect 2_imgsummary'!E36:I36,"AMP")*100/P36)</f>
        <v>0</v>
      </c>
      <c r="DH36">
        <f>IF(P36=0,0,COUNTIF('Transect 2_imgsummary'!E36:I36,"BCA1")*100/P36)</f>
        <v>0</v>
      </c>
      <c r="DI36">
        <f>IF(P36=0,0,COUNTIF('Transect 2_imgsummary'!E36:I36,"JAN")*100/P36)</f>
        <v>0</v>
      </c>
      <c r="DK36">
        <f>IF(P36=0,0,COUNTIF('Transect 2_imgsummary'!E36:I36,"CCA1")*100/P36)</f>
        <v>0</v>
      </c>
      <c r="DM36">
        <f>IF(P36=0,0,COUNTIF('Transect 2_imgsummary'!E36:I36,"Sand")*100/P36)</f>
        <v>0</v>
      </c>
      <c r="DO36" s="29">
        <f>IF(P36=0,0,COUNTIF('Transect 2_imgsummary'!E36:I36,"FCA1")*100/P36)</f>
        <v>20</v>
      </c>
      <c r="DQ36">
        <f>IF(P36=0,0,COUNTIF('Transect 2_imgsummary'!E36:I36,"CHRYOBRN")*100/P36)</f>
        <v>0</v>
      </c>
      <c r="DS36">
        <f>IF(P36=0,0,COUNTIF('Transect 2_imgsummary'!E36:I36,"TURF")*100/P36)</f>
        <v>0</v>
      </c>
      <c r="DU36">
        <f>COUNTIF('Transect 2_imgsummary'!E36:I36,"Shadow")*100/5</f>
        <v>0</v>
      </c>
      <c r="DV36">
        <f>COUNTIF('Transect 2_imgsummary'!E36:I36,"Tape")*100/5</f>
        <v>0</v>
      </c>
      <c r="DW36">
        <f>COUNTIF('Transect 2_imgsummary'!E36:I36,"Wand")*100/5</f>
        <v>0</v>
      </c>
      <c r="DY36">
        <f>IF(P36=0,0,COUNTIF('Transect 2_imgsummary'!O36:S36,"BC")*100/P36)</f>
        <v>0</v>
      </c>
    </row>
    <row r="37" spans="1:129">
      <c r="A37">
        <v>35</v>
      </c>
      <c r="B37" t="s">
        <v>464</v>
      </c>
      <c r="F37" s="29">
        <f>IF(P37=0,0,COUNTIF('Transect 2_imgsummary'!J37:N37,"C")*100/P37)</f>
        <v>60</v>
      </c>
      <c r="G37">
        <f>IF(P37=0,0,COUNTIF('Transect 2_imgsummary'!J37:N37,"OI")*100/P37)</f>
        <v>0</v>
      </c>
      <c r="H37">
        <f>IF(P37=0,0,COUNTIF('Transect 2_imgsummary'!J37:N37,"MA")*100/P37)</f>
        <v>0</v>
      </c>
      <c r="I37">
        <f>IF(P37=0,0,COUNTIF('Transect 2_imgsummary'!J37:N37,"BCA")*100/P37)</f>
        <v>0</v>
      </c>
      <c r="J37" s="29">
        <f>IF(P37=0,0,COUNTIF('Transect 2_imgsummary'!J37:N37,"CCA")*100/P37)</f>
        <v>20</v>
      </c>
      <c r="K37">
        <f>IF(P37=0,0,COUNTIF('Transect 2_imgsummary'!J37:N37,"SD")*100/P37)</f>
        <v>0</v>
      </c>
      <c r="L37">
        <f>IF(P37=0,0,COUNTIF('Transect 2_imgsummary'!J37:N37,"FCA")*100/P37)</f>
        <v>0</v>
      </c>
      <c r="M37">
        <f>IF(P37=0,0,COUNTIF('Transect 2_imgsummary'!J37:N37,"CHRYS")*100/P37)</f>
        <v>0</v>
      </c>
      <c r="N37" s="29">
        <f>IF(P37=0,0,COUNTIF('Transect 2_imgsummary'!J37:N37,"T")*100/P37)</f>
        <v>20</v>
      </c>
      <c r="O37">
        <f>IF(P37=0,0,COUNTIF('Transect 2_imgsummary'!J37:N37,"TWS")*100/P37)</f>
        <v>0</v>
      </c>
      <c r="P37">
        <f>5-COUNTIF('Transect 2_imgsummary'!J37:N37,"TWS")</f>
        <v>5</v>
      </c>
      <c r="S37">
        <f>IF(P37=0,0,COUNTIF('Transect 2_imgsummary'!E37:I37,"ACAN")*100/P37)</f>
        <v>0</v>
      </c>
      <c r="T37">
        <f>IF(P37=0,0,COUNTIF('Transect 2_imgsummary'!E37:I37,"ACROP")*100/P37)</f>
        <v>0</v>
      </c>
      <c r="U37">
        <f>IF(P37=0,0,COUNTIF('Transect 2_imgsummary'!E37:I37,"ACROPARB")*100/P37)</f>
        <v>0</v>
      </c>
      <c r="V37">
        <f>IF(P37=0,0,COUNTIF('Transect 2_imgsummary'!E37:I37,"ACROST")*100/P37)</f>
        <v>0</v>
      </c>
      <c r="W37">
        <f>IF(P37=0,0,COUNTIF('Transect 2_imgsummary'!E37:I37,"ACROTBL")*100/P37)</f>
        <v>0</v>
      </c>
      <c r="X37">
        <f>IF(P37=0,0,COUNTIF('Transect 2_imgsummary'!E37:I37,"ASTRP")*100/P37)</f>
        <v>0</v>
      </c>
      <c r="Y37">
        <f>IF(P37=0,0,COUNTIF('Transect 2_imgsummary'!E37:I37,"CAUL")*100/P37)</f>
        <v>0</v>
      </c>
      <c r="Z37">
        <f>IF(P37=0,0,COUNTIF('Transect 2_imgsummary'!E37:I37,"COSC")*100/P37)</f>
        <v>0</v>
      </c>
      <c r="AA37">
        <f>IF(P37=0,0,COUNTIF('Transect 2_imgsummary'!E37:I37,"CTEN")*100/P37)</f>
        <v>0</v>
      </c>
      <c r="AB37">
        <f>IF(P37=0,0,COUNTIF('Transect 2_imgsummary'!E37:I37,"CYPH")*100/P37)</f>
        <v>0</v>
      </c>
      <c r="AC37">
        <f>IF(P37=0,0,COUNTIF('Transect 2_imgsummary'!E37:I37,"DIPLO")*100/P37)</f>
        <v>0</v>
      </c>
      <c r="AD37">
        <f>IF(P37=0,0,COUNTIF('Transect 2_imgsummary'!E37:I37,"ECHPO")*100/P37)</f>
        <v>0</v>
      </c>
      <c r="AE37">
        <f>IF(P37=0,0,COUNTIF('Transect 2_imgsummary'!E37:I37,"ECHPHY")*100/P37)</f>
        <v>0</v>
      </c>
      <c r="AF37">
        <f>IF(P37=0,0,COUNTIF('Transect 2_imgsummary'!E37:I37,"EUPH")*100/P37)</f>
        <v>0</v>
      </c>
      <c r="AG37">
        <f>IF(P37=0,0,COUNTIF('Transect 2_imgsummary'!E37:I37,"FAV")*100/P37)</f>
        <v>0</v>
      </c>
      <c r="AH37">
        <f>IF(P37=0,0,COUNTIF('Transect 2_imgsummary'!E37:I37,"FAVT")*100/P37)</f>
        <v>0</v>
      </c>
      <c r="AI37">
        <f>IF(P37=0,0,COUNTIF('Transect 2_imgsummary'!E37:I37,"FUNG")*100/P37)</f>
        <v>0</v>
      </c>
      <c r="AJ37">
        <f>IF(P37=0,0,COUNTIF('Transect 2_imgsummary'!E37:I37,"GAL")*100/P37)</f>
        <v>0</v>
      </c>
      <c r="AK37">
        <f>IF(P37=0,0,COUNTIF('Transect 2_imgsummary'!E37:I37,"GARD")*100/P37)</f>
        <v>0</v>
      </c>
      <c r="AL37">
        <f>IF(P37=0,0,COUNTIF('Transect 2_imgsummary'!E37:I37,"GON")*100/P37)</f>
        <v>0</v>
      </c>
      <c r="AM37">
        <f>IF(P37=0,0,COUNTIF('Transect 2_imgsummary'!E37:I37,"GONIO")*100/P37)</f>
        <v>0</v>
      </c>
      <c r="AN37">
        <f>IF(P37=0,0,COUNTIF('Transect 2_imgsummary'!E37:I37,"HELIO")*100/P37)</f>
        <v>0</v>
      </c>
      <c r="AO37">
        <f>IF(P37=0,0,COUNTIF('Transect 2_imgsummary'!E37:I37,"HERP")*100/P37)</f>
        <v>0</v>
      </c>
      <c r="AP37">
        <f>IF(P37=0,0,COUNTIF('Transect 2_imgsummary'!E37:I37,"HYD")*100/P37)</f>
        <v>0</v>
      </c>
      <c r="AQ37">
        <f>IF(P37=0,0,COUNTIF('Transect 2_imgsummary'!E37:I37,"ISOP")*100/P37)</f>
        <v>0</v>
      </c>
      <c r="AR37">
        <f>IF(P37=0,0,COUNTIF('Transect 2_imgsummary'!E37:I37,"LEPT")*100/P37)</f>
        <v>0</v>
      </c>
      <c r="AS37">
        <f>IF(P37=0,0,COUNTIF('Transect 2_imgsummary'!E37:I37,"LEPTOR")*100/P37)</f>
        <v>0</v>
      </c>
      <c r="AT37">
        <f>IF(P37=0,0,COUNTIF('Transect 2_imgsummary'!E37:I37,"LEPTOS")*100/P37)</f>
        <v>0</v>
      </c>
      <c r="AU37">
        <f>IF(P37=0,0,COUNTIF('Transect 2_imgsummary'!E37:I37,"LOBOPH")*100/P37)</f>
        <v>0</v>
      </c>
      <c r="AV37">
        <f>IF(P37=0,0,COUNTIF('Transect 2_imgsummary'!E37:I37,"MERU")*100/P37)</f>
        <v>0</v>
      </c>
      <c r="AW37">
        <f>IF(P37=0,0,COUNTIF('Transect 2_imgsummary'!E37:I37,"MILL")*100/P37)</f>
        <v>0</v>
      </c>
      <c r="AX37">
        <f>IF(P37=0,0,COUNTIF('Transect 2_imgsummary'!E37:I37,"MONT")*100/P37)</f>
        <v>0</v>
      </c>
      <c r="AY37">
        <f>IF(P37=0,0,COUNTIF('Transect 2_imgsummary'!E37:I37,"MONTI")*100/P37)</f>
        <v>0</v>
      </c>
      <c r="AZ37">
        <f>IF(P37=0,0,COUNTIF('Transect 2_imgsummary'!E37:I37,"MYCED")*100/P37)</f>
        <v>0</v>
      </c>
      <c r="BA37">
        <f>IF(P37=0,0,COUNTIF('Transect 2_imgsummary'!E37:I37,"OULO")*100/P37)</f>
        <v>0</v>
      </c>
      <c r="BB37">
        <f>IF(P37=0,0,COUNTIF('Transect 2_imgsummary'!E37:I37,"OXYP")*100/P37)</f>
        <v>0</v>
      </c>
      <c r="BC37">
        <f>IF(P37=0,0,COUNTIF('Transect 2_imgsummary'!E37:I37,"PLSIA")*100/P37)</f>
        <v>0</v>
      </c>
      <c r="BD37">
        <f>IF(P37=0,0,COUNTIF('Transect 2_imgsummary'!E37:I37,"PACHY")*100/P37)</f>
        <v>0</v>
      </c>
      <c r="BE37">
        <f>IF(P37=0,0,COUNTIF('Transect 2_imgsummary'!E37:I37,"PAV")*100/P37)</f>
        <v>0</v>
      </c>
      <c r="BF37">
        <f>IF(P37=0,0,COUNTIF('Transect 2_imgsummary'!E37:I37,"PECT")*100/P37)</f>
        <v>0</v>
      </c>
      <c r="BG37">
        <f>IF(P37=0,0,COUNTIF('Transect 2_imgsummary'!E37:I37,"PHYSO")*100/P37)</f>
        <v>0</v>
      </c>
      <c r="BH37" s="29">
        <f>IF(P37=0,0,COUNTIF('Transect 2_imgsummary'!E37:I37,"PLAT")*100/P37)</f>
        <v>60</v>
      </c>
      <c r="BI37">
        <f>IF(P37=0,0,COUNTIF('Transect 2_imgsummary'!E37:I37,"PLERO")*100/P37)</f>
        <v>0</v>
      </c>
      <c r="BJ37">
        <f>IF(P37=0,0,COUNTIF('Transect 2_imgsummary'!E37:I37,"POC")*100/P37)</f>
        <v>0</v>
      </c>
      <c r="BK37">
        <f>IF(P37=0,0,COUNTIF('Transect 2_imgsummary'!E37:I37,"POR")*100/P37)</f>
        <v>0</v>
      </c>
      <c r="BL37">
        <f>IF(P37=0,0,COUNTIF('Transect 2_imgsummary'!E37:I37,"PORCYL")*100/P37)</f>
        <v>0</v>
      </c>
      <c r="BM37">
        <f>IF(P37=0,0,COUNTIF('Transect 2_imgsummary'!E37:I37,"PORMAS")*100/P37)</f>
        <v>0</v>
      </c>
      <c r="BN37">
        <f>IF(P37=0,0,COUNTIF('Transect 2_imgsummary'!E37:I37,"PORRUS")*100/P37)</f>
        <v>0</v>
      </c>
      <c r="BO37">
        <f>IF(P37=0,0,COUNTIF('Transect 2_imgsummary'!E37:I37,"PSAM")*100/P37)</f>
        <v>0</v>
      </c>
      <c r="BP37">
        <f>IF(P37=0,0,COUNTIF('Transect 2_imgsummary'!E37:I37,"SANDO")*100/P37)</f>
        <v>0</v>
      </c>
      <c r="BQ37">
        <f>IF(P37=0,0,COUNTIF('Transect 2_imgsummary'!E37:I37,"SCAP")*100/P37)</f>
        <v>0</v>
      </c>
      <c r="BR37">
        <f>IF(P37=0,0,COUNTIF('Transect 2_imgsummary'!E37:I37,"SERIA")*100/P37)</f>
        <v>0</v>
      </c>
      <c r="BS37">
        <f>IF(P37=0,0,COUNTIF('Transect 2_imgsummary'!E37:I37,"STYLC")*100/P37)</f>
        <v>0</v>
      </c>
      <c r="BT37">
        <f>IF(P37=0,0,COUNTIF('Transect 2_imgsummary'!E37:I37,"STYLO")*100/P37)</f>
        <v>0</v>
      </c>
      <c r="BU37">
        <f>IF(P37=0,0,COUNTIF('Transect 2_imgsummary'!E37:I37,"SYMP")*100/P37)</f>
        <v>0</v>
      </c>
      <c r="BV37">
        <f>IF(P37=0,0,COUNTIF('Transect 2_imgsummary'!E37:I37,"TURBIN")*100/P37)</f>
        <v>0</v>
      </c>
      <c r="BX37">
        <f>IF(P37=0,0,COUNTIF('Transect 2_imgsummary'!E37:I37,"ANEM")*100/P37)</f>
        <v>0</v>
      </c>
      <c r="BY37">
        <f>IF(P37=0,0,COUNTIF('Transect 2_imgsummary'!E37:I37,"ASC")*100/P37)</f>
        <v>0</v>
      </c>
      <c r="BZ37">
        <f>IF(P37=0,0,COUNTIF('Transect 2_imgsummary'!E37:I37,"CUPS")*100/P37)</f>
        <v>0</v>
      </c>
      <c r="CA37">
        <f>IF(P37=0,0,COUNTIF('Transect 2_imgsummary'!E37:I37,"DISCO")*100/P37)</f>
        <v>0</v>
      </c>
      <c r="CB37">
        <f>IF(P37=0,0,COUNTIF('Transect 2_imgsummary'!E37:I37,"DYS")*100/P37)</f>
        <v>0</v>
      </c>
      <c r="CC37">
        <f>IF(P37=0,0,COUNTIF('Transect 2_imgsummary'!E37:I37,"G")*100/P37)</f>
        <v>0</v>
      </c>
      <c r="CD37">
        <f>IF(P37=0,0,COUNTIF('Transect 2_imgsummary'!E37:I37,"NoIDINV")*100/P37)</f>
        <v>0</v>
      </c>
      <c r="CE37">
        <f>IF(P37=0,0,COUNTIF('Transect 2_imgsummary'!E37:I37,"OLV")*100/P37)</f>
        <v>0</v>
      </c>
      <c r="CF37">
        <f>IF(P37=0,0,COUNTIF('Transect 2_imgsummary'!E37:I37,"SC")*100/P37)</f>
        <v>0</v>
      </c>
      <c r="CG37">
        <f>IF(P37=0,0,COUNTIF('Transect 2_imgsummary'!E37:I37,"S")*100/P37)</f>
        <v>0</v>
      </c>
      <c r="CH37">
        <f>IF(P37=0,0,COUNTIF('Transect 2_imgsummary'!E37:I37,"TERPS")*100/P37)</f>
        <v>0</v>
      </c>
      <c r="CI37">
        <f>IF(P37=0,0,COUNTIF('Transect 2_imgsummary'!E37:I37,"Z")*100/P37)</f>
        <v>0</v>
      </c>
      <c r="CK37">
        <f>IF(P37=0,0,COUNTIF('Transect 2_imgsummary'!E37:I37,"ASP")*100/P37)</f>
        <v>0</v>
      </c>
      <c r="CL37">
        <f>IF(P37=0,0,COUNTIF('Transect 2_imgsummary'!E37:I37,"BG")*100/P37)</f>
        <v>0</v>
      </c>
      <c r="CM37">
        <f>IF(P37=0,0,COUNTIF('Transect 2_imgsummary'!E37:I37,"Bood")*100/P37)</f>
        <v>0</v>
      </c>
      <c r="CN37">
        <f>IF(P37=0,0,COUNTIF('Transect 2_imgsummary'!E37:I37,"BRYP")*100/P37)</f>
        <v>0</v>
      </c>
      <c r="CO37">
        <f>IF(P37=0,0,COUNTIF('Transect 2_imgsummary'!E37:I37,"CLP")*100/P37)</f>
        <v>0</v>
      </c>
      <c r="CP37">
        <f>IF(P37=0,0,COUNTIF('Transect 2_imgsummary'!E37:I37,"CHLDES")*100/P37)</f>
        <v>0</v>
      </c>
      <c r="CQ37">
        <f>IF(P37=0,0,COUNTIF('Transect 2_imgsummary'!E37:I37,"DYCTY")*100/P37)</f>
        <v>0</v>
      </c>
      <c r="CR37">
        <f>IF(P37=0,0,COUNTIF('Transect 2_imgsummary'!E37:I37,"DICT")*100/P37)</f>
        <v>0</v>
      </c>
      <c r="CS37">
        <f>IF(P37=0,0,COUNTIF('Transect 2_imgsummary'!E37:I37,"GLXU")*100/P37)</f>
        <v>0</v>
      </c>
      <c r="CT37">
        <f>IF(P37=0,0,COUNTIF('Transect 2_imgsummary'!E37:I37,"HALI")*100/P37)</f>
        <v>0</v>
      </c>
      <c r="CU37">
        <f>IF(P37=0,0,COUNTIF('Transect 2_imgsummary'!E37:I37,"LIAG")*100/P37)</f>
        <v>0</v>
      </c>
      <c r="CV37">
        <f>IF(P37=0,0,COUNTIF('Transect 2_imgsummary'!E37:I37,"LOBO")*100/P37)</f>
        <v>0</v>
      </c>
      <c r="CW37">
        <f>IF(P37=0,0,COUNTIF('Transect 2_imgsummary'!E37:I37,"MAST")*100/P37)</f>
        <v>0</v>
      </c>
      <c r="CX37">
        <f>IF(P37=0,0,COUNTIF('Transect 2_imgsummary'!E37:I37,"MICDTY")*100/P37)</f>
        <v>0</v>
      </c>
      <c r="CY37">
        <f>IF(P37=0,0,COUNTIF('Transect 2_imgsummary'!E37:I37,"NEOM")*100/P37)</f>
        <v>0</v>
      </c>
      <c r="CZ37">
        <f>IF(P37=0,0,COUNTIF('Transect 2_imgsummary'!E37:I37,"NOIDMAC")*100/P37)</f>
        <v>0</v>
      </c>
      <c r="DA37">
        <f>IF(P37=0,0,COUNTIF('Transect 2_imgsummary'!E37:I37,"PAD")*100/P37)</f>
        <v>0</v>
      </c>
      <c r="DB37">
        <f>IF(P37=0,0,COUNTIF('Transect 2_imgsummary'!E37:I37,"SARG")*100/P37)</f>
        <v>0</v>
      </c>
      <c r="DC37">
        <f>IF(P37=0,0,COUNTIF('Transect 2_imgsummary'!E37:I37,"SCHIZ")*100/P37)</f>
        <v>0</v>
      </c>
      <c r="DD37">
        <f>IF(P37=0,0,COUNTIF('Transect 2_imgsummary'!E37:I37,"TURB")*100/P37)</f>
        <v>0</v>
      </c>
      <c r="DE37">
        <f>IF(P37=0,0,COUNTIF('Transect 2_imgsummary'!E37:I37,"TYDM")*100/P37)</f>
        <v>0</v>
      </c>
      <c r="DG37">
        <f>IF(P37=0,0,COUNTIF('Transect 2_imgsummary'!E37:I37,"AMP")*100/P37)</f>
        <v>0</v>
      </c>
      <c r="DH37">
        <f>IF(P37=0,0,COUNTIF('Transect 2_imgsummary'!E37:I37,"BCA1")*100/P37)</f>
        <v>0</v>
      </c>
      <c r="DI37">
        <f>IF(P37=0,0,COUNTIF('Transect 2_imgsummary'!E37:I37,"JAN")*100/P37)</f>
        <v>0</v>
      </c>
      <c r="DK37" s="29">
        <f>IF(P37=0,0,COUNTIF('Transect 2_imgsummary'!E37:I37,"CCA1")*100/P37)</f>
        <v>20</v>
      </c>
      <c r="DM37">
        <f>IF(P37=0,0,COUNTIF('Transect 2_imgsummary'!E37:I37,"Sand")*100/P37)</f>
        <v>0</v>
      </c>
      <c r="DO37">
        <f>IF(P37=0,0,COUNTIF('Transect 2_imgsummary'!E37:I37,"FCA1")*100/P37)</f>
        <v>0</v>
      </c>
      <c r="DQ37">
        <f>IF(P37=0,0,COUNTIF('Transect 2_imgsummary'!E37:I37,"CHRYOBRN")*100/P37)</f>
        <v>0</v>
      </c>
      <c r="DS37" s="29">
        <f>IF(P37=0,0,COUNTIF('Transect 2_imgsummary'!E37:I37,"TURF")*100/P37)</f>
        <v>20</v>
      </c>
      <c r="DU37">
        <f>COUNTIF('Transect 2_imgsummary'!E37:I37,"Shadow")*100/5</f>
        <v>0</v>
      </c>
      <c r="DV37">
        <f>COUNTIF('Transect 2_imgsummary'!E37:I37,"Tape")*100/5</f>
        <v>0</v>
      </c>
      <c r="DW37">
        <f>COUNTIF('Transect 2_imgsummary'!E37:I37,"Wand")*100/5</f>
        <v>0</v>
      </c>
      <c r="DY37">
        <f>IF(P37=0,0,COUNTIF('Transect 2_imgsummary'!O37:S37,"BC")*100/P37)</f>
        <v>0</v>
      </c>
    </row>
    <row r="38" spans="1:129">
      <c r="A38">
        <v>36</v>
      </c>
      <c r="B38" t="s">
        <v>465</v>
      </c>
      <c r="F38" s="29">
        <f>IF(P38=0,0,COUNTIF('Transect 2_imgsummary'!J38:N38,"C")*100/P38)</f>
        <v>40</v>
      </c>
      <c r="G38">
        <f>IF(P38=0,0,COUNTIF('Transect 2_imgsummary'!J38:N38,"OI")*100/P38)</f>
        <v>0</v>
      </c>
      <c r="H38">
        <f>IF(P38=0,0,COUNTIF('Transect 2_imgsummary'!J38:N38,"MA")*100/P38)</f>
        <v>0</v>
      </c>
      <c r="I38">
        <f>IF(P38=0,0,COUNTIF('Transect 2_imgsummary'!J38:N38,"BCA")*100/P38)</f>
        <v>0</v>
      </c>
      <c r="J38" s="29">
        <f>IF(P38=0,0,COUNTIF('Transect 2_imgsummary'!J38:N38,"CCA")*100/P38)</f>
        <v>40</v>
      </c>
      <c r="K38">
        <f>IF(P38=0,0,COUNTIF('Transect 2_imgsummary'!J38:N38,"SD")*100/P38)</f>
        <v>0</v>
      </c>
      <c r="L38" s="29">
        <f>IF(P38=0,0,COUNTIF('Transect 2_imgsummary'!J38:N38,"FCA")*100/P38)</f>
        <v>20</v>
      </c>
      <c r="M38">
        <f>IF(P38=0,0,COUNTIF('Transect 2_imgsummary'!J38:N38,"CHRYS")*100/P38)</f>
        <v>0</v>
      </c>
      <c r="N38">
        <f>IF(P38=0,0,COUNTIF('Transect 2_imgsummary'!J38:N38,"T")*100/P38)</f>
        <v>0</v>
      </c>
      <c r="O38">
        <f>IF(P38=0,0,COUNTIF('Transect 2_imgsummary'!J38:N38,"TWS")*100/P38)</f>
        <v>0</v>
      </c>
      <c r="P38">
        <f>5-COUNTIF('Transect 2_imgsummary'!J38:N38,"TWS")</f>
        <v>5</v>
      </c>
      <c r="S38">
        <f>IF(P38=0,0,COUNTIF('Transect 2_imgsummary'!E38:I38,"ACAN")*100/P38)</f>
        <v>0</v>
      </c>
      <c r="T38">
        <f>IF(P38=0,0,COUNTIF('Transect 2_imgsummary'!E38:I38,"ACROP")*100/P38)</f>
        <v>0</v>
      </c>
      <c r="U38">
        <f>IF(P38=0,0,COUNTIF('Transect 2_imgsummary'!E38:I38,"ACROPARB")*100/P38)</f>
        <v>0</v>
      </c>
      <c r="V38">
        <f>IF(P38=0,0,COUNTIF('Transect 2_imgsummary'!E38:I38,"ACROST")*100/P38)</f>
        <v>0</v>
      </c>
      <c r="W38">
        <f>IF(P38=0,0,COUNTIF('Transect 2_imgsummary'!E38:I38,"ACROTBL")*100/P38)</f>
        <v>0</v>
      </c>
      <c r="X38">
        <f>IF(P38=0,0,COUNTIF('Transect 2_imgsummary'!E38:I38,"ASTRP")*100/P38)</f>
        <v>0</v>
      </c>
      <c r="Y38">
        <f>IF(P38=0,0,COUNTIF('Transect 2_imgsummary'!E38:I38,"CAUL")*100/P38)</f>
        <v>0</v>
      </c>
      <c r="Z38">
        <f>IF(P38=0,0,COUNTIF('Transect 2_imgsummary'!E38:I38,"COSC")*100/P38)</f>
        <v>0</v>
      </c>
      <c r="AA38">
        <f>IF(P38=0,0,COUNTIF('Transect 2_imgsummary'!E38:I38,"CTEN")*100/P38)</f>
        <v>0</v>
      </c>
      <c r="AB38">
        <f>IF(P38=0,0,COUNTIF('Transect 2_imgsummary'!E38:I38,"CYPH")*100/P38)</f>
        <v>0</v>
      </c>
      <c r="AC38">
        <f>IF(P38=0,0,COUNTIF('Transect 2_imgsummary'!E38:I38,"DIPLO")*100/P38)</f>
        <v>0</v>
      </c>
      <c r="AD38">
        <f>IF(P38=0,0,COUNTIF('Transect 2_imgsummary'!E38:I38,"ECHPO")*100/P38)</f>
        <v>0</v>
      </c>
      <c r="AE38">
        <f>IF(P38=0,0,COUNTIF('Transect 2_imgsummary'!E38:I38,"ECHPHY")*100/P38)</f>
        <v>0</v>
      </c>
      <c r="AF38">
        <f>IF(P38=0,0,COUNTIF('Transect 2_imgsummary'!E38:I38,"EUPH")*100/P38)</f>
        <v>0</v>
      </c>
      <c r="AG38">
        <f>IF(P38=0,0,COUNTIF('Transect 2_imgsummary'!E38:I38,"FAV")*100/P38)</f>
        <v>0</v>
      </c>
      <c r="AH38">
        <f>IF(P38=0,0,COUNTIF('Transect 2_imgsummary'!E38:I38,"FAVT")*100/P38)</f>
        <v>0</v>
      </c>
      <c r="AI38">
        <f>IF(P38=0,0,COUNTIF('Transect 2_imgsummary'!E38:I38,"FUNG")*100/P38)</f>
        <v>0</v>
      </c>
      <c r="AJ38">
        <f>IF(P38=0,0,COUNTIF('Transect 2_imgsummary'!E38:I38,"GAL")*100/P38)</f>
        <v>0</v>
      </c>
      <c r="AK38">
        <f>IF(P38=0,0,COUNTIF('Transect 2_imgsummary'!E38:I38,"GARD")*100/P38)</f>
        <v>0</v>
      </c>
      <c r="AL38">
        <f>IF(P38=0,0,COUNTIF('Transect 2_imgsummary'!E38:I38,"GON")*100/P38)</f>
        <v>0</v>
      </c>
      <c r="AM38">
        <f>IF(P38=0,0,COUNTIF('Transect 2_imgsummary'!E38:I38,"GONIO")*100/P38)</f>
        <v>0</v>
      </c>
      <c r="AN38">
        <f>IF(P38=0,0,COUNTIF('Transect 2_imgsummary'!E38:I38,"HELIO")*100/P38)</f>
        <v>0</v>
      </c>
      <c r="AO38">
        <f>IF(P38=0,0,COUNTIF('Transect 2_imgsummary'!E38:I38,"HERP")*100/P38)</f>
        <v>0</v>
      </c>
      <c r="AP38">
        <f>IF(P38=0,0,COUNTIF('Transect 2_imgsummary'!E38:I38,"HYD")*100/P38)</f>
        <v>0</v>
      </c>
      <c r="AQ38">
        <f>IF(P38=0,0,COUNTIF('Transect 2_imgsummary'!E38:I38,"ISOP")*100/P38)</f>
        <v>0</v>
      </c>
      <c r="AR38">
        <f>IF(P38=0,0,COUNTIF('Transect 2_imgsummary'!E38:I38,"LEPT")*100/P38)</f>
        <v>0</v>
      </c>
      <c r="AS38">
        <f>IF(P38=0,0,COUNTIF('Transect 2_imgsummary'!E38:I38,"LEPTOR")*100/P38)</f>
        <v>0</v>
      </c>
      <c r="AT38">
        <f>IF(P38=0,0,COUNTIF('Transect 2_imgsummary'!E38:I38,"LEPTOS")*100/P38)</f>
        <v>0</v>
      </c>
      <c r="AU38">
        <f>IF(P38=0,0,COUNTIF('Transect 2_imgsummary'!E38:I38,"LOBOPH")*100/P38)</f>
        <v>0</v>
      </c>
      <c r="AV38">
        <f>IF(P38=0,0,COUNTIF('Transect 2_imgsummary'!E38:I38,"MERU")*100/P38)</f>
        <v>0</v>
      </c>
      <c r="AW38">
        <f>IF(P38=0,0,COUNTIF('Transect 2_imgsummary'!E38:I38,"MILL")*100/P38)</f>
        <v>0</v>
      </c>
      <c r="AX38">
        <f>IF(P38=0,0,COUNTIF('Transect 2_imgsummary'!E38:I38,"MONT")*100/P38)</f>
        <v>0</v>
      </c>
      <c r="AY38">
        <f>IF(P38=0,0,COUNTIF('Transect 2_imgsummary'!E38:I38,"MONTI")*100/P38)</f>
        <v>0</v>
      </c>
      <c r="AZ38">
        <f>IF(P38=0,0,COUNTIF('Transect 2_imgsummary'!E38:I38,"MYCED")*100/P38)</f>
        <v>0</v>
      </c>
      <c r="BA38">
        <f>IF(P38=0,0,COUNTIF('Transect 2_imgsummary'!E38:I38,"OULO")*100/P38)</f>
        <v>0</v>
      </c>
      <c r="BB38">
        <f>IF(P38=0,0,COUNTIF('Transect 2_imgsummary'!E38:I38,"OXYP")*100/P38)</f>
        <v>0</v>
      </c>
      <c r="BC38">
        <f>IF(P38=0,0,COUNTIF('Transect 2_imgsummary'!E38:I38,"PLSIA")*100/P38)</f>
        <v>0</v>
      </c>
      <c r="BD38">
        <f>IF(P38=0,0,COUNTIF('Transect 2_imgsummary'!E38:I38,"PACHY")*100/P38)</f>
        <v>0</v>
      </c>
      <c r="BE38">
        <f>IF(P38=0,0,COUNTIF('Transect 2_imgsummary'!E38:I38,"PAV")*100/P38)</f>
        <v>0</v>
      </c>
      <c r="BF38">
        <f>IF(P38=0,0,COUNTIF('Transect 2_imgsummary'!E38:I38,"PECT")*100/P38)</f>
        <v>0</v>
      </c>
      <c r="BG38">
        <f>IF(P38=0,0,COUNTIF('Transect 2_imgsummary'!E38:I38,"PHYSO")*100/P38)</f>
        <v>0</v>
      </c>
      <c r="BH38">
        <f>IF(P38=0,0,COUNTIF('Transect 2_imgsummary'!E38:I38,"PLAT")*100/P38)</f>
        <v>0</v>
      </c>
      <c r="BI38">
        <f>IF(P38=0,0,COUNTIF('Transect 2_imgsummary'!E38:I38,"PLERO")*100/P38)</f>
        <v>0</v>
      </c>
      <c r="BJ38">
        <f>IF(P38=0,0,COUNTIF('Transect 2_imgsummary'!E38:I38,"POC")*100/P38)</f>
        <v>0</v>
      </c>
      <c r="BK38">
        <f>IF(P38=0,0,COUNTIF('Transect 2_imgsummary'!E38:I38,"POR")*100/P38)</f>
        <v>0</v>
      </c>
      <c r="BL38">
        <f>IF(P38=0,0,COUNTIF('Transect 2_imgsummary'!E38:I38,"PORCYL")*100/P38)</f>
        <v>0</v>
      </c>
      <c r="BM38">
        <f>IF(P38=0,0,COUNTIF('Transect 2_imgsummary'!E38:I38,"PORMAS")*100/P38)</f>
        <v>0</v>
      </c>
      <c r="BN38" s="29">
        <f>IF(P38=0,0,COUNTIF('Transect 2_imgsummary'!E38:I38,"PORRUS")*100/P38)</f>
        <v>40</v>
      </c>
      <c r="BO38">
        <f>IF(P38=0,0,COUNTIF('Transect 2_imgsummary'!E38:I38,"PSAM")*100/P38)</f>
        <v>0</v>
      </c>
      <c r="BP38">
        <f>IF(P38=0,0,COUNTIF('Transect 2_imgsummary'!E38:I38,"SANDO")*100/P38)</f>
        <v>0</v>
      </c>
      <c r="BQ38">
        <f>IF(P38=0,0,COUNTIF('Transect 2_imgsummary'!E38:I38,"SCAP")*100/P38)</f>
        <v>0</v>
      </c>
      <c r="BR38">
        <f>IF(P38=0,0,COUNTIF('Transect 2_imgsummary'!E38:I38,"SERIA")*100/P38)</f>
        <v>0</v>
      </c>
      <c r="BS38">
        <f>IF(P38=0,0,COUNTIF('Transect 2_imgsummary'!E38:I38,"STYLC")*100/P38)</f>
        <v>0</v>
      </c>
      <c r="BT38">
        <f>IF(P38=0,0,COUNTIF('Transect 2_imgsummary'!E38:I38,"STYLO")*100/P38)</f>
        <v>0</v>
      </c>
      <c r="BU38">
        <f>IF(P38=0,0,COUNTIF('Transect 2_imgsummary'!E38:I38,"SYMP")*100/P38)</f>
        <v>0</v>
      </c>
      <c r="BV38">
        <f>IF(P38=0,0,COUNTIF('Transect 2_imgsummary'!E38:I38,"TURBIN")*100/P38)</f>
        <v>0</v>
      </c>
      <c r="BX38">
        <f>IF(P38=0,0,COUNTIF('Transect 2_imgsummary'!E38:I38,"ANEM")*100/P38)</f>
        <v>0</v>
      </c>
      <c r="BY38">
        <f>IF(P38=0,0,COUNTIF('Transect 2_imgsummary'!E38:I38,"ASC")*100/P38)</f>
        <v>0</v>
      </c>
      <c r="BZ38">
        <f>IF(P38=0,0,COUNTIF('Transect 2_imgsummary'!E38:I38,"CUPS")*100/P38)</f>
        <v>0</v>
      </c>
      <c r="CA38">
        <f>IF(P38=0,0,COUNTIF('Transect 2_imgsummary'!E38:I38,"DISCO")*100/P38)</f>
        <v>0</v>
      </c>
      <c r="CB38">
        <f>IF(P38=0,0,COUNTIF('Transect 2_imgsummary'!E38:I38,"DYS")*100/P38)</f>
        <v>0</v>
      </c>
      <c r="CC38">
        <f>IF(P38=0,0,COUNTIF('Transect 2_imgsummary'!E38:I38,"G")*100/P38)</f>
        <v>0</v>
      </c>
      <c r="CD38">
        <f>IF(P38=0,0,COUNTIF('Transect 2_imgsummary'!E38:I38,"NoIDINV")*100/P38)</f>
        <v>0</v>
      </c>
      <c r="CE38">
        <f>IF(P38=0,0,COUNTIF('Transect 2_imgsummary'!E38:I38,"OLV")*100/P38)</f>
        <v>0</v>
      </c>
      <c r="CF38">
        <f>IF(P38=0,0,COUNTIF('Transect 2_imgsummary'!E38:I38,"SC")*100/P38)</f>
        <v>0</v>
      </c>
      <c r="CG38">
        <f>IF(P38=0,0,COUNTIF('Transect 2_imgsummary'!E38:I38,"S")*100/P38)</f>
        <v>0</v>
      </c>
      <c r="CH38">
        <f>IF(P38=0,0,COUNTIF('Transect 2_imgsummary'!E38:I38,"TERPS")*100/P38)</f>
        <v>0</v>
      </c>
      <c r="CI38">
        <f>IF(P38=0,0,COUNTIF('Transect 2_imgsummary'!E38:I38,"Z")*100/P38)</f>
        <v>0</v>
      </c>
      <c r="CK38">
        <f>IF(P38=0,0,COUNTIF('Transect 2_imgsummary'!E38:I38,"ASP")*100/P38)</f>
        <v>0</v>
      </c>
      <c r="CL38">
        <f>IF(P38=0,0,COUNTIF('Transect 2_imgsummary'!E38:I38,"BG")*100/P38)</f>
        <v>0</v>
      </c>
      <c r="CM38">
        <f>IF(P38=0,0,COUNTIF('Transect 2_imgsummary'!E38:I38,"Bood")*100/P38)</f>
        <v>0</v>
      </c>
      <c r="CN38">
        <f>IF(P38=0,0,COUNTIF('Transect 2_imgsummary'!E38:I38,"BRYP")*100/P38)</f>
        <v>0</v>
      </c>
      <c r="CO38">
        <f>IF(P38=0,0,COUNTIF('Transect 2_imgsummary'!E38:I38,"CLP")*100/P38)</f>
        <v>0</v>
      </c>
      <c r="CP38">
        <f>IF(P38=0,0,COUNTIF('Transect 2_imgsummary'!E38:I38,"CHLDES")*100/P38)</f>
        <v>0</v>
      </c>
      <c r="CQ38">
        <f>IF(P38=0,0,COUNTIF('Transect 2_imgsummary'!E38:I38,"DYCTY")*100/P38)</f>
        <v>0</v>
      </c>
      <c r="CR38">
        <f>IF(P38=0,0,COUNTIF('Transect 2_imgsummary'!E38:I38,"DICT")*100/P38)</f>
        <v>0</v>
      </c>
      <c r="CS38">
        <f>IF(P38=0,0,COUNTIF('Transect 2_imgsummary'!E38:I38,"GLXU")*100/P38)</f>
        <v>0</v>
      </c>
      <c r="CT38">
        <f>IF(P38=0,0,COUNTIF('Transect 2_imgsummary'!E38:I38,"HALI")*100/P38)</f>
        <v>0</v>
      </c>
      <c r="CU38">
        <f>IF(P38=0,0,COUNTIF('Transect 2_imgsummary'!E38:I38,"LIAG")*100/P38)</f>
        <v>0</v>
      </c>
      <c r="CV38">
        <f>IF(P38=0,0,COUNTIF('Transect 2_imgsummary'!E38:I38,"LOBO")*100/P38)</f>
        <v>0</v>
      </c>
      <c r="CW38">
        <f>IF(P38=0,0,COUNTIF('Transect 2_imgsummary'!E38:I38,"MAST")*100/P38)</f>
        <v>0</v>
      </c>
      <c r="CX38">
        <f>IF(P38=0,0,COUNTIF('Transect 2_imgsummary'!E38:I38,"MICDTY")*100/P38)</f>
        <v>0</v>
      </c>
      <c r="CY38">
        <f>IF(P38=0,0,COUNTIF('Transect 2_imgsummary'!E38:I38,"NEOM")*100/P38)</f>
        <v>0</v>
      </c>
      <c r="CZ38">
        <f>IF(P38=0,0,COUNTIF('Transect 2_imgsummary'!E38:I38,"NOIDMAC")*100/P38)</f>
        <v>0</v>
      </c>
      <c r="DA38">
        <f>IF(P38=0,0,COUNTIF('Transect 2_imgsummary'!E38:I38,"PAD")*100/P38)</f>
        <v>0</v>
      </c>
      <c r="DB38">
        <f>IF(P38=0,0,COUNTIF('Transect 2_imgsummary'!E38:I38,"SARG")*100/P38)</f>
        <v>0</v>
      </c>
      <c r="DC38">
        <f>IF(P38=0,0,COUNTIF('Transect 2_imgsummary'!E38:I38,"SCHIZ")*100/P38)</f>
        <v>0</v>
      </c>
      <c r="DD38">
        <f>IF(P38=0,0,COUNTIF('Transect 2_imgsummary'!E38:I38,"TURB")*100/P38)</f>
        <v>0</v>
      </c>
      <c r="DE38">
        <f>IF(P38=0,0,COUNTIF('Transect 2_imgsummary'!E38:I38,"TYDM")*100/P38)</f>
        <v>0</v>
      </c>
      <c r="DG38">
        <f>IF(P38=0,0,COUNTIF('Transect 2_imgsummary'!E38:I38,"AMP")*100/P38)</f>
        <v>0</v>
      </c>
      <c r="DH38">
        <f>IF(P38=0,0,COUNTIF('Transect 2_imgsummary'!E38:I38,"BCA1")*100/P38)</f>
        <v>0</v>
      </c>
      <c r="DI38">
        <f>IF(P38=0,0,COUNTIF('Transect 2_imgsummary'!E38:I38,"JAN")*100/P38)</f>
        <v>0</v>
      </c>
      <c r="DK38" s="29">
        <f>IF(P38=0,0,COUNTIF('Transect 2_imgsummary'!E38:I38,"CCA1")*100/P38)</f>
        <v>40</v>
      </c>
      <c r="DM38">
        <f>IF(P38=0,0,COUNTIF('Transect 2_imgsummary'!E38:I38,"Sand")*100/P38)</f>
        <v>0</v>
      </c>
      <c r="DO38" s="29">
        <f>IF(P38=0,0,COUNTIF('Transect 2_imgsummary'!E38:I38,"FCA1")*100/P38)</f>
        <v>20</v>
      </c>
      <c r="DQ38">
        <f>IF(P38=0,0,COUNTIF('Transect 2_imgsummary'!E38:I38,"CHRYOBRN")*100/P38)</f>
        <v>0</v>
      </c>
      <c r="DS38">
        <f>IF(P38=0,0,COUNTIF('Transect 2_imgsummary'!E38:I38,"TURF")*100/P38)</f>
        <v>0</v>
      </c>
      <c r="DU38">
        <f>COUNTIF('Transect 2_imgsummary'!E38:I38,"Shadow")*100/5</f>
        <v>0</v>
      </c>
      <c r="DV38">
        <f>COUNTIF('Transect 2_imgsummary'!E38:I38,"Tape")*100/5</f>
        <v>0</v>
      </c>
      <c r="DW38">
        <f>COUNTIF('Transect 2_imgsummary'!E38:I38,"Wand")*100/5</f>
        <v>0</v>
      </c>
      <c r="DY38">
        <f>IF(P38=0,0,COUNTIF('Transect 2_imgsummary'!O38:S38,"BC")*100/P38)</f>
        <v>0</v>
      </c>
    </row>
    <row r="39" spans="1:129">
      <c r="A39">
        <v>37</v>
      </c>
      <c r="B39" t="s">
        <v>466</v>
      </c>
      <c r="F39" s="29">
        <f>IF(P39=0,0,COUNTIF('Transect 2_imgsummary'!J39:N39,"C")*100/P39)</f>
        <v>100</v>
      </c>
      <c r="G39">
        <f>IF(P39=0,0,COUNTIF('Transect 2_imgsummary'!J39:N39,"OI")*100/P39)</f>
        <v>0</v>
      </c>
      <c r="H39">
        <f>IF(P39=0,0,COUNTIF('Transect 2_imgsummary'!J39:N39,"MA")*100/P39)</f>
        <v>0</v>
      </c>
      <c r="I39">
        <f>IF(P39=0,0,COUNTIF('Transect 2_imgsummary'!J39:N39,"BCA")*100/P39)</f>
        <v>0</v>
      </c>
      <c r="J39">
        <f>IF(P39=0,0,COUNTIF('Transect 2_imgsummary'!J39:N39,"CCA")*100/P39)</f>
        <v>0</v>
      </c>
      <c r="K39">
        <f>IF(P39=0,0,COUNTIF('Transect 2_imgsummary'!J39:N39,"SD")*100/P39)</f>
        <v>0</v>
      </c>
      <c r="L39">
        <f>IF(P39=0,0,COUNTIF('Transect 2_imgsummary'!J39:N39,"FCA")*100/P39)</f>
        <v>0</v>
      </c>
      <c r="M39">
        <f>IF(P39=0,0,COUNTIF('Transect 2_imgsummary'!J39:N39,"CHRYS")*100/P39)</f>
        <v>0</v>
      </c>
      <c r="N39">
        <f>IF(P39=0,0,COUNTIF('Transect 2_imgsummary'!J39:N39,"T")*100/P39)</f>
        <v>0</v>
      </c>
      <c r="O39">
        <f>IF(P39=0,0,COUNTIF('Transect 2_imgsummary'!J39:N39,"TWS")*100/P39)</f>
        <v>0</v>
      </c>
      <c r="P39">
        <f>5-COUNTIF('Transect 2_imgsummary'!J39:N39,"TWS")</f>
        <v>5</v>
      </c>
      <c r="S39">
        <f>IF(P39=0,0,COUNTIF('Transect 2_imgsummary'!E39:I39,"ACAN")*100/P39)</f>
        <v>0</v>
      </c>
      <c r="T39">
        <f>IF(P39=0,0,COUNTIF('Transect 2_imgsummary'!E39:I39,"ACROP")*100/P39)</f>
        <v>0</v>
      </c>
      <c r="U39">
        <f>IF(P39=0,0,COUNTIF('Transect 2_imgsummary'!E39:I39,"ACROPARB")*100/P39)</f>
        <v>0</v>
      </c>
      <c r="V39">
        <f>IF(P39=0,0,COUNTIF('Transect 2_imgsummary'!E39:I39,"ACROST")*100/P39)</f>
        <v>0</v>
      </c>
      <c r="W39" s="29">
        <f>IF(P39=0,0,COUNTIF('Transect 2_imgsummary'!E39:I39,"ACROTBL")*100/P39)</f>
        <v>80</v>
      </c>
      <c r="X39">
        <f>IF(P39=0,0,COUNTIF('Transect 2_imgsummary'!E39:I39,"ASTRP")*100/P39)</f>
        <v>0</v>
      </c>
      <c r="Y39">
        <f>IF(P39=0,0,COUNTIF('Transect 2_imgsummary'!E39:I39,"CAUL")*100/P39)</f>
        <v>0</v>
      </c>
      <c r="Z39">
        <f>IF(P39=0,0,COUNTIF('Transect 2_imgsummary'!E39:I39,"COSC")*100/P39)</f>
        <v>0</v>
      </c>
      <c r="AA39">
        <f>IF(P39=0,0,COUNTIF('Transect 2_imgsummary'!E39:I39,"CTEN")*100/P39)</f>
        <v>0</v>
      </c>
      <c r="AB39">
        <f>IF(P39=0,0,COUNTIF('Transect 2_imgsummary'!E39:I39,"CYPH")*100/P39)</f>
        <v>0</v>
      </c>
      <c r="AC39">
        <f>IF(P39=0,0,COUNTIF('Transect 2_imgsummary'!E39:I39,"DIPLO")*100/P39)</f>
        <v>0</v>
      </c>
      <c r="AD39">
        <f>IF(P39=0,0,COUNTIF('Transect 2_imgsummary'!E39:I39,"ECHPO")*100/P39)</f>
        <v>0</v>
      </c>
      <c r="AE39">
        <f>IF(P39=0,0,COUNTIF('Transect 2_imgsummary'!E39:I39,"ECHPHY")*100/P39)</f>
        <v>0</v>
      </c>
      <c r="AF39">
        <f>IF(P39=0,0,COUNTIF('Transect 2_imgsummary'!E39:I39,"EUPH")*100/P39)</f>
        <v>0</v>
      </c>
      <c r="AG39">
        <f>IF(P39=0,0,COUNTIF('Transect 2_imgsummary'!E39:I39,"FAV")*100/P39)</f>
        <v>0</v>
      </c>
      <c r="AH39">
        <f>IF(P39=0,0,COUNTIF('Transect 2_imgsummary'!E39:I39,"FAVT")*100/P39)</f>
        <v>0</v>
      </c>
      <c r="AI39">
        <f>IF(P39=0,0,COUNTIF('Transect 2_imgsummary'!E39:I39,"FUNG")*100/P39)</f>
        <v>0</v>
      </c>
      <c r="AJ39">
        <f>IF(P39=0,0,COUNTIF('Transect 2_imgsummary'!E39:I39,"GAL")*100/P39)</f>
        <v>0</v>
      </c>
      <c r="AK39">
        <f>IF(P39=0,0,COUNTIF('Transect 2_imgsummary'!E39:I39,"GARD")*100/P39)</f>
        <v>0</v>
      </c>
      <c r="AL39">
        <f>IF(P39=0,0,COUNTIF('Transect 2_imgsummary'!E39:I39,"GON")*100/P39)</f>
        <v>0</v>
      </c>
      <c r="AM39">
        <f>IF(P39=0,0,COUNTIF('Transect 2_imgsummary'!E39:I39,"GONIO")*100/P39)</f>
        <v>0</v>
      </c>
      <c r="AN39">
        <f>IF(P39=0,0,COUNTIF('Transect 2_imgsummary'!E39:I39,"HELIO")*100/P39)</f>
        <v>0</v>
      </c>
      <c r="AO39">
        <f>IF(P39=0,0,COUNTIF('Transect 2_imgsummary'!E39:I39,"HERP")*100/P39)</f>
        <v>0</v>
      </c>
      <c r="AP39" s="29">
        <f>IF(P39=0,0,COUNTIF('Transect 2_imgsummary'!E39:I39,"HYD")*100/P39)</f>
        <v>20</v>
      </c>
      <c r="AQ39">
        <f>IF(P39=0,0,COUNTIF('Transect 2_imgsummary'!E39:I39,"ISOP")*100/P39)</f>
        <v>0</v>
      </c>
      <c r="AR39">
        <f>IF(P39=0,0,COUNTIF('Transect 2_imgsummary'!E39:I39,"LEPT")*100/P39)</f>
        <v>0</v>
      </c>
      <c r="AS39">
        <f>IF(P39=0,0,COUNTIF('Transect 2_imgsummary'!E39:I39,"LEPTOR")*100/P39)</f>
        <v>0</v>
      </c>
      <c r="AT39">
        <f>IF(P39=0,0,COUNTIF('Transect 2_imgsummary'!E39:I39,"LEPTOS")*100/P39)</f>
        <v>0</v>
      </c>
      <c r="AU39">
        <f>IF(P39=0,0,COUNTIF('Transect 2_imgsummary'!E39:I39,"LOBOPH")*100/P39)</f>
        <v>0</v>
      </c>
      <c r="AV39">
        <f>IF(P39=0,0,COUNTIF('Transect 2_imgsummary'!E39:I39,"MERU")*100/P39)</f>
        <v>0</v>
      </c>
      <c r="AW39">
        <f>IF(P39=0,0,COUNTIF('Transect 2_imgsummary'!E39:I39,"MILL")*100/P39)</f>
        <v>0</v>
      </c>
      <c r="AX39">
        <f>IF(P39=0,0,COUNTIF('Transect 2_imgsummary'!E39:I39,"MONT")*100/P39)</f>
        <v>0</v>
      </c>
      <c r="AY39">
        <f>IF(P39=0,0,COUNTIF('Transect 2_imgsummary'!E39:I39,"MONTI")*100/P39)</f>
        <v>0</v>
      </c>
      <c r="AZ39">
        <f>IF(P39=0,0,COUNTIF('Transect 2_imgsummary'!E39:I39,"MYCED")*100/P39)</f>
        <v>0</v>
      </c>
      <c r="BA39">
        <f>IF(P39=0,0,COUNTIF('Transect 2_imgsummary'!E39:I39,"OULO")*100/P39)</f>
        <v>0</v>
      </c>
      <c r="BB39">
        <f>IF(P39=0,0,COUNTIF('Transect 2_imgsummary'!E39:I39,"OXYP")*100/P39)</f>
        <v>0</v>
      </c>
      <c r="BC39">
        <f>IF(P39=0,0,COUNTIF('Transect 2_imgsummary'!E39:I39,"PLSIA")*100/P39)</f>
        <v>0</v>
      </c>
      <c r="BD39">
        <f>IF(P39=0,0,COUNTIF('Transect 2_imgsummary'!E39:I39,"PACHY")*100/P39)</f>
        <v>0</v>
      </c>
      <c r="BE39">
        <f>IF(P39=0,0,COUNTIF('Transect 2_imgsummary'!E39:I39,"PAV")*100/P39)</f>
        <v>0</v>
      </c>
      <c r="BF39">
        <f>IF(P39=0,0,COUNTIF('Transect 2_imgsummary'!E39:I39,"PECT")*100/P39)</f>
        <v>0</v>
      </c>
      <c r="BG39">
        <f>IF(P39=0,0,COUNTIF('Transect 2_imgsummary'!E39:I39,"PHYSO")*100/P39)</f>
        <v>0</v>
      </c>
      <c r="BH39">
        <f>IF(P39=0,0,COUNTIF('Transect 2_imgsummary'!E39:I39,"PLAT")*100/P39)</f>
        <v>0</v>
      </c>
      <c r="BI39">
        <f>IF(P39=0,0,COUNTIF('Transect 2_imgsummary'!E39:I39,"PLERO")*100/P39)</f>
        <v>0</v>
      </c>
      <c r="BJ39">
        <f>IF(P39=0,0,COUNTIF('Transect 2_imgsummary'!E39:I39,"POC")*100/P39)</f>
        <v>0</v>
      </c>
      <c r="BK39">
        <f>IF(P39=0,0,COUNTIF('Transect 2_imgsummary'!E39:I39,"POR")*100/P39)</f>
        <v>0</v>
      </c>
      <c r="BL39">
        <f>IF(P39=0,0,COUNTIF('Transect 2_imgsummary'!E39:I39,"PORCYL")*100/P39)</f>
        <v>0</v>
      </c>
      <c r="BM39">
        <f>IF(P39=0,0,COUNTIF('Transect 2_imgsummary'!E39:I39,"PORMAS")*100/P39)</f>
        <v>0</v>
      </c>
      <c r="BN39">
        <f>IF(P39=0,0,COUNTIF('Transect 2_imgsummary'!E39:I39,"PORRUS")*100/P39)</f>
        <v>0</v>
      </c>
      <c r="BO39">
        <f>IF(P39=0,0,COUNTIF('Transect 2_imgsummary'!E39:I39,"PSAM")*100/P39)</f>
        <v>0</v>
      </c>
      <c r="BP39">
        <f>IF(P39=0,0,COUNTIF('Transect 2_imgsummary'!E39:I39,"SANDO")*100/P39)</f>
        <v>0</v>
      </c>
      <c r="BQ39">
        <f>IF(P39=0,0,COUNTIF('Transect 2_imgsummary'!E39:I39,"SCAP")*100/P39)</f>
        <v>0</v>
      </c>
      <c r="BR39">
        <f>IF(P39=0,0,COUNTIF('Transect 2_imgsummary'!E39:I39,"SERIA")*100/P39)</f>
        <v>0</v>
      </c>
      <c r="BS39">
        <f>IF(P39=0,0,COUNTIF('Transect 2_imgsummary'!E39:I39,"STYLC")*100/P39)</f>
        <v>0</v>
      </c>
      <c r="BT39">
        <f>IF(P39=0,0,COUNTIF('Transect 2_imgsummary'!E39:I39,"STYLO")*100/P39)</f>
        <v>0</v>
      </c>
      <c r="BU39">
        <f>IF(P39=0,0,COUNTIF('Transect 2_imgsummary'!E39:I39,"SYMP")*100/P39)</f>
        <v>0</v>
      </c>
      <c r="BV39">
        <f>IF(P39=0,0,COUNTIF('Transect 2_imgsummary'!E39:I39,"TURBIN")*100/P39)</f>
        <v>0</v>
      </c>
      <c r="BX39">
        <f>IF(P39=0,0,COUNTIF('Transect 2_imgsummary'!E39:I39,"ANEM")*100/P39)</f>
        <v>0</v>
      </c>
      <c r="BY39">
        <f>IF(P39=0,0,COUNTIF('Transect 2_imgsummary'!E39:I39,"ASC")*100/P39)</f>
        <v>0</v>
      </c>
      <c r="BZ39">
        <f>IF(P39=0,0,COUNTIF('Transect 2_imgsummary'!E39:I39,"CUPS")*100/P39)</f>
        <v>0</v>
      </c>
      <c r="CA39">
        <f>IF(P39=0,0,COUNTIF('Transect 2_imgsummary'!E39:I39,"DISCO")*100/P39)</f>
        <v>0</v>
      </c>
      <c r="CB39">
        <f>IF(P39=0,0,COUNTIF('Transect 2_imgsummary'!E39:I39,"DYS")*100/P39)</f>
        <v>0</v>
      </c>
      <c r="CC39">
        <f>IF(P39=0,0,COUNTIF('Transect 2_imgsummary'!E39:I39,"G")*100/P39)</f>
        <v>0</v>
      </c>
      <c r="CD39">
        <f>IF(P39=0,0,COUNTIF('Transect 2_imgsummary'!E39:I39,"NoIDINV")*100/P39)</f>
        <v>0</v>
      </c>
      <c r="CE39">
        <f>IF(P39=0,0,COUNTIF('Transect 2_imgsummary'!E39:I39,"OLV")*100/P39)</f>
        <v>0</v>
      </c>
      <c r="CF39">
        <f>IF(P39=0,0,COUNTIF('Transect 2_imgsummary'!E39:I39,"SC")*100/P39)</f>
        <v>0</v>
      </c>
      <c r="CG39">
        <f>IF(P39=0,0,COUNTIF('Transect 2_imgsummary'!E39:I39,"S")*100/P39)</f>
        <v>0</v>
      </c>
      <c r="CH39">
        <f>IF(P39=0,0,COUNTIF('Transect 2_imgsummary'!E39:I39,"TERPS")*100/P39)</f>
        <v>0</v>
      </c>
      <c r="CI39">
        <f>IF(P39=0,0,COUNTIF('Transect 2_imgsummary'!E39:I39,"Z")*100/P39)</f>
        <v>0</v>
      </c>
      <c r="CK39">
        <f>IF(P39=0,0,COUNTIF('Transect 2_imgsummary'!E39:I39,"ASP")*100/P39)</f>
        <v>0</v>
      </c>
      <c r="CL39">
        <f>IF(P39=0,0,COUNTIF('Transect 2_imgsummary'!E39:I39,"BG")*100/P39)</f>
        <v>0</v>
      </c>
      <c r="CM39">
        <f>IF(P39=0,0,COUNTIF('Transect 2_imgsummary'!E39:I39,"Bood")*100/P39)</f>
        <v>0</v>
      </c>
      <c r="CN39">
        <f>IF(P39=0,0,COUNTIF('Transect 2_imgsummary'!E39:I39,"BRYP")*100/P39)</f>
        <v>0</v>
      </c>
      <c r="CO39">
        <f>IF(P39=0,0,COUNTIF('Transect 2_imgsummary'!E39:I39,"CLP")*100/P39)</f>
        <v>0</v>
      </c>
      <c r="CP39">
        <f>IF(P39=0,0,COUNTIF('Transect 2_imgsummary'!E39:I39,"CHLDES")*100/P39)</f>
        <v>0</v>
      </c>
      <c r="CQ39">
        <f>IF(P39=0,0,COUNTIF('Transect 2_imgsummary'!E39:I39,"DYCTY")*100/P39)</f>
        <v>0</v>
      </c>
      <c r="CR39">
        <f>IF(P39=0,0,COUNTIF('Transect 2_imgsummary'!E39:I39,"DICT")*100/P39)</f>
        <v>0</v>
      </c>
      <c r="CS39">
        <f>IF(P39=0,0,COUNTIF('Transect 2_imgsummary'!E39:I39,"GLXU")*100/P39)</f>
        <v>0</v>
      </c>
      <c r="CT39">
        <f>IF(P39=0,0,COUNTIF('Transect 2_imgsummary'!E39:I39,"HALI")*100/P39)</f>
        <v>0</v>
      </c>
      <c r="CU39">
        <f>IF(P39=0,0,COUNTIF('Transect 2_imgsummary'!E39:I39,"LIAG")*100/P39)</f>
        <v>0</v>
      </c>
      <c r="CV39">
        <f>IF(P39=0,0,COUNTIF('Transect 2_imgsummary'!E39:I39,"LOBO")*100/P39)</f>
        <v>0</v>
      </c>
      <c r="CW39">
        <f>IF(P39=0,0,COUNTIF('Transect 2_imgsummary'!E39:I39,"MAST")*100/P39)</f>
        <v>0</v>
      </c>
      <c r="CX39">
        <f>IF(P39=0,0,COUNTIF('Transect 2_imgsummary'!E39:I39,"MICDTY")*100/P39)</f>
        <v>0</v>
      </c>
      <c r="CY39">
        <f>IF(P39=0,0,COUNTIF('Transect 2_imgsummary'!E39:I39,"NEOM")*100/P39)</f>
        <v>0</v>
      </c>
      <c r="CZ39">
        <f>IF(P39=0,0,COUNTIF('Transect 2_imgsummary'!E39:I39,"NOIDMAC")*100/P39)</f>
        <v>0</v>
      </c>
      <c r="DA39">
        <f>IF(P39=0,0,COUNTIF('Transect 2_imgsummary'!E39:I39,"PAD")*100/P39)</f>
        <v>0</v>
      </c>
      <c r="DB39">
        <f>IF(P39=0,0,COUNTIF('Transect 2_imgsummary'!E39:I39,"SARG")*100/P39)</f>
        <v>0</v>
      </c>
      <c r="DC39">
        <f>IF(P39=0,0,COUNTIF('Transect 2_imgsummary'!E39:I39,"SCHIZ")*100/P39)</f>
        <v>0</v>
      </c>
      <c r="DD39">
        <f>IF(P39=0,0,COUNTIF('Transect 2_imgsummary'!E39:I39,"TURB")*100/P39)</f>
        <v>0</v>
      </c>
      <c r="DE39">
        <f>IF(P39=0,0,COUNTIF('Transect 2_imgsummary'!E39:I39,"TYDM")*100/P39)</f>
        <v>0</v>
      </c>
      <c r="DG39">
        <f>IF(P39=0,0,COUNTIF('Transect 2_imgsummary'!E39:I39,"AMP")*100/P39)</f>
        <v>0</v>
      </c>
      <c r="DH39">
        <f>IF(P39=0,0,COUNTIF('Transect 2_imgsummary'!E39:I39,"BCA1")*100/P39)</f>
        <v>0</v>
      </c>
      <c r="DI39">
        <f>IF(P39=0,0,COUNTIF('Transect 2_imgsummary'!E39:I39,"JAN")*100/P39)</f>
        <v>0</v>
      </c>
      <c r="DK39">
        <f>IF(P39=0,0,COUNTIF('Transect 2_imgsummary'!E39:I39,"CCA1")*100/P39)</f>
        <v>0</v>
      </c>
      <c r="DM39">
        <f>IF(P39=0,0,COUNTIF('Transect 2_imgsummary'!E39:I39,"Sand")*100/P39)</f>
        <v>0</v>
      </c>
      <c r="DO39">
        <f>IF(P39=0,0,COUNTIF('Transect 2_imgsummary'!E39:I39,"FCA1")*100/P39)</f>
        <v>0</v>
      </c>
      <c r="DQ39">
        <f>IF(P39=0,0,COUNTIF('Transect 2_imgsummary'!E39:I39,"CHRYOBRN")*100/P39)</f>
        <v>0</v>
      </c>
      <c r="DS39">
        <f>IF(P39=0,0,COUNTIF('Transect 2_imgsummary'!E39:I39,"TURF")*100/P39)</f>
        <v>0</v>
      </c>
      <c r="DU39">
        <f>COUNTIF('Transect 2_imgsummary'!E39:I39,"Shadow")*100/5</f>
        <v>0</v>
      </c>
      <c r="DV39">
        <f>COUNTIF('Transect 2_imgsummary'!E39:I39,"Tape")*100/5</f>
        <v>0</v>
      </c>
      <c r="DW39">
        <f>COUNTIF('Transect 2_imgsummary'!E39:I39,"Wand")*100/5</f>
        <v>0</v>
      </c>
      <c r="DY39">
        <f>IF(P39=0,0,COUNTIF('Transect 2_imgsummary'!O39:S39,"BC")*100/P39)</f>
        <v>0</v>
      </c>
    </row>
    <row r="40" spans="1:129">
      <c r="A40">
        <v>38</v>
      </c>
      <c r="B40" t="s">
        <v>467</v>
      </c>
      <c r="F40" s="29">
        <f>IF(P40=0,0,COUNTIF('Transect 2_imgsummary'!J40:N40,"C")*100/P40)</f>
        <v>80</v>
      </c>
      <c r="G40">
        <f>IF(P40=0,0,COUNTIF('Transect 2_imgsummary'!J40:N40,"OI")*100/P40)</f>
        <v>0</v>
      </c>
      <c r="H40">
        <f>IF(P40=0,0,COUNTIF('Transect 2_imgsummary'!J40:N40,"MA")*100/P40)</f>
        <v>0</v>
      </c>
      <c r="I40">
        <f>IF(P40=0,0,COUNTIF('Transect 2_imgsummary'!J40:N40,"BCA")*100/P40)</f>
        <v>0</v>
      </c>
      <c r="J40" s="29">
        <f>IF(P40=0,0,COUNTIF('Transect 2_imgsummary'!J40:N40,"CCA")*100/P40)</f>
        <v>20</v>
      </c>
      <c r="K40">
        <f>IF(P40=0,0,COUNTIF('Transect 2_imgsummary'!J40:N40,"SD")*100/P40)</f>
        <v>0</v>
      </c>
      <c r="L40">
        <f>IF(P40=0,0,COUNTIF('Transect 2_imgsummary'!J40:N40,"FCA")*100/P40)</f>
        <v>0</v>
      </c>
      <c r="M40">
        <f>IF(P40=0,0,COUNTIF('Transect 2_imgsummary'!J40:N40,"CHRYS")*100/P40)</f>
        <v>0</v>
      </c>
      <c r="N40">
        <f>IF(P40=0,0,COUNTIF('Transect 2_imgsummary'!J40:N40,"T")*100/P40)</f>
        <v>0</v>
      </c>
      <c r="O40">
        <f>IF(P40=0,0,COUNTIF('Transect 2_imgsummary'!J40:N40,"TWS")*100/P40)</f>
        <v>0</v>
      </c>
      <c r="P40">
        <f>5-COUNTIF('Transect 2_imgsummary'!J40:N40,"TWS")</f>
        <v>5</v>
      </c>
      <c r="S40">
        <f>IF(P40=0,0,COUNTIF('Transect 2_imgsummary'!E40:I40,"ACAN")*100/P40)</f>
        <v>0</v>
      </c>
      <c r="T40">
        <f>IF(P40=0,0,COUNTIF('Transect 2_imgsummary'!E40:I40,"ACROP")*100/P40)</f>
        <v>0</v>
      </c>
      <c r="U40">
        <f>IF(P40=0,0,COUNTIF('Transect 2_imgsummary'!E40:I40,"ACROPARB")*100/P40)</f>
        <v>0</v>
      </c>
      <c r="V40">
        <f>IF(P40=0,0,COUNTIF('Transect 2_imgsummary'!E40:I40,"ACROST")*100/P40)</f>
        <v>0</v>
      </c>
      <c r="W40">
        <f>IF(P40=0,0,COUNTIF('Transect 2_imgsummary'!E40:I40,"ACROTBL")*100/P40)</f>
        <v>0</v>
      </c>
      <c r="X40">
        <f>IF(P40=0,0,COUNTIF('Transect 2_imgsummary'!E40:I40,"ASTRP")*100/P40)</f>
        <v>0</v>
      </c>
      <c r="Y40">
        <f>IF(P40=0,0,COUNTIF('Transect 2_imgsummary'!E40:I40,"CAUL")*100/P40)</f>
        <v>0</v>
      </c>
      <c r="Z40">
        <f>IF(P40=0,0,COUNTIF('Transect 2_imgsummary'!E40:I40,"COSC")*100/P40)</f>
        <v>0</v>
      </c>
      <c r="AA40">
        <f>IF(P40=0,0,COUNTIF('Transect 2_imgsummary'!E40:I40,"CTEN")*100/P40)</f>
        <v>0</v>
      </c>
      <c r="AB40">
        <f>IF(P40=0,0,COUNTIF('Transect 2_imgsummary'!E40:I40,"CYPH")*100/P40)</f>
        <v>0</v>
      </c>
      <c r="AC40">
        <f>IF(P40=0,0,COUNTIF('Transect 2_imgsummary'!E40:I40,"DIPLO")*100/P40)</f>
        <v>0</v>
      </c>
      <c r="AD40">
        <f>IF(P40=0,0,COUNTIF('Transect 2_imgsummary'!E40:I40,"ECHPO")*100/P40)</f>
        <v>0</v>
      </c>
      <c r="AE40">
        <f>IF(P40=0,0,COUNTIF('Transect 2_imgsummary'!E40:I40,"ECHPHY")*100/P40)</f>
        <v>0</v>
      </c>
      <c r="AF40">
        <f>IF(P40=0,0,COUNTIF('Transect 2_imgsummary'!E40:I40,"EUPH")*100/P40)</f>
        <v>0</v>
      </c>
      <c r="AG40" s="29">
        <f>IF(P40=0,0,COUNTIF('Transect 2_imgsummary'!E40:I40,"FAV")*100/P40)</f>
        <v>20</v>
      </c>
      <c r="AH40">
        <f>IF(P40=0,0,COUNTIF('Transect 2_imgsummary'!E40:I40,"FAVT")*100/P40)</f>
        <v>0</v>
      </c>
      <c r="AI40">
        <f>IF(P40=0,0,COUNTIF('Transect 2_imgsummary'!E40:I40,"FUNG")*100/P40)</f>
        <v>0</v>
      </c>
      <c r="AJ40">
        <f>IF(P40=0,0,COUNTIF('Transect 2_imgsummary'!E40:I40,"GAL")*100/P40)</f>
        <v>0</v>
      </c>
      <c r="AK40">
        <f>IF(P40=0,0,COUNTIF('Transect 2_imgsummary'!E40:I40,"GARD")*100/P40)</f>
        <v>0</v>
      </c>
      <c r="AL40">
        <f>IF(P40=0,0,COUNTIF('Transect 2_imgsummary'!E40:I40,"GON")*100/P40)</f>
        <v>0</v>
      </c>
      <c r="AM40">
        <f>IF(P40=0,0,COUNTIF('Transect 2_imgsummary'!E40:I40,"GONIO")*100/P40)</f>
        <v>0</v>
      </c>
      <c r="AN40">
        <f>IF(P40=0,0,COUNTIF('Transect 2_imgsummary'!E40:I40,"HELIO")*100/P40)</f>
        <v>0</v>
      </c>
      <c r="AO40">
        <f>IF(P40=0,0,COUNTIF('Transect 2_imgsummary'!E40:I40,"HERP")*100/P40)</f>
        <v>0</v>
      </c>
      <c r="AP40">
        <f>IF(P40=0,0,COUNTIF('Transect 2_imgsummary'!E40:I40,"HYD")*100/P40)</f>
        <v>0</v>
      </c>
      <c r="AQ40">
        <f>IF(P40=0,0,COUNTIF('Transect 2_imgsummary'!E40:I40,"ISOP")*100/P40)</f>
        <v>0</v>
      </c>
      <c r="AR40">
        <f>IF(P40=0,0,COUNTIF('Transect 2_imgsummary'!E40:I40,"LEPT")*100/P40)</f>
        <v>0</v>
      </c>
      <c r="AS40">
        <f>IF(P40=0,0,COUNTIF('Transect 2_imgsummary'!E40:I40,"LEPTOR")*100/P40)</f>
        <v>0</v>
      </c>
      <c r="AT40">
        <f>IF(P40=0,0,COUNTIF('Transect 2_imgsummary'!E40:I40,"LEPTOS")*100/P40)</f>
        <v>0</v>
      </c>
      <c r="AU40" s="29">
        <f>IF(P40=0,0,COUNTIF('Transect 2_imgsummary'!E40:I40,"LOBOPH")*100/P40)</f>
        <v>20</v>
      </c>
      <c r="AV40">
        <f>IF(P40=0,0,COUNTIF('Transect 2_imgsummary'!E40:I40,"MERU")*100/P40)</f>
        <v>0</v>
      </c>
      <c r="AW40">
        <f>IF(P40=0,0,COUNTIF('Transect 2_imgsummary'!E40:I40,"MILL")*100/P40)</f>
        <v>0</v>
      </c>
      <c r="AX40">
        <f>IF(P40=0,0,COUNTIF('Transect 2_imgsummary'!E40:I40,"MONT")*100/P40)</f>
        <v>0</v>
      </c>
      <c r="AY40">
        <f>IF(P40=0,0,COUNTIF('Transect 2_imgsummary'!E40:I40,"MONTI")*100/P40)</f>
        <v>0</v>
      </c>
      <c r="AZ40">
        <f>IF(P40=0,0,COUNTIF('Transect 2_imgsummary'!E40:I40,"MYCED")*100/P40)</f>
        <v>0</v>
      </c>
      <c r="BA40">
        <f>IF(P40=0,0,COUNTIF('Transect 2_imgsummary'!E40:I40,"OULO")*100/P40)</f>
        <v>0</v>
      </c>
      <c r="BB40">
        <f>IF(P40=0,0,COUNTIF('Transect 2_imgsummary'!E40:I40,"OXYP")*100/P40)</f>
        <v>0</v>
      </c>
      <c r="BC40">
        <f>IF(P40=0,0,COUNTIF('Transect 2_imgsummary'!E40:I40,"PLSIA")*100/P40)</f>
        <v>0</v>
      </c>
      <c r="BD40">
        <f>IF(P40=0,0,COUNTIF('Transect 2_imgsummary'!E40:I40,"PACHY")*100/P40)</f>
        <v>0</v>
      </c>
      <c r="BE40">
        <f>IF(P40=0,0,COUNTIF('Transect 2_imgsummary'!E40:I40,"PAV")*100/P40)</f>
        <v>0</v>
      </c>
      <c r="BF40">
        <f>IF(P40=0,0,COUNTIF('Transect 2_imgsummary'!E40:I40,"PECT")*100/P40)</f>
        <v>0</v>
      </c>
      <c r="BG40">
        <f>IF(P40=0,0,COUNTIF('Transect 2_imgsummary'!E40:I40,"PHYSO")*100/P40)</f>
        <v>0</v>
      </c>
      <c r="BH40">
        <f>IF(P40=0,0,COUNTIF('Transect 2_imgsummary'!E40:I40,"PLAT")*100/P40)</f>
        <v>0</v>
      </c>
      <c r="BI40">
        <f>IF(P40=0,0,COUNTIF('Transect 2_imgsummary'!E40:I40,"PLERO")*100/P40)</f>
        <v>0</v>
      </c>
      <c r="BJ40">
        <f>IF(P40=0,0,COUNTIF('Transect 2_imgsummary'!E40:I40,"POC")*100/P40)</f>
        <v>0</v>
      </c>
      <c r="BK40">
        <f>IF(P40=0,0,COUNTIF('Transect 2_imgsummary'!E40:I40,"POR")*100/P40)</f>
        <v>0</v>
      </c>
      <c r="BL40">
        <f>IF(P40=0,0,COUNTIF('Transect 2_imgsummary'!E40:I40,"PORCYL")*100/P40)</f>
        <v>0</v>
      </c>
      <c r="BM40">
        <f>IF(P40=0,0,COUNTIF('Transect 2_imgsummary'!E40:I40,"PORMAS")*100/P40)</f>
        <v>0</v>
      </c>
      <c r="BN40">
        <f>IF(P40=0,0,COUNTIF('Transect 2_imgsummary'!E40:I40,"PORRUS")*100/P40)</f>
        <v>0</v>
      </c>
      <c r="BO40">
        <f>IF(P40=0,0,COUNTIF('Transect 2_imgsummary'!E40:I40,"PSAM")*100/P40)</f>
        <v>0</v>
      </c>
      <c r="BP40">
        <f>IF(P40=0,0,COUNTIF('Transect 2_imgsummary'!E40:I40,"SANDO")*100/P40)</f>
        <v>0</v>
      </c>
      <c r="BQ40">
        <f>IF(P40=0,0,COUNTIF('Transect 2_imgsummary'!E40:I40,"SCAP")*100/P40)</f>
        <v>0</v>
      </c>
      <c r="BR40">
        <f>IF(P40=0,0,COUNTIF('Transect 2_imgsummary'!E40:I40,"SERIA")*100/P40)</f>
        <v>0</v>
      </c>
      <c r="BS40">
        <f>IF(P40=0,0,COUNTIF('Transect 2_imgsummary'!E40:I40,"STYLC")*100/P40)</f>
        <v>0</v>
      </c>
      <c r="BT40" s="29">
        <f>IF(P40=0,0,COUNTIF('Transect 2_imgsummary'!E40:I40,"STYLO")*100/P40)</f>
        <v>40</v>
      </c>
      <c r="BU40">
        <f>IF(P40=0,0,COUNTIF('Transect 2_imgsummary'!E40:I40,"SYMP")*100/P40)</f>
        <v>0</v>
      </c>
      <c r="BV40">
        <f>IF(P40=0,0,COUNTIF('Transect 2_imgsummary'!E40:I40,"TURBIN")*100/P40)</f>
        <v>0</v>
      </c>
      <c r="BX40">
        <f>IF(P40=0,0,COUNTIF('Transect 2_imgsummary'!E40:I40,"ANEM")*100/P40)</f>
        <v>0</v>
      </c>
      <c r="BY40">
        <f>IF(P40=0,0,COUNTIF('Transect 2_imgsummary'!E40:I40,"ASC")*100/P40)</f>
        <v>0</v>
      </c>
      <c r="BZ40">
        <f>IF(P40=0,0,COUNTIF('Transect 2_imgsummary'!E40:I40,"CUPS")*100/P40)</f>
        <v>0</v>
      </c>
      <c r="CA40">
        <f>IF(P40=0,0,COUNTIF('Transect 2_imgsummary'!E40:I40,"DISCO")*100/P40)</f>
        <v>0</v>
      </c>
      <c r="CB40">
        <f>IF(P40=0,0,COUNTIF('Transect 2_imgsummary'!E40:I40,"DYS")*100/P40)</f>
        <v>0</v>
      </c>
      <c r="CC40">
        <f>IF(P40=0,0,COUNTIF('Transect 2_imgsummary'!E40:I40,"G")*100/P40)</f>
        <v>0</v>
      </c>
      <c r="CD40">
        <f>IF(P40=0,0,COUNTIF('Transect 2_imgsummary'!E40:I40,"NoIDINV")*100/P40)</f>
        <v>0</v>
      </c>
      <c r="CE40">
        <f>IF(P40=0,0,COUNTIF('Transect 2_imgsummary'!E40:I40,"OLV")*100/P40)</f>
        <v>0</v>
      </c>
      <c r="CF40">
        <f>IF(P40=0,0,COUNTIF('Transect 2_imgsummary'!E40:I40,"SC")*100/P40)</f>
        <v>0</v>
      </c>
      <c r="CG40">
        <f>IF(P40=0,0,COUNTIF('Transect 2_imgsummary'!E40:I40,"S")*100/P40)</f>
        <v>0</v>
      </c>
      <c r="CH40">
        <f>IF(P40=0,0,COUNTIF('Transect 2_imgsummary'!E40:I40,"TERPS")*100/P40)</f>
        <v>0</v>
      </c>
      <c r="CI40">
        <f>IF(P40=0,0,COUNTIF('Transect 2_imgsummary'!E40:I40,"Z")*100/P40)</f>
        <v>0</v>
      </c>
      <c r="CK40">
        <f>IF(P40=0,0,COUNTIF('Transect 2_imgsummary'!E40:I40,"ASP")*100/P40)</f>
        <v>0</v>
      </c>
      <c r="CL40">
        <f>IF(P40=0,0,COUNTIF('Transect 2_imgsummary'!E40:I40,"BG")*100/P40)</f>
        <v>0</v>
      </c>
      <c r="CM40">
        <f>IF(P40=0,0,COUNTIF('Transect 2_imgsummary'!E40:I40,"Bood")*100/P40)</f>
        <v>0</v>
      </c>
      <c r="CN40">
        <f>IF(P40=0,0,COUNTIF('Transect 2_imgsummary'!E40:I40,"BRYP")*100/P40)</f>
        <v>0</v>
      </c>
      <c r="CO40">
        <f>IF(P40=0,0,COUNTIF('Transect 2_imgsummary'!E40:I40,"CLP")*100/P40)</f>
        <v>0</v>
      </c>
      <c r="CP40">
        <f>IF(P40=0,0,COUNTIF('Transect 2_imgsummary'!E40:I40,"CHLDES")*100/P40)</f>
        <v>0</v>
      </c>
      <c r="CQ40">
        <f>IF(P40=0,0,COUNTIF('Transect 2_imgsummary'!E40:I40,"DYCTY")*100/P40)</f>
        <v>0</v>
      </c>
      <c r="CR40">
        <f>IF(P40=0,0,COUNTIF('Transect 2_imgsummary'!E40:I40,"DICT")*100/P40)</f>
        <v>0</v>
      </c>
      <c r="CS40">
        <f>IF(P40=0,0,COUNTIF('Transect 2_imgsummary'!E40:I40,"GLXU")*100/P40)</f>
        <v>0</v>
      </c>
      <c r="CT40">
        <f>IF(P40=0,0,COUNTIF('Transect 2_imgsummary'!E40:I40,"HALI")*100/P40)</f>
        <v>0</v>
      </c>
      <c r="CU40">
        <f>IF(P40=0,0,COUNTIF('Transect 2_imgsummary'!E40:I40,"LIAG")*100/P40)</f>
        <v>0</v>
      </c>
      <c r="CV40">
        <f>IF(P40=0,0,COUNTIF('Transect 2_imgsummary'!E40:I40,"LOBO")*100/P40)</f>
        <v>0</v>
      </c>
      <c r="CW40">
        <f>IF(P40=0,0,COUNTIF('Transect 2_imgsummary'!E40:I40,"MAST")*100/P40)</f>
        <v>0</v>
      </c>
      <c r="CX40">
        <f>IF(P40=0,0,COUNTIF('Transect 2_imgsummary'!E40:I40,"MICDTY")*100/P40)</f>
        <v>0</v>
      </c>
      <c r="CY40">
        <f>IF(P40=0,0,COUNTIF('Transect 2_imgsummary'!E40:I40,"NEOM")*100/P40)</f>
        <v>0</v>
      </c>
      <c r="CZ40">
        <f>IF(P40=0,0,COUNTIF('Transect 2_imgsummary'!E40:I40,"NOIDMAC")*100/P40)</f>
        <v>0</v>
      </c>
      <c r="DA40">
        <f>IF(P40=0,0,COUNTIF('Transect 2_imgsummary'!E40:I40,"PAD")*100/P40)</f>
        <v>0</v>
      </c>
      <c r="DB40">
        <f>IF(P40=0,0,COUNTIF('Transect 2_imgsummary'!E40:I40,"SARG")*100/P40)</f>
        <v>0</v>
      </c>
      <c r="DC40">
        <f>IF(P40=0,0,COUNTIF('Transect 2_imgsummary'!E40:I40,"SCHIZ")*100/P40)</f>
        <v>0</v>
      </c>
      <c r="DD40">
        <f>IF(P40=0,0,COUNTIF('Transect 2_imgsummary'!E40:I40,"TURB")*100/P40)</f>
        <v>0</v>
      </c>
      <c r="DE40">
        <f>IF(P40=0,0,COUNTIF('Transect 2_imgsummary'!E40:I40,"TYDM")*100/P40)</f>
        <v>0</v>
      </c>
      <c r="DG40">
        <f>IF(P40=0,0,COUNTIF('Transect 2_imgsummary'!E40:I40,"AMP")*100/P40)</f>
        <v>0</v>
      </c>
      <c r="DH40">
        <f>IF(P40=0,0,COUNTIF('Transect 2_imgsummary'!E40:I40,"BCA1")*100/P40)</f>
        <v>0</v>
      </c>
      <c r="DI40">
        <f>IF(P40=0,0,COUNTIF('Transect 2_imgsummary'!E40:I40,"JAN")*100/P40)</f>
        <v>0</v>
      </c>
      <c r="DK40" s="29">
        <f>IF(P40=0,0,COUNTIF('Transect 2_imgsummary'!E40:I40,"CCA1")*100/P40)</f>
        <v>20</v>
      </c>
      <c r="DM40">
        <f>IF(P40=0,0,COUNTIF('Transect 2_imgsummary'!E40:I40,"Sand")*100/P40)</f>
        <v>0</v>
      </c>
      <c r="DO40">
        <f>IF(P40=0,0,COUNTIF('Transect 2_imgsummary'!E40:I40,"FCA1")*100/P40)</f>
        <v>0</v>
      </c>
      <c r="DQ40">
        <f>IF(P40=0,0,COUNTIF('Transect 2_imgsummary'!E40:I40,"CHRYOBRN")*100/P40)</f>
        <v>0</v>
      </c>
      <c r="DS40">
        <f>IF(P40=0,0,COUNTIF('Transect 2_imgsummary'!E40:I40,"TURF")*100/P40)</f>
        <v>0</v>
      </c>
      <c r="DU40">
        <f>COUNTIF('Transect 2_imgsummary'!E40:I40,"Shadow")*100/5</f>
        <v>0</v>
      </c>
      <c r="DV40">
        <f>COUNTIF('Transect 2_imgsummary'!E40:I40,"Tape")*100/5</f>
        <v>0</v>
      </c>
      <c r="DW40">
        <f>COUNTIF('Transect 2_imgsummary'!E40:I40,"Wand")*100/5</f>
        <v>0</v>
      </c>
      <c r="DY40">
        <f>IF(P40=0,0,COUNTIF('Transect 2_imgsummary'!O40:S40,"BC")*100/P40)</f>
        <v>0</v>
      </c>
    </row>
    <row r="41" spans="1:129">
      <c r="A41">
        <v>39</v>
      </c>
      <c r="B41" t="s">
        <v>468</v>
      </c>
      <c r="F41" s="29">
        <f>IF(P41=0,0,COUNTIF('Transect 2_imgsummary'!J41:N41,"C")*100/P41)</f>
        <v>80</v>
      </c>
      <c r="G41">
        <f>IF(P41=0,0,COUNTIF('Transect 2_imgsummary'!J41:N41,"OI")*100/P41)</f>
        <v>0</v>
      </c>
      <c r="H41">
        <f>IF(P41=0,0,COUNTIF('Transect 2_imgsummary'!J41:N41,"MA")*100/P41)</f>
        <v>0</v>
      </c>
      <c r="I41">
        <f>IF(P41=0,0,COUNTIF('Transect 2_imgsummary'!J41:N41,"BCA")*100/P41)</f>
        <v>0</v>
      </c>
      <c r="J41">
        <f>IF(P41=0,0,COUNTIF('Transect 2_imgsummary'!J41:N41,"CCA")*100/P41)</f>
        <v>0</v>
      </c>
      <c r="K41">
        <f>IF(P41=0,0,COUNTIF('Transect 2_imgsummary'!J41:N41,"SD")*100/P41)</f>
        <v>0</v>
      </c>
      <c r="L41">
        <f>IF(P41=0,0,COUNTIF('Transect 2_imgsummary'!J41:N41,"FCA")*100/P41)</f>
        <v>0</v>
      </c>
      <c r="M41">
        <f>IF(P41=0,0,COUNTIF('Transect 2_imgsummary'!J41:N41,"CHRYS")*100/P41)</f>
        <v>0</v>
      </c>
      <c r="N41" s="29">
        <f>IF(P41=0,0,COUNTIF('Transect 2_imgsummary'!J41:N41,"T")*100/P41)</f>
        <v>20</v>
      </c>
      <c r="O41">
        <f>IF(P41=0,0,COUNTIF('Transect 2_imgsummary'!J41:N41,"TWS")*100/P41)</f>
        <v>0</v>
      </c>
      <c r="P41">
        <f>5-COUNTIF('Transect 2_imgsummary'!J41:N41,"TWS")</f>
        <v>5</v>
      </c>
      <c r="S41">
        <f>IF(P41=0,0,COUNTIF('Transect 2_imgsummary'!E41:I41,"ACAN")*100/P41)</f>
        <v>0</v>
      </c>
      <c r="T41">
        <f>IF(P41=0,0,COUNTIF('Transect 2_imgsummary'!E41:I41,"ACROP")*100/P41)</f>
        <v>0</v>
      </c>
      <c r="U41">
        <f>IF(P41=0,0,COUNTIF('Transect 2_imgsummary'!E41:I41,"ACROPARB")*100/P41)</f>
        <v>0</v>
      </c>
      <c r="V41">
        <f>IF(P41=0,0,COUNTIF('Transect 2_imgsummary'!E41:I41,"ACROST")*100/P41)</f>
        <v>0</v>
      </c>
      <c r="W41">
        <f>IF(P41=0,0,COUNTIF('Transect 2_imgsummary'!E41:I41,"ACROTBL")*100/P41)</f>
        <v>0</v>
      </c>
      <c r="X41">
        <f>IF(P41=0,0,COUNTIF('Transect 2_imgsummary'!E41:I41,"ASTRP")*100/P41)</f>
        <v>0</v>
      </c>
      <c r="Y41">
        <f>IF(P41=0,0,COUNTIF('Transect 2_imgsummary'!E41:I41,"CAUL")*100/P41)</f>
        <v>0</v>
      </c>
      <c r="Z41">
        <f>IF(P41=0,0,COUNTIF('Transect 2_imgsummary'!E41:I41,"COSC")*100/P41)</f>
        <v>0</v>
      </c>
      <c r="AA41">
        <f>IF(P41=0,0,COUNTIF('Transect 2_imgsummary'!E41:I41,"CTEN")*100/P41)</f>
        <v>0</v>
      </c>
      <c r="AB41">
        <f>IF(P41=0,0,COUNTIF('Transect 2_imgsummary'!E41:I41,"CYPH")*100/P41)</f>
        <v>0</v>
      </c>
      <c r="AC41">
        <f>IF(P41=0,0,COUNTIF('Transect 2_imgsummary'!E41:I41,"DIPLO")*100/P41)</f>
        <v>0</v>
      </c>
      <c r="AD41">
        <f>IF(P41=0,0,COUNTIF('Transect 2_imgsummary'!E41:I41,"ECHPO")*100/P41)</f>
        <v>0</v>
      </c>
      <c r="AE41">
        <f>IF(P41=0,0,COUNTIF('Transect 2_imgsummary'!E41:I41,"ECHPHY")*100/P41)</f>
        <v>0</v>
      </c>
      <c r="AF41">
        <f>IF(P41=0,0,COUNTIF('Transect 2_imgsummary'!E41:I41,"EUPH")*100/P41)</f>
        <v>0</v>
      </c>
      <c r="AG41">
        <f>IF(P41=0,0,COUNTIF('Transect 2_imgsummary'!E41:I41,"FAV")*100/P41)</f>
        <v>0</v>
      </c>
      <c r="AH41">
        <f>IF(P41=0,0,COUNTIF('Transect 2_imgsummary'!E41:I41,"FAVT")*100/P41)</f>
        <v>0</v>
      </c>
      <c r="AI41">
        <f>IF(P41=0,0,COUNTIF('Transect 2_imgsummary'!E41:I41,"FUNG")*100/P41)</f>
        <v>0</v>
      </c>
      <c r="AJ41" s="29">
        <f>IF(P41=0,0,COUNTIF('Transect 2_imgsummary'!E41:I41,"GAL")*100/P41)</f>
        <v>20</v>
      </c>
      <c r="AK41">
        <f>IF(P41=0,0,COUNTIF('Transect 2_imgsummary'!E41:I41,"GARD")*100/P41)</f>
        <v>0</v>
      </c>
      <c r="AL41">
        <f>IF(P41=0,0,COUNTIF('Transect 2_imgsummary'!E41:I41,"GON")*100/P41)</f>
        <v>0</v>
      </c>
      <c r="AM41">
        <f>IF(P41=0,0,COUNTIF('Transect 2_imgsummary'!E41:I41,"GONIO")*100/P41)</f>
        <v>0</v>
      </c>
      <c r="AN41">
        <f>IF(P41=0,0,COUNTIF('Transect 2_imgsummary'!E41:I41,"HELIO")*100/P41)</f>
        <v>0</v>
      </c>
      <c r="AO41">
        <f>IF(P41=0,0,COUNTIF('Transect 2_imgsummary'!E41:I41,"HERP")*100/P41)</f>
        <v>0</v>
      </c>
      <c r="AP41">
        <f>IF(P41=0,0,COUNTIF('Transect 2_imgsummary'!E41:I41,"HYD")*100/P41)</f>
        <v>0</v>
      </c>
      <c r="AQ41">
        <f>IF(P41=0,0,COUNTIF('Transect 2_imgsummary'!E41:I41,"ISOP")*100/P41)</f>
        <v>0</v>
      </c>
      <c r="AR41">
        <f>IF(P41=0,0,COUNTIF('Transect 2_imgsummary'!E41:I41,"LEPT")*100/P41)</f>
        <v>0</v>
      </c>
      <c r="AS41">
        <f>IF(P41=0,0,COUNTIF('Transect 2_imgsummary'!E41:I41,"LEPTOR")*100/P41)</f>
        <v>0</v>
      </c>
      <c r="AT41">
        <f>IF(P41=0,0,COUNTIF('Transect 2_imgsummary'!E41:I41,"LEPTOS")*100/P41)</f>
        <v>0</v>
      </c>
      <c r="AU41" s="29">
        <f>IF(P41=0,0,COUNTIF('Transect 2_imgsummary'!E41:I41,"LOBOPH")*100/P41)</f>
        <v>60</v>
      </c>
      <c r="AV41">
        <f>IF(P41=0,0,COUNTIF('Transect 2_imgsummary'!E41:I41,"MERU")*100/P41)</f>
        <v>0</v>
      </c>
      <c r="AW41">
        <f>IF(P41=0,0,COUNTIF('Transect 2_imgsummary'!E41:I41,"MILL")*100/P41)</f>
        <v>0</v>
      </c>
      <c r="AX41">
        <f>IF(P41=0,0,COUNTIF('Transect 2_imgsummary'!E41:I41,"MONT")*100/P41)</f>
        <v>0</v>
      </c>
      <c r="AY41">
        <f>IF(P41=0,0,COUNTIF('Transect 2_imgsummary'!E41:I41,"MONTI")*100/P41)</f>
        <v>0</v>
      </c>
      <c r="AZ41">
        <f>IF(P41=0,0,COUNTIF('Transect 2_imgsummary'!E41:I41,"MYCED")*100/P41)</f>
        <v>0</v>
      </c>
      <c r="BA41">
        <f>IF(P41=0,0,COUNTIF('Transect 2_imgsummary'!E41:I41,"OULO")*100/P41)</f>
        <v>0</v>
      </c>
      <c r="BB41">
        <f>IF(P41=0,0,COUNTIF('Transect 2_imgsummary'!E41:I41,"OXYP")*100/P41)</f>
        <v>0</v>
      </c>
      <c r="BC41">
        <f>IF(P41=0,0,COUNTIF('Transect 2_imgsummary'!E41:I41,"PLSIA")*100/P41)</f>
        <v>0</v>
      </c>
      <c r="BD41">
        <f>IF(P41=0,0,COUNTIF('Transect 2_imgsummary'!E41:I41,"PACHY")*100/P41)</f>
        <v>0</v>
      </c>
      <c r="BE41">
        <f>IF(P41=0,0,COUNTIF('Transect 2_imgsummary'!E41:I41,"PAV")*100/P41)</f>
        <v>0</v>
      </c>
      <c r="BF41">
        <f>IF(P41=0,0,COUNTIF('Transect 2_imgsummary'!E41:I41,"PECT")*100/P41)</f>
        <v>0</v>
      </c>
      <c r="BG41">
        <f>IF(P41=0,0,COUNTIF('Transect 2_imgsummary'!E41:I41,"PHYSO")*100/P41)</f>
        <v>0</v>
      </c>
      <c r="BH41">
        <f>IF(P41=0,0,COUNTIF('Transect 2_imgsummary'!E41:I41,"PLAT")*100/P41)</f>
        <v>0</v>
      </c>
      <c r="BI41">
        <f>IF(P41=0,0,COUNTIF('Transect 2_imgsummary'!E41:I41,"PLERO")*100/P41)</f>
        <v>0</v>
      </c>
      <c r="BJ41">
        <f>IF(P41=0,0,COUNTIF('Transect 2_imgsummary'!E41:I41,"POC")*100/P41)</f>
        <v>0</v>
      </c>
      <c r="BK41">
        <f>IF(P41=0,0,COUNTIF('Transect 2_imgsummary'!E41:I41,"POR")*100/P41)</f>
        <v>0</v>
      </c>
      <c r="BL41">
        <f>IF(P41=0,0,COUNTIF('Transect 2_imgsummary'!E41:I41,"PORCYL")*100/P41)</f>
        <v>0</v>
      </c>
      <c r="BM41">
        <f>IF(P41=0,0,COUNTIF('Transect 2_imgsummary'!E41:I41,"PORMAS")*100/P41)</f>
        <v>0</v>
      </c>
      <c r="BN41">
        <f>IF(P41=0,0,COUNTIF('Transect 2_imgsummary'!E41:I41,"PORRUS")*100/P41)</f>
        <v>0</v>
      </c>
      <c r="BO41">
        <f>IF(P41=0,0,COUNTIF('Transect 2_imgsummary'!E41:I41,"PSAM")*100/P41)</f>
        <v>0</v>
      </c>
      <c r="BP41">
        <f>IF(P41=0,0,COUNTIF('Transect 2_imgsummary'!E41:I41,"SANDO")*100/P41)</f>
        <v>0</v>
      </c>
      <c r="BQ41">
        <f>IF(P41=0,0,COUNTIF('Transect 2_imgsummary'!E41:I41,"SCAP")*100/P41)</f>
        <v>0</v>
      </c>
      <c r="BR41">
        <f>IF(P41=0,0,COUNTIF('Transect 2_imgsummary'!E41:I41,"SERIA")*100/P41)</f>
        <v>0</v>
      </c>
      <c r="BS41">
        <f>IF(P41=0,0,COUNTIF('Transect 2_imgsummary'!E41:I41,"STYLC")*100/P41)</f>
        <v>0</v>
      </c>
      <c r="BT41">
        <f>IF(P41=0,0,COUNTIF('Transect 2_imgsummary'!E41:I41,"STYLO")*100/P41)</f>
        <v>0</v>
      </c>
      <c r="BU41">
        <f>IF(P41=0,0,COUNTIF('Transect 2_imgsummary'!E41:I41,"SYMP")*100/P41)</f>
        <v>0</v>
      </c>
      <c r="BV41">
        <f>IF(P41=0,0,COUNTIF('Transect 2_imgsummary'!E41:I41,"TURBIN")*100/P41)</f>
        <v>0</v>
      </c>
      <c r="BX41">
        <f>IF(P41=0,0,COUNTIF('Transect 2_imgsummary'!E41:I41,"ANEM")*100/P41)</f>
        <v>0</v>
      </c>
      <c r="BY41">
        <f>IF(P41=0,0,COUNTIF('Transect 2_imgsummary'!E41:I41,"ASC")*100/P41)</f>
        <v>0</v>
      </c>
      <c r="BZ41">
        <f>IF(P41=0,0,COUNTIF('Transect 2_imgsummary'!E41:I41,"CUPS")*100/P41)</f>
        <v>0</v>
      </c>
      <c r="CA41">
        <f>IF(P41=0,0,COUNTIF('Transect 2_imgsummary'!E41:I41,"DISCO")*100/P41)</f>
        <v>0</v>
      </c>
      <c r="CB41">
        <f>IF(P41=0,0,COUNTIF('Transect 2_imgsummary'!E41:I41,"DYS")*100/P41)</f>
        <v>0</v>
      </c>
      <c r="CC41">
        <f>IF(P41=0,0,COUNTIF('Transect 2_imgsummary'!E41:I41,"G")*100/P41)</f>
        <v>0</v>
      </c>
      <c r="CD41">
        <f>IF(P41=0,0,COUNTIF('Transect 2_imgsummary'!E41:I41,"NoIDINV")*100/P41)</f>
        <v>0</v>
      </c>
      <c r="CE41">
        <f>IF(P41=0,0,COUNTIF('Transect 2_imgsummary'!E41:I41,"OLV")*100/P41)</f>
        <v>0</v>
      </c>
      <c r="CF41">
        <f>IF(P41=0,0,COUNTIF('Transect 2_imgsummary'!E41:I41,"SC")*100/P41)</f>
        <v>0</v>
      </c>
      <c r="CG41">
        <f>IF(P41=0,0,COUNTIF('Transect 2_imgsummary'!E41:I41,"S")*100/P41)</f>
        <v>0</v>
      </c>
      <c r="CH41">
        <f>IF(P41=0,0,COUNTIF('Transect 2_imgsummary'!E41:I41,"TERPS")*100/P41)</f>
        <v>0</v>
      </c>
      <c r="CI41">
        <f>IF(P41=0,0,COUNTIF('Transect 2_imgsummary'!E41:I41,"Z")*100/P41)</f>
        <v>0</v>
      </c>
      <c r="CK41">
        <f>IF(P41=0,0,COUNTIF('Transect 2_imgsummary'!E41:I41,"ASP")*100/P41)</f>
        <v>0</v>
      </c>
      <c r="CL41">
        <f>IF(P41=0,0,COUNTIF('Transect 2_imgsummary'!E41:I41,"BG")*100/P41)</f>
        <v>0</v>
      </c>
      <c r="CM41">
        <f>IF(P41=0,0,COUNTIF('Transect 2_imgsummary'!E41:I41,"Bood")*100/P41)</f>
        <v>0</v>
      </c>
      <c r="CN41">
        <f>IF(P41=0,0,COUNTIF('Transect 2_imgsummary'!E41:I41,"BRYP")*100/P41)</f>
        <v>0</v>
      </c>
      <c r="CO41">
        <f>IF(P41=0,0,COUNTIF('Transect 2_imgsummary'!E41:I41,"CLP")*100/P41)</f>
        <v>0</v>
      </c>
      <c r="CP41">
        <f>IF(P41=0,0,COUNTIF('Transect 2_imgsummary'!E41:I41,"CHLDES")*100/P41)</f>
        <v>0</v>
      </c>
      <c r="CQ41">
        <f>IF(P41=0,0,COUNTIF('Transect 2_imgsummary'!E41:I41,"DYCTY")*100/P41)</f>
        <v>0</v>
      </c>
      <c r="CR41">
        <f>IF(P41=0,0,COUNTIF('Transect 2_imgsummary'!E41:I41,"DICT")*100/P41)</f>
        <v>0</v>
      </c>
      <c r="CS41">
        <f>IF(P41=0,0,COUNTIF('Transect 2_imgsummary'!E41:I41,"GLXU")*100/P41)</f>
        <v>0</v>
      </c>
      <c r="CT41">
        <f>IF(P41=0,0,COUNTIF('Transect 2_imgsummary'!E41:I41,"HALI")*100/P41)</f>
        <v>0</v>
      </c>
      <c r="CU41">
        <f>IF(P41=0,0,COUNTIF('Transect 2_imgsummary'!E41:I41,"LIAG")*100/P41)</f>
        <v>0</v>
      </c>
      <c r="CV41">
        <f>IF(P41=0,0,COUNTIF('Transect 2_imgsummary'!E41:I41,"LOBO")*100/P41)</f>
        <v>0</v>
      </c>
      <c r="CW41">
        <f>IF(P41=0,0,COUNTIF('Transect 2_imgsummary'!E41:I41,"MAST")*100/P41)</f>
        <v>0</v>
      </c>
      <c r="CX41">
        <f>IF(P41=0,0,COUNTIF('Transect 2_imgsummary'!E41:I41,"MICDTY")*100/P41)</f>
        <v>0</v>
      </c>
      <c r="CY41">
        <f>IF(P41=0,0,COUNTIF('Transect 2_imgsummary'!E41:I41,"NEOM")*100/P41)</f>
        <v>0</v>
      </c>
      <c r="CZ41">
        <f>IF(P41=0,0,COUNTIF('Transect 2_imgsummary'!E41:I41,"NOIDMAC")*100/P41)</f>
        <v>0</v>
      </c>
      <c r="DA41">
        <f>IF(P41=0,0,COUNTIF('Transect 2_imgsummary'!E41:I41,"PAD")*100/P41)</f>
        <v>0</v>
      </c>
      <c r="DB41">
        <f>IF(P41=0,0,COUNTIF('Transect 2_imgsummary'!E41:I41,"SARG")*100/P41)</f>
        <v>0</v>
      </c>
      <c r="DC41">
        <f>IF(P41=0,0,COUNTIF('Transect 2_imgsummary'!E41:I41,"SCHIZ")*100/P41)</f>
        <v>0</v>
      </c>
      <c r="DD41">
        <f>IF(P41=0,0,COUNTIF('Transect 2_imgsummary'!E41:I41,"TURB")*100/P41)</f>
        <v>0</v>
      </c>
      <c r="DE41">
        <f>IF(P41=0,0,COUNTIF('Transect 2_imgsummary'!E41:I41,"TYDM")*100/P41)</f>
        <v>0</v>
      </c>
      <c r="DG41">
        <f>IF(P41=0,0,COUNTIF('Transect 2_imgsummary'!E41:I41,"AMP")*100/P41)</f>
        <v>0</v>
      </c>
      <c r="DH41">
        <f>IF(P41=0,0,COUNTIF('Transect 2_imgsummary'!E41:I41,"BCA1")*100/P41)</f>
        <v>0</v>
      </c>
      <c r="DI41">
        <f>IF(P41=0,0,COUNTIF('Transect 2_imgsummary'!E41:I41,"JAN")*100/P41)</f>
        <v>0</v>
      </c>
      <c r="DK41">
        <f>IF(P41=0,0,COUNTIF('Transect 2_imgsummary'!E41:I41,"CCA1")*100/P41)</f>
        <v>0</v>
      </c>
      <c r="DM41">
        <f>IF(P41=0,0,COUNTIF('Transect 2_imgsummary'!E41:I41,"Sand")*100/P41)</f>
        <v>0</v>
      </c>
      <c r="DO41">
        <f>IF(P41=0,0,COUNTIF('Transect 2_imgsummary'!E41:I41,"FCA1")*100/P41)</f>
        <v>0</v>
      </c>
      <c r="DQ41">
        <f>IF(P41=0,0,COUNTIF('Transect 2_imgsummary'!E41:I41,"CHRYOBRN")*100/P41)</f>
        <v>0</v>
      </c>
      <c r="DS41" s="29">
        <f>IF(P41=0,0,COUNTIF('Transect 2_imgsummary'!E41:I41,"TURF")*100/P41)</f>
        <v>20</v>
      </c>
      <c r="DU41">
        <f>COUNTIF('Transect 2_imgsummary'!E41:I41,"Shadow")*100/5</f>
        <v>0</v>
      </c>
      <c r="DV41">
        <f>COUNTIF('Transect 2_imgsummary'!E41:I41,"Tape")*100/5</f>
        <v>0</v>
      </c>
      <c r="DW41">
        <f>COUNTIF('Transect 2_imgsummary'!E41:I41,"Wand")*100/5</f>
        <v>0</v>
      </c>
      <c r="DY41">
        <f>IF(P41=0,0,COUNTIF('Transect 2_imgsummary'!O41:S41,"BC")*100/P41)</f>
        <v>0</v>
      </c>
    </row>
    <row r="42" spans="1:129">
      <c r="A42">
        <v>40</v>
      </c>
      <c r="B42" t="s">
        <v>469</v>
      </c>
      <c r="F42" s="29">
        <f>IF(P42=0,0,COUNTIF('Transect 2_imgsummary'!J42:N42,"C")*100/P42)</f>
        <v>80</v>
      </c>
      <c r="G42">
        <f>IF(P42=0,0,COUNTIF('Transect 2_imgsummary'!J42:N42,"OI")*100/P42)</f>
        <v>0</v>
      </c>
      <c r="H42">
        <f>IF(P42=0,0,COUNTIF('Transect 2_imgsummary'!J42:N42,"MA")*100/P42)</f>
        <v>0</v>
      </c>
      <c r="I42">
        <f>IF(P42=0,0,COUNTIF('Transect 2_imgsummary'!J42:N42,"BCA")*100/P42)</f>
        <v>0</v>
      </c>
      <c r="J42" s="29">
        <f>IF(P42=0,0,COUNTIF('Transect 2_imgsummary'!J42:N42,"CCA")*100/P42)</f>
        <v>20</v>
      </c>
      <c r="K42">
        <f>IF(P42=0,0,COUNTIF('Transect 2_imgsummary'!J42:N42,"SD")*100/P42)</f>
        <v>0</v>
      </c>
      <c r="L42">
        <f>IF(P42=0,0,COUNTIF('Transect 2_imgsummary'!J42:N42,"FCA")*100/P42)</f>
        <v>0</v>
      </c>
      <c r="M42">
        <f>IF(P42=0,0,COUNTIF('Transect 2_imgsummary'!J42:N42,"CHRYS")*100/P42)</f>
        <v>0</v>
      </c>
      <c r="N42">
        <f>IF(P42=0,0,COUNTIF('Transect 2_imgsummary'!J42:N42,"T")*100/P42)</f>
        <v>0</v>
      </c>
      <c r="O42">
        <f>IF(P42=0,0,COUNTIF('Transect 2_imgsummary'!J42:N42,"TWS")*100/P42)</f>
        <v>0</v>
      </c>
      <c r="P42">
        <f>5-COUNTIF('Transect 2_imgsummary'!J42:N42,"TWS")</f>
        <v>5</v>
      </c>
      <c r="S42">
        <f>IF(P42=0,0,COUNTIF('Transect 2_imgsummary'!E42:I42,"ACAN")*100/P42)</f>
        <v>0</v>
      </c>
      <c r="T42">
        <f>IF(P42=0,0,COUNTIF('Transect 2_imgsummary'!E42:I42,"ACROP")*100/P42)</f>
        <v>0</v>
      </c>
      <c r="U42">
        <f>IF(P42=0,0,COUNTIF('Transect 2_imgsummary'!E42:I42,"ACROPARB")*100/P42)</f>
        <v>0</v>
      </c>
      <c r="V42">
        <f>IF(P42=0,0,COUNTIF('Transect 2_imgsummary'!E42:I42,"ACROST")*100/P42)</f>
        <v>0</v>
      </c>
      <c r="W42" s="29">
        <f>IF(P42=0,0,COUNTIF('Transect 2_imgsummary'!E42:I42,"ACROTBL")*100/P42)</f>
        <v>60</v>
      </c>
      <c r="X42">
        <f>IF(P42=0,0,COUNTIF('Transect 2_imgsummary'!E42:I42,"ASTRP")*100/P42)</f>
        <v>0</v>
      </c>
      <c r="Y42">
        <f>IF(P42=0,0,COUNTIF('Transect 2_imgsummary'!E42:I42,"CAUL")*100/P42)</f>
        <v>0</v>
      </c>
      <c r="Z42">
        <f>IF(P42=0,0,COUNTIF('Transect 2_imgsummary'!E42:I42,"COSC")*100/P42)</f>
        <v>0</v>
      </c>
      <c r="AA42">
        <f>IF(P42=0,0,COUNTIF('Transect 2_imgsummary'!E42:I42,"CTEN")*100/P42)</f>
        <v>0</v>
      </c>
      <c r="AB42">
        <f>IF(P42=0,0,COUNTIF('Transect 2_imgsummary'!E42:I42,"CYPH")*100/P42)</f>
        <v>0</v>
      </c>
      <c r="AC42">
        <f>IF(P42=0,0,COUNTIF('Transect 2_imgsummary'!E42:I42,"DIPLO")*100/P42)</f>
        <v>0</v>
      </c>
      <c r="AD42">
        <f>IF(P42=0,0,COUNTIF('Transect 2_imgsummary'!E42:I42,"ECHPO")*100/P42)</f>
        <v>0</v>
      </c>
      <c r="AE42">
        <f>IF(P42=0,0,COUNTIF('Transect 2_imgsummary'!E42:I42,"ECHPHY")*100/P42)</f>
        <v>0</v>
      </c>
      <c r="AF42">
        <f>IF(P42=0,0,COUNTIF('Transect 2_imgsummary'!E42:I42,"EUPH")*100/P42)</f>
        <v>0</v>
      </c>
      <c r="AG42">
        <f>IF(P42=0,0,COUNTIF('Transect 2_imgsummary'!E42:I42,"FAV")*100/P42)</f>
        <v>0</v>
      </c>
      <c r="AH42">
        <f>IF(P42=0,0,COUNTIF('Transect 2_imgsummary'!E42:I42,"FAVT")*100/P42)</f>
        <v>0</v>
      </c>
      <c r="AI42">
        <f>IF(P42=0,0,COUNTIF('Transect 2_imgsummary'!E42:I42,"FUNG")*100/P42)</f>
        <v>0</v>
      </c>
      <c r="AJ42" s="29">
        <f>IF(P42=0,0,COUNTIF('Transect 2_imgsummary'!E42:I42,"GAL")*100/P42)</f>
        <v>20</v>
      </c>
      <c r="AK42">
        <f>IF(P42=0,0,COUNTIF('Transect 2_imgsummary'!E42:I42,"GARD")*100/P42)</f>
        <v>0</v>
      </c>
      <c r="AL42">
        <f>IF(P42=0,0,COUNTIF('Transect 2_imgsummary'!E42:I42,"GON")*100/P42)</f>
        <v>0</v>
      </c>
      <c r="AM42">
        <f>IF(P42=0,0,COUNTIF('Transect 2_imgsummary'!E42:I42,"GONIO")*100/P42)</f>
        <v>0</v>
      </c>
      <c r="AN42">
        <f>IF(P42=0,0,COUNTIF('Transect 2_imgsummary'!E42:I42,"HELIO")*100/P42)</f>
        <v>0</v>
      </c>
      <c r="AO42">
        <f>IF(P42=0,0,COUNTIF('Transect 2_imgsummary'!E42:I42,"HERP")*100/P42)</f>
        <v>0</v>
      </c>
      <c r="AP42">
        <f>IF(P42=0,0,COUNTIF('Transect 2_imgsummary'!E42:I42,"HYD")*100/P42)</f>
        <v>0</v>
      </c>
      <c r="AQ42">
        <f>IF(P42=0,0,COUNTIF('Transect 2_imgsummary'!E42:I42,"ISOP")*100/P42)</f>
        <v>0</v>
      </c>
      <c r="AR42">
        <f>IF(P42=0,0,COUNTIF('Transect 2_imgsummary'!E42:I42,"LEPT")*100/P42)</f>
        <v>0</v>
      </c>
      <c r="AS42">
        <f>IF(P42=0,0,COUNTIF('Transect 2_imgsummary'!E42:I42,"LEPTOR")*100/P42)</f>
        <v>0</v>
      </c>
      <c r="AT42">
        <f>IF(P42=0,0,COUNTIF('Transect 2_imgsummary'!E42:I42,"LEPTOS")*100/P42)</f>
        <v>0</v>
      </c>
      <c r="AU42">
        <f>IF(P42=0,0,COUNTIF('Transect 2_imgsummary'!E42:I42,"LOBOPH")*100/P42)</f>
        <v>0</v>
      </c>
      <c r="AV42">
        <f>IF(P42=0,0,COUNTIF('Transect 2_imgsummary'!E42:I42,"MERU")*100/P42)</f>
        <v>0</v>
      </c>
      <c r="AW42">
        <f>IF(P42=0,0,COUNTIF('Transect 2_imgsummary'!E42:I42,"MILL")*100/P42)</f>
        <v>0</v>
      </c>
      <c r="AX42">
        <f>IF(P42=0,0,COUNTIF('Transect 2_imgsummary'!E42:I42,"MONT")*100/P42)</f>
        <v>0</v>
      </c>
      <c r="AY42">
        <f>IF(P42=0,0,COUNTIF('Transect 2_imgsummary'!E42:I42,"MONTI")*100/P42)</f>
        <v>0</v>
      </c>
      <c r="AZ42">
        <f>IF(P42=0,0,COUNTIF('Transect 2_imgsummary'!E42:I42,"MYCED")*100/P42)</f>
        <v>0</v>
      </c>
      <c r="BA42">
        <f>IF(P42=0,0,COUNTIF('Transect 2_imgsummary'!E42:I42,"OULO")*100/P42)</f>
        <v>0</v>
      </c>
      <c r="BB42">
        <f>IF(P42=0,0,COUNTIF('Transect 2_imgsummary'!E42:I42,"OXYP")*100/P42)</f>
        <v>0</v>
      </c>
      <c r="BC42">
        <f>IF(P42=0,0,COUNTIF('Transect 2_imgsummary'!E42:I42,"PLSIA")*100/P42)</f>
        <v>0</v>
      </c>
      <c r="BD42">
        <f>IF(P42=0,0,COUNTIF('Transect 2_imgsummary'!E42:I42,"PACHY")*100/P42)</f>
        <v>0</v>
      </c>
      <c r="BE42">
        <f>IF(P42=0,0,COUNTIF('Transect 2_imgsummary'!E42:I42,"PAV")*100/P42)</f>
        <v>0</v>
      </c>
      <c r="BF42">
        <f>IF(P42=0,0,COUNTIF('Transect 2_imgsummary'!E42:I42,"PECT")*100/P42)</f>
        <v>0</v>
      </c>
      <c r="BG42">
        <f>IF(P42=0,0,COUNTIF('Transect 2_imgsummary'!E42:I42,"PHYSO")*100/P42)</f>
        <v>0</v>
      </c>
      <c r="BH42">
        <f>IF(P42=0,0,COUNTIF('Transect 2_imgsummary'!E42:I42,"PLAT")*100/P42)</f>
        <v>0</v>
      </c>
      <c r="BI42">
        <f>IF(P42=0,0,COUNTIF('Transect 2_imgsummary'!E42:I42,"PLERO")*100/P42)</f>
        <v>0</v>
      </c>
      <c r="BJ42">
        <f>IF(P42=0,0,COUNTIF('Transect 2_imgsummary'!E42:I42,"POC")*100/P42)</f>
        <v>0</v>
      </c>
      <c r="BK42">
        <f>IF(P42=0,0,COUNTIF('Transect 2_imgsummary'!E42:I42,"POR")*100/P42)</f>
        <v>0</v>
      </c>
      <c r="BL42">
        <f>IF(P42=0,0,COUNTIF('Transect 2_imgsummary'!E42:I42,"PORCYL")*100/P42)</f>
        <v>0</v>
      </c>
      <c r="BM42">
        <f>IF(P42=0,0,COUNTIF('Transect 2_imgsummary'!E42:I42,"PORMAS")*100/P42)</f>
        <v>0</v>
      </c>
      <c r="BN42">
        <f>IF(P42=0,0,COUNTIF('Transect 2_imgsummary'!E42:I42,"PORRUS")*100/P42)</f>
        <v>0</v>
      </c>
      <c r="BO42">
        <f>IF(P42=0,0,COUNTIF('Transect 2_imgsummary'!E42:I42,"PSAM")*100/P42)</f>
        <v>0</v>
      </c>
      <c r="BP42">
        <f>IF(P42=0,0,COUNTIF('Transect 2_imgsummary'!E42:I42,"SANDO")*100/P42)</f>
        <v>0</v>
      </c>
      <c r="BQ42">
        <f>IF(P42=0,0,COUNTIF('Transect 2_imgsummary'!E42:I42,"SCAP")*100/P42)</f>
        <v>0</v>
      </c>
      <c r="BR42">
        <f>IF(P42=0,0,COUNTIF('Transect 2_imgsummary'!E42:I42,"SERIA")*100/P42)</f>
        <v>0</v>
      </c>
      <c r="BS42">
        <f>IF(P42=0,0,COUNTIF('Transect 2_imgsummary'!E42:I42,"STYLC")*100/P42)</f>
        <v>0</v>
      </c>
      <c r="BT42">
        <f>IF(P42=0,0,COUNTIF('Transect 2_imgsummary'!E42:I42,"STYLO")*100/P42)</f>
        <v>0</v>
      </c>
      <c r="BU42">
        <f>IF(P42=0,0,COUNTIF('Transect 2_imgsummary'!E42:I42,"SYMP")*100/P42)</f>
        <v>0</v>
      </c>
      <c r="BV42">
        <f>IF(P42=0,0,COUNTIF('Transect 2_imgsummary'!E42:I42,"TURBIN")*100/P42)</f>
        <v>0</v>
      </c>
      <c r="BX42">
        <f>IF(P42=0,0,COUNTIF('Transect 2_imgsummary'!E42:I42,"ANEM")*100/P42)</f>
        <v>0</v>
      </c>
      <c r="BY42">
        <f>IF(P42=0,0,COUNTIF('Transect 2_imgsummary'!E42:I42,"ASC")*100/P42)</f>
        <v>0</v>
      </c>
      <c r="BZ42">
        <f>IF(P42=0,0,COUNTIF('Transect 2_imgsummary'!E42:I42,"CUPS")*100/P42)</f>
        <v>0</v>
      </c>
      <c r="CA42">
        <f>IF(P42=0,0,COUNTIF('Transect 2_imgsummary'!E42:I42,"DISCO")*100/P42)</f>
        <v>0</v>
      </c>
      <c r="CB42">
        <f>IF(P42=0,0,COUNTIF('Transect 2_imgsummary'!E42:I42,"DYS")*100/P42)</f>
        <v>0</v>
      </c>
      <c r="CC42">
        <f>IF(P42=0,0,COUNTIF('Transect 2_imgsummary'!E42:I42,"G")*100/P42)</f>
        <v>0</v>
      </c>
      <c r="CD42">
        <f>IF(P42=0,0,COUNTIF('Transect 2_imgsummary'!E42:I42,"NoIDINV")*100/P42)</f>
        <v>0</v>
      </c>
      <c r="CE42">
        <f>IF(P42=0,0,COUNTIF('Transect 2_imgsummary'!E42:I42,"OLV")*100/P42)</f>
        <v>0</v>
      </c>
      <c r="CF42">
        <f>IF(P42=0,0,COUNTIF('Transect 2_imgsummary'!E42:I42,"SC")*100/P42)</f>
        <v>0</v>
      </c>
      <c r="CG42">
        <f>IF(P42=0,0,COUNTIF('Transect 2_imgsummary'!E42:I42,"S")*100/P42)</f>
        <v>0</v>
      </c>
      <c r="CH42">
        <f>IF(P42=0,0,COUNTIF('Transect 2_imgsummary'!E42:I42,"TERPS")*100/P42)</f>
        <v>0</v>
      </c>
      <c r="CI42">
        <f>IF(P42=0,0,COUNTIF('Transect 2_imgsummary'!E42:I42,"Z")*100/P42)</f>
        <v>0</v>
      </c>
      <c r="CK42">
        <f>IF(P42=0,0,COUNTIF('Transect 2_imgsummary'!E42:I42,"ASP")*100/P42)</f>
        <v>0</v>
      </c>
      <c r="CL42">
        <f>IF(P42=0,0,COUNTIF('Transect 2_imgsummary'!E42:I42,"BG")*100/P42)</f>
        <v>0</v>
      </c>
      <c r="CM42">
        <f>IF(P42=0,0,COUNTIF('Transect 2_imgsummary'!E42:I42,"Bood")*100/P42)</f>
        <v>0</v>
      </c>
      <c r="CN42">
        <f>IF(P42=0,0,COUNTIF('Transect 2_imgsummary'!E42:I42,"BRYP")*100/P42)</f>
        <v>0</v>
      </c>
      <c r="CO42">
        <f>IF(P42=0,0,COUNTIF('Transect 2_imgsummary'!E42:I42,"CLP")*100/P42)</f>
        <v>0</v>
      </c>
      <c r="CP42">
        <f>IF(P42=0,0,COUNTIF('Transect 2_imgsummary'!E42:I42,"CHLDES")*100/P42)</f>
        <v>0</v>
      </c>
      <c r="CQ42">
        <f>IF(P42=0,0,COUNTIF('Transect 2_imgsummary'!E42:I42,"DYCTY")*100/P42)</f>
        <v>0</v>
      </c>
      <c r="CR42">
        <f>IF(P42=0,0,COUNTIF('Transect 2_imgsummary'!E42:I42,"DICT")*100/P42)</f>
        <v>0</v>
      </c>
      <c r="CS42">
        <f>IF(P42=0,0,COUNTIF('Transect 2_imgsummary'!E42:I42,"GLXU")*100/P42)</f>
        <v>0</v>
      </c>
      <c r="CT42">
        <f>IF(P42=0,0,COUNTIF('Transect 2_imgsummary'!E42:I42,"HALI")*100/P42)</f>
        <v>0</v>
      </c>
      <c r="CU42">
        <f>IF(P42=0,0,COUNTIF('Transect 2_imgsummary'!E42:I42,"LIAG")*100/P42)</f>
        <v>0</v>
      </c>
      <c r="CV42">
        <f>IF(P42=0,0,COUNTIF('Transect 2_imgsummary'!E42:I42,"LOBO")*100/P42)</f>
        <v>0</v>
      </c>
      <c r="CW42">
        <f>IF(P42=0,0,COUNTIF('Transect 2_imgsummary'!E42:I42,"MAST")*100/P42)</f>
        <v>0</v>
      </c>
      <c r="CX42">
        <f>IF(P42=0,0,COUNTIF('Transect 2_imgsummary'!E42:I42,"MICDTY")*100/P42)</f>
        <v>0</v>
      </c>
      <c r="CY42">
        <f>IF(P42=0,0,COUNTIF('Transect 2_imgsummary'!E42:I42,"NEOM")*100/P42)</f>
        <v>0</v>
      </c>
      <c r="CZ42">
        <f>IF(P42=0,0,COUNTIF('Transect 2_imgsummary'!E42:I42,"NOIDMAC")*100/P42)</f>
        <v>0</v>
      </c>
      <c r="DA42">
        <f>IF(P42=0,0,COUNTIF('Transect 2_imgsummary'!E42:I42,"PAD")*100/P42)</f>
        <v>0</v>
      </c>
      <c r="DB42">
        <f>IF(P42=0,0,COUNTIF('Transect 2_imgsummary'!E42:I42,"SARG")*100/P42)</f>
        <v>0</v>
      </c>
      <c r="DC42">
        <f>IF(P42=0,0,COUNTIF('Transect 2_imgsummary'!E42:I42,"SCHIZ")*100/P42)</f>
        <v>0</v>
      </c>
      <c r="DD42">
        <f>IF(P42=0,0,COUNTIF('Transect 2_imgsummary'!E42:I42,"TURB")*100/P42)</f>
        <v>0</v>
      </c>
      <c r="DE42">
        <f>IF(P42=0,0,COUNTIF('Transect 2_imgsummary'!E42:I42,"TYDM")*100/P42)</f>
        <v>0</v>
      </c>
      <c r="DG42">
        <f>IF(P42=0,0,COUNTIF('Transect 2_imgsummary'!E42:I42,"AMP")*100/P42)</f>
        <v>0</v>
      </c>
      <c r="DH42">
        <f>IF(P42=0,0,COUNTIF('Transect 2_imgsummary'!E42:I42,"BCA1")*100/P42)</f>
        <v>0</v>
      </c>
      <c r="DI42">
        <f>IF(P42=0,0,COUNTIF('Transect 2_imgsummary'!E42:I42,"JAN")*100/P42)</f>
        <v>0</v>
      </c>
      <c r="DK42" s="29">
        <f>IF(P42=0,0,COUNTIF('Transect 2_imgsummary'!E42:I42,"CCA1")*100/P42)</f>
        <v>20</v>
      </c>
      <c r="DM42">
        <f>IF(P42=0,0,COUNTIF('Transect 2_imgsummary'!E42:I42,"Sand")*100/P42)</f>
        <v>0</v>
      </c>
      <c r="DO42">
        <f>IF(P42=0,0,COUNTIF('Transect 2_imgsummary'!E42:I42,"FCA1")*100/P42)</f>
        <v>0</v>
      </c>
      <c r="DQ42">
        <f>IF(P42=0,0,COUNTIF('Transect 2_imgsummary'!E42:I42,"CHRYOBRN")*100/P42)</f>
        <v>0</v>
      </c>
      <c r="DS42">
        <f>IF(P42=0,0,COUNTIF('Transect 2_imgsummary'!E42:I42,"TURF")*100/P42)</f>
        <v>0</v>
      </c>
      <c r="DU42">
        <f>COUNTIF('Transect 2_imgsummary'!E42:I42,"Shadow")*100/5</f>
        <v>0</v>
      </c>
      <c r="DV42">
        <f>COUNTIF('Transect 2_imgsummary'!E42:I42,"Tape")*100/5</f>
        <v>0</v>
      </c>
      <c r="DW42">
        <f>COUNTIF('Transect 2_imgsummary'!E42:I42,"Wand")*100/5</f>
        <v>0</v>
      </c>
      <c r="DY42">
        <f>IF(P42=0,0,COUNTIF('Transect 2_imgsummary'!O42:S42,"BC")*100/P42)</f>
        <v>0</v>
      </c>
    </row>
    <row r="43" spans="1:129">
      <c r="A43">
        <v>41</v>
      </c>
      <c r="B43" t="s">
        <v>470</v>
      </c>
      <c r="F43" s="29">
        <f>IF(P43=0,0,COUNTIF('Transect 2_imgsummary'!J43:N43,"C")*100/P43)</f>
        <v>80</v>
      </c>
      <c r="G43">
        <f>IF(P43=0,0,COUNTIF('Transect 2_imgsummary'!J43:N43,"OI")*100/P43)</f>
        <v>0</v>
      </c>
      <c r="H43">
        <f>IF(P43=0,0,COUNTIF('Transect 2_imgsummary'!J43:N43,"MA")*100/P43)</f>
        <v>0</v>
      </c>
      <c r="I43">
        <f>IF(P43=0,0,COUNTIF('Transect 2_imgsummary'!J43:N43,"BCA")*100/P43)</f>
        <v>0</v>
      </c>
      <c r="J43" s="29">
        <f>IF(P43=0,0,COUNTIF('Transect 2_imgsummary'!J43:N43,"CCA")*100/P43)</f>
        <v>20</v>
      </c>
      <c r="K43">
        <f>IF(P43=0,0,COUNTIF('Transect 2_imgsummary'!J43:N43,"SD")*100/P43)</f>
        <v>0</v>
      </c>
      <c r="L43">
        <f>IF(P43=0,0,COUNTIF('Transect 2_imgsummary'!J43:N43,"FCA")*100/P43)</f>
        <v>0</v>
      </c>
      <c r="M43">
        <f>IF(P43=0,0,COUNTIF('Transect 2_imgsummary'!J43:N43,"CHRYS")*100/P43)</f>
        <v>0</v>
      </c>
      <c r="N43">
        <f>IF(P43=0,0,COUNTIF('Transect 2_imgsummary'!J43:N43,"T")*100/P43)</f>
        <v>0</v>
      </c>
      <c r="O43">
        <f>IF(P43=0,0,COUNTIF('Transect 2_imgsummary'!J43:N43,"TWS")*100/P43)</f>
        <v>0</v>
      </c>
      <c r="P43">
        <f>5-COUNTIF('Transect 2_imgsummary'!J43:N43,"TWS")</f>
        <v>5</v>
      </c>
      <c r="S43">
        <f>IF(P43=0,0,COUNTIF('Transect 2_imgsummary'!E43:I43,"ACAN")*100/P43)</f>
        <v>0</v>
      </c>
      <c r="T43">
        <f>IF(P43=0,0,COUNTIF('Transect 2_imgsummary'!E43:I43,"ACROP")*100/P43)</f>
        <v>0</v>
      </c>
      <c r="U43">
        <f>IF(P43=0,0,COUNTIF('Transect 2_imgsummary'!E43:I43,"ACROPARB")*100/P43)</f>
        <v>0</v>
      </c>
      <c r="V43">
        <f>IF(P43=0,0,COUNTIF('Transect 2_imgsummary'!E43:I43,"ACROST")*100/P43)</f>
        <v>0</v>
      </c>
      <c r="W43" s="29">
        <f>IF(P43=0,0,COUNTIF('Transect 2_imgsummary'!E43:I43,"ACROTBL")*100/P43)</f>
        <v>80</v>
      </c>
      <c r="X43">
        <f>IF(P43=0,0,COUNTIF('Transect 2_imgsummary'!E43:I43,"ASTRP")*100/P43)</f>
        <v>0</v>
      </c>
      <c r="Y43">
        <f>IF(P43=0,0,COUNTIF('Transect 2_imgsummary'!E43:I43,"CAUL")*100/P43)</f>
        <v>0</v>
      </c>
      <c r="Z43">
        <f>IF(P43=0,0,COUNTIF('Transect 2_imgsummary'!E43:I43,"COSC")*100/P43)</f>
        <v>0</v>
      </c>
      <c r="AA43">
        <f>IF(P43=0,0,COUNTIF('Transect 2_imgsummary'!E43:I43,"CTEN")*100/P43)</f>
        <v>0</v>
      </c>
      <c r="AB43">
        <f>IF(P43=0,0,COUNTIF('Transect 2_imgsummary'!E43:I43,"CYPH")*100/P43)</f>
        <v>0</v>
      </c>
      <c r="AC43">
        <f>IF(P43=0,0,COUNTIF('Transect 2_imgsummary'!E43:I43,"DIPLO")*100/P43)</f>
        <v>0</v>
      </c>
      <c r="AD43">
        <f>IF(P43=0,0,COUNTIF('Transect 2_imgsummary'!E43:I43,"ECHPO")*100/P43)</f>
        <v>0</v>
      </c>
      <c r="AE43">
        <f>IF(P43=0,0,COUNTIF('Transect 2_imgsummary'!E43:I43,"ECHPHY")*100/P43)</f>
        <v>0</v>
      </c>
      <c r="AF43">
        <f>IF(P43=0,0,COUNTIF('Transect 2_imgsummary'!E43:I43,"EUPH")*100/P43)</f>
        <v>0</v>
      </c>
      <c r="AG43">
        <f>IF(P43=0,0,COUNTIF('Transect 2_imgsummary'!E43:I43,"FAV")*100/P43)</f>
        <v>0</v>
      </c>
      <c r="AH43">
        <f>IF(P43=0,0,COUNTIF('Transect 2_imgsummary'!E43:I43,"FAVT")*100/P43)</f>
        <v>0</v>
      </c>
      <c r="AI43">
        <f>IF(P43=0,0,COUNTIF('Transect 2_imgsummary'!E43:I43,"FUNG")*100/P43)</f>
        <v>0</v>
      </c>
      <c r="AJ43">
        <f>IF(P43=0,0,COUNTIF('Transect 2_imgsummary'!E43:I43,"GAL")*100/P43)</f>
        <v>0</v>
      </c>
      <c r="AK43">
        <f>IF(P43=0,0,COUNTIF('Transect 2_imgsummary'!E43:I43,"GARD")*100/P43)</f>
        <v>0</v>
      </c>
      <c r="AL43">
        <f>IF(P43=0,0,COUNTIF('Transect 2_imgsummary'!E43:I43,"GON")*100/P43)</f>
        <v>0</v>
      </c>
      <c r="AM43">
        <f>IF(P43=0,0,COUNTIF('Transect 2_imgsummary'!E43:I43,"GONIO")*100/P43)</f>
        <v>0</v>
      </c>
      <c r="AN43">
        <f>IF(P43=0,0,COUNTIF('Transect 2_imgsummary'!E43:I43,"HELIO")*100/P43)</f>
        <v>0</v>
      </c>
      <c r="AO43">
        <f>IF(P43=0,0,COUNTIF('Transect 2_imgsummary'!E43:I43,"HERP")*100/P43)</f>
        <v>0</v>
      </c>
      <c r="AP43">
        <f>IF(P43=0,0,COUNTIF('Transect 2_imgsummary'!E43:I43,"HYD")*100/P43)</f>
        <v>0</v>
      </c>
      <c r="AQ43">
        <f>IF(P43=0,0,COUNTIF('Transect 2_imgsummary'!E43:I43,"ISOP")*100/P43)</f>
        <v>0</v>
      </c>
      <c r="AR43">
        <f>IF(P43=0,0,COUNTIF('Transect 2_imgsummary'!E43:I43,"LEPT")*100/P43)</f>
        <v>0</v>
      </c>
      <c r="AS43">
        <f>IF(P43=0,0,COUNTIF('Transect 2_imgsummary'!E43:I43,"LEPTOR")*100/P43)</f>
        <v>0</v>
      </c>
      <c r="AT43">
        <f>IF(P43=0,0,COUNTIF('Transect 2_imgsummary'!E43:I43,"LEPTOS")*100/P43)</f>
        <v>0</v>
      </c>
      <c r="AU43">
        <f>IF(P43=0,0,COUNTIF('Transect 2_imgsummary'!E43:I43,"LOBOPH")*100/P43)</f>
        <v>0</v>
      </c>
      <c r="AV43">
        <f>IF(P43=0,0,COUNTIF('Transect 2_imgsummary'!E43:I43,"MERU")*100/P43)</f>
        <v>0</v>
      </c>
      <c r="AW43">
        <f>IF(P43=0,0,COUNTIF('Transect 2_imgsummary'!E43:I43,"MILL")*100/P43)</f>
        <v>0</v>
      </c>
      <c r="AX43">
        <f>IF(P43=0,0,COUNTIF('Transect 2_imgsummary'!E43:I43,"MONT")*100/P43)</f>
        <v>0</v>
      </c>
      <c r="AY43">
        <f>IF(P43=0,0,COUNTIF('Transect 2_imgsummary'!E43:I43,"MONTI")*100/P43)</f>
        <v>0</v>
      </c>
      <c r="AZ43">
        <f>IF(P43=0,0,COUNTIF('Transect 2_imgsummary'!E43:I43,"MYCED")*100/P43)</f>
        <v>0</v>
      </c>
      <c r="BA43">
        <f>IF(P43=0,0,COUNTIF('Transect 2_imgsummary'!E43:I43,"OULO")*100/P43)</f>
        <v>0</v>
      </c>
      <c r="BB43">
        <f>IF(P43=0,0,COUNTIF('Transect 2_imgsummary'!E43:I43,"OXYP")*100/P43)</f>
        <v>0</v>
      </c>
      <c r="BC43">
        <f>IF(P43=0,0,COUNTIF('Transect 2_imgsummary'!E43:I43,"PLSIA")*100/P43)</f>
        <v>0</v>
      </c>
      <c r="BD43">
        <f>IF(P43=0,0,COUNTIF('Transect 2_imgsummary'!E43:I43,"PACHY")*100/P43)</f>
        <v>0</v>
      </c>
      <c r="BE43">
        <f>IF(P43=0,0,COUNTIF('Transect 2_imgsummary'!E43:I43,"PAV")*100/P43)</f>
        <v>0</v>
      </c>
      <c r="BF43">
        <f>IF(P43=0,0,COUNTIF('Transect 2_imgsummary'!E43:I43,"PECT")*100/P43)</f>
        <v>0</v>
      </c>
      <c r="BG43">
        <f>IF(P43=0,0,COUNTIF('Transect 2_imgsummary'!E43:I43,"PHYSO")*100/P43)</f>
        <v>0</v>
      </c>
      <c r="BH43">
        <f>IF(P43=0,0,COUNTIF('Transect 2_imgsummary'!E43:I43,"PLAT")*100/P43)</f>
        <v>0</v>
      </c>
      <c r="BI43">
        <f>IF(P43=0,0,COUNTIF('Transect 2_imgsummary'!E43:I43,"PLERO")*100/P43)</f>
        <v>0</v>
      </c>
      <c r="BJ43">
        <f>IF(P43=0,0,COUNTIF('Transect 2_imgsummary'!E43:I43,"POC")*100/P43)</f>
        <v>0</v>
      </c>
      <c r="BK43">
        <f>IF(P43=0,0,COUNTIF('Transect 2_imgsummary'!E43:I43,"POR")*100/P43)</f>
        <v>0</v>
      </c>
      <c r="BL43">
        <f>IF(P43=0,0,COUNTIF('Transect 2_imgsummary'!E43:I43,"PORCYL")*100/P43)</f>
        <v>0</v>
      </c>
      <c r="BM43">
        <f>IF(P43=0,0,COUNTIF('Transect 2_imgsummary'!E43:I43,"PORMAS")*100/P43)</f>
        <v>0</v>
      </c>
      <c r="BN43">
        <f>IF(P43=0,0,COUNTIF('Transect 2_imgsummary'!E43:I43,"PORRUS")*100/P43)</f>
        <v>0</v>
      </c>
      <c r="BO43">
        <f>IF(P43=0,0,COUNTIF('Transect 2_imgsummary'!E43:I43,"PSAM")*100/P43)</f>
        <v>0</v>
      </c>
      <c r="BP43">
        <f>IF(P43=0,0,COUNTIF('Transect 2_imgsummary'!E43:I43,"SANDO")*100/P43)</f>
        <v>0</v>
      </c>
      <c r="BQ43">
        <f>IF(P43=0,0,COUNTIF('Transect 2_imgsummary'!E43:I43,"SCAP")*100/P43)</f>
        <v>0</v>
      </c>
      <c r="BR43">
        <f>IF(P43=0,0,COUNTIF('Transect 2_imgsummary'!E43:I43,"SERIA")*100/P43)</f>
        <v>0</v>
      </c>
      <c r="BS43">
        <f>IF(P43=0,0,COUNTIF('Transect 2_imgsummary'!E43:I43,"STYLC")*100/P43)</f>
        <v>0</v>
      </c>
      <c r="BT43">
        <f>IF(P43=0,0,COUNTIF('Transect 2_imgsummary'!E43:I43,"STYLO")*100/P43)</f>
        <v>0</v>
      </c>
      <c r="BU43">
        <f>IF(P43=0,0,COUNTIF('Transect 2_imgsummary'!E43:I43,"SYMP")*100/P43)</f>
        <v>0</v>
      </c>
      <c r="BV43">
        <f>IF(P43=0,0,COUNTIF('Transect 2_imgsummary'!E43:I43,"TURBIN")*100/P43)</f>
        <v>0</v>
      </c>
      <c r="BX43">
        <f>IF(P43=0,0,COUNTIF('Transect 2_imgsummary'!E43:I43,"ANEM")*100/P43)</f>
        <v>0</v>
      </c>
      <c r="BY43">
        <f>IF(P43=0,0,COUNTIF('Transect 2_imgsummary'!E43:I43,"ASC")*100/P43)</f>
        <v>0</v>
      </c>
      <c r="BZ43">
        <f>IF(P43=0,0,COUNTIF('Transect 2_imgsummary'!E43:I43,"CUPS")*100/P43)</f>
        <v>0</v>
      </c>
      <c r="CA43">
        <f>IF(P43=0,0,COUNTIF('Transect 2_imgsummary'!E43:I43,"DISCO")*100/P43)</f>
        <v>0</v>
      </c>
      <c r="CB43">
        <f>IF(P43=0,0,COUNTIF('Transect 2_imgsummary'!E43:I43,"DYS")*100/P43)</f>
        <v>0</v>
      </c>
      <c r="CC43">
        <f>IF(P43=0,0,COUNTIF('Transect 2_imgsummary'!E43:I43,"G")*100/P43)</f>
        <v>0</v>
      </c>
      <c r="CD43">
        <f>IF(P43=0,0,COUNTIF('Transect 2_imgsummary'!E43:I43,"NoIDINV")*100/P43)</f>
        <v>0</v>
      </c>
      <c r="CE43">
        <f>IF(P43=0,0,COUNTIF('Transect 2_imgsummary'!E43:I43,"OLV")*100/P43)</f>
        <v>0</v>
      </c>
      <c r="CF43">
        <f>IF(P43=0,0,COUNTIF('Transect 2_imgsummary'!E43:I43,"SC")*100/P43)</f>
        <v>0</v>
      </c>
      <c r="CG43">
        <f>IF(P43=0,0,COUNTIF('Transect 2_imgsummary'!E43:I43,"S")*100/P43)</f>
        <v>0</v>
      </c>
      <c r="CH43">
        <f>IF(P43=0,0,COUNTIF('Transect 2_imgsummary'!E43:I43,"TERPS")*100/P43)</f>
        <v>0</v>
      </c>
      <c r="CI43">
        <f>IF(P43=0,0,COUNTIF('Transect 2_imgsummary'!E43:I43,"Z")*100/P43)</f>
        <v>0</v>
      </c>
      <c r="CK43">
        <f>IF(P43=0,0,COUNTIF('Transect 2_imgsummary'!E43:I43,"ASP")*100/P43)</f>
        <v>0</v>
      </c>
      <c r="CL43">
        <f>IF(P43=0,0,COUNTIF('Transect 2_imgsummary'!E43:I43,"BG")*100/P43)</f>
        <v>0</v>
      </c>
      <c r="CM43">
        <f>IF(P43=0,0,COUNTIF('Transect 2_imgsummary'!E43:I43,"Bood")*100/P43)</f>
        <v>0</v>
      </c>
      <c r="CN43">
        <f>IF(P43=0,0,COUNTIF('Transect 2_imgsummary'!E43:I43,"BRYP")*100/P43)</f>
        <v>0</v>
      </c>
      <c r="CO43">
        <f>IF(P43=0,0,COUNTIF('Transect 2_imgsummary'!E43:I43,"CLP")*100/P43)</f>
        <v>0</v>
      </c>
      <c r="CP43">
        <f>IF(P43=0,0,COUNTIF('Transect 2_imgsummary'!E43:I43,"CHLDES")*100/P43)</f>
        <v>0</v>
      </c>
      <c r="CQ43">
        <f>IF(P43=0,0,COUNTIF('Transect 2_imgsummary'!E43:I43,"DYCTY")*100/P43)</f>
        <v>0</v>
      </c>
      <c r="CR43">
        <f>IF(P43=0,0,COUNTIF('Transect 2_imgsummary'!E43:I43,"DICT")*100/P43)</f>
        <v>0</v>
      </c>
      <c r="CS43">
        <f>IF(P43=0,0,COUNTIF('Transect 2_imgsummary'!E43:I43,"GLXU")*100/P43)</f>
        <v>0</v>
      </c>
      <c r="CT43">
        <f>IF(P43=0,0,COUNTIF('Transect 2_imgsummary'!E43:I43,"HALI")*100/P43)</f>
        <v>0</v>
      </c>
      <c r="CU43">
        <f>IF(P43=0,0,COUNTIF('Transect 2_imgsummary'!E43:I43,"LIAG")*100/P43)</f>
        <v>0</v>
      </c>
      <c r="CV43">
        <f>IF(P43=0,0,COUNTIF('Transect 2_imgsummary'!E43:I43,"LOBO")*100/P43)</f>
        <v>0</v>
      </c>
      <c r="CW43">
        <f>IF(P43=0,0,COUNTIF('Transect 2_imgsummary'!E43:I43,"MAST")*100/P43)</f>
        <v>0</v>
      </c>
      <c r="CX43">
        <f>IF(P43=0,0,COUNTIF('Transect 2_imgsummary'!E43:I43,"MICDTY")*100/P43)</f>
        <v>0</v>
      </c>
      <c r="CY43">
        <f>IF(P43=0,0,COUNTIF('Transect 2_imgsummary'!E43:I43,"NEOM")*100/P43)</f>
        <v>0</v>
      </c>
      <c r="CZ43">
        <f>IF(P43=0,0,COUNTIF('Transect 2_imgsummary'!E43:I43,"NOIDMAC")*100/P43)</f>
        <v>0</v>
      </c>
      <c r="DA43">
        <f>IF(P43=0,0,COUNTIF('Transect 2_imgsummary'!E43:I43,"PAD")*100/P43)</f>
        <v>0</v>
      </c>
      <c r="DB43">
        <f>IF(P43=0,0,COUNTIF('Transect 2_imgsummary'!E43:I43,"SARG")*100/P43)</f>
        <v>0</v>
      </c>
      <c r="DC43">
        <f>IF(P43=0,0,COUNTIF('Transect 2_imgsummary'!E43:I43,"SCHIZ")*100/P43)</f>
        <v>0</v>
      </c>
      <c r="DD43">
        <f>IF(P43=0,0,COUNTIF('Transect 2_imgsummary'!E43:I43,"TURB")*100/P43)</f>
        <v>0</v>
      </c>
      <c r="DE43">
        <f>IF(P43=0,0,COUNTIF('Transect 2_imgsummary'!E43:I43,"TYDM")*100/P43)</f>
        <v>0</v>
      </c>
      <c r="DG43">
        <f>IF(P43=0,0,COUNTIF('Transect 2_imgsummary'!E43:I43,"AMP")*100/P43)</f>
        <v>0</v>
      </c>
      <c r="DH43">
        <f>IF(P43=0,0,COUNTIF('Transect 2_imgsummary'!E43:I43,"BCA1")*100/P43)</f>
        <v>0</v>
      </c>
      <c r="DI43">
        <f>IF(P43=0,0,COUNTIF('Transect 2_imgsummary'!E43:I43,"JAN")*100/P43)</f>
        <v>0</v>
      </c>
      <c r="DK43" s="29">
        <f>IF(P43=0,0,COUNTIF('Transect 2_imgsummary'!E43:I43,"CCA1")*100/P43)</f>
        <v>20</v>
      </c>
      <c r="DM43">
        <f>IF(P43=0,0,COUNTIF('Transect 2_imgsummary'!E43:I43,"Sand")*100/P43)</f>
        <v>0</v>
      </c>
      <c r="DO43">
        <f>IF(P43=0,0,COUNTIF('Transect 2_imgsummary'!E43:I43,"FCA1")*100/P43)</f>
        <v>0</v>
      </c>
      <c r="DQ43">
        <f>IF(P43=0,0,COUNTIF('Transect 2_imgsummary'!E43:I43,"CHRYOBRN")*100/P43)</f>
        <v>0</v>
      </c>
      <c r="DS43">
        <f>IF(P43=0,0,COUNTIF('Transect 2_imgsummary'!E43:I43,"TURF")*100/P43)</f>
        <v>0</v>
      </c>
      <c r="DU43">
        <f>COUNTIF('Transect 2_imgsummary'!E43:I43,"Shadow")*100/5</f>
        <v>0</v>
      </c>
      <c r="DV43">
        <f>COUNTIF('Transect 2_imgsummary'!E43:I43,"Tape")*100/5</f>
        <v>0</v>
      </c>
      <c r="DW43">
        <f>COUNTIF('Transect 2_imgsummary'!E43:I43,"Wand")*100/5</f>
        <v>0</v>
      </c>
      <c r="DY43">
        <f>IF(P43=0,0,COUNTIF('Transect 2_imgsummary'!O43:S43,"BC")*100/P43)</f>
        <v>0</v>
      </c>
    </row>
    <row r="44" spans="1:129">
      <c r="A44">
        <v>42</v>
      </c>
      <c r="B44" t="s">
        <v>471</v>
      </c>
      <c r="F44" s="29">
        <f>IF(P44=0,0,COUNTIF('Transect 2_imgsummary'!J44:N44,"C")*100/P44)</f>
        <v>60</v>
      </c>
      <c r="G44">
        <f>IF(P44=0,0,COUNTIF('Transect 2_imgsummary'!J44:N44,"OI")*100/P44)</f>
        <v>0</v>
      </c>
      <c r="H44">
        <f>IF(P44=0,0,COUNTIF('Transect 2_imgsummary'!J44:N44,"MA")*100/P44)</f>
        <v>0</v>
      </c>
      <c r="I44">
        <f>IF(P44=0,0,COUNTIF('Transect 2_imgsummary'!J44:N44,"BCA")*100/P44)</f>
        <v>0</v>
      </c>
      <c r="J44" s="29">
        <f>IF(P44=0,0,COUNTIF('Transect 2_imgsummary'!J44:N44,"CCA")*100/P44)</f>
        <v>20</v>
      </c>
      <c r="K44">
        <f>IF(P44=0,0,COUNTIF('Transect 2_imgsummary'!J44:N44,"SD")*100/P44)</f>
        <v>0</v>
      </c>
      <c r="L44">
        <f>IF(P44=0,0,COUNTIF('Transect 2_imgsummary'!J44:N44,"FCA")*100/P44)</f>
        <v>0</v>
      </c>
      <c r="M44">
        <f>IF(P44=0,0,COUNTIF('Transect 2_imgsummary'!J44:N44,"CHRYS")*100/P44)</f>
        <v>0</v>
      </c>
      <c r="N44" s="29">
        <f>IF(P44=0,0,COUNTIF('Transect 2_imgsummary'!J44:N44,"T")*100/P44)</f>
        <v>20</v>
      </c>
      <c r="O44">
        <f>IF(P44=0,0,COUNTIF('Transect 2_imgsummary'!J44:N44,"TWS")*100/P44)</f>
        <v>0</v>
      </c>
      <c r="P44">
        <f>5-COUNTIF('Transect 2_imgsummary'!J44:N44,"TWS")</f>
        <v>5</v>
      </c>
      <c r="S44">
        <f>IF(P44=0,0,COUNTIF('Transect 2_imgsummary'!E44:I44,"ACAN")*100/P44)</f>
        <v>0</v>
      </c>
      <c r="T44">
        <f>IF(P44=0,0,COUNTIF('Transect 2_imgsummary'!E44:I44,"ACROP")*100/P44)</f>
        <v>0</v>
      </c>
      <c r="U44">
        <f>IF(P44=0,0,COUNTIF('Transect 2_imgsummary'!E44:I44,"ACROPARB")*100/P44)</f>
        <v>0</v>
      </c>
      <c r="V44">
        <f>IF(P44=0,0,COUNTIF('Transect 2_imgsummary'!E44:I44,"ACROST")*100/P44)</f>
        <v>0</v>
      </c>
      <c r="W44" s="29">
        <f>IF(P44=0,0,COUNTIF('Transect 2_imgsummary'!E44:I44,"ACROTBL")*100/P44)</f>
        <v>60</v>
      </c>
      <c r="X44">
        <f>IF(P44=0,0,COUNTIF('Transect 2_imgsummary'!E44:I44,"ASTRP")*100/P44)</f>
        <v>0</v>
      </c>
      <c r="Y44">
        <f>IF(P44=0,0,COUNTIF('Transect 2_imgsummary'!E44:I44,"CAUL")*100/P44)</f>
        <v>0</v>
      </c>
      <c r="Z44">
        <f>IF(P44=0,0,COUNTIF('Transect 2_imgsummary'!E44:I44,"COSC")*100/P44)</f>
        <v>0</v>
      </c>
      <c r="AA44">
        <f>IF(P44=0,0,COUNTIF('Transect 2_imgsummary'!E44:I44,"CTEN")*100/P44)</f>
        <v>0</v>
      </c>
      <c r="AB44">
        <f>IF(P44=0,0,COUNTIF('Transect 2_imgsummary'!E44:I44,"CYPH")*100/P44)</f>
        <v>0</v>
      </c>
      <c r="AC44">
        <f>IF(P44=0,0,COUNTIF('Transect 2_imgsummary'!E44:I44,"DIPLO")*100/P44)</f>
        <v>0</v>
      </c>
      <c r="AD44">
        <f>IF(P44=0,0,COUNTIF('Transect 2_imgsummary'!E44:I44,"ECHPO")*100/P44)</f>
        <v>0</v>
      </c>
      <c r="AE44">
        <f>IF(P44=0,0,COUNTIF('Transect 2_imgsummary'!E44:I44,"ECHPHY")*100/P44)</f>
        <v>0</v>
      </c>
      <c r="AF44">
        <f>IF(P44=0,0,COUNTIF('Transect 2_imgsummary'!E44:I44,"EUPH")*100/P44)</f>
        <v>0</v>
      </c>
      <c r="AG44">
        <f>IF(P44=0,0,COUNTIF('Transect 2_imgsummary'!E44:I44,"FAV")*100/P44)</f>
        <v>0</v>
      </c>
      <c r="AH44">
        <f>IF(P44=0,0,COUNTIF('Transect 2_imgsummary'!E44:I44,"FAVT")*100/P44)</f>
        <v>0</v>
      </c>
      <c r="AI44">
        <f>IF(P44=0,0,COUNTIF('Transect 2_imgsummary'!E44:I44,"FUNG")*100/P44)</f>
        <v>0</v>
      </c>
      <c r="AJ44">
        <f>IF(P44=0,0,COUNTIF('Transect 2_imgsummary'!E44:I44,"GAL")*100/P44)</f>
        <v>0</v>
      </c>
      <c r="AK44">
        <f>IF(P44=0,0,COUNTIF('Transect 2_imgsummary'!E44:I44,"GARD")*100/P44)</f>
        <v>0</v>
      </c>
      <c r="AL44">
        <f>IF(P44=0,0,COUNTIF('Transect 2_imgsummary'!E44:I44,"GON")*100/P44)</f>
        <v>0</v>
      </c>
      <c r="AM44">
        <f>IF(P44=0,0,COUNTIF('Transect 2_imgsummary'!E44:I44,"GONIO")*100/P44)</f>
        <v>0</v>
      </c>
      <c r="AN44">
        <f>IF(P44=0,0,COUNTIF('Transect 2_imgsummary'!E44:I44,"HELIO")*100/P44)</f>
        <v>0</v>
      </c>
      <c r="AO44">
        <f>IF(P44=0,0,COUNTIF('Transect 2_imgsummary'!E44:I44,"HERP")*100/P44)</f>
        <v>0</v>
      </c>
      <c r="AP44">
        <f>IF(P44=0,0,COUNTIF('Transect 2_imgsummary'!E44:I44,"HYD")*100/P44)</f>
        <v>0</v>
      </c>
      <c r="AQ44">
        <f>IF(P44=0,0,COUNTIF('Transect 2_imgsummary'!E44:I44,"ISOP")*100/P44)</f>
        <v>0</v>
      </c>
      <c r="AR44">
        <f>IF(P44=0,0,COUNTIF('Transect 2_imgsummary'!E44:I44,"LEPT")*100/P44)</f>
        <v>0</v>
      </c>
      <c r="AS44">
        <f>IF(P44=0,0,COUNTIF('Transect 2_imgsummary'!E44:I44,"LEPTOR")*100/P44)</f>
        <v>0</v>
      </c>
      <c r="AT44">
        <f>IF(P44=0,0,COUNTIF('Transect 2_imgsummary'!E44:I44,"LEPTOS")*100/P44)</f>
        <v>0</v>
      </c>
      <c r="AU44">
        <f>IF(P44=0,0,COUNTIF('Transect 2_imgsummary'!E44:I44,"LOBOPH")*100/P44)</f>
        <v>0</v>
      </c>
      <c r="AV44">
        <f>IF(P44=0,0,COUNTIF('Transect 2_imgsummary'!E44:I44,"MERU")*100/P44)</f>
        <v>0</v>
      </c>
      <c r="AW44">
        <f>IF(P44=0,0,COUNTIF('Transect 2_imgsummary'!E44:I44,"MILL")*100/P44)</f>
        <v>0</v>
      </c>
      <c r="AX44">
        <f>IF(P44=0,0,COUNTIF('Transect 2_imgsummary'!E44:I44,"MONT")*100/P44)</f>
        <v>0</v>
      </c>
      <c r="AY44">
        <f>IF(P44=0,0,COUNTIF('Transect 2_imgsummary'!E44:I44,"MONTI")*100/P44)</f>
        <v>0</v>
      </c>
      <c r="AZ44">
        <f>IF(P44=0,0,COUNTIF('Transect 2_imgsummary'!E44:I44,"MYCED")*100/P44)</f>
        <v>0</v>
      </c>
      <c r="BA44">
        <f>IF(P44=0,0,COUNTIF('Transect 2_imgsummary'!E44:I44,"OULO")*100/P44)</f>
        <v>0</v>
      </c>
      <c r="BB44">
        <f>IF(P44=0,0,COUNTIF('Transect 2_imgsummary'!E44:I44,"OXYP")*100/P44)</f>
        <v>0</v>
      </c>
      <c r="BC44">
        <f>IF(P44=0,0,COUNTIF('Transect 2_imgsummary'!E44:I44,"PLSIA")*100/P44)</f>
        <v>0</v>
      </c>
      <c r="BD44">
        <f>IF(P44=0,0,COUNTIF('Transect 2_imgsummary'!E44:I44,"PACHY")*100/P44)</f>
        <v>0</v>
      </c>
      <c r="BE44">
        <f>IF(P44=0,0,COUNTIF('Transect 2_imgsummary'!E44:I44,"PAV")*100/P44)</f>
        <v>0</v>
      </c>
      <c r="BF44">
        <f>IF(P44=0,0,COUNTIF('Transect 2_imgsummary'!E44:I44,"PECT")*100/P44)</f>
        <v>0</v>
      </c>
      <c r="BG44">
        <f>IF(P44=0,0,COUNTIF('Transect 2_imgsummary'!E44:I44,"PHYSO")*100/P44)</f>
        <v>0</v>
      </c>
      <c r="BH44">
        <f>IF(P44=0,0,COUNTIF('Transect 2_imgsummary'!E44:I44,"PLAT")*100/P44)</f>
        <v>0</v>
      </c>
      <c r="BI44">
        <f>IF(P44=0,0,COUNTIF('Transect 2_imgsummary'!E44:I44,"PLERO")*100/P44)</f>
        <v>0</v>
      </c>
      <c r="BJ44">
        <f>IF(P44=0,0,COUNTIF('Transect 2_imgsummary'!E44:I44,"POC")*100/P44)</f>
        <v>0</v>
      </c>
      <c r="BK44">
        <f>IF(P44=0,0,COUNTIF('Transect 2_imgsummary'!E44:I44,"POR")*100/P44)</f>
        <v>0</v>
      </c>
      <c r="BL44">
        <f>IF(P44=0,0,COUNTIF('Transect 2_imgsummary'!E44:I44,"PORCYL")*100/P44)</f>
        <v>0</v>
      </c>
      <c r="BM44">
        <f>IF(P44=0,0,COUNTIF('Transect 2_imgsummary'!E44:I44,"PORMAS")*100/P44)</f>
        <v>0</v>
      </c>
      <c r="BN44">
        <f>IF(P44=0,0,COUNTIF('Transect 2_imgsummary'!E44:I44,"PORRUS")*100/P44)</f>
        <v>0</v>
      </c>
      <c r="BO44">
        <f>IF(P44=0,0,COUNTIF('Transect 2_imgsummary'!E44:I44,"PSAM")*100/P44)</f>
        <v>0</v>
      </c>
      <c r="BP44">
        <f>IF(P44=0,0,COUNTIF('Transect 2_imgsummary'!E44:I44,"SANDO")*100/P44)</f>
        <v>0</v>
      </c>
      <c r="BQ44">
        <f>IF(P44=0,0,COUNTIF('Transect 2_imgsummary'!E44:I44,"SCAP")*100/P44)</f>
        <v>0</v>
      </c>
      <c r="BR44">
        <f>IF(P44=0,0,COUNTIF('Transect 2_imgsummary'!E44:I44,"SERIA")*100/P44)</f>
        <v>0</v>
      </c>
      <c r="BS44">
        <f>IF(P44=0,0,COUNTIF('Transect 2_imgsummary'!E44:I44,"STYLC")*100/P44)</f>
        <v>0</v>
      </c>
      <c r="BT44">
        <f>IF(P44=0,0,COUNTIF('Transect 2_imgsummary'!E44:I44,"STYLO")*100/P44)</f>
        <v>0</v>
      </c>
      <c r="BU44">
        <f>IF(P44=0,0,COUNTIF('Transect 2_imgsummary'!E44:I44,"SYMP")*100/P44)</f>
        <v>0</v>
      </c>
      <c r="BV44">
        <f>IF(P44=0,0,COUNTIF('Transect 2_imgsummary'!E44:I44,"TURBIN")*100/P44)</f>
        <v>0</v>
      </c>
      <c r="BX44">
        <f>IF(P44=0,0,COUNTIF('Transect 2_imgsummary'!E44:I44,"ANEM")*100/P44)</f>
        <v>0</v>
      </c>
      <c r="BY44">
        <f>IF(P44=0,0,COUNTIF('Transect 2_imgsummary'!E44:I44,"ASC")*100/P44)</f>
        <v>0</v>
      </c>
      <c r="BZ44">
        <f>IF(P44=0,0,COUNTIF('Transect 2_imgsummary'!E44:I44,"CUPS")*100/P44)</f>
        <v>0</v>
      </c>
      <c r="CA44">
        <f>IF(P44=0,0,COUNTIF('Transect 2_imgsummary'!E44:I44,"DISCO")*100/P44)</f>
        <v>0</v>
      </c>
      <c r="CB44">
        <f>IF(P44=0,0,COUNTIF('Transect 2_imgsummary'!E44:I44,"DYS")*100/P44)</f>
        <v>0</v>
      </c>
      <c r="CC44">
        <f>IF(P44=0,0,COUNTIF('Transect 2_imgsummary'!E44:I44,"G")*100/P44)</f>
        <v>0</v>
      </c>
      <c r="CD44">
        <f>IF(P44=0,0,COUNTIF('Transect 2_imgsummary'!E44:I44,"NoIDINV")*100/P44)</f>
        <v>0</v>
      </c>
      <c r="CE44">
        <f>IF(P44=0,0,COUNTIF('Transect 2_imgsummary'!E44:I44,"OLV")*100/P44)</f>
        <v>0</v>
      </c>
      <c r="CF44">
        <f>IF(P44=0,0,COUNTIF('Transect 2_imgsummary'!E44:I44,"SC")*100/P44)</f>
        <v>0</v>
      </c>
      <c r="CG44">
        <f>IF(P44=0,0,COUNTIF('Transect 2_imgsummary'!E44:I44,"S")*100/P44)</f>
        <v>0</v>
      </c>
      <c r="CH44">
        <f>IF(P44=0,0,COUNTIF('Transect 2_imgsummary'!E44:I44,"TERPS")*100/P44)</f>
        <v>0</v>
      </c>
      <c r="CI44">
        <f>IF(P44=0,0,COUNTIF('Transect 2_imgsummary'!E44:I44,"Z")*100/P44)</f>
        <v>0</v>
      </c>
      <c r="CK44">
        <f>IF(P44=0,0,COUNTIF('Transect 2_imgsummary'!E44:I44,"ASP")*100/P44)</f>
        <v>0</v>
      </c>
      <c r="CL44">
        <f>IF(P44=0,0,COUNTIF('Transect 2_imgsummary'!E44:I44,"BG")*100/P44)</f>
        <v>0</v>
      </c>
      <c r="CM44">
        <f>IF(P44=0,0,COUNTIF('Transect 2_imgsummary'!E44:I44,"Bood")*100/P44)</f>
        <v>0</v>
      </c>
      <c r="CN44">
        <f>IF(P44=0,0,COUNTIF('Transect 2_imgsummary'!E44:I44,"BRYP")*100/P44)</f>
        <v>0</v>
      </c>
      <c r="CO44">
        <f>IF(P44=0,0,COUNTIF('Transect 2_imgsummary'!E44:I44,"CLP")*100/P44)</f>
        <v>0</v>
      </c>
      <c r="CP44">
        <f>IF(P44=0,0,COUNTIF('Transect 2_imgsummary'!E44:I44,"CHLDES")*100/P44)</f>
        <v>0</v>
      </c>
      <c r="CQ44">
        <f>IF(P44=0,0,COUNTIF('Transect 2_imgsummary'!E44:I44,"DYCTY")*100/P44)</f>
        <v>0</v>
      </c>
      <c r="CR44">
        <f>IF(P44=0,0,COUNTIF('Transect 2_imgsummary'!E44:I44,"DICT")*100/P44)</f>
        <v>0</v>
      </c>
      <c r="CS44">
        <f>IF(P44=0,0,COUNTIF('Transect 2_imgsummary'!E44:I44,"GLXU")*100/P44)</f>
        <v>0</v>
      </c>
      <c r="CT44">
        <f>IF(P44=0,0,COUNTIF('Transect 2_imgsummary'!E44:I44,"HALI")*100/P44)</f>
        <v>0</v>
      </c>
      <c r="CU44">
        <f>IF(P44=0,0,COUNTIF('Transect 2_imgsummary'!E44:I44,"LIAG")*100/P44)</f>
        <v>0</v>
      </c>
      <c r="CV44">
        <f>IF(P44=0,0,COUNTIF('Transect 2_imgsummary'!E44:I44,"LOBO")*100/P44)</f>
        <v>0</v>
      </c>
      <c r="CW44">
        <f>IF(P44=0,0,COUNTIF('Transect 2_imgsummary'!E44:I44,"MAST")*100/P44)</f>
        <v>0</v>
      </c>
      <c r="CX44">
        <f>IF(P44=0,0,COUNTIF('Transect 2_imgsummary'!E44:I44,"MICDTY")*100/P44)</f>
        <v>0</v>
      </c>
      <c r="CY44">
        <f>IF(P44=0,0,COUNTIF('Transect 2_imgsummary'!E44:I44,"NEOM")*100/P44)</f>
        <v>0</v>
      </c>
      <c r="CZ44">
        <f>IF(P44=0,0,COUNTIF('Transect 2_imgsummary'!E44:I44,"NOIDMAC")*100/P44)</f>
        <v>0</v>
      </c>
      <c r="DA44">
        <f>IF(P44=0,0,COUNTIF('Transect 2_imgsummary'!E44:I44,"PAD")*100/P44)</f>
        <v>0</v>
      </c>
      <c r="DB44">
        <f>IF(P44=0,0,COUNTIF('Transect 2_imgsummary'!E44:I44,"SARG")*100/P44)</f>
        <v>0</v>
      </c>
      <c r="DC44">
        <f>IF(P44=0,0,COUNTIF('Transect 2_imgsummary'!E44:I44,"SCHIZ")*100/P44)</f>
        <v>0</v>
      </c>
      <c r="DD44">
        <f>IF(P44=0,0,COUNTIF('Transect 2_imgsummary'!E44:I44,"TURB")*100/P44)</f>
        <v>0</v>
      </c>
      <c r="DE44">
        <f>IF(P44=0,0,COUNTIF('Transect 2_imgsummary'!E44:I44,"TYDM")*100/P44)</f>
        <v>0</v>
      </c>
      <c r="DG44">
        <f>IF(P44=0,0,COUNTIF('Transect 2_imgsummary'!E44:I44,"AMP")*100/P44)</f>
        <v>0</v>
      </c>
      <c r="DH44">
        <f>IF(P44=0,0,COUNTIF('Transect 2_imgsummary'!E44:I44,"BCA1")*100/P44)</f>
        <v>0</v>
      </c>
      <c r="DI44">
        <f>IF(P44=0,0,COUNTIF('Transect 2_imgsummary'!E44:I44,"JAN")*100/P44)</f>
        <v>0</v>
      </c>
      <c r="DK44" s="29">
        <f>IF(P44=0,0,COUNTIF('Transect 2_imgsummary'!E44:I44,"CCA1")*100/P44)</f>
        <v>20</v>
      </c>
      <c r="DM44">
        <f>IF(P44=0,0,COUNTIF('Transect 2_imgsummary'!E44:I44,"Sand")*100/P44)</f>
        <v>0</v>
      </c>
      <c r="DO44">
        <f>IF(P44=0,0,COUNTIF('Transect 2_imgsummary'!E44:I44,"FCA1")*100/P44)</f>
        <v>0</v>
      </c>
      <c r="DQ44">
        <f>IF(P44=0,0,COUNTIF('Transect 2_imgsummary'!E44:I44,"CHRYOBRN")*100/P44)</f>
        <v>0</v>
      </c>
      <c r="DS44" s="29">
        <f>IF(P44=0,0,COUNTIF('Transect 2_imgsummary'!E44:I44,"TURF")*100/P44)</f>
        <v>20</v>
      </c>
      <c r="DU44">
        <f>COUNTIF('Transect 2_imgsummary'!E44:I44,"Shadow")*100/5</f>
        <v>0</v>
      </c>
      <c r="DV44">
        <f>COUNTIF('Transect 2_imgsummary'!E44:I44,"Tape")*100/5</f>
        <v>0</v>
      </c>
      <c r="DW44">
        <f>COUNTIF('Transect 2_imgsummary'!E44:I44,"Wand")*100/5</f>
        <v>0</v>
      </c>
      <c r="DY44">
        <f>IF(P44=0,0,COUNTIF('Transect 2_imgsummary'!O44:S44,"BC")*100/P44)</f>
        <v>0</v>
      </c>
    </row>
    <row r="45" spans="1:129">
      <c r="A45">
        <v>43</v>
      </c>
      <c r="B45" t="s">
        <v>472</v>
      </c>
      <c r="F45" s="29">
        <f>IF(P45=0,0,COUNTIF('Transect 2_imgsummary'!J45:N45,"C")*100/P45)</f>
        <v>20</v>
      </c>
      <c r="G45">
        <f>IF(P45=0,0,COUNTIF('Transect 2_imgsummary'!J45:N45,"OI")*100/P45)</f>
        <v>0</v>
      </c>
      <c r="H45">
        <f>IF(P45=0,0,COUNTIF('Transect 2_imgsummary'!J45:N45,"MA")*100/P45)</f>
        <v>0</v>
      </c>
      <c r="I45">
        <f>IF(P45=0,0,COUNTIF('Transect 2_imgsummary'!J45:N45,"BCA")*100/P45)</f>
        <v>0</v>
      </c>
      <c r="J45" s="29">
        <f>IF(P45=0,0,COUNTIF('Transect 2_imgsummary'!J45:N45,"CCA")*100/P45)</f>
        <v>60</v>
      </c>
      <c r="K45">
        <f>IF(P45=0,0,COUNTIF('Transect 2_imgsummary'!J45:N45,"SD")*100/P45)</f>
        <v>0</v>
      </c>
      <c r="L45">
        <f>IF(P45=0,0,COUNTIF('Transect 2_imgsummary'!J45:N45,"FCA")*100/P45)</f>
        <v>0</v>
      </c>
      <c r="M45">
        <f>IF(P45=0,0,COUNTIF('Transect 2_imgsummary'!J45:N45,"CHRYS")*100/P45)</f>
        <v>0</v>
      </c>
      <c r="N45" s="29">
        <f>IF(P45=0,0,COUNTIF('Transect 2_imgsummary'!J45:N45,"T")*100/P45)</f>
        <v>20</v>
      </c>
      <c r="O45">
        <f>IF(P45=0,0,COUNTIF('Transect 2_imgsummary'!J45:N45,"TWS")*100/P45)</f>
        <v>0</v>
      </c>
      <c r="P45">
        <f>5-COUNTIF('Transect 2_imgsummary'!J45:N45,"TWS")</f>
        <v>5</v>
      </c>
      <c r="S45">
        <f>IF(P45=0,0,COUNTIF('Transect 2_imgsummary'!E45:I45,"ACAN")*100/P45)</f>
        <v>0</v>
      </c>
      <c r="T45">
        <f>IF(P45=0,0,COUNTIF('Transect 2_imgsummary'!E45:I45,"ACROP")*100/P45)</f>
        <v>0</v>
      </c>
      <c r="U45">
        <f>IF(P45=0,0,COUNTIF('Transect 2_imgsummary'!E45:I45,"ACROPARB")*100/P45)</f>
        <v>0</v>
      </c>
      <c r="V45">
        <f>IF(P45=0,0,COUNTIF('Transect 2_imgsummary'!E45:I45,"ACROST")*100/P45)</f>
        <v>0</v>
      </c>
      <c r="W45" s="29">
        <f>IF(P45=0,0,COUNTIF('Transect 2_imgsummary'!E45:I45,"ACROTBL")*100/P45)</f>
        <v>20</v>
      </c>
      <c r="X45">
        <f>IF(P45=0,0,COUNTIF('Transect 2_imgsummary'!E45:I45,"ASTRP")*100/P45)</f>
        <v>0</v>
      </c>
      <c r="Y45">
        <f>IF(P45=0,0,COUNTIF('Transect 2_imgsummary'!E45:I45,"CAUL")*100/P45)</f>
        <v>0</v>
      </c>
      <c r="Z45">
        <f>IF(P45=0,0,COUNTIF('Transect 2_imgsummary'!E45:I45,"COSC")*100/P45)</f>
        <v>0</v>
      </c>
      <c r="AA45">
        <f>IF(P45=0,0,COUNTIF('Transect 2_imgsummary'!E45:I45,"CTEN")*100/P45)</f>
        <v>0</v>
      </c>
      <c r="AB45">
        <f>IF(P45=0,0,COUNTIF('Transect 2_imgsummary'!E45:I45,"CYPH")*100/P45)</f>
        <v>0</v>
      </c>
      <c r="AC45">
        <f>IF(P45=0,0,COUNTIF('Transect 2_imgsummary'!E45:I45,"DIPLO")*100/P45)</f>
        <v>0</v>
      </c>
      <c r="AD45">
        <f>IF(P45=0,0,COUNTIF('Transect 2_imgsummary'!E45:I45,"ECHPO")*100/P45)</f>
        <v>0</v>
      </c>
      <c r="AE45">
        <f>IF(P45=0,0,COUNTIF('Transect 2_imgsummary'!E45:I45,"ECHPHY")*100/P45)</f>
        <v>0</v>
      </c>
      <c r="AF45">
        <f>IF(P45=0,0,COUNTIF('Transect 2_imgsummary'!E45:I45,"EUPH")*100/P45)</f>
        <v>0</v>
      </c>
      <c r="AG45">
        <f>IF(P45=0,0,COUNTIF('Transect 2_imgsummary'!E45:I45,"FAV")*100/P45)</f>
        <v>0</v>
      </c>
      <c r="AH45">
        <f>IF(P45=0,0,COUNTIF('Transect 2_imgsummary'!E45:I45,"FAVT")*100/P45)</f>
        <v>0</v>
      </c>
      <c r="AI45">
        <f>IF(P45=0,0,COUNTIF('Transect 2_imgsummary'!E45:I45,"FUNG")*100/P45)</f>
        <v>0</v>
      </c>
      <c r="AJ45">
        <f>IF(P45=0,0,COUNTIF('Transect 2_imgsummary'!E45:I45,"GAL")*100/P45)</f>
        <v>0</v>
      </c>
      <c r="AK45">
        <f>IF(P45=0,0,COUNTIF('Transect 2_imgsummary'!E45:I45,"GARD")*100/P45)</f>
        <v>0</v>
      </c>
      <c r="AL45">
        <f>IF(P45=0,0,COUNTIF('Transect 2_imgsummary'!E45:I45,"GON")*100/P45)</f>
        <v>0</v>
      </c>
      <c r="AM45">
        <f>IF(P45=0,0,COUNTIF('Transect 2_imgsummary'!E45:I45,"GONIO")*100/P45)</f>
        <v>0</v>
      </c>
      <c r="AN45">
        <f>IF(P45=0,0,COUNTIF('Transect 2_imgsummary'!E45:I45,"HELIO")*100/P45)</f>
        <v>0</v>
      </c>
      <c r="AO45">
        <f>IF(P45=0,0,COUNTIF('Transect 2_imgsummary'!E45:I45,"HERP")*100/P45)</f>
        <v>0</v>
      </c>
      <c r="AP45">
        <f>IF(P45=0,0,COUNTIF('Transect 2_imgsummary'!E45:I45,"HYD")*100/P45)</f>
        <v>0</v>
      </c>
      <c r="AQ45">
        <f>IF(P45=0,0,COUNTIF('Transect 2_imgsummary'!E45:I45,"ISOP")*100/P45)</f>
        <v>0</v>
      </c>
      <c r="AR45">
        <f>IF(P45=0,0,COUNTIF('Transect 2_imgsummary'!E45:I45,"LEPT")*100/P45)</f>
        <v>0</v>
      </c>
      <c r="AS45">
        <f>IF(P45=0,0,COUNTIF('Transect 2_imgsummary'!E45:I45,"LEPTOR")*100/P45)</f>
        <v>0</v>
      </c>
      <c r="AT45">
        <f>IF(P45=0,0,COUNTIF('Transect 2_imgsummary'!E45:I45,"LEPTOS")*100/P45)</f>
        <v>0</v>
      </c>
      <c r="AU45">
        <f>IF(P45=0,0,COUNTIF('Transect 2_imgsummary'!E45:I45,"LOBOPH")*100/P45)</f>
        <v>0</v>
      </c>
      <c r="AV45">
        <f>IF(P45=0,0,COUNTIF('Transect 2_imgsummary'!E45:I45,"MERU")*100/P45)</f>
        <v>0</v>
      </c>
      <c r="AW45">
        <f>IF(P45=0,0,COUNTIF('Transect 2_imgsummary'!E45:I45,"MILL")*100/P45)</f>
        <v>0</v>
      </c>
      <c r="AX45">
        <f>IF(P45=0,0,COUNTIF('Transect 2_imgsummary'!E45:I45,"MONT")*100/P45)</f>
        <v>0</v>
      </c>
      <c r="AY45">
        <f>IF(P45=0,0,COUNTIF('Transect 2_imgsummary'!E45:I45,"MONTI")*100/P45)</f>
        <v>0</v>
      </c>
      <c r="AZ45">
        <f>IF(P45=0,0,COUNTIF('Transect 2_imgsummary'!E45:I45,"MYCED")*100/P45)</f>
        <v>0</v>
      </c>
      <c r="BA45">
        <f>IF(P45=0,0,COUNTIF('Transect 2_imgsummary'!E45:I45,"OULO")*100/P45)</f>
        <v>0</v>
      </c>
      <c r="BB45">
        <f>IF(P45=0,0,COUNTIF('Transect 2_imgsummary'!E45:I45,"OXYP")*100/P45)</f>
        <v>0</v>
      </c>
      <c r="BC45">
        <f>IF(P45=0,0,COUNTIF('Transect 2_imgsummary'!E45:I45,"PLSIA")*100/P45)</f>
        <v>0</v>
      </c>
      <c r="BD45">
        <f>IF(P45=0,0,COUNTIF('Transect 2_imgsummary'!E45:I45,"PACHY")*100/P45)</f>
        <v>0</v>
      </c>
      <c r="BE45">
        <f>IF(P45=0,0,COUNTIF('Transect 2_imgsummary'!E45:I45,"PAV")*100/P45)</f>
        <v>0</v>
      </c>
      <c r="BF45">
        <f>IF(P45=0,0,COUNTIF('Transect 2_imgsummary'!E45:I45,"PECT")*100/P45)</f>
        <v>0</v>
      </c>
      <c r="BG45">
        <f>IF(P45=0,0,COUNTIF('Transect 2_imgsummary'!E45:I45,"PHYSO")*100/P45)</f>
        <v>0</v>
      </c>
      <c r="BH45">
        <f>IF(P45=0,0,COUNTIF('Transect 2_imgsummary'!E45:I45,"PLAT")*100/P45)</f>
        <v>0</v>
      </c>
      <c r="BI45">
        <f>IF(P45=0,0,COUNTIF('Transect 2_imgsummary'!E45:I45,"PLERO")*100/P45)</f>
        <v>0</v>
      </c>
      <c r="BJ45">
        <f>IF(P45=0,0,COUNTIF('Transect 2_imgsummary'!E45:I45,"POC")*100/P45)</f>
        <v>0</v>
      </c>
      <c r="BK45">
        <f>IF(P45=0,0,COUNTIF('Transect 2_imgsummary'!E45:I45,"POR")*100/P45)</f>
        <v>0</v>
      </c>
      <c r="BL45">
        <f>IF(P45=0,0,COUNTIF('Transect 2_imgsummary'!E45:I45,"PORCYL")*100/P45)</f>
        <v>0</v>
      </c>
      <c r="BM45">
        <f>IF(P45=0,0,COUNTIF('Transect 2_imgsummary'!E45:I45,"PORMAS")*100/P45)</f>
        <v>0</v>
      </c>
      <c r="BN45">
        <f>IF(P45=0,0,COUNTIF('Transect 2_imgsummary'!E45:I45,"PORRUS")*100/P45)</f>
        <v>0</v>
      </c>
      <c r="BO45">
        <f>IF(P45=0,0,COUNTIF('Transect 2_imgsummary'!E45:I45,"PSAM")*100/P45)</f>
        <v>0</v>
      </c>
      <c r="BP45">
        <f>IF(P45=0,0,COUNTIF('Transect 2_imgsummary'!E45:I45,"SANDO")*100/P45)</f>
        <v>0</v>
      </c>
      <c r="BQ45">
        <f>IF(P45=0,0,COUNTIF('Transect 2_imgsummary'!E45:I45,"SCAP")*100/P45)</f>
        <v>0</v>
      </c>
      <c r="BR45">
        <f>IF(P45=0,0,COUNTIF('Transect 2_imgsummary'!E45:I45,"SERIA")*100/P45)</f>
        <v>0</v>
      </c>
      <c r="BS45">
        <f>IF(P45=0,0,COUNTIF('Transect 2_imgsummary'!E45:I45,"STYLC")*100/P45)</f>
        <v>0</v>
      </c>
      <c r="BT45">
        <f>IF(P45=0,0,COUNTIF('Transect 2_imgsummary'!E45:I45,"STYLO")*100/P45)</f>
        <v>0</v>
      </c>
      <c r="BU45">
        <f>IF(P45=0,0,COUNTIF('Transect 2_imgsummary'!E45:I45,"SYMP")*100/P45)</f>
        <v>0</v>
      </c>
      <c r="BV45">
        <f>IF(P45=0,0,COUNTIF('Transect 2_imgsummary'!E45:I45,"TURBIN")*100/P45)</f>
        <v>0</v>
      </c>
      <c r="BX45">
        <f>IF(P45=0,0,COUNTIF('Transect 2_imgsummary'!E45:I45,"ANEM")*100/P45)</f>
        <v>0</v>
      </c>
      <c r="BY45">
        <f>IF(P45=0,0,COUNTIF('Transect 2_imgsummary'!E45:I45,"ASC")*100/P45)</f>
        <v>0</v>
      </c>
      <c r="BZ45">
        <f>IF(P45=0,0,COUNTIF('Transect 2_imgsummary'!E45:I45,"CUPS")*100/P45)</f>
        <v>0</v>
      </c>
      <c r="CA45">
        <f>IF(P45=0,0,COUNTIF('Transect 2_imgsummary'!E45:I45,"DISCO")*100/P45)</f>
        <v>0</v>
      </c>
      <c r="CB45">
        <f>IF(P45=0,0,COUNTIF('Transect 2_imgsummary'!E45:I45,"DYS")*100/P45)</f>
        <v>0</v>
      </c>
      <c r="CC45">
        <f>IF(P45=0,0,COUNTIF('Transect 2_imgsummary'!E45:I45,"G")*100/P45)</f>
        <v>0</v>
      </c>
      <c r="CD45">
        <f>IF(P45=0,0,COUNTIF('Transect 2_imgsummary'!E45:I45,"NoIDINV")*100/P45)</f>
        <v>0</v>
      </c>
      <c r="CE45">
        <f>IF(P45=0,0,COUNTIF('Transect 2_imgsummary'!E45:I45,"OLV")*100/P45)</f>
        <v>0</v>
      </c>
      <c r="CF45">
        <f>IF(P45=0,0,COUNTIF('Transect 2_imgsummary'!E45:I45,"SC")*100/P45)</f>
        <v>0</v>
      </c>
      <c r="CG45">
        <f>IF(P45=0,0,COUNTIF('Transect 2_imgsummary'!E45:I45,"S")*100/P45)</f>
        <v>0</v>
      </c>
      <c r="CH45">
        <f>IF(P45=0,0,COUNTIF('Transect 2_imgsummary'!E45:I45,"TERPS")*100/P45)</f>
        <v>0</v>
      </c>
      <c r="CI45">
        <f>IF(P45=0,0,COUNTIF('Transect 2_imgsummary'!E45:I45,"Z")*100/P45)</f>
        <v>0</v>
      </c>
      <c r="CK45">
        <f>IF(P45=0,0,COUNTIF('Transect 2_imgsummary'!E45:I45,"ASP")*100/P45)</f>
        <v>0</v>
      </c>
      <c r="CL45">
        <f>IF(P45=0,0,COUNTIF('Transect 2_imgsummary'!E45:I45,"BG")*100/P45)</f>
        <v>0</v>
      </c>
      <c r="CM45">
        <f>IF(P45=0,0,COUNTIF('Transect 2_imgsummary'!E45:I45,"Bood")*100/P45)</f>
        <v>0</v>
      </c>
      <c r="CN45">
        <f>IF(P45=0,0,COUNTIF('Transect 2_imgsummary'!E45:I45,"BRYP")*100/P45)</f>
        <v>0</v>
      </c>
      <c r="CO45">
        <f>IF(P45=0,0,COUNTIF('Transect 2_imgsummary'!E45:I45,"CLP")*100/P45)</f>
        <v>0</v>
      </c>
      <c r="CP45">
        <f>IF(P45=0,0,COUNTIF('Transect 2_imgsummary'!E45:I45,"CHLDES")*100/P45)</f>
        <v>0</v>
      </c>
      <c r="CQ45">
        <f>IF(P45=0,0,COUNTIF('Transect 2_imgsummary'!E45:I45,"DYCTY")*100/P45)</f>
        <v>0</v>
      </c>
      <c r="CR45">
        <f>IF(P45=0,0,COUNTIF('Transect 2_imgsummary'!E45:I45,"DICT")*100/P45)</f>
        <v>0</v>
      </c>
      <c r="CS45">
        <f>IF(P45=0,0,COUNTIF('Transect 2_imgsummary'!E45:I45,"GLXU")*100/P45)</f>
        <v>0</v>
      </c>
      <c r="CT45">
        <f>IF(P45=0,0,COUNTIF('Transect 2_imgsummary'!E45:I45,"HALI")*100/P45)</f>
        <v>0</v>
      </c>
      <c r="CU45">
        <f>IF(P45=0,0,COUNTIF('Transect 2_imgsummary'!E45:I45,"LIAG")*100/P45)</f>
        <v>0</v>
      </c>
      <c r="CV45">
        <f>IF(P45=0,0,COUNTIF('Transect 2_imgsummary'!E45:I45,"LOBO")*100/P45)</f>
        <v>0</v>
      </c>
      <c r="CW45">
        <f>IF(P45=0,0,COUNTIF('Transect 2_imgsummary'!E45:I45,"MAST")*100/P45)</f>
        <v>0</v>
      </c>
      <c r="CX45">
        <f>IF(P45=0,0,COUNTIF('Transect 2_imgsummary'!E45:I45,"MICDTY")*100/P45)</f>
        <v>0</v>
      </c>
      <c r="CY45">
        <f>IF(P45=0,0,COUNTIF('Transect 2_imgsummary'!E45:I45,"NEOM")*100/P45)</f>
        <v>0</v>
      </c>
      <c r="CZ45">
        <f>IF(P45=0,0,COUNTIF('Transect 2_imgsummary'!E45:I45,"NOIDMAC")*100/P45)</f>
        <v>0</v>
      </c>
      <c r="DA45">
        <f>IF(P45=0,0,COUNTIF('Transect 2_imgsummary'!E45:I45,"PAD")*100/P45)</f>
        <v>0</v>
      </c>
      <c r="DB45">
        <f>IF(P45=0,0,COUNTIF('Transect 2_imgsummary'!E45:I45,"SARG")*100/P45)</f>
        <v>0</v>
      </c>
      <c r="DC45">
        <f>IF(P45=0,0,COUNTIF('Transect 2_imgsummary'!E45:I45,"SCHIZ")*100/P45)</f>
        <v>0</v>
      </c>
      <c r="DD45">
        <f>IF(P45=0,0,COUNTIF('Transect 2_imgsummary'!E45:I45,"TURB")*100/P45)</f>
        <v>0</v>
      </c>
      <c r="DE45">
        <f>IF(P45=0,0,COUNTIF('Transect 2_imgsummary'!E45:I45,"TYDM")*100/P45)</f>
        <v>0</v>
      </c>
      <c r="DG45">
        <f>IF(P45=0,0,COUNTIF('Transect 2_imgsummary'!E45:I45,"AMP")*100/P45)</f>
        <v>0</v>
      </c>
      <c r="DH45">
        <f>IF(P45=0,0,COUNTIF('Transect 2_imgsummary'!E45:I45,"BCA1")*100/P45)</f>
        <v>0</v>
      </c>
      <c r="DI45">
        <f>IF(P45=0,0,COUNTIF('Transect 2_imgsummary'!E45:I45,"JAN")*100/P45)</f>
        <v>0</v>
      </c>
      <c r="DK45" s="29">
        <f>IF(P45=0,0,COUNTIF('Transect 2_imgsummary'!E45:I45,"CCA1")*100/P45)</f>
        <v>60</v>
      </c>
      <c r="DM45">
        <f>IF(P45=0,0,COUNTIF('Transect 2_imgsummary'!E45:I45,"Sand")*100/P45)</f>
        <v>0</v>
      </c>
      <c r="DO45">
        <f>IF(P45=0,0,COUNTIF('Transect 2_imgsummary'!E45:I45,"FCA1")*100/P45)</f>
        <v>0</v>
      </c>
      <c r="DQ45">
        <f>IF(P45=0,0,COUNTIF('Transect 2_imgsummary'!E45:I45,"CHRYOBRN")*100/P45)</f>
        <v>0</v>
      </c>
      <c r="DS45" s="29">
        <f>IF(P45=0,0,COUNTIF('Transect 2_imgsummary'!E45:I45,"TURF")*100/P45)</f>
        <v>20</v>
      </c>
      <c r="DU45">
        <f>COUNTIF('Transect 2_imgsummary'!E45:I45,"Shadow")*100/5</f>
        <v>0</v>
      </c>
      <c r="DV45">
        <f>COUNTIF('Transect 2_imgsummary'!E45:I45,"Tape")*100/5</f>
        <v>0</v>
      </c>
      <c r="DW45">
        <f>COUNTIF('Transect 2_imgsummary'!E45:I45,"Wand")*100/5</f>
        <v>0</v>
      </c>
      <c r="DY45">
        <f>IF(P45=0,0,COUNTIF('Transect 2_imgsummary'!O45:S45,"BC")*100/P45)</f>
        <v>0</v>
      </c>
    </row>
    <row r="46" spans="1:129">
      <c r="A46">
        <v>44</v>
      </c>
      <c r="B46" t="s">
        <v>473</v>
      </c>
      <c r="F46" s="29">
        <f>IF(P46=0,0,COUNTIF('Transect 2_imgsummary'!J46:N46,"C")*100/P46)</f>
        <v>100</v>
      </c>
      <c r="G46">
        <f>IF(P46=0,0,COUNTIF('Transect 2_imgsummary'!J46:N46,"OI")*100/P46)</f>
        <v>0</v>
      </c>
      <c r="H46">
        <f>IF(P46=0,0,COUNTIF('Transect 2_imgsummary'!J46:N46,"MA")*100/P46)</f>
        <v>0</v>
      </c>
      <c r="I46">
        <f>IF(P46=0,0,COUNTIF('Transect 2_imgsummary'!J46:N46,"BCA")*100/P46)</f>
        <v>0</v>
      </c>
      <c r="J46">
        <f>IF(P46=0,0,COUNTIF('Transect 2_imgsummary'!J46:N46,"CCA")*100/P46)</f>
        <v>0</v>
      </c>
      <c r="K46">
        <f>IF(P46=0,0,COUNTIF('Transect 2_imgsummary'!J46:N46,"SD")*100/P46)</f>
        <v>0</v>
      </c>
      <c r="L46">
        <f>IF(P46=0,0,COUNTIF('Transect 2_imgsummary'!J46:N46,"FCA")*100/P46)</f>
        <v>0</v>
      </c>
      <c r="M46">
        <f>IF(P46=0,0,COUNTIF('Transect 2_imgsummary'!J46:N46,"CHRYS")*100/P46)</f>
        <v>0</v>
      </c>
      <c r="N46">
        <f>IF(P46=0,0,COUNTIF('Transect 2_imgsummary'!J46:N46,"T")*100/P46)</f>
        <v>0</v>
      </c>
      <c r="O46">
        <f>IF(P46=0,0,COUNTIF('Transect 2_imgsummary'!J46:N46,"TWS")*100/P46)</f>
        <v>0</v>
      </c>
      <c r="P46">
        <f>5-COUNTIF('Transect 2_imgsummary'!J46:N46,"TWS")</f>
        <v>5</v>
      </c>
      <c r="S46">
        <f>IF(P46=0,0,COUNTIF('Transect 2_imgsummary'!E46:I46,"ACAN")*100/P46)</f>
        <v>0</v>
      </c>
      <c r="T46">
        <f>IF(P46=0,0,COUNTIF('Transect 2_imgsummary'!E46:I46,"ACROP")*100/P46)</f>
        <v>0</v>
      </c>
      <c r="U46">
        <f>IF(P46=0,0,COUNTIF('Transect 2_imgsummary'!E46:I46,"ACROPARB")*100/P46)</f>
        <v>0</v>
      </c>
      <c r="V46">
        <f>IF(P46=0,0,COUNTIF('Transect 2_imgsummary'!E46:I46,"ACROST")*100/P46)</f>
        <v>0</v>
      </c>
      <c r="W46" s="29">
        <f>IF(P46=0,0,COUNTIF('Transect 2_imgsummary'!E46:I46,"ACROTBL")*100/P46)</f>
        <v>80</v>
      </c>
      <c r="X46">
        <f>IF(P46=0,0,COUNTIF('Transect 2_imgsummary'!E46:I46,"ASTRP")*100/P46)</f>
        <v>0</v>
      </c>
      <c r="Y46">
        <f>IF(P46=0,0,COUNTIF('Transect 2_imgsummary'!E46:I46,"CAUL")*100/P46)</f>
        <v>0</v>
      </c>
      <c r="Z46">
        <f>IF(P46=0,0,COUNTIF('Transect 2_imgsummary'!E46:I46,"COSC")*100/P46)</f>
        <v>0</v>
      </c>
      <c r="AA46">
        <f>IF(P46=0,0,COUNTIF('Transect 2_imgsummary'!E46:I46,"CTEN")*100/P46)</f>
        <v>0</v>
      </c>
      <c r="AB46">
        <f>IF(P46=0,0,COUNTIF('Transect 2_imgsummary'!E46:I46,"CYPH")*100/P46)</f>
        <v>0</v>
      </c>
      <c r="AC46">
        <f>IF(P46=0,0,COUNTIF('Transect 2_imgsummary'!E46:I46,"DIPLO")*100/P46)</f>
        <v>0</v>
      </c>
      <c r="AD46">
        <f>IF(P46=0,0,COUNTIF('Transect 2_imgsummary'!E46:I46,"ECHPO")*100/P46)</f>
        <v>0</v>
      </c>
      <c r="AE46">
        <f>IF(P46=0,0,COUNTIF('Transect 2_imgsummary'!E46:I46,"ECHPHY")*100/P46)</f>
        <v>0</v>
      </c>
      <c r="AF46">
        <f>IF(P46=0,0,COUNTIF('Transect 2_imgsummary'!E46:I46,"EUPH")*100/P46)</f>
        <v>0</v>
      </c>
      <c r="AG46">
        <f>IF(P46=0,0,COUNTIF('Transect 2_imgsummary'!E46:I46,"FAV")*100/P46)</f>
        <v>0</v>
      </c>
      <c r="AH46">
        <f>IF(P46=0,0,COUNTIF('Transect 2_imgsummary'!E46:I46,"FAVT")*100/P46)</f>
        <v>0</v>
      </c>
      <c r="AI46">
        <f>IF(P46=0,0,COUNTIF('Transect 2_imgsummary'!E46:I46,"FUNG")*100/P46)</f>
        <v>0</v>
      </c>
      <c r="AJ46">
        <f>IF(P46=0,0,COUNTIF('Transect 2_imgsummary'!E46:I46,"GAL")*100/P46)</f>
        <v>0</v>
      </c>
      <c r="AK46">
        <f>IF(P46=0,0,COUNTIF('Transect 2_imgsummary'!E46:I46,"GARD")*100/P46)</f>
        <v>0</v>
      </c>
      <c r="AL46">
        <f>IF(P46=0,0,COUNTIF('Transect 2_imgsummary'!E46:I46,"GON")*100/P46)</f>
        <v>0</v>
      </c>
      <c r="AM46">
        <f>IF(P46=0,0,COUNTIF('Transect 2_imgsummary'!E46:I46,"GONIO")*100/P46)</f>
        <v>0</v>
      </c>
      <c r="AN46">
        <f>IF(P46=0,0,COUNTIF('Transect 2_imgsummary'!E46:I46,"HELIO")*100/P46)</f>
        <v>0</v>
      </c>
      <c r="AO46">
        <f>IF(P46=0,0,COUNTIF('Transect 2_imgsummary'!E46:I46,"HERP")*100/P46)</f>
        <v>0</v>
      </c>
      <c r="AP46">
        <f>IF(P46=0,0,COUNTIF('Transect 2_imgsummary'!E46:I46,"HYD")*100/P46)</f>
        <v>0</v>
      </c>
      <c r="AQ46">
        <f>IF(P46=0,0,COUNTIF('Transect 2_imgsummary'!E46:I46,"ISOP")*100/P46)</f>
        <v>0</v>
      </c>
      <c r="AR46">
        <f>IF(P46=0,0,COUNTIF('Transect 2_imgsummary'!E46:I46,"LEPT")*100/P46)</f>
        <v>0</v>
      </c>
      <c r="AS46">
        <f>IF(P46=0,0,COUNTIF('Transect 2_imgsummary'!E46:I46,"LEPTOR")*100/P46)</f>
        <v>0</v>
      </c>
      <c r="AT46">
        <f>IF(P46=0,0,COUNTIF('Transect 2_imgsummary'!E46:I46,"LEPTOS")*100/P46)</f>
        <v>0</v>
      </c>
      <c r="AU46">
        <f>IF(P46=0,0,COUNTIF('Transect 2_imgsummary'!E46:I46,"LOBOPH")*100/P46)</f>
        <v>0</v>
      </c>
      <c r="AV46">
        <f>IF(P46=0,0,COUNTIF('Transect 2_imgsummary'!E46:I46,"MERU")*100/P46)</f>
        <v>0</v>
      </c>
      <c r="AW46">
        <f>IF(P46=0,0,COUNTIF('Transect 2_imgsummary'!E46:I46,"MILL")*100/P46)</f>
        <v>0</v>
      </c>
      <c r="AX46">
        <f>IF(P46=0,0,COUNTIF('Transect 2_imgsummary'!E46:I46,"MONT")*100/P46)</f>
        <v>0</v>
      </c>
      <c r="AY46">
        <f>IF(P46=0,0,COUNTIF('Transect 2_imgsummary'!E46:I46,"MONTI")*100/P46)</f>
        <v>0</v>
      </c>
      <c r="AZ46">
        <f>IF(P46=0,0,COUNTIF('Transect 2_imgsummary'!E46:I46,"MYCED")*100/P46)</f>
        <v>0</v>
      </c>
      <c r="BA46">
        <f>IF(P46=0,0,COUNTIF('Transect 2_imgsummary'!E46:I46,"OULO")*100/P46)</f>
        <v>0</v>
      </c>
      <c r="BB46">
        <f>IF(P46=0,0,COUNTIF('Transect 2_imgsummary'!E46:I46,"OXYP")*100/P46)</f>
        <v>0</v>
      </c>
      <c r="BC46">
        <f>IF(P46=0,0,COUNTIF('Transect 2_imgsummary'!E46:I46,"PLSIA")*100/P46)</f>
        <v>0</v>
      </c>
      <c r="BD46">
        <f>IF(P46=0,0,COUNTIF('Transect 2_imgsummary'!E46:I46,"PACHY")*100/P46)</f>
        <v>0</v>
      </c>
      <c r="BE46">
        <f>IF(P46=0,0,COUNTIF('Transect 2_imgsummary'!E46:I46,"PAV")*100/P46)</f>
        <v>0</v>
      </c>
      <c r="BF46">
        <f>IF(P46=0,0,COUNTIF('Transect 2_imgsummary'!E46:I46,"PECT")*100/P46)</f>
        <v>0</v>
      </c>
      <c r="BG46">
        <f>IF(P46=0,0,COUNTIF('Transect 2_imgsummary'!E46:I46,"PHYSO")*100/P46)</f>
        <v>0</v>
      </c>
      <c r="BH46">
        <f>IF(P46=0,0,COUNTIF('Transect 2_imgsummary'!E46:I46,"PLAT")*100/P46)</f>
        <v>0</v>
      </c>
      <c r="BI46">
        <f>IF(P46=0,0,COUNTIF('Transect 2_imgsummary'!E46:I46,"PLERO")*100/P46)</f>
        <v>0</v>
      </c>
      <c r="BJ46">
        <f>IF(P46=0,0,COUNTIF('Transect 2_imgsummary'!E46:I46,"POC")*100/P46)</f>
        <v>0</v>
      </c>
      <c r="BK46">
        <f>IF(P46=0,0,COUNTIF('Transect 2_imgsummary'!E46:I46,"POR")*100/P46)</f>
        <v>0</v>
      </c>
      <c r="BL46">
        <f>IF(P46=0,0,COUNTIF('Transect 2_imgsummary'!E46:I46,"PORCYL")*100/P46)</f>
        <v>0</v>
      </c>
      <c r="BM46">
        <f>IF(P46=0,0,COUNTIF('Transect 2_imgsummary'!E46:I46,"PORMAS")*100/P46)</f>
        <v>0</v>
      </c>
      <c r="BN46">
        <f>IF(P46=0,0,COUNTIF('Transect 2_imgsummary'!E46:I46,"PORRUS")*100/P46)</f>
        <v>0</v>
      </c>
      <c r="BO46">
        <f>IF(P46=0,0,COUNTIF('Transect 2_imgsummary'!E46:I46,"PSAM")*100/P46)</f>
        <v>0</v>
      </c>
      <c r="BP46">
        <f>IF(P46=0,0,COUNTIF('Transect 2_imgsummary'!E46:I46,"SANDO")*100/P46)</f>
        <v>0</v>
      </c>
      <c r="BQ46">
        <f>IF(P46=0,0,COUNTIF('Transect 2_imgsummary'!E46:I46,"SCAP")*100/P46)</f>
        <v>0</v>
      </c>
      <c r="BR46">
        <f>IF(P46=0,0,COUNTIF('Transect 2_imgsummary'!E46:I46,"SERIA")*100/P46)</f>
        <v>0</v>
      </c>
      <c r="BS46">
        <f>IF(P46=0,0,COUNTIF('Transect 2_imgsummary'!E46:I46,"STYLC")*100/P46)</f>
        <v>0</v>
      </c>
      <c r="BT46" s="29">
        <f>IF(P46=0,0,COUNTIF('Transect 2_imgsummary'!E46:I46,"STYLO")*100/P46)</f>
        <v>20</v>
      </c>
      <c r="BU46">
        <f>IF(P46=0,0,COUNTIF('Transect 2_imgsummary'!E46:I46,"SYMP")*100/P46)</f>
        <v>0</v>
      </c>
      <c r="BV46">
        <f>IF(P46=0,0,COUNTIF('Transect 2_imgsummary'!E46:I46,"TURBIN")*100/P46)</f>
        <v>0</v>
      </c>
      <c r="BX46">
        <f>IF(P46=0,0,COUNTIF('Transect 2_imgsummary'!E46:I46,"ANEM")*100/P46)</f>
        <v>0</v>
      </c>
      <c r="BY46">
        <f>IF(P46=0,0,COUNTIF('Transect 2_imgsummary'!E46:I46,"ASC")*100/P46)</f>
        <v>0</v>
      </c>
      <c r="BZ46">
        <f>IF(P46=0,0,COUNTIF('Transect 2_imgsummary'!E46:I46,"CUPS")*100/P46)</f>
        <v>0</v>
      </c>
      <c r="CA46">
        <f>IF(P46=0,0,COUNTIF('Transect 2_imgsummary'!E46:I46,"DISCO")*100/P46)</f>
        <v>0</v>
      </c>
      <c r="CB46">
        <f>IF(P46=0,0,COUNTIF('Transect 2_imgsummary'!E46:I46,"DYS")*100/P46)</f>
        <v>0</v>
      </c>
      <c r="CC46">
        <f>IF(P46=0,0,COUNTIF('Transect 2_imgsummary'!E46:I46,"G")*100/P46)</f>
        <v>0</v>
      </c>
      <c r="CD46">
        <f>IF(P46=0,0,COUNTIF('Transect 2_imgsummary'!E46:I46,"NoIDINV")*100/P46)</f>
        <v>0</v>
      </c>
      <c r="CE46">
        <f>IF(P46=0,0,COUNTIF('Transect 2_imgsummary'!E46:I46,"OLV")*100/P46)</f>
        <v>0</v>
      </c>
      <c r="CF46">
        <f>IF(P46=0,0,COUNTIF('Transect 2_imgsummary'!E46:I46,"SC")*100/P46)</f>
        <v>0</v>
      </c>
      <c r="CG46">
        <f>IF(P46=0,0,COUNTIF('Transect 2_imgsummary'!E46:I46,"S")*100/P46)</f>
        <v>0</v>
      </c>
      <c r="CH46">
        <f>IF(P46=0,0,COUNTIF('Transect 2_imgsummary'!E46:I46,"TERPS")*100/P46)</f>
        <v>0</v>
      </c>
      <c r="CI46">
        <f>IF(P46=0,0,COUNTIF('Transect 2_imgsummary'!E46:I46,"Z")*100/P46)</f>
        <v>0</v>
      </c>
      <c r="CK46">
        <f>IF(P46=0,0,COUNTIF('Transect 2_imgsummary'!E46:I46,"ASP")*100/P46)</f>
        <v>0</v>
      </c>
      <c r="CL46">
        <f>IF(P46=0,0,COUNTIF('Transect 2_imgsummary'!E46:I46,"BG")*100/P46)</f>
        <v>0</v>
      </c>
      <c r="CM46">
        <f>IF(P46=0,0,COUNTIF('Transect 2_imgsummary'!E46:I46,"Bood")*100/P46)</f>
        <v>0</v>
      </c>
      <c r="CN46">
        <f>IF(P46=0,0,COUNTIF('Transect 2_imgsummary'!E46:I46,"BRYP")*100/P46)</f>
        <v>0</v>
      </c>
      <c r="CO46">
        <f>IF(P46=0,0,COUNTIF('Transect 2_imgsummary'!E46:I46,"CLP")*100/P46)</f>
        <v>0</v>
      </c>
      <c r="CP46">
        <f>IF(P46=0,0,COUNTIF('Transect 2_imgsummary'!E46:I46,"CHLDES")*100/P46)</f>
        <v>0</v>
      </c>
      <c r="CQ46">
        <f>IF(P46=0,0,COUNTIF('Transect 2_imgsummary'!E46:I46,"DYCTY")*100/P46)</f>
        <v>0</v>
      </c>
      <c r="CR46">
        <f>IF(P46=0,0,COUNTIF('Transect 2_imgsummary'!E46:I46,"DICT")*100/P46)</f>
        <v>0</v>
      </c>
      <c r="CS46">
        <f>IF(P46=0,0,COUNTIF('Transect 2_imgsummary'!E46:I46,"GLXU")*100/P46)</f>
        <v>0</v>
      </c>
      <c r="CT46">
        <f>IF(P46=0,0,COUNTIF('Transect 2_imgsummary'!E46:I46,"HALI")*100/P46)</f>
        <v>0</v>
      </c>
      <c r="CU46">
        <f>IF(P46=0,0,COUNTIF('Transect 2_imgsummary'!E46:I46,"LIAG")*100/P46)</f>
        <v>0</v>
      </c>
      <c r="CV46">
        <f>IF(P46=0,0,COUNTIF('Transect 2_imgsummary'!E46:I46,"LOBO")*100/P46)</f>
        <v>0</v>
      </c>
      <c r="CW46">
        <f>IF(P46=0,0,COUNTIF('Transect 2_imgsummary'!E46:I46,"MAST")*100/P46)</f>
        <v>0</v>
      </c>
      <c r="CX46">
        <f>IF(P46=0,0,COUNTIF('Transect 2_imgsummary'!E46:I46,"MICDTY")*100/P46)</f>
        <v>0</v>
      </c>
      <c r="CY46">
        <f>IF(P46=0,0,COUNTIF('Transect 2_imgsummary'!E46:I46,"NEOM")*100/P46)</f>
        <v>0</v>
      </c>
      <c r="CZ46">
        <f>IF(P46=0,0,COUNTIF('Transect 2_imgsummary'!E46:I46,"NOIDMAC")*100/P46)</f>
        <v>0</v>
      </c>
      <c r="DA46">
        <f>IF(P46=0,0,COUNTIF('Transect 2_imgsummary'!E46:I46,"PAD")*100/P46)</f>
        <v>0</v>
      </c>
      <c r="DB46">
        <f>IF(P46=0,0,COUNTIF('Transect 2_imgsummary'!E46:I46,"SARG")*100/P46)</f>
        <v>0</v>
      </c>
      <c r="DC46">
        <f>IF(P46=0,0,COUNTIF('Transect 2_imgsummary'!E46:I46,"SCHIZ")*100/P46)</f>
        <v>0</v>
      </c>
      <c r="DD46">
        <f>IF(P46=0,0,COUNTIF('Transect 2_imgsummary'!E46:I46,"TURB")*100/P46)</f>
        <v>0</v>
      </c>
      <c r="DE46">
        <f>IF(P46=0,0,COUNTIF('Transect 2_imgsummary'!E46:I46,"TYDM")*100/P46)</f>
        <v>0</v>
      </c>
      <c r="DG46">
        <f>IF(P46=0,0,COUNTIF('Transect 2_imgsummary'!E46:I46,"AMP")*100/P46)</f>
        <v>0</v>
      </c>
      <c r="DH46">
        <f>IF(P46=0,0,COUNTIF('Transect 2_imgsummary'!E46:I46,"BCA1")*100/P46)</f>
        <v>0</v>
      </c>
      <c r="DI46">
        <f>IF(P46=0,0,COUNTIF('Transect 2_imgsummary'!E46:I46,"JAN")*100/P46)</f>
        <v>0</v>
      </c>
      <c r="DK46">
        <f>IF(P46=0,0,COUNTIF('Transect 2_imgsummary'!E46:I46,"CCA1")*100/P46)</f>
        <v>0</v>
      </c>
      <c r="DM46">
        <f>IF(P46=0,0,COUNTIF('Transect 2_imgsummary'!E46:I46,"Sand")*100/P46)</f>
        <v>0</v>
      </c>
      <c r="DO46">
        <f>IF(P46=0,0,COUNTIF('Transect 2_imgsummary'!E46:I46,"FCA1")*100/P46)</f>
        <v>0</v>
      </c>
      <c r="DQ46">
        <f>IF(P46=0,0,COUNTIF('Transect 2_imgsummary'!E46:I46,"CHRYOBRN")*100/P46)</f>
        <v>0</v>
      </c>
      <c r="DS46">
        <f>IF(P46=0,0,COUNTIF('Transect 2_imgsummary'!E46:I46,"TURF")*100/P46)</f>
        <v>0</v>
      </c>
      <c r="DU46">
        <f>COUNTIF('Transect 2_imgsummary'!E46:I46,"Shadow")*100/5</f>
        <v>0</v>
      </c>
      <c r="DV46">
        <f>COUNTIF('Transect 2_imgsummary'!E46:I46,"Tape")*100/5</f>
        <v>0</v>
      </c>
      <c r="DW46">
        <f>COUNTIF('Transect 2_imgsummary'!E46:I46,"Wand")*100/5</f>
        <v>0</v>
      </c>
      <c r="DY46">
        <f>IF(P46=0,0,COUNTIF('Transect 2_imgsummary'!O46:S46,"BC")*100/P46)</f>
        <v>0</v>
      </c>
    </row>
    <row r="47" spans="1:129">
      <c r="A47">
        <v>45</v>
      </c>
      <c r="B47" t="s">
        <v>474</v>
      </c>
      <c r="F47" s="29">
        <f>IF(P47=0,0,COUNTIF('Transect 2_imgsummary'!J47:N47,"C")*100/P47)</f>
        <v>60</v>
      </c>
      <c r="G47">
        <f>IF(P47=0,0,COUNTIF('Transect 2_imgsummary'!J47:N47,"OI")*100/P47)</f>
        <v>0</v>
      </c>
      <c r="H47">
        <f>IF(P47=0,0,COUNTIF('Transect 2_imgsummary'!J47:N47,"MA")*100/P47)</f>
        <v>0</v>
      </c>
      <c r="I47">
        <f>IF(P47=0,0,COUNTIF('Transect 2_imgsummary'!J47:N47,"BCA")*100/P47)</f>
        <v>0</v>
      </c>
      <c r="J47" s="29">
        <f>IF(P47=0,0,COUNTIF('Transect 2_imgsummary'!J47:N47,"CCA")*100/P47)</f>
        <v>20</v>
      </c>
      <c r="K47">
        <f>IF(P47=0,0,COUNTIF('Transect 2_imgsummary'!J47:N47,"SD")*100/P47)</f>
        <v>0</v>
      </c>
      <c r="L47">
        <f>IF(P47=0,0,COUNTIF('Transect 2_imgsummary'!J47:N47,"FCA")*100/P47)</f>
        <v>0</v>
      </c>
      <c r="M47">
        <f>IF(P47=0,0,COUNTIF('Transect 2_imgsummary'!J47:N47,"CHRYS")*100/P47)</f>
        <v>0</v>
      </c>
      <c r="N47" s="29">
        <f>IF(P47=0,0,COUNTIF('Transect 2_imgsummary'!J47:N47,"T")*100/P47)</f>
        <v>20</v>
      </c>
      <c r="O47">
        <f>IF(P47=0,0,COUNTIF('Transect 2_imgsummary'!J47:N47,"TWS")*100/P47)</f>
        <v>0</v>
      </c>
      <c r="P47">
        <f>5-COUNTIF('Transect 2_imgsummary'!J47:N47,"TWS")</f>
        <v>5</v>
      </c>
      <c r="S47">
        <f>IF(P47=0,0,COUNTIF('Transect 2_imgsummary'!E47:I47,"ACAN")*100/P47)</f>
        <v>0</v>
      </c>
      <c r="T47">
        <f>IF(P47=0,0,COUNTIF('Transect 2_imgsummary'!E47:I47,"ACROP")*100/P47)</f>
        <v>0</v>
      </c>
      <c r="U47">
        <f>IF(P47=0,0,COUNTIF('Transect 2_imgsummary'!E47:I47,"ACROPARB")*100/P47)</f>
        <v>0</v>
      </c>
      <c r="V47">
        <f>IF(P47=0,0,COUNTIF('Transect 2_imgsummary'!E47:I47,"ACROST")*100/P47)</f>
        <v>0</v>
      </c>
      <c r="W47">
        <f>IF(P47=0,0,COUNTIF('Transect 2_imgsummary'!E47:I47,"ACROTBL")*100/P47)</f>
        <v>0</v>
      </c>
      <c r="X47">
        <f>IF(P47=0,0,COUNTIF('Transect 2_imgsummary'!E47:I47,"ASTRP")*100/P47)</f>
        <v>0</v>
      </c>
      <c r="Y47">
        <f>IF(P47=0,0,COUNTIF('Transect 2_imgsummary'!E47:I47,"CAUL")*100/P47)</f>
        <v>0</v>
      </c>
      <c r="Z47">
        <f>IF(P47=0,0,COUNTIF('Transect 2_imgsummary'!E47:I47,"COSC")*100/P47)</f>
        <v>0</v>
      </c>
      <c r="AA47">
        <f>IF(P47=0,0,COUNTIF('Transect 2_imgsummary'!E47:I47,"CTEN")*100/P47)</f>
        <v>0</v>
      </c>
      <c r="AB47">
        <f>IF(P47=0,0,COUNTIF('Transect 2_imgsummary'!E47:I47,"CYPH")*100/P47)</f>
        <v>0</v>
      </c>
      <c r="AC47">
        <f>IF(P47=0,0,COUNTIF('Transect 2_imgsummary'!E47:I47,"DIPLO")*100/P47)</f>
        <v>0</v>
      </c>
      <c r="AD47" s="29">
        <f>IF(P47=0,0,COUNTIF('Transect 2_imgsummary'!E47:I47,"ECHPO")*100/P47)</f>
        <v>20</v>
      </c>
      <c r="AE47">
        <f>IF(P47=0,0,COUNTIF('Transect 2_imgsummary'!E47:I47,"ECHPHY")*100/P47)</f>
        <v>0</v>
      </c>
      <c r="AF47">
        <f>IF(P47=0,0,COUNTIF('Transect 2_imgsummary'!E47:I47,"EUPH")*100/P47)</f>
        <v>0</v>
      </c>
      <c r="AG47">
        <f>IF(P47=0,0,COUNTIF('Transect 2_imgsummary'!E47:I47,"FAV")*100/P47)</f>
        <v>0</v>
      </c>
      <c r="AH47">
        <f>IF(P47=0,0,COUNTIF('Transect 2_imgsummary'!E47:I47,"FAVT")*100/P47)</f>
        <v>0</v>
      </c>
      <c r="AI47">
        <f>IF(P47=0,0,COUNTIF('Transect 2_imgsummary'!E47:I47,"FUNG")*100/P47)</f>
        <v>0</v>
      </c>
      <c r="AJ47">
        <f>IF(P47=0,0,COUNTIF('Transect 2_imgsummary'!E47:I47,"GAL")*100/P47)</f>
        <v>0</v>
      </c>
      <c r="AK47">
        <f>IF(P47=0,0,COUNTIF('Transect 2_imgsummary'!E47:I47,"GARD")*100/P47)</f>
        <v>0</v>
      </c>
      <c r="AL47">
        <f>IF(P47=0,0,COUNTIF('Transect 2_imgsummary'!E47:I47,"GON")*100/P47)</f>
        <v>0</v>
      </c>
      <c r="AM47">
        <f>IF(P47=0,0,COUNTIF('Transect 2_imgsummary'!E47:I47,"GONIO")*100/P47)</f>
        <v>0</v>
      </c>
      <c r="AN47">
        <f>IF(P47=0,0,COUNTIF('Transect 2_imgsummary'!E47:I47,"HELIO")*100/P47)</f>
        <v>0</v>
      </c>
      <c r="AO47">
        <f>IF(P47=0,0,COUNTIF('Transect 2_imgsummary'!E47:I47,"HERP")*100/P47)</f>
        <v>0</v>
      </c>
      <c r="AP47">
        <f>IF(P47=0,0,COUNTIF('Transect 2_imgsummary'!E47:I47,"HYD")*100/P47)</f>
        <v>0</v>
      </c>
      <c r="AQ47">
        <f>IF(P47=0,0,COUNTIF('Transect 2_imgsummary'!E47:I47,"ISOP")*100/P47)</f>
        <v>0</v>
      </c>
      <c r="AR47">
        <f>IF(P47=0,0,COUNTIF('Transect 2_imgsummary'!E47:I47,"LEPT")*100/P47)</f>
        <v>0</v>
      </c>
      <c r="AS47">
        <f>IF(P47=0,0,COUNTIF('Transect 2_imgsummary'!E47:I47,"LEPTOR")*100/P47)</f>
        <v>0</v>
      </c>
      <c r="AT47">
        <f>IF(P47=0,0,COUNTIF('Transect 2_imgsummary'!E47:I47,"LEPTOS")*100/P47)</f>
        <v>0</v>
      </c>
      <c r="AU47">
        <f>IF(P47=0,0,COUNTIF('Transect 2_imgsummary'!E47:I47,"LOBOPH")*100/P47)</f>
        <v>0</v>
      </c>
      <c r="AV47">
        <f>IF(P47=0,0,COUNTIF('Transect 2_imgsummary'!E47:I47,"MERU")*100/P47)</f>
        <v>0</v>
      </c>
      <c r="AW47">
        <f>IF(P47=0,0,COUNTIF('Transect 2_imgsummary'!E47:I47,"MILL")*100/P47)</f>
        <v>0</v>
      </c>
      <c r="AX47">
        <f>IF(P47=0,0,COUNTIF('Transect 2_imgsummary'!E47:I47,"MONT")*100/P47)</f>
        <v>0</v>
      </c>
      <c r="AY47">
        <f>IF(P47=0,0,COUNTIF('Transect 2_imgsummary'!E47:I47,"MONTI")*100/P47)</f>
        <v>0</v>
      </c>
      <c r="AZ47">
        <f>IF(P47=0,0,COUNTIF('Transect 2_imgsummary'!E47:I47,"MYCED")*100/P47)</f>
        <v>0</v>
      </c>
      <c r="BA47">
        <f>IF(P47=0,0,COUNTIF('Transect 2_imgsummary'!E47:I47,"OULO")*100/P47)</f>
        <v>0</v>
      </c>
      <c r="BB47">
        <f>IF(P47=0,0,COUNTIF('Transect 2_imgsummary'!E47:I47,"OXYP")*100/P47)</f>
        <v>0</v>
      </c>
      <c r="BC47">
        <f>IF(P47=0,0,COUNTIF('Transect 2_imgsummary'!E47:I47,"PLSIA")*100/P47)</f>
        <v>0</v>
      </c>
      <c r="BD47">
        <f>IF(P47=0,0,COUNTIF('Transect 2_imgsummary'!E47:I47,"PACHY")*100/P47)</f>
        <v>0</v>
      </c>
      <c r="BE47">
        <f>IF(P47=0,0,COUNTIF('Transect 2_imgsummary'!E47:I47,"PAV")*100/P47)</f>
        <v>0</v>
      </c>
      <c r="BF47">
        <f>IF(P47=0,0,COUNTIF('Transect 2_imgsummary'!E47:I47,"PECT")*100/P47)</f>
        <v>0</v>
      </c>
      <c r="BG47">
        <f>IF(P47=0,0,COUNTIF('Transect 2_imgsummary'!E47:I47,"PHYSO")*100/P47)</f>
        <v>0</v>
      </c>
      <c r="BH47">
        <f>IF(P47=0,0,COUNTIF('Transect 2_imgsummary'!E47:I47,"PLAT")*100/P47)</f>
        <v>0</v>
      </c>
      <c r="BI47">
        <f>IF(P47=0,0,COUNTIF('Transect 2_imgsummary'!E47:I47,"PLERO")*100/P47)</f>
        <v>0</v>
      </c>
      <c r="BJ47">
        <f>IF(P47=0,0,COUNTIF('Transect 2_imgsummary'!E47:I47,"POC")*100/P47)</f>
        <v>0</v>
      </c>
      <c r="BK47">
        <f>IF(P47=0,0,COUNTIF('Transect 2_imgsummary'!E47:I47,"POR")*100/P47)</f>
        <v>0</v>
      </c>
      <c r="BL47">
        <f>IF(P47=0,0,COUNTIF('Transect 2_imgsummary'!E47:I47,"PORCYL")*100/P47)</f>
        <v>0</v>
      </c>
      <c r="BM47">
        <f>IF(P47=0,0,COUNTIF('Transect 2_imgsummary'!E47:I47,"PORMAS")*100/P47)</f>
        <v>0</v>
      </c>
      <c r="BN47">
        <f>IF(P47=0,0,COUNTIF('Transect 2_imgsummary'!E47:I47,"PORRUS")*100/P47)</f>
        <v>0</v>
      </c>
      <c r="BO47">
        <f>IF(P47=0,0,COUNTIF('Transect 2_imgsummary'!E47:I47,"PSAM")*100/P47)</f>
        <v>0</v>
      </c>
      <c r="BP47">
        <f>IF(P47=0,0,COUNTIF('Transect 2_imgsummary'!E47:I47,"SANDO")*100/P47)</f>
        <v>0</v>
      </c>
      <c r="BQ47">
        <f>IF(P47=0,0,COUNTIF('Transect 2_imgsummary'!E47:I47,"SCAP")*100/P47)</f>
        <v>0</v>
      </c>
      <c r="BR47">
        <f>IF(P47=0,0,COUNTIF('Transect 2_imgsummary'!E47:I47,"SERIA")*100/P47)</f>
        <v>0</v>
      </c>
      <c r="BS47">
        <f>IF(P47=0,0,COUNTIF('Transect 2_imgsummary'!E47:I47,"STYLC")*100/P47)</f>
        <v>0</v>
      </c>
      <c r="BT47" s="29">
        <f>IF(P47=0,0,COUNTIF('Transect 2_imgsummary'!E47:I47,"STYLO")*100/P47)</f>
        <v>40</v>
      </c>
      <c r="BU47">
        <f>IF(P47=0,0,COUNTIF('Transect 2_imgsummary'!E47:I47,"SYMP")*100/P47)</f>
        <v>0</v>
      </c>
      <c r="BV47">
        <f>IF(P47=0,0,COUNTIF('Transect 2_imgsummary'!E47:I47,"TURBIN")*100/P47)</f>
        <v>0</v>
      </c>
      <c r="BX47">
        <f>IF(P47=0,0,COUNTIF('Transect 2_imgsummary'!E47:I47,"ANEM")*100/P47)</f>
        <v>0</v>
      </c>
      <c r="BY47">
        <f>IF(P47=0,0,COUNTIF('Transect 2_imgsummary'!E47:I47,"ASC")*100/P47)</f>
        <v>0</v>
      </c>
      <c r="BZ47">
        <f>IF(P47=0,0,COUNTIF('Transect 2_imgsummary'!E47:I47,"CUPS")*100/P47)</f>
        <v>0</v>
      </c>
      <c r="CA47">
        <f>IF(P47=0,0,COUNTIF('Transect 2_imgsummary'!E47:I47,"DISCO")*100/P47)</f>
        <v>0</v>
      </c>
      <c r="CB47">
        <f>IF(P47=0,0,COUNTIF('Transect 2_imgsummary'!E47:I47,"DYS")*100/P47)</f>
        <v>0</v>
      </c>
      <c r="CC47">
        <f>IF(P47=0,0,COUNTIF('Transect 2_imgsummary'!E47:I47,"G")*100/P47)</f>
        <v>0</v>
      </c>
      <c r="CD47">
        <f>IF(P47=0,0,COUNTIF('Transect 2_imgsummary'!E47:I47,"NoIDINV")*100/P47)</f>
        <v>0</v>
      </c>
      <c r="CE47">
        <f>IF(P47=0,0,COUNTIF('Transect 2_imgsummary'!E47:I47,"OLV")*100/P47)</f>
        <v>0</v>
      </c>
      <c r="CF47">
        <f>IF(P47=0,0,COUNTIF('Transect 2_imgsummary'!E47:I47,"SC")*100/P47)</f>
        <v>0</v>
      </c>
      <c r="CG47">
        <f>IF(P47=0,0,COUNTIF('Transect 2_imgsummary'!E47:I47,"S")*100/P47)</f>
        <v>0</v>
      </c>
      <c r="CH47">
        <f>IF(P47=0,0,COUNTIF('Transect 2_imgsummary'!E47:I47,"TERPS")*100/P47)</f>
        <v>0</v>
      </c>
      <c r="CI47">
        <f>IF(P47=0,0,COUNTIF('Transect 2_imgsummary'!E47:I47,"Z")*100/P47)</f>
        <v>0</v>
      </c>
      <c r="CK47">
        <f>IF(P47=0,0,COUNTIF('Transect 2_imgsummary'!E47:I47,"ASP")*100/P47)</f>
        <v>0</v>
      </c>
      <c r="CL47">
        <f>IF(P47=0,0,COUNTIF('Transect 2_imgsummary'!E47:I47,"BG")*100/P47)</f>
        <v>0</v>
      </c>
      <c r="CM47">
        <f>IF(P47=0,0,COUNTIF('Transect 2_imgsummary'!E47:I47,"Bood")*100/P47)</f>
        <v>0</v>
      </c>
      <c r="CN47">
        <f>IF(P47=0,0,COUNTIF('Transect 2_imgsummary'!E47:I47,"BRYP")*100/P47)</f>
        <v>0</v>
      </c>
      <c r="CO47">
        <f>IF(P47=0,0,COUNTIF('Transect 2_imgsummary'!E47:I47,"CLP")*100/P47)</f>
        <v>0</v>
      </c>
      <c r="CP47">
        <f>IF(P47=0,0,COUNTIF('Transect 2_imgsummary'!E47:I47,"CHLDES")*100/P47)</f>
        <v>0</v>
      </c>
      <c r="CQ47">
        <f>IF(P47=0,0,COUNTIF('Transect 2_imgsummary'!E47:I47,"DYCTY")*100/P47)</f>
        <v>0</v>
      </c>
      <c r="CR47">
        <f>IF(P47=0,0,COUNTIF('Transect 2_imgsummary'!E47:I47,"DICT")*100/P47)</f>
        <v>0</v>
      </c>
      <c r="CS47">
        <f>IF(P47=0,0,COUNTIF('Transect 2_imgsummary'!E47:I47,"GLXU")*100/P47)</f>
        <v>0</v>
      </c>
      <c r="CT47">
        <f>IF(P47=0,0,COUNTIF('Transect 2_imgsummary'!E47:I47,"HALI")*100/P47)</f>
        <v>0</v>
      </c>
      <c r="CU47">
        <f>IF(P47=0,0,COUNTIF('Transect 2_imgsummary'!E47:I47,"LIAG")*100/P47)</f>
        <v>0</v>
      </c>
      <c r="CV47">
        <f>IF(P47=0,0,COUNTIF('Transect 2_imgsummary'!E47:I47,"LOBO")*100/P47)</f>
        <v>0</v>
      </c>
      <c r="CW47">
        <f>IF(P47=0,0,COUNTIF('Transect 2_imgsummary'!E47:I47,"MAST")*100/P47)</f>
        <v>0</v>
      </c>
      <c r="CX47">
        <f>IF(P47=0,0,COUNTIF('Transect 2_imgsummary'!E47:I47,"MICDTY")*100/P47)</f>
        <v>0</v>
      </c>
      <c r="CY47">
        <f>IF(P47=0,0,COUNTIF('Transect 2_imgsummary'!E47:I47,"NEOM")*100/P47)</f>
        <v>0</v>
      </c>
      <c r="CZ47">
        <f>IF(P47=0,0,COUNTIF('Transect 2_imgsummary'!E47:I47,"NOIDMAC")*100/P47)</f>
        <v>0</v>
      </c>
      <c r="DA47">
        <f>IF(P47=0,0,COUNTIF('Transect 2_imgsummary'!E47:I47,"PAD")*100/P47)</f>
        <v>0</v>
      </c>
      <c r="DB47">
        <f>IF(P47=0,0,COUNTIF('Transect 2_imgsummary'!E47:I47,"SARG")*100/P47)</f>
        <v>0</v>
      </c>
      <c r="DC47">
        <f>IF(P47=0,0,COUNTIF('Transect 2_imgsummary'!E47:I47,"SCHIZ")*100/P47)</f>
        <v>0</v>
      </c>
      <c r="DD47">
        <f>IF(P47=0,0,COUNTIF('Transect 2_imgsummary'!E47:I47,"TURB")*100/P47)</f>
        <v>0</v>
      </c>
      <c r="DE47">
        <f>IF(P47=0,0,COUNTIF('Transect 2_imgsummary'!E47:I47,"TYDM")*100/P47)</f>
        <v>0</v>
      </c>
      <c r="DG47">
        <f>IF(P47=0,0,COUNTIF('Transect 2_imgsummary'!E47:I47,"AMP")*100/P47)</f>
        <v>0</v>
      </c>
      <c r="DH47">
        <f>IF(P47=0,0,COUNTIF('Transect 2_imgsummary'!E47:I47,"BCA1")*100/P47)</f>
        <v>0</v>
      </c>
      <c r="DI47">
        <f>IF(P47=0,0,COUNTIF('Transect 2_imgsummary'!E47:I47,"JAN")*100/P47)</f>
        <v>0</v>
      </c>
      <c r="DK47" s="29">
        <f>IF(P47=0,0,COUNTIF('Transect 2_imgsummary'!E47:I47,"CCA1")*100/P47)</f>
        <v>20</v>
      </c>
      <c r="DM47">
        <f>IF(P47=0,0,COUNTIF('Transect 2_imgsummary'!E47:I47,"Sand")*100/P47)</f>
        <v>0</v>
      </c>
      <c r="DO47">
        <f>IF(P47=0,0,COUNTIF('Transect 2_imgsummary'!E47:I47,"FCA1")*100/P47)</f>
        <v>0</v>
      </c>
      <c r="DQ47">
        <f>IF(P47=0,0,COUNTIF('Transect 2_imgsummary'!E47:I47,"CHRYOBRN")*100/P47)</f>
        <v>0</v>
      </c>
      <c r="DS47" s="29">
        <f>IF(P47=0,0,COUNTIF('Transect 2_imgsummary'!E47:I47,"TURF")*100/P47)</f>
        <v>20</v>
      </c>
      <c r="DU47">
        <f>COUNTIF('Transect 2_imgsummary'!E47:I47,"Shadow")*100/5</f>
        <v>0</v>
      </c>
      <c r="DV47">
        <f>COUNTIF('Transect 2_imgsummary'!E47:I47,"Tape")*100/5</f>
        <v>0</v>
      </c>
      <c r="DW47">
        <f>COUNTIF('Transect 2_imgsummary'!E47:I47,"Wand")*100/5</f>
        <v>0</v>
      </c>
      <c r="DY47">
        <f>IF(P47=0,0,COUNTIF('Transect 2_imgsummary'!O47:S47,"BC")*100/P47)</f>
        <v>0</v>
      </c>
    </row>
    <row r="48" spans="1:129">
      <c r="A48">
        <v>46</v>
      </c>
      <c r="B48" t="s">
        <v>475</v>
      </c>
      <c r="F48" s="29">
        <f>IF(P48=0,0,COUNTIF('Transect 2_imgsummary'!J48:N48,"C")*100/P48)</f>
        <v>20</v>
      </c>
      <c r="G48">
        <f>IF(P48=0,0,COUNTIF('Transect 2_imgsummary'!J48:N48,"OI")*100/P48)</f>
        <v>0</v>
      </c>
      <c r="H48">
        <f>IF(P48=0,0,COUNTIF('Transect 2_imgsummary'!J48:N48,"MA")*100/P48)</f>
        <v>0</v>
      </c>
      <c r="I48">
        <f>IF(P48=0,0,COUNTIF('Transect 2_imgsummary'!J48:N48,"BCA")*100/P48)</f>
        <v>0</v>
      </c>
      <c r="J48" s="29">
        <f>IF(P48=0,0,COUNTIF('Transect 2_imgsummary'!J48:N48,"CCA")*100/P48)</f>
        <v>60</v>
      </c>
      <c r="K48">
        <f>IF(P48=0,0,COUNTIF('Transect 2_imgsummary'!J48:N48,"SD")*100/P48)</f>
        <v>0</v>
      </c>
      <c r="L48" s="29">
        <f>IF(P48=0,0,COUNTIF('Transect 2_imgsummary'!J48:N48,"FCA")*100/P48)</f>
        <v>20</v>
      </c>
      <c r="M48">
        <f>IF(P48=0,0,COUNTIF('Transect 2_imgsummary'!J48:N48,"CHRYS")*100/P48)</f>
        <v>0</v>
      </c>
      <c r="N48">
        <f>IF(P48=0,0,COUNTIF('Transect 2_imgsummary'!J48:N48,"T")*100/P48)</f>
        <v>0</v>
      </c>
      <c r="O48">
        <f>IF(P48=0,0,COUNTIF('Transect 2_imgsummary'!J48:N48,"TWS")*100/P48)</f>
        <v>0</v>
      </c>
      <c r="P48">
        <f>5-COUNTIF('Transect 2_imgsummary'!J48:N48,"TWS")</f>
        <v>5</v>
      </c>
      <c r="S48">
        <f>IF(P48=0,0,COUNTIF('Transect 2_imgsummary'!E48:I48,"ACAN")*100/P48)</f>
        <v>0</v>
      </c>
      <c r="T48">
        <f>IF(P48=0,0,COUNTIF('Transect 2_imgsummary'!E48:I48,"ACROP")*100/P48)</f>
        <v>0</v>
      </c>
      <c r="U48">
        <f>IF(P48=0,0,COUNTIF('Transect 2_imgsummary'!E48:I48,"ACROPARB")*100/P48)</f>
        <v>0</v>
      </c>
      <c r="V48">
        <f>IF(P48=0,0,COUNTIF('Transect 2_imgsummary'!E48:I48,"ACROST")*100/P48)</f>
        <v>0</v>
      </c>
      <c r="W48" s="29">
        <f>IF(P48=0,0,COUNTIF('Transect 2_imgsummary'!E48:I48,"ACROTBL")*100/P48)</f>
        <v>20</v>
      </c>
      <c r="X48">
        <f>IF(P48=0,0,COUNTIF('Transect 2_imgsummary'!E48:I48,"ASTRP")*100/P48)</f>
        <v>0</v>
      </c>
      <c r="Y48">
        <f>IF(P48=0,0,COUNTIF('Transect 2_imgsummary'!E48:I48,"CAUL")*100/P48)</f>
        <v>0</v>
      </c>
      <c r="Z48">
        <f>IF(P48=0,0,COUNTIF('Transect 2_imgsummary'!E48:I48,"COSC")*100/P48)</f>
        <v>0</v>
      </c>
      <c r="AA48">
        <f>IF(P48=0,0,COUNTIF('Transect 2_imgsummary'!E48:I48,"CTEN")*100/P48)</f>
        <v>0</v>
      </c>
      <c r="AB48">
        <f>IF(P48=0,0,COUNTIF('Transect 2_imgsummary'!E48:I48,"CYPH")*100/P48)</f>
        <v>0</v>
      </c>
      <c r="AC48">
        <f>IF(P48=0,0,COUNTIF('Transect 2_imgsummary'!E48:I48,"DIPLO")*100/P48)</f>
        <v>0</v>
      </c>
      <c r="AD48">
        <f>IF(P48=0,0,COUNTIF('Transect 2_imgsummary'!E48:I48,"ECHPO")*100/P48)</f>
        <v>0</v>
      </c>
      <c r="AE48">
        <f>IF(P48=0,0,COUNTIF('Transect 2_imgsummary'!E48:I48,"ECHPHY")*100/P48)</f>
        <v>0</v>
      </c>
      <c r="AF48">
        <f>IF(P48=0,0,COUNTIF('Transect 2_imgsummary'!E48:I48,"EUPH")*100/P48)</f>
        <v>0</v>
      </c>
      <c r="AG48">
        <f>IF(P48=0,0,COUNTIF('Transect 2_imgsummary'!E48:I48,"FAV")*100/P48)</f>
        <v>0</v>
      </c>
      <c r="AH48">
        <f>IF(P48=0,0,COUNTIF('Transect 2_imgsummary'!E48:I48,"FAVT")*100/P48)</f>
        <v>0</v>
      </c>
      <c r="AI48">
        <f>IF(P48=0,0,COUNTIF('Transect 2_imgsummary'!E48:I48,"FUNG")*100/P48)</f>
        <v>0</v>
      </c>
      <c r="AJ48">
        <f>IF(P48=0,0,COUNTIF('Transect 2_imgsummary'!E48:I48,"GAL")*100/P48)</f>
        <v>0</v>
      </c>
      <c r="AK48">
        <f>IF(P48=0,0,COUNTIF('Transect 2_imgsummary'!E48:I48,"GARD")*100/P48)</f>
        <v>0</v>
      </c>
      <c r="AL48">
        <f>IF(P48=0,0,COUNTIF('Transect 2_imgsummary'!E48:I48,"GON")*100/P48)</f>
        <v>0</v>
      </c>
      <c r="AM48">
        <f>IF(P48=0,0,COUNTIF('Transect 2_imgsummary'!E48:I48,"GONIO")*100/P48)</f>
        <v>0</v>
      </c>
      <c r="AN48">
        <f>IF(P48=0,0,COUNTIF('Transect 2_imgsummary'!E48:I48,"HELIO")*100/P48)</f>
        <v>0</v>
      </c>
      <c r="AO48">
        <f>IF(P48=0,0,COUNTIF('Transect 2_imgsummary'!E48:I48,"HERP")*100/P48)</f>
        <v>0</v>
      </c>
      <c r="AP48">
        <f>IF(P48=0,0,COUNTIF('Transect 2_imgsummary'!E48:I48,"HYD")*100/P48)</f>
        <v>0</v>
      </c>
      <c r="AQ48">
        <f>IF(P48=0,0,COUNTIF('Transect 2_imgsummary'!E48:I48,"ISOP")*100/P48)</f>
        <v>0</v>
      </c>
      <c r="AR48">
        <f>IF(P48=0,0,COUNTIF('Transect 2_imgsummary'!E48:I48,"LEPT")*100/P48)</f>
        <v>0</v>
      </c>
      <c r="AS48">
        <f>IF(P48=0,0,COUNTIF('Transect 2_imgsummary'!E48:I48,"LEPTOR")*100/P48)</f>
        <v>0</v>
      </c>
      <c r="AT48">
        <f>IF(P48=0,0,COUNTIF('Transect 2_imgsummary'!E48:I48,"LEPTOS")*100/P48)</f>
        <v>0</v>
      </c>
      <c r="AU48">
        <f>IF(P48=0,0,COUNTIF('Transect 2_imgsummary'!E48:I48,"LOBOPH")*100/P48)</f>
        <v>0</v>
      </c>
      <c r="AV48">
        <f>IF(P48=0,0,COUNTIF('Transect 2_imgsummary'!E48:I48,"MERU")*100/P48)</f>
        <v>0</v>
      </c>
      <c r="AW48">
        <f>IF(P48=0,0,COUNTIF('Transect 2_imgsummary'!E48:I48,"MILL")*100/P48)</f>
        <v>0</v>
      </c>
      <c r="AX48">
        <f>IF(P48=0,0,COUNTIF('Transect 2_imgsummary'!E48:I48,"MONT")*100/P48)</f>
        <v>0</v>
      </c>
      <c r="AY48">
        <f>IF(P48=0,0,COUNTIF('Transect 2_imgsummary'!E48:I48,"MONTI")*100/P48)</f>
        <v>0</v>
      </c>
      <c r="AZ48">
        <f>IF(P48=0,0,COUNTIF('Transect 2_imgsummary'!E48:I48,"MYCED")*100/P48)</f>
        <v>0</v>
      </c>
      <c r="BA48">
        <f>IF(P48=0,0,COUNTIF('Transect 2_imgsummary'!E48:I48,"OULO")*100/P48)</f>
        <v>0</v>
      </c>
      <c r="BB48">
        <f>IF(P48=0,0,COUNTIF('Transect 2_imgsummary'!E48:I48,"OXYP")*100/P48)</f>
        <v>0</v>
      </c>
      <c r="BC48">
        <f>IF(P48=0,0,COUNTIF('Transect 2_imgsummary'!E48:I48,"PLSIA")*100/P48)</f>
        <v>0</v>
      </c>
      <c r="BD48">
        <f>IF(P48=0,0,COUNTIF('Transect 2_imgsummary'!E48:I48,"PACHY")*100/P48)</f>
        <v>0</v>
      </c>
      <c r="BE48">
        <f>IF(P48=0,0,COUNTIF('Transect 2_imgsummary'!E48:I48,"PAV")*100/P48)</f>
        <v>0</v>
      </c>
      <c r="BF48">
        <f>IF(P48=0,0,COUNTIF('Transect 2_imgsummary'!E48:I48,"PECT")*100/P48)</f>
        <v>0</v>
      </c>
      <c r="BG48">
        <f>IF(P48=0,0,COUNTIF('Transect 2_imgsummary'!E48:I48,"PHYSO")*100/P48)</f>
        <v>0</v>
      </c>
      <c r="BH48">
        <f>IF(P48=0,0,COUNTIF('Transect 2_imgsummary'!E48:I48,"PLAT")*100/P48)</f>
        <v>0</v>
      </c>
      <c r="BI48">
        <f>IF(P48=0,0,COUNTIF('Transect 2_imgsummary'!E48:I48,"PLERO")*100/P48)</f>
        <v>0</v>
      </c>
      <c r="BJ48">
        <f>IF(P48=0,0,COUNTIF('Transect 2_imgsummary'!E48:I48,"POC")*100/P48)</f>
        <v>0</v>
      </c>
      <c r="BK48">
        <f>IF(P48=0,0,COUNTIF('Transect 2_imgsummary'!E48:I48,"POR")*100/P48)</f>
        <v>0</v>
      </c>
      <c r="BL48">
        <f>IF(P48=0,0,COUNTIF('Transect 2_imgsummary'!E48:I48,"PORCYL")*100/P48)</f>
        <v>0</v>
      </c>
      <c r="BM48">
        <f>IF(P48=0,0,COUNTIF('Transect 2_imgsummary'!E48:I48,"PORMAS")*100/P48)</f>
        <v>0</v>
      </c>
      <c r="BN48">
        <f>IF(P48=0,0,COUNTIF('Transect 2_imgsummary'!E48:I48,"PORRUS")*100/P48)</f>
        <v>0</v>
      </c>
      <c r="BO48">
        <f>IF(P48=0,0,COUNTIF('Transect 2_imgsummary'!E48:I48,"PSAM")*100/P48)</f>
        <v>0</v>
      </c>
      <c r="BP48">
        <f>IF(P48=0,0,COUNTIF('Transect 2_imgsummary'!E48:I48,"SANDO")*100/P48)</f>
        <v>0</v>
      </c>
      <c r="BQ48">
        <f>IF(P48=0,0,COUNTIF('Transect 2_imgsummary'!E48:I48,"SCAP")*100/P48)</f>
        <v>0</v>
      </c>
      <c r="BR48">
        <f>IF(P48=0,0,COUNTIF('Transect 2_imgsummary'!E48:I48,"SERIA")*100/P48)</f>
        <v>0</v>
      </c>
      <c r="BS48">
        <f>IF(P48=0,0,COUNTIF('Transect 2_imgsummary'!E48:I48,"STYLC")*100/P48)</f>
        <v>0</v>
      </c>
      <c r="BT48">
        <f>IF(P48=0,0,COUNTIF('Transect 2_imgsummary'!E48:I48,"STYLO")*100/P48)</f>
        <v>0</v>
      </c>
      <c r="BU48">
        <f>IF(P48=0,0,COUNTIF('Transect 2_imgsummary'!E48:I48,"SYMP")*100/P48)</f>
        <v>0</v>
      </c>
      <c r="BV48">
        <f>IF(P48=0,0,COUNTIF('Transect 2_imgsummary'!E48:I48,"TURBIN")*100/P48)</f>
        <v>0</v>
      </c>
      <c r="BX48">
        <f>IF(P48=0,0,COUNTIF('Transect 2_imgsummary'!E48:I48,"ANEM")*100/P48)</f>
        <v>0</v>
      </c>
      <c r="BY48">
        <f>IF(P48=0,0,COUNTIF('Transect 2_imgsummary'!E48:I48,"ASC")*100/P48)</f>
        <v>0</v>
      </c>
      <c r="BZ48">
        <f>IF(P48=0,0,COUNTIF('Transect 2_imgsummary'!E48:I48,"CUPS")*100/P48)</f>
        <v>0</v>
      </c>
      <c r="CA48">
        <f>IF(P48=0,0,COUNTIF('Transect 2_imgsummary'!E48:I48,"DISCO")*100/P48)</f>
        <v>0</v>
      </c>
      <c r="CB48">
        <f>IF(P48=0,0,COUNTIF('Transect 2_imgsummary'!E48:I48,"DYS")*100/P48)</f>
        <v>0</v>
      </c>
      <c r="CC48">
        <f>IF(P48=0,0,COUNTIF('Transect 2_imgsummary'!E48:I48,"G")*100/P48)</f>
        <v>0</v>
      </c>
      <c r="CD48">
        <f>IF(P48=0,0,COUNTIF('Transect 2_imgsummary'!E48:I48,"NoIDINV")*100/P48)</f>
        <v>0</v>
      </c>
      <c r="CE48">
        <f>IF(P48=0,0,COUNTIF('Transect 2_imgsummary'!E48:I48,"OLV")*100/P48)</f>
        <v>0</v>
      </c>
      <c r="CF48">
        <f>IF(P48=0,0,COUNTIF('Transect 2_imgsummary'!E48:I48,"SC")*100/P48)</f>
        <v>0</v>
      </c>
      <c r="CG48">
        <f>IF(P48=0,0,COUNTIF('Transect 2_imgsummary'!E48:I48,"S")*100/P48)</f>
        <v>0</v>
      </c>
      <c r="CH48">
        <f>IF(P48=0,0,COUNTIF('Transect 2_imgsummary'!E48:I48,"TERPS")*100/P48)</f>
        <v>0</v>
      </c>
      <c r="CI48">
        <f>IF(P48=0,0,COUNTIF('Transect 2_imgsummary'!E48:I48,"Z")*100/P48)</f>
        <v>0</v>
      </c>
      <c r="CK48">
        <f>IF(P48=0,0,COUNTIF('Transect 2_imgsummary'!E48:I48,"ASP")*100/P48)</f>
        <v>0</v>
      </c>
      <c r="CL48">
        <f>IF(P48=0,0,COUNTIF('Transect 2_imgsummary'!E48:I48,"BG")*100/P48)</f>
        <v>0</v>
      </c>
      <c r="CM48">
        <f>IF(P48=0,0,COUNTIF('Transect 2_imgsummary'!E48:I48,"Bood")*100/P48)</f>
        <v>0</v>
      </c>
      <c r="CN48">
        <f>IF(P48=0,0,COUNTIF('Transect 2_imgsummary'!E48:I48,"BRYP")*100/P48)</f>
        <v>0</v>
      </c>
      <c r="CO48">
        <f>IF(P48=0,0,COUNTIF('Transect 2_imgsummary'!E48:I48,"CLP")*100/P48)</f>
        <v>0</v>
      </c>
      <c r="CP48">
        <f>IF(P48=0,0,COUNTIF('Transect 2_imgsummary'!E48:I48,"CHLDES")*100/P48)</f>
        <v>0</v>
      </c>
      <c r="CQ48">
        <f>IF(P48=0,0,COUNTIF('Transect 2_imgsummary'!E48:I48,"DYCTY")*100/P48)</f>
        <v>0</v>
      </c>
      <c r="CR48">
        <f>IF(P48=0,0,COUNTIF('Transect 2_imgsummary'!E48:I48,"DICT")*100/P48)</f>
        <v>0</v>
      </c>
      <c r="CS48">
        <f>IF(P48=0,0,COUNTIF('Transect 2_imgsummary'!E48:I48,"GLXU")*100/P48)</f>
        <v>0</v>
      </c>
      <c r="CT48">
        <f>IF(P48=0,0,COUNTIF('Transect 2_imgsummary'!E48:I48,"HALI")*100/P48)</f>
        <v>0</v>
      </c>
      <c r="CU48">
        <f>IF(P48=0,0,COUNTIF('Transect 2_imgsummary'!E48:I48,"LIAG")*100/P48)</f>
        <v>0</v>
      </c>
      <c r="CV48">
        <f>IF(P48=0,0,COUNTIF('Transect 2_imgsummary'!E48:I48,"LOBO")*100/P48)</f>
        <v>0</v>
      </c>
      <c r="CW48">
        <f>IF(P48=0,0,COUNTIF('Transect 2_imgsummary'!E48:I48,"MAST")*100/P48)</f>
        <v>0</v>
      </c>
      <c r="CX48">
        <f>IF(P48=0,0,COUNTIF('Transect 2_imgsummary'!E48:I48,"MICDTY")*100/P48)</f>
        <v>0</v>
      </c>
      <c r="CY48">
        <f>IF(P48=0,0,COUNTIF('Transect 2_imgsummary'!E48:I48,"NEOM")*100/P48)</f>
        <v>0</v>
      </c>
      <c r="CZ48">
        <f>IF(P48=0,0,COUNTIF('Transect 2_imgsummary'!E48:I48,"NOIDMAC")*100/P48)</f>
        <v>0</v>
      </c>
      <c r="DA48">
        <f>IF(P48=0,0,COUNTIF('Transect 2_imgsummary'!E48:I48,"PAD")*100/P48)</f>
        <v>0</v>
      </c>
      <c r="DB48">
        <f>IF(P48=0,0,COUNTIF('Transect 2_imgsummary'!E48:I48,"SARG")*100/P48)</f>
        <v>0</v>
      </c>
      <c r="DC48">
        <f>IF(P48=0,0,COUNTIF('Transect 2_imgsummary'!E48:I48,"SCHIZ")*100/P48)</f>
        <v>0</v>
      </c>
      <c r="DD48">
        <f>IF(P48=0,0,COUNTIF('Transect 2_imgsummary'!E48:I48,"TURB")*100/P48)</f>
        <v>0</v>
      </c>
      <c r="DE48">
        <f>IF(P48=0,0,COUNTIF('Transect 2_imgsummary'!E48:I48,"TYDM")*100/P48)</f>
        <v>0</v>
      </c>
      <c r="DG48">
        <f>IF(P48=0,0,COUNTIF('Transect 2_imgsummary'!E48:I48,"AMP")*100/P48)</f>
        <v>0</v>
      </c>
      <c r="DH48">
        <f>IF(P48=0,0,COUNTIF('Transect 2_imgsummary'!E48:I48,"BCA1")*100/P48)</f>
        <v>0</v>
      </c>
      <c r="DI48">
        <f>IF(P48=0,0,COUNTIF('Transect 2_imgsummary'!E48:I48,"JAN")*100/P48)</f>
        <v>0</v>
      </c>
      <c r="DK48" s="29">
        <f>IF(P48=0,0,COUNTIF('Transect 2_imgsummary'!E48:I48,"CCA1")*100/P48)</f>
        <v>60</v>
      </c>
      <c r="DM48">
        <f>IF(P48=0,0,COUNTIF('Transect 2_imgsummary'!E48:I48,"Sand")*100/P48)</f>
        <v>0</v>
      </c>
      <c r="DO48" s="29">
        <f>IF(P48=0,0,COUNTIF('Transect 2_imgsummary'!E48:I48,"FCA1")*100/P48)</f>
        <v>20</v>
      </c>
      <c r="DQ48">
        <f>IF(P48=0,0,COUNTIF('Transect 2_imgsummary'!E48:I48,"CHRYOBRN")*100/P48)</f>
        <v>0</v>
      </c>
      <c r="DS48">
        <f>IF(P48=0,0,COUNTIF('Transect 2_imgsummary'!E48:I48,"TURF")*100/P48)</f>
        <v>0</v>
      </c>
      <c r="DU48">
        <f>COUNTIF('Transect 2_imgsummary'!E48:I48,"Shadow")*100/5</f>
        <v>0</v>
      </c>
      <c r="DV48">
        <f>COUNTIF('Transect 2_imgsummary'!E48:I48,"Tape")*100/5</f>
        <v>0</v>
      </c>
      <c r="DW48">
        <f>COUNTIF('Transect 2_imgsummary'!E48:I48,"Wand")*100/5</f>
        <v>0</v>
      </c>
      <c r="DY48">
        <f>IF(P48=0,0,COUNTIF('Transect 2_imgsummary'!O48:S48,"BC")*100/P48)</f>
        <v>0</v>
      </c>
    </row>
    <row r="49" spans="1:129">
      <c r="A49">
        <v>47</v>
      </c>
      <c r="B49" t="s">
        <v>476</v>
      </c>
      <c r="F49" s="29">
        <f>IF(P49=0,0,COUNTIF('Transect 2_imgsummary'!J49:N49,"C")*100/P49)</f>
        <v>40</v>
      </c>
      <c r="G49">
        <f>IF(P49=0,0,COUNTIF('Transect 2_imgsummary'!J49:N49,"OI")*100/P49)</f>
        <v>0</v>
      </c>
      <c r="H49">
        <f>IF(P49=0,0,COUNTIF('Transect 2_imgsummary'!J49:N49,"MA")*100/P49)</f>
        <v>0</v>
      </c>
      <c r="I49">
        <f>IF(P49=0,0,COUNTIF('Transect 2_imgsummary'!J49:N49,"BCA")*100/P49)</f>
        <v>0</v>
      </c>
      <c r="J49" s="29">
        <f>IF(P49=0,0,COUNTIF('Transect 2_imgsummary'!J49:N49,"CCA")*100/P49)</f>
        <v>40</v>
      </c>
      <c r="K49">
        <f>IF(P49=0,0,COUNTIF('Transect 2_imgsummary'!J49:N49,"SD")*100/P49)</f>
        <v>0</v>
      </c>
      <c r="L49">
        <f>IF(P49=0,0,COUNTIF('Transect 2_imgsummary'!J49:N49,"FCA")*100/P49)</f>
        <v>0</v>
      </c>
      <c r="M49">
        <f>IF(P49=0,0,COUNTIF('Transect 2_imgsummary'!J49:N49,"CHRYS")*100/P49)</f>
        <v>0</v>
      </c>
      <c r="N49" s="29">
        <f>IF(P49=0,0,COUNTIF('Transect 2_imgsummary'!J49:N49,"T")*100/P49)</f>
        <v>20</v>
      </c>
      <c r="O49">
        <f>IF(P49=0,0,COUNTIF('Transect 2_imgsummary'!J49:N49,"TWS")*100/P49)</f>
        <v>0</v>
      </c>
      <c r="P49">
        <f>5-COUNTIF('Transect 2_imgsummary'!J49:N49,"TWS")</f>
        <v>5</v>
      </c>
      <c r="S49">
        <f>IF(P49=0,0,COUNTIF('Transect 2_imgsummary'!E49:I49,"ACAN")*100/P49)</f>
        <v>0</v>
      </c>
      <c r="T49">
        <f>IF(P49=0,0,COUNTIF('Transect 2_imgsummary'!E49:I49,"ACROP")*100/P49)</f>
        <v>0</v>
      </c>
      <c r="U49">
        <f>IF(P49=0,0,COUNTIF('Transect 2_imgsummary'!E49:I49,"ACROPARB")*100/P49)</f>
        <v>0</v>
      </c>
      <c r="V49">
        <f>IF(P49=0,0,COUNTIF('Transect 2_imgsummary'!E49:I49,"ACROST")*100/P49)</f>
        <v>0</v>
      </c>
      <c r="W49" s="29">
        <f>IF(P49=0,0,COUNTIF('Transect 2_imgsummary'!E49:I49,"ACROTBL")*100/P49)</f>
        <v>20</v>
      </c>
      <c r="X49">
        <f>IF(P49=0,0,COUNTIF('Transect 2_imgsummary'!E49:I49,"ASTRP")*100/P49)</f>
        <v>0</v>
      </c>
      <c r="Y49">
        <f>IF(P49=0,0,COUNTIF('Transect 2_imgsummary'!E49:I49,"CAUL")*100/P49)</f>
        <v>0</v>
      </c>
      <c r="Z49">
        <f>IF(P49=0,0,COUNTIF('Transect 2_imgsummary'!E49:I49,"COSC")*100/P49)</f>
        <v>0</v>
      </c>
      <c r="AA49">
        <f>IF(P49=0,0,COUNTIF('Transect 2_imgsummary'!E49:I49,"CTEN")*100/P49)</f>
        <v>0</v>
      </c>
      <c r="AB49">
        <f>IF(P49=0,0,COUNTIF('Transect 2_imgsummary'!E49:I49,"CYPH")*100/P49)</f>
        <v>0</v>
      </c>
      <c r="AC49">
        <f>IF(P49=0,0,COUNTIF('Transect 2_imgsummary'!E49:I49,"DIPLO")*100/P49)</f>
        <v>0</v>
      </c>
      <c r="AD49">
        <f>IF(P49=0,0,COUNTIF('Transect 2_imgsummary'!E49:I49,"ECHPO")*100/P49)</f>
        <v>0</v>
      </c>
      <c r="AE49">
        <f>IF(P49=0,0,COUNTIF('Transect 2_imgsummary'!E49:I49,"ECHPHY")*100/P49)</f>
        <v>0</v>
      </c>
      <c r="AF49">
        <f>IF(P49=0,0,COUNTIF('Transect 2_imgsummary'!E49:I49,"EUPH")*100/P49)</f>
        <v>0</v>
      </c>
      <c r="AG49">
        <f>IF(P49=0,0,COUNTIF('Transect 2_imgsummary'!E49:I49,"FAV")*100/P49)</f>
        <v>0</v>
      </c>
      <c r="AH49">
        <f>IF(P49=0,0,COUNTIF('Transect 2_imgsummary'!E49:I49,"FAVT")*100/P49)</f>
        <v>0</v>
      </c>
      <c r="AI49">
        <f>IF(P49=0,0,COUNTIF('Transect 2_imgsummary'!E49:I49,"FUNG")*100/P49)</f>
        <v>0</v>
      </c>
      <c r="AJ49">
        <f>IF(P49=0,0,COUNTIF('Transect 2_imgsummary'!E49:I49,"GAL")*100/P49)</f>
        <v>0</v>
      </c>
      <c r="AK49">
        <f>IF(P49=0,0,COUNTIF('Transect 2_imgsummary'!E49:I49,"GARD")*100/P49)</f>
        <v>0</v>
      </c>
      <c r="AL49">
        <f>IF(P49=0,0,COUNTIF('Transect 2_imgsummary'!E49:I49,"GON")*100/P49)</f>
        <v>0</v>
      </c>
      <c r="AM49">
        <f>IF(P49=0,0,COUNTIF('Transect 2_imgsummary'!E49:I49,"GONIO")*100/P49)</f>
        <v>0</v>
      </c>
      <c r="AN49">
        <f>IF(P49=0,0,COUNTIF('Transect 2_imgsummary'!E49:I49,"HELIO")*100/P49)</f>
        <v>0</v>
      </c>
      <c r="AO49">
        <f>IF(P49=0,0,COUNTIF('Transect 2_imgsummary'!E49:I49,"HERP")*100/P49)</f>
        <v>0</v>
      </c>
      <c r="AP49">
        <f>IF(P49=0,0,COUNTIF('Transect 2_imgsummary'!E49:I49,"HYD")*100/P49)</f>
        <v>0</v>
      </c>
      <c r="AQ49">
        <f>IF(P49=0,0,COUNTIF('Transect 2_imgsummary'!E49:I49,"ISOP")*100/P49)</f>
        <v>0</v>
      </c>
      <c r="AR49">
        <f>IF(P49=0,0,COUNTIF('Transect 2_imgsummary'!E49:I49,"LEPT")*100/P49)</f>
        <v>0</v>
      </c>
      <c r="AS49">
        <f>IF(P49=0,0,COUNTIF('Transect 2_imgsummary'!E49:I49,"LEPTOR")*100/P49)</f>
        <v>0</v>
      </c>
      <c r="AT49">
        <f>IF(P49=0,0,COUNTIF('Transect 2_imgsummary'!E49:I49,"LEPTOS")*100/P49)</f>
        <v>0</v>
      </c>
      <c r="AU49">
        <f>IF(P49=0,0,COUNTIF('Transect 2_imgsummary'!E49:I49,"LOBOPH")*100/P49)</f>
        <v>0</v>
      </c>
      <c r="AV49">
        <f>IF(P49=0,0,COUNTIF('Transect 2_imgsummary'!E49:I49,"MERU")*100/P49)</f>
        <v>0</v>
      </c>
      <c r="AW49">
        <f>IF(P49=0,0,COUNTIF('Transect 2_imgsummary'!E49:I49,"MILL")*100/P49)</f>
        <v>0</v>
      </c>
      <c r="AX49">
        <f>IF(P49=0,0,COUNTIF('Transect 2_imgsummary'!E49:I49,"MONT")*100/P49)</f>
        <v>0</v>
      </c>
      <c r="AY49">
        <f>IF(P49=0,0,COUNTIF('Transect 2_imgsummary'!E49:I49,"MONTI")*100/P49)</f>
        <v>0</v>
      </c>
      <c r="AZ49">
        <f>IF(P49=0,0,COUNTIF('Transect 2_imgsummary'!E49:I49,"MYCED")*100/P49)</f>
        <v>0</v>
      </c>
      <c r="BA49">
        <f>IF(P49=0,0,COUNTIF('Transect 2_imgsummary'!E49:I49,"OULO")*100/P49)</f>
        <v>0</v>
      </c>
      <c r="BB49">
        <f>IF(P49=0,0,COUNTIF('Transect 2_imgsummary'!E49:I49,"OXYP")*100/P49)</f>
        <v>0</v>
      </c>
      <c r="BC49">
        <f>IF(P49=0,0,COUNTIF('Transect 2_imgsummary'!E49:I49,"PLSIA")*100/P49)</f>
        <v>0</v>
      </c>
      <c r="BD49">
        <f>IF(P49=0,0,COUNTIF('Transect 2_imgsummary'!E49:I49,"PACHY")*100/P49)</f>
        <v>0</v>
      </c>
      <c r="BE49">
        <f>IF(P49=0,0,COUNTIF('Transect 2_imgsummary'!E49:I49,"PAV")*100/P49)</f>
        <v>0</v>
      </c>
      <c r="BF49">
        <f>IF(P49=0,0,COUNTIF('Transect 2_imgsummary'!E49:I49,"PECT")*100/P49)</f>
        <v>0</v>
      </c>
      <c r="BG49">
        <f>IF(P49=0,0,COUNTIF('Transect 2_imgsummary'!E49:I49,"PHYSO")*100/P49)</f>
        <v>0</v>
      </c>
      <c r="BH49">
        <f>IF(P49=0,0,COUNTIF('Transect 2_imgsummary'!E49:I49,"PLAT")*100/P49)</f>
        <v>0</v>
      </c>
      <c r="BI49">
        <f>IF(P49=0,0,COUNTIF('Transect 2_imgsummary'!E49:I49,"PLERO")*100/P49)</f>
        <v>0</v>
      </c>
      <c r="BJ49" s="29">
        <f>IF(P49=0,0,COUNTIF('Transect 2_imgsummary'!E49:I49,"POC")*100/P49)</f>
        <v>20</v>
      </c>
      <c r="BK49">
        <f>IF(P49=0,0,COUNTIF('Transect 2_imgsummary'!E49:I49,"POR")*100/P49)</f>
        <v>0</v>
      </c>
      <c r="BL49">
        <f>IF(P49=0,0,COUNTIF('Transect 2_imgsummary'!E49:I49,"PORCYL")*100/P49)</f>
        <v>0</v>
      </c>
      <c r="BM49">
        <f>IF(P49=0,0,COUNTIF('Transect 2_imgsummary'!E49:I49,"PORMAS")*100/P49)</f>
        <v>0</v>
      </c>
      <c r="BN49">
        <f>IF(P49=0,0,COUNTIF('Transect 2_imgsummary'!E49:I49,"PORRUS")*100/P49)</f>
        <v>0</v>
      </c>
      <c r="BO49">
        <f>IF(P49=0,0,COUNTIF('Transect 2_imgsummary'!E49:I49,"PSAM")*100/P49)</f>
        <v>0</v>
      </c>
      <c r="BP49">
        <f>IF(P49=0,0,COUNTIF('Transect 2_imgsummary'!E49:I49,"SANDO")*100/P49)</f>
        <v>0</v>
      </c>
      <c r="BQ49">
        <f>IF(P49=0,0,COUNTIF('Transect 2_imgsummary'!E49:I49,"SCAP")*100/P49)</f>
        <v>0</v>
      </c>
      <c r="BR49">
        <f>IF(P49=0,0,COUNTIF('Transect 2_imgsummary'!E49:I49,"SERIA")*100/P49)</f>
        <v>0</v>
      </c>
      <c r="BS49">
        <f>IF(P49=0,0,COUNTIF('Transect 2_imgsummary'!E49:I49,"STYLC")*100/P49)</f>
        <v>0</v>
      </c>
      <c r="BT49">
        <f>IF(P49=0,0,COUNTIF('Transect 2_imgsummary'!E49:I49,"STYLO")*100/P49)</f>
        <v>0</v>
      </c>
      <c r="BU49">
        <f>IF(P49=0,0,COUNTIF('Transect 2_imgsummary'!E49:I49,"SYMP")*100/P49)</f>
        <v>0</v>
      </c>
      <c r="BV49">
        <f>IF(P49=0,0,COUNTIF('Transect 2_imgsummary'!E49:I49,"TURBIN")*100/P49)</f>
        <v>0</v>
      </c>
      <c r="BX49">
        <f>IF(P49=0,0,COUNTIF('Transect 2_imgsummary'!E49:I49,"ANEM")*100/P49)</f>
        <v>0</v>
      </c>
      <c r="BY49">
        <f>IF(P49=0,0,COUNTIF('Transect 2_imgsummary'!E49:I49,"ASC")*100/P49)</f>
        <v>0</v>
      </c>
      <c r="BZ49">
        <f>IF(P49=0,0,COUNTIF('Transect 2_imgsummary'!E49:I49,"CUPS")*100/P49)</f>
        <v>0</v>
      </c>
      <c r="CA49">
        <f>IF(P49=0,0,COUNTIF('Transect 2_imgsummary'!E49:I49,"DISCO")*100/P49)</f>
        <v>0</v>
      </c>
      <c r="CB49">
        <f>IF(P49=0,0,COUNTIF('Transect 2_imgsummary'!E49:I49,"DYS")*100/P49)</f>
        <v>0</v>
      </c>
      <c r="CC49">
        <f>IF(P49=0,0,COUNTIF('Transect 2_imgsummary'!E49:I49,"G")*100/P49)</f>
        <v>0</v>
      </c>
      <c r="CD49">
        <f>IF(P49=0,0,COUNTIF('Transect 2_imgsummary'!E49:I49,"NoIDINV")*100/P49)</f>
        <v>0</v>
      </c>
      <c r="CE49">
        <f>IF(P49=0,0,COUNTIF('Transect 2_imgsummary'!E49:I49,"OLV")*100/P49)</f>
        <v>0</v>
      </c>
      <c r="CF49">
        <f>IF(P49=0,0,COUNTIF('Transect 2_imgsummary'!E49:I49,"SC")*100/P49)</f>
        <v>0</v>
      </c>
      <c r="CG49">
        <f>IF(P49=0,0,COUNTIF('Transect 2_imgsummary'!E49:I49,"S")*100/P49)</f>
        <v>0</v>
      </c>
      <c r="CH49">
        <f>IF(P49=0,0,COUNTIF('Transect 2_imgsummary'!E49:I49,"TERPS")*100/P49)</f>
        <v>0</v>
      </c>
      <c r="CI49">
        <f>IF(P49=0,0,COUNTIF('Transect 2_imgsummary'!E49:I49,"Z")*100/P49)</f>
        <v>0</v>
      </c>
      <c r="CK49">
        <f>IF(P49=0,0,COUNTIF('Transect 2_imgsummary'!E49:I49,"ASP")*100/P49)</f>
        <v>0</v>
      </c>
      <c r="CL49">
        <f>IF(P49=0,0,COUNTIF('Transect 2_imgsummary'!E49:I49,"BG")*100/P49)</f>
        <v>0</v>
      </c>
      <c r="CM49">
        <f>IF(P49=0,0,COUNTIF('Transect 2_imgsummary'!E49:I49,"Bood")*100/P49)</f>
        <v>0</v>
      </c>
      <c r="CN49">
        <f>IF(P49=0,0,COUNTIF('Transect 2_imgsummary'!E49:I49,"BRYP")*100/P49)</f>
        <v>0</v>
      </c>
      <c r="CO49">
        <f>IF(P49=0,0,COUNTIF('Transect 2_imgsummary'!E49:I49,"CLP")*100/P49)</f>
        <v>0</v>
      </c>
      <c r="CP49">
        <f>IF(P49=0,0,COUNTIF('Transect 2_imgsummary'!E49:I49,"CHLDES")*100/P49)</f>
        <v>0</v>
      </c>
      <c r="CQ49">
        <f>IF(P49=0,0,COUNTIF('Transect 2_imgsummary'!E49:I49,"DYCTY")*100/P49)</f>
        <v>0</v>
      </c>
      <c r="CR49">
        <f>IF(P49=0,0,COUNTIF('Transect 2_imgsummary'!E49:I49,"DICT")*100/P49)</f>
        <v>0</v>
      </c>
      <c r="CS49">
        <f>IF(P49=0,0,COUNTIF('Transect 2_imgsummary'!E49:I49,"GLXU")*100/P49)</f>
        <v>0</v>
      </c>
      <c r="CT49">
        <f>IF(P49=0,0,COUNTIF('Transect 2_imgsummary'!E49:I49,"HALI")*100/P49)</f>
        <v>0</v>
      </c>
      <c r="CU49">
        <f>IF(P49=0,0,COUNTIF('Transect 2_imgsummary'!E49:I49,"LIAG")*100/P49)</f>
        <v>0</v>
      </c>
      <c r="CV49">
        <f>IF(P49=0,0,COUNTIF('Transect 2_imgsummary'!E49:I49,"LOBO")*100/P49)</f>
        <v>0</v>
      </c>
      <c r="CW49">
        <f>IF(P49=0,0,COUNTIF('Transect 2_imgsummary'!E49:I49,"MAST")*100/P49)</f>
        <v>0</v>
      </c>
      <c r="CX49">
        <f>IF(P49=0,0,COUNTIF('Transect 2_imgsummary'!E49:I49,"MICDTY")*100/P49)</f>
        <v>0</v>
      </c>
      <c r="CY49">
        <f>IF(P49=0,0,COUNTIF('Transect 2_imgsummary'!E49:I49,"NEOM")*100/P49)</f>
        <v>0</v>
      </c>
      <c r="CZ49">
        <f>IF(P49=0,0,COUNTIF('Transect 2_imgsummary'!E49:I49,"NOIDMAC")*100/P49)</f>
        <v>0</v>
      </c>
      <c r="DA49">
        <f>IF(P49=0,0,COUNTIF('Transect 2_imgsummary'!E49:I49,"PAD")*100/P49)</f>
        <v>0</v>
      </c>
      <c r="DB49">
        <f>IF(P49=0,0,COUNTIF('Transect 2_imgsummary'!E49:I49,"SARG")*100/P49)</f>
        <v>0</v>
      </c>
      <c r="DC49">
        <f>IF(P49=0,0,COUNTIF('Transect 2_imgsummary'!E49:I49,"SCHIZ")*100/P49)</f>
        <v>0</v>
      </c>
      <c r="DD49">
        <f>IF(P49=0,0,COUNTIF('Transect 2_imgsummary'!E49:I49,"TURB")*100/P49)</f>
        <v>0</v>
      </c>
      <c r="DE49">
        <f>IF(P49=0,0,COUNTIF('Transect 2_imgsummary'!E49:I49,"TYDM")*100/P49)</f>
        <v>0</v>
      </c>
      <c r="DG49">
        <f>IF(P49=0,0,COUNTIF('Transect 2_imgsummary'!E49:I49,"AMP")*100/P49)</f>
        <v>0</v>
      </c>
      <c r="DH49">
        <f>IF(P49=0,0,COUNTIF('Transect 2_imgsummary'!E49:I49,"BCA1")*100/P49)</f>
        <v>0</v>
      </c>
      <c r="DI49">
        <f>IF(P49=0,0,COUNTIF('Transect 2_imgsummary'!E49:I49,"JAN")*100/P49)</f>
        <v>0</v>
      </c>
      <c r="DK49" s="29">
        <f>IF(P49=0,0,COUNTIF('Transect 2_imgsummary'!E49:I49,"CCA1")*100/P49)</f>
        <v>40</v>
      </c>
      <c r="DM49">
        <f>IF(P49=0,0,COUNTIF('Transect 2_imgsummary'!E49:I49,"Sand")*100/P49)</f>
        <v>0</v>
      </c>
      <c r="DO49">
        <f>IF(P49=0,0,COUNTIF('Transect 2_imgsummary'!E49:I49,"FCA1")*100/P49)</f>
        <v>0</v>
      </c>
      <c r="DQ49">
        <f>IF(P49=0,0,COUNTIF('Transect 2_imgsummary'!E49:I49,"CHRYOBRN")*100/P49)</f>
        <v>0</v>
      </c>
      <c r="DS49" s="29">
        <f>IF(P49=0,0,COUNTIF('Transect 2_imgsummary'!E49:I49,"TURF")*100/P49)</f>
        <v>20</v>
      </c>
      <c r="DU49">
        <f>COUNTIF('Transect 2_imgsummary'!E49:I49,"Shadow")*100/5</f>
        <v>0</v>
      </c>
      <c r="DV49">
        <f>COUNTIF('Transect 2_imgsummary'!E49:I49,"Tape")*100/5</f>
        <v>0</v>
      </c>
      <c r="DW49">
        <f>COUNTIF('Transect 2_imgsummary'!E49:I49,"Wand")*100/5</f>
        <v>0</v>
      </c>
      <c r="DY49">
        <f>IF(P49=0,0,COUNTIF('Transect 2_imgsummary'!O49:S49,"BC")*100/P49)</f>
        <v>0</v>
      </c>
    </row>
    <row r="50" spans="1:129">
      <c r="A50">
        <v>48</v>
      </c>
      <c r="B50" t="s">
        <v>477</v>
      </c>
      <c r="F50" s="29">
        <f>IF(P50=0,0,COUNTIF('Transect 2_imgsummary'!J50:N50,"C")*100/P50)</f>
        <v>20</v>
      </c>
      <c r="G50">
        <f>IF(P50=0,0,COUNTIF('Transect 2_imgsummary'!J50:N50,"OI")*100/P50)</f>
        <v>0</v>
      </c>
      <c r="H50">
        <f>IF(P50=0,0,COUNTIF('Transect 2_imgsummary'!J50:N50,"MA")*100/P50)</f>
        <v>0</v>
      </c>
      <c r="I50">
        <f>IF(P50=0,0,COUNTIF('Transect 2_imgsummary'!J50:N50,"BCA")*100/P50)</f>
        <v>0</v>
      </c>
      <c r="J50" s="29">
        <f>IF(P50=0,0,COUNTIF('Transect 2_imgsummary'!J50:N50,"CCA")*100/P50)</f>
        <v>60</v>
      </c>
      <c r="K50">
        <f>IF(P50=0,0,COUNTIF('Transect 2_imgsummary'!J50:N50,"SD")*100/P50)</f>
        <v>0</v>
      </c>
      <c r="L50">
        <f>IF(P50=0,0,COUNTIF('Transect 2_imgsummary'!J50:N50,"FCA")*100/P50)</f>
        <v>0</v>
      </c>
      <c r="M50">
        <f>IF(P50=0,0,COUNTIF('Transect 2_imgsummary'!J50:N50,"CHRYS")*100/P50)</f>
        <v>0</v>
      </c>
      <c r="N50" s="29">
        <f>IF(P50=0,0,COUNTIF('Transect 2_imgsummary'!J50:N50,"T")*100/P50)</f>
        <v>20</v>
      </c>
      <c r="O50">
        <f>IF(P50=0,0,COUNTIF('Transect 2_imgsummary'!J50:N50,"TWS")*100/P50)</f>
        <v>0</v>
      </c>
      <c r="P50">
        <f>5-COUNTIF('Transect 2_imgsummary'!J50:N50,"TWS")</f>
        <v>5</v>
      </c>
      <c r="S50">
        <f>IF(P50=0,0,COUNTIF('Transect 2_imgsummary'!E50:I50,"ACAN")*100/P50)</f>
        <v>0</v>
      </c>
      <c r="T50">
        <f>IF(P50=0,0,COUNTIF('Transect 2_imgsummary'!E50:I50,"ACROP")*100/P50)</f>
        <v>0</v>
      </c>
      <c r="U50">
        <f>IF(P50=0,0,COUNTIF('Transect 2_imgsummary'!E50:I50,"ACROPARB")*100/P50)</f>
        <v>0</v>
      </c>
      <c r="V50">
        <f>IF(P50=0,0,COUNTIF('Transect 2_imgsummary'!E50:I50,"ACROST")*100/P50)</f>
        <v>0</v>
      </c>
      <c r="W50">
        <f>IF(P50=0,0,COUNTIF('Transect 2_imgsummary'!E50:I50,"ACROTBL")*100/P50)</f>
        <v>0</v>
      </c>
      <c r="X50">
        <f>IF(P50=0,0,COUNTIF('Transect 2_imgsummary'!E50:I50,"ASTRP")*100/P50)</f>
        <v>0</v>
      </c>
      <c r="Y50">
        <f>IF(P50=0,0,COUNTIF('Transect 2_imgsummary'!E50:I50,"CAUL")*100/P50)</f>
        <v>0</v>
      </c>
      <c r="Z50">
        <f>IF(P50=0,0,COUNTIF('Transect 2_imgsummary'!E50:I50,"COSC")*100/P50)</f>
        <v>0</v>
      </c>
      <c r="AA50">
        <f>IF(P50=0,0,COUNTIF('Transect 2_imgsummary'!E50:I50,"CTEN")*100/P50)</f>
        <v>0</v>
      </c>
      <c r="AB50">
        <f>IF(P50=0,0,COUNTIF('Transect 2_imgsummary'!E50:I50,"CYPH")*100/P50)</f>
        <v>0</v>
      </c>
      <c r="AC50">
        <f>IF(P50=0,0,COUNTIF('Transect 2_imgsummary'!E50:I50,"DIPLO")*100/P50)</f>
        <v>0</v>
      </c>
      <c r="AD50">
        <f>IF(P50=0,0,COUNTIF('Transect 2_imgsummary'!E50:I50,"ECHPO")*100/P50)</f>
        <v>0</v>
      </c>
      <c r="AE50">
        <f>IF(P50=0,0,COUNTIF('Transect 2_imgsummary'!E50:I50,"ECHPHY")*100/P50)</f>
        <v>0</v>
      </c>
      <c r="AF50">
        <f>IF(P50=0,0,COUNTIF('Transect 2_imgsummary'!E50:I50,"EUPH")*100/P50)</f>
        <v>0</v>
      </c>
      <c r="AG50">
        <f>IF(P50=0,0,COUNTIF('Transect 2_imgsummary'!E50:I50,"FAV")*100/P50)</f>
        <v>0</v>
      </c>
      <c r="AH50">
        <f>IF(P50=0,0,COUNTIF('Transect 2_imgsummary'!E50:I50,"FAVT")*100/P50)</f>
        <v>0</v>
      </c>
      <c r="AI50">
        <f>IF(P50=0,0,COUNTIF('Transect 2_imgsummary'!E50:I50,"FUNG")*100/P50)</f>
        <v>0</v>
      </c>
      <c r="AJ50">
        <f>IF(P50=0,0,COUNTIF('Transect 2_imgsummary'!E50:I50,"GAL")*100/P50)</f>
        <v>0</v>
      </c>
      <c r="AK50">
        <f>IF(P50=0,0,COUNTIF('Transect 2_imgsummary'!E50:I50,"GARD")*100/P50)</f>
        <v>0</v>
      </c>
      <c r="AL50">
        <f>IF(P50=0,0,COUNTIF('Transect 2_imgsummary'!E50:I50,"GON")*100/P50)</f>
        <v>0</v>
      </c>
      <c r="AM50">
        <f>IF(P50=0,0,COUNTIF('Transect 2_imgsummary'!E50:I50,"GONIO")*100/P50)</f>
        <v>0</v>
      </c>
      <c r="AN50">
        <f>IF(P50=0,0,COUNTIF('Transect 2_imgsummary'!E50:I50,"HELIO")*100/P50)</f>
        <v>0</v>
      </c>
      <c r="AO50">
        <f>IF(P50=0,0,COUNTIF('Transect 2_imgsummary'!E50:I50,"HERP")*100/P50)</f>
        <v>0</v>
      </c>
      <c r="AP50">
        <f>IF(P50=0,0,COUNTIF('Transect 2_imgsummary'!E50:I50,"HYD")*100/P50)</f>
        <v>0</v>
      </c>
      <c r="AQ50">
        <f>IF(P50=0,0,COUNTIF('Transect 2_imgsummary'!E50:I50,"ISOP")*100/P50)</f>
        <v>0</v>
      </c>
      <c r="AR50">
        <f>IF(P50=0,0,COUNTIF('Transect 2_imgsummary'!E50:I50,"LEPT")*100/P50)</f>
        <v>0</v>
      </c>
      <c r="AS50">
        <f>IF(P50=0,0,COUNTIF('Transect 2_imgsummary'!E50:I50,"LEPTOR")*100/P50)</f>
        <v>0</v>
      </c>
      <c r="AT50">
        <f>IF(P50=0,0,COUNTIF('Transect 2_imgsummary'!E50:I50,"LEPTOS")*100/P50)</f>
        <v>0</v>
      </c>
      <c r="AU50">
        <f>IF(P50=0,0,COUNTIF('Transect 2_imgsummary'!E50:I50,"LOBOPH")*100/P50)</f>
        <v>0</v>
      </c>
      <c r="AV50">
        <f>IF(P50=0,0,COUNTIF('Transect 2_imgsummary'!E50:I50,"MERU")*100/P50)</f>
        <v>0</v>
      </c>
      <c r="AW50">
        <f>IF(P50=0,0,COUNTIF('Transect 2_imgsummary'!E50:I50,"MILL")*100/P50)</f>
        <v>0</v>
      </c>
      <c r="AX50">
        <f>IF(P50=0,0,COUNTIF('Transect 2_imgsummary'!E50:I50,"MONT")*100/P50)</f>
        <v>0</v>
      </c>
      <c r="AY50">
        <f>IF(P50=0,0,COUNTIF('Transect 2_imgsummary'!E50:I50,"MONTI")*100/P50)</f>
        <v>0</v>
      </c>
      <c r="AZ50">
        <f>IF(P50=0,0,COUNTIF('Transect 2_imgsummary'!E50:I50,"MYCED")*100/P50)</f>
        <v>0</v>
      </c>
      <c r="BA50">
        <f>IF(P50=0,0,COUNTIF('Transect 2_imgsummary'!E50:I50,"OULO")*100/P50)</f>
        <v>0</v>
      </c>
      <c r="BB50">
        <f>IF(P50=0,0,COUNTIF('Transect 2_imgsummary'!E50:I50,"OXYP")*100/P50)</f>
        <v>0</v>
      </c>
      <c r="BC50">
        <f>IF(P50=0,0,COUNTIF('Transect 2_imgsummary'!E50:I50,"PLSIA")*100/P50)</f>
        <v>0</v>
      </c>
      <c r="BD50">
        <f>IF(P50=0,0,COUNTIF('Transect 2_imgsummary'!E50:I50,"PACHY")*100/P50)</f>
        <v>0</v>
      </c>
      <c r="BE50">
        <f>IF(P50=0,0,COUNTIF('Transect 2_imgsummary'!E50:I50,"PAV")*100/P50)</f>
        <v>0</v>
      </c>
      <c r="BF50">
        <f>IF(P50=0,0,COUNTIF('Transect 2_imgsummary'!E50:I50,"PECT")*100/P50)</f>
        <v>0</v>
      </c>
      <c r="BG50">
        <f>IF(P50=0,0,COUNTIF('Transect 2_imgsummary'!E50:I50,"PHYSO")*100/P50)</f>
        <v>0</v>
      </c>
      <c r="BH50">
        <f>IF(P50=0,0,COUNTIF('Transect 2_imgsummary'!E50:I50,"PLAT")*100/P50)</f>
        <v>0</v>
      </c>
      <c r="BI50">
        <f>IF(P50=0,0,COUNTIF('Transect 2_imgsummary'!E50:I50,"PLERO")*100/P50)</f>
        <v>0</v>
      </c>
      <c r="BJ50">
        <f>IF(P50=0,0,COUNTIF('Transect 2_imgsummary'!E50:I50,"POC")*100/P50)</f>
        <v>0</v>
      </c>
      <c r="BK50">
        <f>IF(P50=0,0,COUNTIF('Transect 2_imgsummary'!E50:I50,"POR")*100/P50)</f>
        <v>0</v>
      </c>
      <c r="BL50">
        <f>IF(P50=0,0,COUNTIF('Transect 2_imgsummary'!E50:I50,"PORCYL")*100/P50)</f>
        <v>0</v>
      </c>
      <c r="BM50">
        <f>IF(P50=0,0,COUNTIF('Transect 2_imgsummary'!E50:I50,"PORMAS")*100/P50)</f>
        <v>0</v>
      </c>
      <c r="BN50">
        <f>IF(P50=0,0,COUNTIF('Transect 2_imgsummary'!E50:I50,"PORRUS")*100/P50)</f>
        <v>0</v>
      </c>
      <c r="BO50">
        <f>IF(P50=0,0,COUNTIF('Transect 2_imgsummary'!E50:I50,"PSAM")*100/P50)</f>
        <v>0</v>
      </c>
      <c r="BP50">
        <f>IF(P50=0,0,COUNTIF('Transect 2_imgsummary'!E50:I50,"SANDO")*100/P50)</f>
        <v>0</v>
      </c>
      <c r="BQ50">
        <f>IF(P50=0,0,COUNTIF('Transect 2_imgsummary'!E50:I50,"SCAP")*100/P50)</f>
        <v>0</v>
      </c>
      <c r="BR50">
        <f>IF(P50=0,0,COUNTIF('Transect 2_imgsummary'!E50:I50,"SERIA")*100/P50)</f>
        <v>0</v>
      </c>
      <c r="BS50">
        <f>IF(P50=0,0,COUNTIF('Transect 2_imgsummary'!E50:I50,"STYLC")*100/P50)</f>
        <v>0</v>
      </c>
      <c r="BT50" s="29">
        <f>IF(P50=0,0,COUNTIF('Transect 2_imgsummary'!E50:I50,"STYLO")*100/P50)</f>
        <v>20</v>
      </c>
      <c r="BU50">
        <f>IF(P50=0,0,COUNTIF('Transect 2_imgsummary'!E50:I50,"SYMP")*100/P50)</f>
        <v>0</v>
      </c>
      <c r="BV50">
        <f>IF(P50=0,0,COUNTIF('Transect 2_imgsummary'!E50:I50,"TURBIN")*100/P50)</f>
        <v>0</v>
      </c>
      <c r="BX50">
        <f>IF(P50=0,0,COUNTIF('Transect 2_imgsummary'!E50:I50,"ANEM")*100/P50)</f>
        <v>0</v>
      </c>
      <c r="BY50">
        <f>IF(P50=0,0,COUNTIF('Transect 2_imgsummary'!E50:I50,"ASC")*100/P50)</f>
        <v>0</v>
      </c>
      <c r="BZ50">
        <f>IF(P50=0,0,COUNTIF('Transect 2_imgsummary'!E50:I50,"CUPS")*100/P50)</f>
        <v>0</v>
      </c>
      <c r="CA50">
        <f>IF(P50=0,0,COUNTIF('Transect 2_imgsummary'!E50:I50,"DISCO")*100/P50)</f>
        <v>0</v>
      </c>
      <c r="CB50">
        <f>IF(P50=0,0,COUNTIF('Transect 2_imgsummary'!E50:I50,"DYS")*100/P50)</f>
        <v>0</v>
      </c>
      <c r="CC50">
        <f>IF(P50=0,0,COUNTIF('Transect 2_imgsummary'!E50:I50,"G")*100/P50)</f>
        <v>0</v>
      </c>
      <c r="CD50">
        <f>IF(P50=0,0,COUNTIF('Transect 2_imgsummary'!E50:I50,"NoIDINV")*100/P50)</f>
        <v>0</v>
      </c>
      <c r="CE50">
        <f>IF(P50=0,0,COUNTIF('Transect 2_imgsummary'!E50:I50,"OLV")*100/P50)</f>
        <v>0</v>
      </c>
      <c r="CF50">
        <f>IF(P50=0,0,COUNTIF('Transect 2_imgsummary'!E50:I50,"SC")*100/P50)</f>
        <v>0</v>
      </c>
      <c r="CG50">
        <f>IF(P50=0,0,COUNTIF('Transect 2_imgsummary'!E50:I50,"S")*100/P50)</f>
        <v>0</v>
      </c>
      <c r="CH50">
        <f>IF(P50=0,0,COUNTIF('Transect 2_imgsummary'!E50:I50,"TERPS")*100/P50)</f>
        <v>0</v>
      </c>
      <c r="CI50">
        <f>IF(P50=0,0,COUNTIF('Transect 2_imgsummary'!E50:I50,"Z")*100/P50)</f>
        <v>0</v>
      </c>
      <c r="CK50">
        <f>IF(P50=0,0,COUNTIF('Transect 2_imgsummary'!E50:I50,"ASP")*100/P50)</f>
        <v>0</v>
      </c>
      <c r="CL50">
        <f>IF(P50=0,0,COUNTIF('Transect 2_imgsummary'!E50:I50,"BG")*100/P50)</f>
        <v>0</v>
      </c>
      <c r="CM50">
        <f>IF(P50=0,0,COUNTIF('Transect 2_imgsummary'!E50:I50,"Bood")*100/P50)</f>
        <v>0</v>
      </c>
      <c r="CN50">
        <f>IF(P50=0,0,COUNTIF('Transect 2_imgsummary'!E50:I50,"BRYP")*100/P50)</f>
        <v>0</v>
      </c>
      <c r="CO50">
        <f>IF(P50=0,0,COUNTIF('Transect 2_imgsummary'!E50:I50,"CLP")*100/P50)</f>
        <v>0</v>
      </c>
      <c r="CP50">
        <f>IF(P50=0,0,COUNTIF('Transect 2_imgsummary'!E50:I50,"CHLDES")*100/P50)</f>
        <v>0</v>
      </c>
      <c r="CQ50">
        <f>IF(P50=0,0,COUNTIF('Transect 2_imgsummary'!E50:I50,"DYCTY")*100/P50)</f>
        <v>0</v>
      </c>
      <c r="CR50">
        <f>IF(P50=0,0,COUNTIF('Transect 2_imgsummary'!E50:I50,"DICT")*100/P50)</f>
        <v>0</v>
      </c>
      <c r="CS50">
        <f>IF(P50=0,0,COUNTIF('Transect 2_imgsummary'!E50:I50,"GLXU")*100/P50)</f>
        <v>0</v>
      </c>
      <c r="CT50">
        <f>IF(P50=0,0,COUNTIF('Transect 2_imgsummary'!E50:I50,"HALI")*100/P50)</f>
        <v>0</v>
      </c>
      <c r="CU50">
        <f>IF(P50=0,0,COUNTIF('Transect 2_imgsummary'!E50:I50,"LIAG")*100/P50)</f>
        <v>0</v>
      </c>
      <c r="CV50">
        <f>IF(P50=0,0,COUNTIF('Transect 2_imgsummary'!E50:I50,"LOBO")*100/P50)</f>
        <v>0</v>
      </c>
      <c r="CW50">
        <f>IF(P50=0,0,COUNTIF('Transect 2_imgsummary'!E50:I50,"MAST")*100/P50)</f>
        <v>0</v>
      </c>
      <c r="CX50">
        <f>IF(P50=0,0,COUNTIF('Transect 2_imgsummary'!E50:I50,"MICDTY")*100/P50)</f>
        <v>0</v>
      </c>
      <c r="CY50">
        <f>IF(P50=0,0,COUNTIF('Transect 2_imgsummary'!E50:I50,"NEOM")*100/P50)</f>
        <v>0</v>
      </c>
      <c r="CZ50">
        <f>IF(P50=0,0,COUNTIF('Transect 2_imgsummary'!E50:I50,"NOIDMAC")*100/P50)</f>
        <v>0</v>
      </c>
      <c r="DA50">
        <f>IF(P50=0,0,COUNTIF('Transect 2_imgsummary'!E50:I50,"PAD")*100/P50)</f>
        <v>0</v>
      </c>
      <c r="DB50">
        <f>IF(P50=0,0,COUNTIF('Transect 2_imgsummary'!E50:I50,"SARG")*100/P50)</f>
        <v>0</v>
      </c>
      <c r="DC50">
        <f>IF(P50=0,0,COUNTIF('Transect 2_imgsummary'!E50:I50,"SCHIZ")*100/P50)</f>
        <v>0</v>
      </c>
      <c r="DD50">
        <f>IF(P50=0,0,COUNTIF('Transect 2_imgsummary'!E50:I50,"TURB")*100/P50)</f>
        <v>0</v>
      </c>
      <c r="DE50">
        <f>IF(P50=0,0,COUNTIF('Transect 2_imgsummary'!E50:I50,"TYDM")*100/P50)</f>
        <v>0</v>
      </c>
      <c r="DG50">
        <f>IF(P50=0,0,COUNTIF('Transect 2_imgsummary'!E50:I50,"AMP")*100/P50)</f>
        <v>0</v>
      </c>
      <c r="DH50">
        <f>IF(P50=0,0,COUNTIF('Transect 2_imgsummary'!E50:I50,"BCA1")*100/P50)</f>
        <v>0</v>
      </c>
      <c r="DI50">
        <f>IF(P50=0,0,COUNTIF('Transect 2_imgsummary'!E50:I50,"JAN")*100/P50)</f>
        <v>0</v>
      </c>
      <c r="DK50" s="29">
        <f>IF(P50=0,0,COUNTIF('Transect 2_imgsummary'!E50:I50,"CCA1")*100/P50)</f>
        <v>60</v>
      </c>
      <c r="DM50">
        <f>IF(P50=0,0,COUNTIF('Transect 2_imgsummary'!E50:I50,"Sand")*100/P50)</f>
        <v>0</v>
      </c>
      <c r="DO50">
        <f>IF(P50=0,0,COUNTIF('Transect 2_imgsummary'!E50:I50,"FCA1")*100/P50)</f>
        <v>0</v>
      </c>
      <c r="DQ50">
        <f>IF(P50=0,0,COUNTIF('Transect 2_imgsummary'!E50:I50,"CHRYOBRN")*100/P50)</f>
        <v>0</v>
      </c>
      <c r="DS50" s="29">
        <f>IF(P50=0,0,COUNTIF('Transect 2_imgsummary'!E50:I50,"TURF")*100/P50)</f>
        <v>20</v>
      </c>
      <c r="DU50">
        <f>COUNTIF('Transect 2_imgsummary'!E50:I50,"Shadow")*100/5</f>
        <v>0</v>
      </c>
      <c r="DV50">
        <f>COUNTIF('Transect 2_imgsummary'!E50:I50,"Tape")*100/5</f>
        <v>0</v>
      </c>
      <c r="DW50">
        <f>COUNTIF('Transect 2_imgsummary'!E50:I50,"Wand")*100/5</f>
        <v>0</v>
      </c>
      <c r="DY50">
        <f>IF(P50=0,0,COUNTIF('Transect 2_imgsummary'!O50:S50,"BC")*100/P50)</f>
        <v>0</v>
      </c>
    </row>
    <row r="51" spans="1:129">
      <c r="A51">
        <v>49</v>
      </c>
      <c r="B51" t="s">
        <v>478</v>
      </c>
      <c r="F51" s="29">
        <f>IF(P51=0,0,COUNTIF('Transect 2_imgsummary'!J51:N51,"C")*100/P51)</f>
        <v>60</v>
      </c>
      <c r="G51">
        <f>IF(P51=0,0,COUNTIF('Transect 2_imgsummary'!J51:N51,"OI")*100/P51)</f>
        <v>0</v>
      </c>
      <c r="H51">
        <f>IF(P51=0,0,COUNTIF('Transect 2_imgsummary'!J51:N51,"MA")*100/P51)</f>
        <v>0</v>
      </c>
      <c r="I51">
        <f>IF(P51=0,0,COUNTIF('Transect 2_imgsummary'!J51:N51,"BCA")*100/P51)</f>
        <v>0</v>
      </c>
      <c r="J51" s="29">
        <f>IF(P51=0,0,COUNTIF('Transect 2_imgsummary'!J51:N51,"CCA")*100/P51)</f>
        <v>20</v>
      </c>
      <c r="K51">
        <f>IF(P51=0,0,COUNTIF('Transect 2_imgsummary'!J51:N51,"SD")*100/P51)</f>
        <v>0</v>
      </c>
      <c r="L51">
        <f>IF(P51=0,0,COUNTIF('Transect 2_imgsummary'!J51:N51,"FCA")*100/P51)</f>
        <v>0</v>
      </c>
      <c r="M51">
        <f>IF(P51=0,0,COUNTIF('Transect 2_imgsummary'!J51:N51,"CHRYS")*100/P51)</f>
        <v>0</v>
      </c>
      <c r="N51" s="29">
        <f>IF(P51=0,0,COUNTIF('Transect 2_imgsummary'!J51:N51,"T")*100/P51)</f>
        <v>20</v>
      </c>
      <c r="O51">
        <f>IF(P51=0,0,COUNTIF('Transect 2_imgsummary'!J51:N51,"TWS")*100/P51)</f>
        <v>0</v>
      </c>
      <c r="P51">
        <f>5-COUNTIF('Transect 2_imgsummary'!J51:N51,"TWS")</f>
        <v>5</v>
      </c>
      <c r="S51">
        <f>IF(P51=0,0,COUNTIF('Transect 2_imgsummary'!E51:I51,"ACAN")*100/P51)</f>
        <v>0</v>
      </c>
      <c r="T51">
        <f>IF(P51=0,0,COUNTIF('Transect 2_imgsummary'!E51:I51,"ACROP")*100/P51)</f>
        <v>0</v>
      </c>
      <c r="U51">
        <f>IF(P51=0,0,COUNTIF('Transect 2_imgsummary'!E51:I51,"ACROPARB")*100/P51)</f>
        <v>0</v>
      </c>
      <c r="V51">
        <f>IF(P51=0,0,COUNTIF('Transect 2_imgsummary'!E51:I51,"ACROST")*100/P51)</f>
        <v>0</v>
      </c>
      <c r="W51">
        <f>IF(P51=0,0,COUNTIF('Transect 2_imgsummary'!E51:I51,"ACROTBL")*100/P51)</f>
        <v>0</v>
      </c>
      <c r="X51">
        <f>IF(P51=0,0,COUNTIF('Transect 2_imgsummary'!E51:I51,"ASTRP")*100/P51)</f>
        <v>0</v>
      </c>
      <c r="Y51">
        <f>IF(P51=0,0,COUNTIF('Transect 2_imgsummary'!E51:I51,"CAUL")*100/P51)</f>
        <v>0</v>
      </c>
      <c r="Z51">
        <f>IF(P51=0,0,COUNTIF('Transect 2_imgsummary'!E51:I51,"COSC")*100/P51)</f>
        <v>0</v>
      </c>
      <c r="AA51">
        <f>IF(P51=0,0,COUNTIF('Transect 2_imgsummary'!E51:I51,"CTEN")*100/P51)</f>
        <v>0</v>
      </c>
      <c r="AB51">
        <f>IF(P51=0,0,COUNTIF('Transect 2_imgsummary'!E51:I51,"CYPH")*100/P51)</f>
        <v>0</v>
      </c>
      <c r="AC51">
        <f>IF(P51=0,0,COUNTIF('Transect 2_imgsummary'!E51:I51,"DIPLO")*100/P51)</f>
        <v>0</v>
      </c>
      <c r="AD51" s="29">
        <f>IF(P51=0,0,COUNTIF('Transect 2_imgsummary'!E51:I51,"ECHPO")*100/P51)</f>
        <v>20</v>
      </c>
      <c r="AE51">
        <f>IF(P51=0,0,COUNTIF('Transect 2_imgsummary'!E51:I51,"ECHPHY")*100/P51)</f>
        <v>0</v>
      </c>
      <c r="AF51">
        <f>IF(P51=0,0,COUNTIF('Transect 2_imgsummary'!E51:I51,"EUPH")*100/P51)</f>
        <v>0</v>
      </c>
      <c r="AG51">
        <f>IF(P51=0,0,COUNTIF('Transect 2_imgsummary'!E51:I51,"FAV")*100/P51)</f>
        <v>0</v>
      </c>
      <c r="AH51">
        <f>IF(P51=0,0,COUNTIF('Transect 2_imgsummary'!E51:I51,"FAVT")*100/P51)</f>
        <v>0</v>
      </c>
      <c r="AI51">
        <f>IF(P51=0,0,COUNTIF('Transect 2_imgsummary'!E51:I51,"FUNG")*100/P51)</f>
        <v>0</v>
      </c>
      <c r="AJ51" s="29">
        <f>IF(P51=0,0,COUNTIF('Transect 2_imgsummary'!E51:I51,"GAL")*100/P51)</f>
        <v>20</v>
      </c>
      <c r="AK51">
        <f>IF(P51=0,0,COUNTIF('Transect 2_imgsummary'!E51:I51,"GARD")*100/P51)</f>
        <v>0</v>
      </c>
      <c r="AL51">
        <f>IF(P51=0,0,COUNTIF('Transect 2_imgsummary'!E51:I51,"GON")*100/P51)</f>
        <v>0</v>
      </c>
      <c r="AM51">
        <f>IF(P51=0,0,COUNTIF('Transect 2_imgsummary'!E51:I51,"GONIO")*100/P51)</f>
        <v>0</v>
      </c>
      <c r="AN51">
        <f>IF(P51=0,0,COUNTIF('Transect 2_imgsummary'!E51:I51,"HELIO")*100/P51)</f>
        <v>0</v>
      </c>
      <c r="AO51">
        <f>IF(P51=0,0,COUNTIF('Transect 2_imgsummary'!E51:I51,"HERP")*100/P51)</f>
        <v>0</v>
      </c>
      <c r="AP51">
        <f>IF(P51=0,0,COUNTIF('Transect 2_imgsummary'!E51:I51,"HYD")*100/P51)</f>
        <v>0</v>
      </c>
      <c r="AQ51">
        <f>IF(P51=0,0,COUNTIF('Transect 2_imgsummary'!E51:I51,"ISOP")*100/P51)</f>
        <v>0</v>
      </c>
      <c r="AR51">
        <f>IF(P51=0,0,COUNTIF('Transect 2_imgsummary'!E51:I51,"LEPT")*100/P51)</f>
        <v>0</v>
      </c>
      <c r="AS51">
        <f>IF(P51=0,0,COUNTIF('Transect 2_imgsummary'!E51:I51,"LEPTOR")*100/P51)</f>
        <v>0</v>
      </c>
      <c r="AT51">
        <f>IF(P51=0,0,COUNTIF('Transect 2_imgsummary'!E51:I51,"LEPTOS")*100/P51)</f>
        <v>0</v>
      </c>
      <c r="AU51">
        <f>IF(P51=0,0,COUNTIF('Transect 2_imgsummary'!E51:I51,"LOBOPH")*100/P51)</f>
        <v>0</v>
      </c>
      <c r="AV51">
        <f>IF(P51=0,0,COUNTIF('Transect 2_imgsummary'!E51:I51,"MERU")*100/P51)</f>
        <v>0</v>
      </c>
      <c r="AW51">
        <f>IF(P51=0,0,COUNTIF('Transect 2_imgsummary'!E51:I51,"MILL")*100/P51)</f>
        <v>0</v>
      </c>
      <c r="AX51">
        <f>IF(P51=0,0,COUNTIF('Transect 2_imgsummary'!E51:I51,"MONT")*100/P51)</f>
        <v>0</v>
      </c>
      <c r="AY51">
        <f>IF(P51=0,0,COUNTIF('Transect 2_imgsummary'!E51:I51,"MONTI")*100/P51)</f>
        <v>0</v>
      </c>
      <c r="AZ51">
        <f>IF(P51=0,0,COUNTIF('Transect 2_imgsummary'!E51:I51,"MYCED")*100/P51)</f>
        <v>0</v>
      </c>
      <c r="BA51">
        <f>IF(P51=0,0,COUNTIF('Transect 2_imgsummary'!E51:I51,"OULO")*100/P51)</f>
        <v>0</v>
      </c>
      <c r="BB51">
        <f>IF(P51=0,0,COUNTIF('Transect 2_imgsummary'!E51:I51,"OXYP")*100/P51)</f>
        <v>0</v>
      </c>
      <c r="BC51">
        <f>IF(P51=0,0,COUNTIF('Transect 2_imgsummary'!E51:I51,"PLSIA")*100/P51)</f>
        <v>0</v>
      </c>
      <c r="BD51">
        <f>IF(P51=0,0,COUNTIF('Transect 2_imgsummary'!E51:I51,"PACHY")*100/P51)</f>
        <v>0</v>
      </c>
      <c r="BE51">
        <f>IF(P51=0,0,COUNTIF('Transect 2_imgsummary'!E51:I51,"PAV")*100/P51)</f>
        <v>0</v>
      </c>
      <c r="BF51">
        <f>IF(P51=0,0,COUNTIF('Transect 2_imgsummary'!E51:I51,"PECT")*100/P51)</f>
        <v>0</v>
      </c>
      <c r="BG51">
        <f>IF(P51=0,0,COUNTIF('Transect 2_imgsummary'!E51:I51,"PHYSO")*100/P51)</f>
        <v>0</v>
      </c>
      <c r="BH51">
        <f>IF(P51=0,0,COUNTIF('Transect 2_imgsummary'!E51:I51,"PLAT")*100/P51)</f>
        <v>0</v>
      </c>
      <c r="BI51">
        <f>IF(P51=0,0,COUNTIF('Transect 2_imgsummary'!E51:I51,"PLERO")*100/P51)</f>
        <v>0</v>
      </c>
      <c r="BJ51">
        <f>IF(P51=0,0,COUNTIF('Transect 2_imgsummary'!E51:I51,"POC")*100/P51)</f>
        <v>0</v>
      </c>
      <c r="BK51">
        <f>IF(P51=0,0,COUNTIF('Transect 2_imgsummary'!E51:I51,"POR")*100/P51)</f>
        <v>0</v>
      </c>
      <c r="BL51">
        <f>IF(P51=0,0,COUNTIF('Transect 2_imgsummary'!E51:I51,"PORCYL")*100/P51)</f>
        <v>0</v>
      </c>
      <c r="BM51">
        <f>IF(P51=0,0,COUNTIF('Transect 2_imgsummary'!E51:I51,"PORMAS")*100/P51)</f>
        <v>0</v>
      </c>
      <c r="BN51">
        <f>IF(P51=0,0,COUNTIF('Transect 2_imgsummary'!E51:I51,"PORRUS")*100/P51)</f>
        <v>0</v>
      </c>
      <c r="BO51">
        <f>IF(P51=0,0,COUNTIF('Transect 2_imgsummary'!E51:I51,"PSAM")*100/P51)</f>
        <v>0</v>
      </c>
      <c r="BP51">
        <f>IF(P51=0,0,COUNTIF('Transect 2_imgsummary'!E51:I51,"SANDO")*100/P51)</f>
        <v>0</v>
      </c>
      <c r="BQ51">
        <f>IF(P51=0,0,COUNTIF('Transect 2_imgsummary'!E51:I51,"SCAP")*100/P51)</f>
        <v>0</v>
      </c>
      <c r="BR51">
        <f>IF(P51=0,0,COUNTIF('Transect 2_imgsummary'!E51:I51,"SERIA")*100/P51)</f>
        <v>0</v>
      </c>
      <c r="BS51">
        <f>IF(P51=0,0,COUNTIF('Transect 2_imgsummary'!E51:I51,"STYLC")*100/P51)</f>
        <v>0</v>
      </c>
      <c r="BT51" s="29">
        <f>IF(P51=0,0,COUNTIF('Transect 2_imgsummary'!E51:I51,"STYLO")*100/P51)</f>
        <v>20</v>
      </c>
      <c r="BU51">
        <f>IF(P51=0,0,COUNTIF('Transect 2_imgsummary'!E51:I51,"SYMP")*100/P51)</f>
        <v>0</v>
      </c>
      <c r="BV51">
        <f>IF(P51=0,0,COUNTIF('Transect 2_imgsummary'!E51:I51,"TURBIN")*100/P51)</f>
        <v>0</v>
      </c>
      <c r="BX51">
        <f>IF(P51=0,0,COUNTIF('Transect 2_imgsummary'!E51:I51,"ANEM")*100/P51)</f>
        <v>0</v>
      </c>
      <c r="BY51">
        <f>IF(P51=0,0,COUNTIF('Transect 2_imgsummary'!E51:I51,"ASC")*100/P51)</f>
        <v>0</v>
      </c>
      <c r="BZ51">
        <f>IF(P51=0,0,COUNTIF('Transect 2_imgsummary'!E51:I51,"CUPS")*100/P51)</f>
        <v>0</v>
      </c>
      <c r="CA51">
        <f>IF(P51=0,0,COUNTIF('Transect 2_imgsummary'!E51:I51,"DISCO")*100/P51)</f>
        <v>0</v>
      </c>
      <c r="CB51">
        <f>IF(P51=0,0,COUNTIF('Transect 2_imgsummary'!E51:I51,"DYS")*100/P51)</f>
        <v>0</v>
      </c>
      <c r="CC51">
        <f>IF(P51=0,0,COUNTIF('Transect 2_imgsummary'!E51:I51,"G")*100/P51)</f>
        <v>0</v>
      </c>
      <c r="CD51">
        <f>IF(P51=0,0,COUNTIF('Transect 2_imgsummary'!E51:I51,"NoIDINV")*100/P51)</f>
        <v>0</v>
      </c>
      <c r="CE51">
        <f>IF(P51=0,0,COUNTIF('Transect 2_imgsummary'!E51:I51,"OLV")*100/P51)</f>
        <v>0</v>
      </c>
      <c r="CF51">
        <f>IF(P51=0,0,COUNTIF('Transect 2_imgsummary'!E51:I51,"SC")*100/P51)</f>
        <v>0</v>
      </c>
      <c r="CG51">
        <f>IF(P51=0,0,COUNTIF('Transect 2_imgsummary'!E51:I51,"S")*100/P51)</f>
        <v>0</v>
      </c>
      <c r="CH51">
        <f>IF(P51=0,0,COUNTIF('Transect 2_imgsummary'!E51:I51,"TERPS")*100/P51)</f>
        <v>0</v>
      </c>
      <c r="CI51">
        <f>IF(P51=0,0,COUNTIF('Transect 2_imgsummary'!E51:I51,"Z")*100/P51)</f>
        <v>0</v>
      </c>
      <c r="CK51">
        <f>IF(P51=0,0,COUNTIF('Transect 2_imgsummary'!E51:I51,"ASP")*100/P51)</f>
        <v>0</v>
      </c>
      <c r="CL51">
        <f>IF(P51=0,0,COUNTIF('Transect 2_imgsummary'!E51:I51,"BG")*100/P51)</f>
        <v>0</v>
      </c>
      <c r="CM51">
        <f>IF(P51=0,0,COUNTIF('Transect 2_imgsummary'!E51:I51,"Bood")*100/P51)</f>
        <v>0</v>
      </c>
      <c r="CN51">
        <f>IF(P51=0,0,COUNTIF('Transect 2_imgsummary'!E51:I51,"BRYP")*100/P51)</f>
        <v>0</v>
      </c>
      <c r="CO51">
        <f>IF(P51=0,0,COUNTIF('Transect 2_imgsummary'!E51:I51,"CLP")*100/P51)</f>
        <v>0</v>
      </c>
      <c r="CP51">
        <f>IF(P51=0,0,COUNTIF('Transect 2_imgsummary'!E51:I51,"CHLDES")*100/P51)</f>
        <v>0</v>
      </c>
      <c r="CQ51">
        <f>IF(P51=0,0,COUNTIF('Transect 2_imgsummary'!E51:I51,"DYCTY")*100/P51)</f>
        <v>0</v>
      </c>
      <c r="CR51">
        <f>IF(P51=0,0,COUNTIF('Transect 2_imgsummary'!E51:I51,"DICT")*100/P51)</f>
        <v>0</v>
      </c>
      <c r="CS51">
        <f>IF(P51=0,0,COUNTIF('Transect 2_imgsummary'!E51:I51,"GLXU")*100/P51)</f>
        <v>0</v>
      </c>
      <c r="CT51">
        <f>IF(P51=0,0,COUNTIF('Transect 2_imgsummary'!E51:I51,"HALI")*100/P51)</f>
        <v>0</v>
      </c>
      <c r="CU51">
        <f>IF(P51=0,0,COUNTIF('Transect 2_imgsummary'!E51:I51,"LIAG")*100/P51)</f>
        <v>0</v>
      </c>
      <c r="CV51">
        <f>IF(P51=0,0,COUNTIF('Transect 2_imgsummary'!E51:I51,"LOBO")*100/P51)</f>
        <v>0</v>
      </c>
      <c r="CW51">
        <f>IF(P51=0,0,COUNTIF('Transect 2_imgsummary'!E51:I51,"MAST")*100/P51)</f>
        <v>0</v>
      </c>
      <c r="CX51">
        <f>IF(P51=0,0,COUNTIF('Transect 2_imgsummary'!E51:I51,"MICDTY")*100/P51)</f>
        <v>0</v>
      </c>
      <c r="CY51">
        <f>IF(P51=0,0,COUNTIF('Transect 2_imgsummary'!E51:I51,"NEOM")*100/P51)</f>
        <v>0</v>
      </c>
      <c r="CZ51">
        <f>IF(P51=0,0,COUNTIF('Transect 2_imgsummary'!E51:I51,"NOIDMAC")*100/P51)</f>
        <v>0</v>
      </c>
      <c r="DA51">
        <f>IF(P51=0,0,COUNTIF('Transect 2_imgsummary'!E51:I51,"PAD")*100/P51)</f>
        <v>0</v>
      </c>
      <c r="DB51">
        <f>IF(P51=0,0,COUNTIF('Transect 2_imgsummary'!E51:I51,"SARG")*100/P51)</f>
        <v>0</v>
      </c>
      <c r="DC51">
        <f>IF(P51=0,0,COUNTIF('Transect 2_imgsummary'!E51:I51,"SCHIZ")*100/P51)</f>
        <v>0</v>
      </c>
      <c r="DD51">
        <f>IF(P51=0,0,COUNTIF('Transect 2_imgsummary'!E51:I51,"TURB")*100/P51)</f>
        <v>0</v>
      </c>
      <c r="DE51">
        <f>IF(P51=0,0,COUNTIF('Transect 2_imgsummary'!E51:I51,"TYDM")*100/P51)</f>
        <v>0</v>
      </c>
      <c r="DG51">
        <f>IF(P51=0,0,COUNTIF('Transect 2_imgsummary'!E51:I51,"AMP")*100/P51)</f>
        <v>0</v>
      </c>
      <c r="DH51">
        <f>IF(P51=0,0,COUNTIF('Transect 2_imgsummary'!E51:I51,"BCA1")*100/P51)</f>
        <v>0</v>
      </c>
      <c r="DI51">
        <f>IF(P51=0,0,COUNTIF('Transect 2_imgsummary'!E51:I51,"JAN")*100/P51)</f>
        <v>0</v>
      </c>
      <c r="DK51" s="29">
        <f>IF(P51=0,0,COUNTIF('Transect 2_imgsummary'!E51:I51,"CCA1")*100/P51)</f>
        <v>20</v>
      </c>
      <c r="DM51">
        <f>IF(P51=0,0,COUNTIF('Transect 2_imgsummary'!E51:I51,"Sand")*100/P51)</f>
        <v>0</v>
      </c>
      <c r="DO51">
        <f>IF(P51=0,0,COUNTIF('Transect 2_imgsummary'!E51:I51,"FCA1")*100/P51)</f>
        <v>0</v>
      </c>
      <c r="DQ51">
        <f>IF(P51=0,0,COUNTIF('Transect 2_imgsummary'!E51:I51,"CHRYOBRN")*100/P51)</f>
        <v>0</v>
      </c>
      <c r="DS51" s="29">
        <f>IF(P51=0,0,COUNTIF('Transect 2_imgsummary'!E51:I51,"TURF")*100/P51)</f>
        <v>20</v>
      </c>
      <c r="DU51">
        <f>COUNTIF('Transect 2_imgsummary'!E51:I51,"Shadow")*100/5</f>
        <v>0</v>
      </c>
      <c r="DV51">
        <f>COUNTIF('Transect 2_imgsummary'!E51:I51,"Tape")*100/5</f>
        <v>0</v>
      </c>
      <c r="DW51">
        <f>COUNTIF('Transect 2_imgsummary'!E51:I51,"Wand")*100/5</f>
        <v>0</v>
      </c>
      <c r="DY51">
        <f>IF(P51=0,0,COUNTIF('Transect 2_imgsummary'!O51:S51,"BC")*100/P51)</f>
        <v>0</v>
      </c>
    </row>
    <row r="52" spans="1:129">
      <c r="A52">
        <v>50</v>
      </c>
      <c r="B52" t="s">
        <v>479</v>
      </c>
      <c r="F52" s="29">
        <f>IF(P52=0,0,COUNTIF('Transect 2_imgsummary'!J52:N52,"C")*100/P52)</f>
        <v>80</v>
      </c>
      <c r="G52">
        <f>IF(P52=0,0,COUNTIF('Transect 2_imgsummary'!J52:N52,"OI")*100/P52)</f>
        <v>0</v>
      </c>
      <c r="H52">
        <f>IF(P52=0,0,COUNTIF('Transect 2_imgsummary'!J52:N52,"MA")*100/P52)</f>
        <v>0</v>
      </c>
      <c r="I52">
        <f>IF(P52=0,0,COUNTIF('Transect 2_imgsummary'!J52:N52,"BCA")*100/P52)</f>
        <v>0</v>
      </c>
      <c r="J52" s="29">
        <f>IF(P52=0,0,COUNTIF('Transect 2_imgsummary'!J52:N52,"CCA")*100/P52)</f>
        <v>20</v>
      </c>
      <c r="K52">
        <f>IF(P52=0,0,COUNTIF('Transect 2_imgsummary'!J52:N52,"SD")*100/P52)</f>
        <v>0</v>
      </c>
      <c r="L52">
        <f>IF(P52=0,0,COUNTIF('Transect 2_imgsummary'!J52:N52,"FCA")*100/P52)</f>
        <v>0</v>
      </c>
      <c r="M52">
        <f>IF(P52=0,0,COUNTIF('Transect 2_imgsummary'!J52:N52,"CHRYS")*100/P52)</f>
        <v>0</v>
      </c>
      <c r="N52">
        <f>IF(P52=0,0,COUNTIF('Transect 2_imgsummary'!J52:N52,"T")*100/P52)</f>
        <v>0</v>
      </c>
      <c r="O52">
        <f>IF(P52=0,0,COUNTIF('Transect 2_imgsummary'!J52:N52,"TWS")*100/P52)</f>
        <v>0</v>
      </c>
      <c r="P52">
        <f>5-COUNTIF('Transect 2_imgsummary'!J52:N52,"TWS")</f>
        <v>5</v>
      </c>
      <c r="S52">
        <f>IF(P52=0,0,COUNTIF('Transect 2_imgsummary'!E52:I52,"ACAN")*100/P52)</f>
        <v>0</v>
      </c>
      <c r="T52">
        <f>IF(P52=0,0,COUNTIF('Transect 2_imgsummary'!E52:I52,"ACROP")*100/P52)</f>
        <v>0</v>
      </c>
      <c r="U52">
        <f>IF(P52=0,0,COUNTIF('Transect 2_imgsummary'!E52:I52,"ACROPARB")*100/P52)</f>
        <v>0</v>
      </c>
      <c r="V52">
        <f>IF(P52=0,0,COUNTIF('Transect 2_imgsummary'!E52:I52,"ACROST")*100/P52)</f>
        <v>0</v>
      </c>
      <c r="W52">
        <f>IF(P52=0,0,COUNTIF('Transect 2_imgsummary'!E52:I52,"ACROTBL")*100/P52)</f>
        <v>0</v>
      </c>
      <c r="X52">
        <f>IF(P52=0,0,COUNTIF('Transect 2_imgsummary'!E52:I52,"ASTRP")*100/P52)</f>
        <v>0</v>
      </c>
      <c r="Y52">
        <f>IF(P52=0,0,COUNTIF('Transect 2_imgsummary'!E52:I52,"CAUL")*100/P52)</f>
        <v>0</v>
      </c>
      <c r="Z52">
        <f>IF(P52=0,0,COUNTIF('Transect 2_imgsummary'!E52:I52,"COSC")*100/P52)</f>
        <v>0</v>
      </c>
      <c r="AA52">
        <f>IF(P52=0,0,COUNTIF('Transect 2_imgsummary'!E52:I52,"CTEN")*100/P52)</f>
        <v>0</v>
      </c>
      <c r="AB52">
        <f>IF(P52=0,0,COUNTIF('Transect 2_imgsummary'!E52:I52,"CYPH")*100/P52)</f>
        <v>0</v>
      </c>
      <c r="AC52">
        <f>IF(P52=0,0,COUNTIF('Transect 2_imgsummary'!E52:I52,"DIPLO")*100/P52)</f>
        <v>0</v>
      </c>
      <c r="AD52">
        <f>IF(P52=0,0,COUNTIF('Transect 2_imgsummary'!E52:I52,"ECHPO")*100/P52)</f>
        <v>0</v>
      </c>
      <c r="AE52">
        <f>IF(P52=0,0,COUNTIF('Transect 2_imgsummary'!E52:I52,"ECHPHY")*100/P52)</f>
        <v>0</v>
      </c>
      <c r="AF52">
        <f>IF(P52=0,0,COUNTIF('Transect 2_imgsummary'!E52:I52,"EUPH")*100/P52)</f>
        <v>0</v>
      </c>
      <c r="AG52">
        <f>IF(P52=0,0,COUNTIF('Transect 2_imgsummary'!E52:I52,"FAV")*100/P52)</f>
        <v>0</v>
      </c>
      <c r="AH52">
        <f>IF(P52=0,0,COUNTIF('Transect 2_imgsummary'!E52:I52,"FAVT")*100/P52)</f>
        <v>0</v>
      </c>
      <c r="AI52">
        <f>IF(P52=0,0,COUNTIF('Transect 2_imgsummary'!E52:I52,"FUNG")*100/P52)</f>
        <v>0</v>
      </c>
      <c r="AJ52">
        <f>IF(P52=0,0,COUNTIF('Transect 2_imgsummary'!E52:I52,"GAL")*100/P52)</f>
        <v>0</v>
      </c>
      <c r="AK52">
        <f>IF(P52=0,0,COUNTIF('Transect 2_imgsummary'!E52:I52,"GARD")*100/P52)</f>
        <v>0</v>
      </c>
      <c r="AL52">
        <f>IF(P52=0,0,COUNTIF('Transect 2_imgsummary'!E52:I52,"GON")*100/P52)</f>
        <v>0</v>
      </c>
      <c r="AM52">
        <f>IF(P52=0,0,COUNTIF('Transect 2_imgsummary'!E52:I52,"GONIO")*100/P52)</f>
        <v>0</v>
      </c>
      <c r="AN52">
        <f>IF(P52=0,0,COUNTIF('Transect 2_imgsummary'!E52:I52,"HELIO")*100/P52)</f>
        <v>0</v>
      </c>
      <c r="AO52">
        <f>IF(P52=0,0,COUNTIF('Transect 2_imgsummary'!E52:I52,"HERP")*100/P52)</f>
        <v>0</v>
      </c>
      <c r="AP52">
        <f>IF(P52=0,0,COUNTIF('Transect 2_imgsummary'!E52:I52,"HYD")*100/P52)</f>
        <v>0</v>
      </c>
      <c r="AQ52">
        <f>IF(P52=0,0,COUNTIF('Transect 2_imgsummary'!E52:I52,"ISOP")*100/P52)</f>
        <v>0</v>
      </c>
      <c r="AR52">
        <f>IF(P52=0,0,COUNTIF('Transect 2_imgsummary'!E52:I52,"LEPT")*100/P52)</f>
        <v>0</v>
      </c>
      <c r="AS52">
        <f>IF(P52=0,0,COUNTIF('Transect 2_imgsummary'!E52:I52,"LEPTOR")*100/P52)</f>
        <v>0</v>
      </c>
      <c r="AT52">
        <f>IF(P52=0,0,COUNTIF('Transect 2_imgsummary'!E52:I52,"LEPTOS")*100/P52)</f>
        <v>0</v>
      </c>
      <c r="AU52">
        <f>IF(P52=0,0,COUNTIF('Transect 2_imgsummary'!E52:I52,"LOBOPH")*100/P52)</f>
        <v>0</v>
      </c>
      <c r="AV52">
        <f>IF(P52=0,0,COUNTIF('Transect 2_imgsummary'!E52:I52,"MERU")*100/P52)</f>
        <v>0</v>
      </c>
      <c r="AW52">
        <f>IF(P52=0,0,COUNTIF('Transect 2_imgsummary'!E52:I52,"MILL")*100/P52)</f>
        <v>0</v>
      </c>
      <c r="AX52">
        <f>IF(P52=0,0,COUNTIF('Transect 2_imgsummary'!E52:I52,"MONT")*100/P52)</f>
        <v>0</v>
      </c>
      <c r="AY52">
        <f>IF(P52=0,0,COUNTIF('Transect 2_imgsummary'!E52:I52,"MONTI")*100/P52)</f>
        <v>0</v>
      </c>
      <c r="AZ52">
        <f>IF(P52=0,0,COUNTIF('Transect 2_imgsummary'!E52:I52,"MYCED")*100/P52)</f>
        <v>0</v>
      </c>
      <c r="BA52">
        <f>IF(P52=0,0,COUNTIF('Transect 2_imgsummary'!E52:I52,"OULO")*100/P52)</f>
        <v>0</v>
      </c>
      <c r="BB52">
        <f>IF(P52=0,0,COUNTIF('Transect 2_imgsummary'!E52:I52,"OXYP")*100/P52)</f>
        <v>0</v>
      </c>
      <c r="BC52">
        <f>IF(P52=0,0,COUNTIF('Transect 2_imgsummary'!E52:I52,"PLSIA")*100/P52)</f>
        <v>0</v>
      </c>
      <c r="BD52">
        <f>IF(P52=0,0,COUNTIF('Transect 2_imgsummary'!E52:I52,"PACHY")*100/P52)</f>
        <v>0</v>
      </c>
      <c r="BE52">
        <f>IF(P52=0,0,COUNTIF('Transect 2_imgsummary'!E52:I52,"PAV")*100/P52)</f>
        <v>0</v>
      </c>
      <c r="BF52">
        <f>IF(P52=0,0,COUNTIF('Transect 2_imgsummary'!E52:I52,"PECT")*100/P52)</f>
        <v>0</v>
      </c>
      <c r="BG52">
        <f>IF(P52=0,0,COUNTIF('Transect 2_imgsummary'!E52:I52,"PHYSO")*100/P52)</f>
        <v>0</v>
      </c>
      <c r="BH52">
        <f>IF(P52=0,0,COUNTIF('Transect 2_imgsummary'!E52:I52,"PLAT")*100/P52)</f>
        <v>0</v>
      </c>
      <c r="BI52">
        <f>IF(P52=0,0,COUNTIF('Transect 2_imgsummary'!E52:I52,"PLERO")*100/P52)</f>
        <v>0</v>
      </c>
      <c r="BJ52" s="29">
        <f>IF(P52=0,0,COUNTIF('Transect 2_imgsummary'!E52:I52,"POC")*100/P52)</f>
        <v>40</v>
      </c>
      <c r="BK52" s="29">
        <f>IF(P52=0,0,COUNTIF('Transect 2_imgsummary'!E52:I52,"POR")*100/P52)</f>
        <v>40</v>
      </c>
      <c r="BL52">
        <f>IF(P52=0,0,COUNTIF('Transect 2_imgsummary'!E52:I52,"PORCYL")*100/P52)</f>
        <v>0</v>
      </c>
      <c r="BM52">
        <f>IF(P52=0,0,COUNTIF('Transect 2_imgsummary'!E52:I52,"PORMAS")*100/P52)</f>
        <v>0</v>
      </c>
      <c r="BN52">
        <f>IF(P52=0,0,COUNTIF('Transect 2_imgsummary'!E52:I52,"PORRUS")*100/P52)</f>
        <v>0</v>
      </c>
      <c r="BO52">
        <f>IF(P52=0,0,COUNTIF('Transect 2_imgsummary'!E52:I52,"PSAM")*100/P52)</f>
        <v>0</v>
      </c>
      <c r="BP52">
        <f>IF(P52=0,0,COUNTIF('Transect 2_imgsummary'!E52:I52,"SANDO")*100/P52)</f>
        <v>0</v>
      </c>
      <c r="BQ52">
        <f>IF(P52=0,0,COUNTIF('Transect 2_imgsummary'!E52:I52,"SCAP")*100/P52)</f>
        <v>0</v>
      </c>
      <c r="BR52">
        <f>IF(P52=0,0,COUNTIF('Transect 2_imgsummary'!E52:I52,"SERIA")*100/P52)</f>
        <v>0</v>
      </c>
      <c r="BS52">
        <f>IF(P52=0,0,COUNTIF('Transect 2_imgsummary'!E52:I52,"STYLC")*100/P52)</f>
        <v>0</v>
      </c>
      <c r="BT52">
        <f>IF(P52=0,0,COUNTIF('Transect 2_imgsummary'!E52:I52,"STYLO")*100/P52)</f>
        <v>0</v>
      </c>
      <c r="BU52">
        <f>IF(P52=0,0,COUNTIF('Transect 2_imgsummary'!E52:I52,"SYMP")*100/P52)</f>
        <v>0</v>
      </c>
      <c r="BV52">
        <f>IF(P52=0,0,COUNTIF('Transect 2_imgsummary'!E52:I52,"TURBIN")*100/P52)</f>
        <v>0</v>
      </c>
      <c r="BX52">
        <f>IF(P52=0,0,COUNTIF('Transect 2_imgsummary'!E52:I52,"ANEM")*100/P52)</f>
        <v>0</v>
      </c>
      <c r="BY52">
        <f>IF(P52=0,0,COUNTIF('Transect 2_imgsummary'!E52:I52,"ASC")*100/P52)</f>
        <v>0</v>
      </c>
      <c r="BZ52">
        <f>IF(P52=0,0,COUNTIF('Transect 2_imgsummary'!E52:I52,"CUPS")*100/P52)</f>
        <v>0</v>
      </c>
      <c r="CA52">
        <f>IF(P52=0,0,COUNTIF('Transect 2_imgsummary'!E52:I52,"DISCO")*100/P52)</f>
        <v>0</v>
      </c>
      <c r="CB52">
        <f>IF(P52=0,0,COUNTIF('Transect 2_imgsummary'!E52:I52,"DYS")*100/P52)</f>
        <v>0</v>
      </c>
      <c r="CC52">
        <f>IF(P52=0,0,COUNTIF('Transect 2_imgsummary'!E52:I52,"G")*100/P52)</f>
        <v>0</v>
      </c>
      <c r="CD52">
        <f>IF(P52=0,0,COUNTIF('Transect 2_imgsummary'!E52:I52,"NoIDINV")*100/P52)</f>
        <v>0</v>
      </c>
      <c r="CE52">
        <f>IF(P52=0,0,COUNTIF('Transect 2_imgsummary'!E52:I52,"OLV")*100/P52)</f>
        <v>0</v>
      </c>
      <c r="CF52">
        <f>IF(P52=0,0,COUNTIF('Transect 2_imgsummary'!E52:I52,"SC")*100/P52)</f>
        <v>0</v>
      </c>
      <c r="CG52">
        <f>IF(P52=0,0,COUNTIF('Transect 2_imgsummary'!E52:I52,"S")*100/P52)</f>
        <v>0</v>
      </c>
      <c r="CH52">
        <f>IF(P52=0,0,COUNTIF('Transect 2_imgsummary'!E52:I52,"TERPS")*100/P52)</f>
        <v>0</v>
      </c>
      <c r="CI52">
        <f>IF(P52=0,0,COUNTIF('Transect 2_imgsummary'!E52:I52,"Z")*100/P52)</f>
        <v>0</v>
      </c>
      <c r="CK52">
        <f>IF(P52=0,0,COUNTIF('Transect 2_imgsummary'!E52:I52,"ASP")*100/P52)</f>
        <v>0</v>
      </c>
      <c r="CL52">
        <f>IF(P52=0,0,COUNTIF('Transect 2_imgsummary'!E52:I52,"BG")*100/P52)</f>
        <v>0</v>
      </c>
      <c r="CM52">
        <f>IF(P52=0,0,COUNTIF('Transect 2_imgsummary'!E52:I52,"Bood")*100/P52)</f>
        <v>0</v>
      </c>
      <c r="CN52">
        <f>IF(P52=0,0,COUNTIF('Transect 2_imgsummary'!E52:I52,"BRYP")*100/P52)</f>
        <v>0</v>
      </c>
      <c r="CO52">
        <f>IF(P52=0,0,COUNTIF('Transect 2_imgsummary'!E52:I52,"CLP")*100/P52)</f>
        <v>0</v>
      </c>
      <c r="CP52">
        <f>IF(P52=0,0,COUNTIF('Transect 2_imgsummary'!E52:I52,"CHLDES")*100/P52)</f>
        <v>0</v>
      </c>
      <c r="CQ52">
        <f>IF(P52=0,0,COUNTIF('Transect 2_imgsummary'!E52:I52,"DYCTY")*100/P52)</f>
        <v>0</v>
      </c>
      <c r="CR52">
        <f>IF(P52=0,0,COUNTIF('Transect 2_imgsummary'!E52:I52,"DICT")*100/P52)</f>
        <v>0</v>
      </c>
      <c r="CS52">
        <f>IF(P52=0,0,COUNTIF('Transect 2_imgsummary'!E52:I52,"GLXU")*100/P52)</f>
        <v>0</v>
      </c>
      <c r="CT52">
        <f>IF(P52=0,0,COUNTIF('Transect 2_imgsummary'!E52:I52,"HALI")*100/P52)</f>
        <v>0</v>
      </c>
      <c r="CU52">
        <f>IF(P52=0,0,COUNTIF('Transect 2_imgsummary'!E52:I52,"LIAG")*100/P52)</f>
        <v>0</v>
      </c>
      <c r="CV52">
        <f>IF(P52=0,0,COUNTIF('Transect 2_imgsummary'!E52:I52,"LOBO")*100/P52)</f>
        <v>0</v>
      </c>
      <c r="CW52">
        <f>IF(P52=0,0,COUNTIF('Transect 2_imgsummary'!E52:I52,"MAST")*100/P52)</f>
        <v>0</v>
      </c>
      <c r="CX52">
        <f>IF(P52=0,0,COUNTIF('Transect 2_imgsummary'!E52:I52,"MICDTY")*100/P52)</f>
        <v>0</v>
      </c>
      <c r="CY52">
        <f>IF(P52=0,0,COUNTIF('Transect 2_imgsummary'!E52:I52,"NEOM")*100/P52)</f>
        <v>0</v>
      </c>
      <c r="CZ52">
        <f>IF(P52=0,0,COUNTIF('Transect 2_imgsummary'!E52:I52,"NOIDMAC")*100/P52)</f>
        <v>0</v>
      </c>
      <c r="DA52">
        <f>IF(P52=0,0,COUNTIF('Transect 2_imgsummary'!E52:I52,"PAD")*100/P52)</f>
        <v>0</v>
      </c>
      <c r="DB52">
        <f>IF(P52=0,0,COUNTIF('Transect 2_imgsummary'!E52:I52,"SARG")*100/P52)</f>
        <v>0</v>
      </c>
      <c r="DC52">
        <f>IF(P52=0,0,COUNTIF('Transect 2_imgsummary'!E52:I52,"SCHIZ")*100/P52)</f>
        <v>0</v>
      </c>
      <c r="DD52">
        <f>IF(P52=0,0,COUNTIF('Transect 2_imgsummary'!E52:I52,"TURB")*100/P52)</f>
        <v>0</v>
      </c>
      <c r="DE52">
        <f>IF(P52=0,0,COUNTIF('Transect 2_imgsummary'!E52:I52,"TYDM")*100/P52)</f>
        <v>0</v>
      </c>
      <c r="DG52">
        <f>IF(P52=0,0,COUNTIF('Transect 2_imgsummary'!E52:I52,"AMP")*100/P52)</f>
        <v>0</v>
      </c>
      <c r="DH52">
        <f>IF(P52=0,0,COUNTIF('Transect 2_imgsummary'!E52:I52,"BCA1")*100/P52)</f>
        <v>0</v>
      </c>
      <c r="DI52">
        <f>IF(P52=0,0,COUNTIF('Transect 2_imgsummary'!E52:I52,"JAN")*100/P52)</f>
        <v>0</v>
      </c>
      <c r="DK52" s="29">
        <f>IF(P52=0,0,COUNTIF('Transect 2_imgsummary'!E52:I52,"CCA1")*100/P52)</f>
        <v>20</v>
      </c>
      <c r="DM52">
        <f>IF(P52=0,0,COUNTIF('Transect 2_imgsummary'!E52:I52,"Sand")*100/P52)</f>
        <v>0</v>
      </c>
      <c r="DO52">
        <f>IF(P52=0,0,COUNTIF('Transect 2_imgsummary'!E52:I52,"FCA1")*100/P52)</f>
        <v>0</v>
      </c>
      <c r="DQ52">
        <f>IF(P52=0,0,COUNTIF('Transect 2_imgsummary'!E52:I52,"CHRYOBRN")*100/P52)</f>
        <v>0</v>
      </c>
      <c r="DS52">
        <f>IF(P52=0,0,COUNTIF('Transect 2_imgsummary'!E52:I52,"TURF")*100/P52)</f>
        <v>0</v>
      </c>
      <c r="DU52">
        <f>COUNTIF('Transect 2_imgsummary'!E52:I52,"Shadow")*100/5</f>
        <v>0</v>
      </c>
      <c r="DV52">
        <f>COUNTIF('Transect 2_imgsummary'!E52:I52,"Tape")*100/5</f>
        <v>0</v>
      </c>
      <c r="DW52">
        <f>COUNTIF('Transect 2_imgsummary'!E52:I52,"Wand")*100/5</f>
        <v>0</v>
      </c>
      <c r="DY52">
        <f>IF(P52=0,0,COUNTIF('Transect 2_imgsummary'!O52:S52,"BC")*100/P52)</f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52"/>
  <sheetViews>
    <sheetView workbookViewId="0"/>
  </sheetViews>
  <sheetFormatPr baseColWidth="10" defaultColWidth="8.83203125" defaultRowHeight="14" x14ac:dyDescent="0"/>
  <cols>
    <col min="1" max="1" width="2.83203125" bestFit="1" customWidth="1"/>
    <col min="2" max="2" width="12.83203125" bestFit="1" customWidth="1"/>
    <col min="3" max="4" width="1.83203125" bestFit="1" customWidth="1"/>
    <col min="5" max="5" width="3.33203125" style="17" bestFit="1" customWidth="1"/>
    <col min="6" max="6" width="5.33203125" bestFit="1" customWidth="1"/>
    <col min="7" max="9" width="3.33203125" bestFit="1" customWidth="1"/>
    <col min="10" max="10" width="4.33203125" bestFit="1" customWidth="1"/>
    <col min="11" max="11" width="3.33203125" bestFit="1" customWidth="1"/>
    <col min="12" max="12" width="4.33203125" bestFit="1" customWidth="1"/>
    <col min="13" max="13" width="3.33203125" bestFit="1" customWidth="1"/>
    <col min="14" max="14" width="4.33203125" bestFit="1" customWidth="1"/>
    <col min="15" max="16" width="3.33203125" bestFit="1" customWidth="1"/>
    <col min="17" max="17" width="3.33203125" style="17" bestFit="1" customWidth="1"/>
    <col min="18" max="18" width="3.33203125" style="10" bestFit="1" customWidth="1"/>
    <col min="19" max="19" width="3.33203125" bestFit="1" customWidth="1"/>
    <col min="20" max="20" width="4.33203125" bestFit="1" customWidth="1"/>
    <col min="21" max="22" width="3.33203125" bestFit="1" customWidth="1"/>
    <col min="23" max="23" width="5.33203125" bestFit="1" customWidth="1"/>
    <col min="24" max="24" width="4.33203125" bestFit="1" customWidth="1"/>
    <col min="25" max="29" width="3.33203125" bestFit="1" customWidth="1"/>
    <col min="30" max="30" width="5.33203125" bestFit="1" customWidth="1"/>
    <col min="31" max="32" width="3.33203125" bestFit="1" customWidth="1"/>
    <col min="33" max="34" width="4.33203125" bestFit="1" customWidth="1"/>
    <col min="35" max="35" width="3.33203125" bestFit="1" customWidth="1"/>
    <col min="36" max="36" width="4.33203125" bestFit="1" customWidth="1"/>
    <col min="37" max="37" width="3.33203125" bestFit="1" customWidth="1"/>
    <col min="38" max="39" width="4.33203125" bestFit="1" customWidth="1"/>
    <col min="40" max="41" width="3.33203125" bestFit="1" customWidth="1"/>
    <col min="42" max="42" width="4.33203125" bestFit="1" customWidth="1"/>
    <col min="43" max="44" width="3.33203125" bestFit="1" customWidth="1"/>
    <col min="45" max="45" width="4.33203125" bestFit="1" customWidth="1"/>
    <col min="46" max="48" width="3.33203125" bestFit="1" customWidth="1"/>
    <col min="49" max="50" width="4.33203125" bestFit="1" customWidth="1"/>
    <col min="51" max="59" width="3.33203125" bestFit="1" customWidth="1"/>
    <col min="60" max="60" width="4.33203125" bestFit="1" customWidth="1"/>
    <col min="61" max="61" width="3.33203125" bestFit="1" customWidth="1"/>
    <col min="62" max="62" width="4.33203125" bestFit="1" customWidth="1"/>
    <col min="63" max="65" width="3.33203125" bestFit="1" customWidth="1"/>
    <col min="66" max="66" width="4.33203125" bestFit="1" customWidth="1"/>
    <col min="67" max="71" width="3.33203125" bestFit="1" customWidth="1"/>
    <col min="72" max="72" width="4.33203125" bestFit="1" customWidth="1"/>
    <col min="73" max="74" width="3.33203125" bestFit="1" customWidth="1"/>
    <col min="75" max="75" width="3.33203125" style="10" bestFit="1" customWidth="1"/>
    <col min="76" max="87" width="3.33203125" bestFit="1" customWidth="1"/>
    <col min="88" max="88" width="3.33203125" style="10" bestFit="1" customWidth="1"/>
    <col min="89" max="109" width="3.33203125" bestFit="1" customWidth="1"/>
    <col min="110" max="110" width="3.33203125" style="10" bestFit="1" customWidth="1"/>
    <col min="111" max="113" width="3.33203125" bestFit="1" customWidth="1"/>
    <col min="114" max="114" width="3.33203125" style="10" bestFit="1" customWidth="1"/>
    <col min="115" max="115" width="4.33203125" bestFit="1" customWidth="1"/>
    <col min="116" max="116" width="3.33203125" style="10" bestFit="1" customWidth="1"/>
    <col min="117" max="117" width="3.33203125" bestFit="1" customWidth="1"/>
    <col min="118" max="118" width="3.33203125" style="10" bestFit="1" customWidth="1"/>
    <col min="119" max="119" width="4.33203125" bestFit="1" customWidth="1"/>
    <col min="120" max="120" width="3.33203125" style="10" bestFit="1" customWidth="1"/>
    <col min="121" max="121" width="3.33203125" bestFit="1" customWidth="1"/>
    <col min="122" max="122" width="3.33203125" style="10" bestFit="1" customWidth="1"/>
    <col min="123" max="123" width="4.33203125" bestFit="1" customWidth="1"/>
    <col min="124" max="124" width="3.33203125" style="10" bestFit="1" customWidth="1"/>
    <col min="125" max="127" width="3.33203125" bestFit="1" customWidth="1"/>
    <col min="128" max="128" width="3.33203125" style="17" bestFit="1" customWidth="1"/>
    <col min="129" max="129" width="3.33203125" bestFit="1" customWidth="1"/>
  </cols>
  <sheetData>
    <row r="1" spans="1:129" ht="59">
      <c r="F1" s="15" t="s">
        <v>23</v>
      </c>
      <c r="G1" s="15" t="s">
        <v>99</v>
      </c>
      <c r="H1" s="15" t="s">
        <v>101</v>
      </c>
      <c r="I1" s="15" t="s">
        <v>42</v>
      </c>
      <c r="J1" s="15" t="s">
        <v>30</v>
      </c>
      <c r="K1" s="15" t="s">
        <v>105</v>
      </c>
      <c r="L1" s="15" t="s">
        <v>26</v>
      </c>
      <c r="M1" s="15" t="s">
        <v>108</v>
      </c>
      <c r="N1" s="15" t="s">
        <v>28</v>
      </c>
      <c r="O1" s="15" t="s">
        <v>45</v>
      </c>
      <c r="S1" s="15" t="s">
        <v>114</v>
      </c>
      <c r="T1" s="15" t="s">
        <v>89</v>
      </c>
      <c r="U1" s="15" t="s">
        <v>117</v>
      </c>
      <c r="V1" s="15" t="s">
        <v>119</v>
      </c>
      <c r="W1" s="15" t="s">
        <v>22</v>
      </c>
      <c r="X1" s="15" t="s">
        <v>122</v>
      </c>
      <c r="Y1" s="15" t="s">
        <v>124</v>
      </c>
      <c r="Z1" s="15" t="s">
        <v>126</v>
      </c>
      <c r="AA1" s="15" t="s">
        <v>128</v>
      </c>
      <c r="AB1" s="15" t="s">
        <v>66</v>
      </c>
      <c r="AC1" s="15" t="s">
        <v>131</v>
      </c>
      <c r="AD1" s="15" t="s">
        <v>35</v>
      </c>
      <c r="AE1" s="15" t="s">
        <v>134</v>
      </c>
      <c r="AF1" s="15" t="s">
        <v>136</v>
      </c>
      <c r="AG1" s="15" t="s">
        <v>59</v>
      </c>
      <c r="AH1" s="15" t="s">
        <v>139</v>
      </c>
      <c r="AI1" s="15" t="s">
        <v>141</v>
      </c>
      <c r="AJ1" s="15" t="s">
        <v>37</v>
      </c>
      <c r="AK1" s="15" t="s">
        <v>144</v>
      </c>
      <c r="AL1" s="15" t="s">
        <v>64</v>
      </c>
      <c r="AM1" s="15" t="s">
        <v>147</v>
      </c>
      <c r="AN1" s="15" t="s">
        <v>149</v>
      </c>
      <c r="AO1" s="15" t="s">
        <v>151</v>
      </c>
      <c r="AP1" s="15" t="s">
        <v>153</v>
      </c>
      <c r="AQ1" s="15" t="s">
        <v>155</v>
      </c>
      <c r="AR1" s="15" t="s">
        <v>157</v>
      </c>
      <c r="AS1" s="15" t="s">
        <v>31</v>
      </c>
      <c r="AT1" s="15" t="s">
        <v>160</v>
      </c>
      <c r="AU1" s="15" t="s">
        <v>55</v>
      </c>
      <c r="AV1" s="15" t="s">
        <v>38</v>
      </c>
      <c r="AW1" s="15" t="s">
        <v>164</v>
      </c>
      <c r="AX1" s="15" t="s">
        <v>166</v>
      </c>
      <c r="AY1" s="15" t="s">
        <v>168</v>
      </c>
      <c r="AZ1" s="15" t="s">
        <v>72</v>
      </c>
      <c r="BA1" s="15" t="s">
        <v>171</v>
      </c>
      <c r="BB1" s="15" t="s">
        <v>173</v>
      </c>
      <c r="BC1" s="15" t="s">
        <v>175</v>
      </c>
      <c r="BD1" s="15" t="s">
        <v>33</v>
      </c>
      <c r="BE1" s="15" t="s">
        <v>178</v>
      </c>
      <c r="BF1" s="15" t="s">
        <v>180</v>
      </c>
      <c r="BG1" s="15" t="s">
        <v>182</v>
      </c>
      <c r="BH1" s="15" t="s">
        <v>69</v>
      </c>
      <c r="BI1" s="15" t="s">
        <v>185</v>
      </c>
      <c r="BJ1" s="15" t="s">
        <v>187</v>
      </c>
      <c r="BK1" s="15" t="s">
        <v>189</v>
      </c>
      <c r="BL1" s="15" t="s">
        <v>191</v>
      </c>
      <c r="BM1" s="15" t="s">
        <v>193</v>
      </c>
      <c r="BN1" s="15" t="s">
        <v>95</v>
      </c>
      <c r="BO1" s="15" t="s">
        <v>196</v>
      </c>
      <c r="BP1" s="15" t="s">
        <v>198</v>
      </c>
      <c r="BQ1" s="15" t="s">
        <v>200</v>
      </c>
      <c r="BR1" s="15" t="s">
        <v>202</v>
      </c>
      <c r="BS1" s="15" t="s">
        <v>204</v>
      </c>
      <c r="BT1" s="15" t="s">
        <v>51</v>
      </c>
      <c r="BU1" s="15" t="s">
        <v>207</v>
      </c>
      <c r="BV1" s="15" t="s">
        <v>209</v>
      </c>
      <c r="BX1" s="15" t="s">
        <v>211</v>
      </c>
      <c r="BY1" s="15" t="s">
        <v>213</v>
      </c>
      <c r="BZ1" s="15" t="s">
        <v>215</v>
      </c>
      <c r="CA1" s="15" t="s">
        <v>217</v>
      </c>
      <c r="CB1" s="15" t="s">
        <v>219</v>
      </c>
      <c r="CC1" s="15" t="s">
        <v>221</v>
      </c>
      <c r="CD1" s="15" t="s">
        <v>223</v>
      </c>
      <c r="CE1" s="15" t="s">
        <v>225</v>
      </c>
      <c r="CF1" s="15" t="s">
        <v>227</v>
      </c>
      <c r="CG1" s="15" t="s">
        <v>229</v>
      </c>
      <c r="CH1" s="15" t="s">
        <v>231</v>
      </c>
      <c r="CI1" s="15" t="s">
        <v>233</v>
      </c>
      <c r="CK1" s="15" t="s">
        <v>235</v>
      </c>
      <c r="CL1" s="15" t="s">
        <v>237</v>
      </c>
      <c r="CM1" s="15" t="s">
        <v>239</v>
      </c>
      <c r="CN1" s="15" t="s">
        <v>241</v>
      </c>
      <c r="CO1" s="15" t="s">
        <v>243</v>
      </c>
      <c r="CP1" s="15" t="s">
        <v>245</v>
      </c>
      <c r="CQ1" s="15" t="s">
        <v>247</v>
      </c>
      <c r="CR1" s="15" t="s">
        <v>249</v>
      </c>
      <c r="CS1" s="15" t="s">
        <v>251</v>
      </c>
      <c r="CT1" s="15" t="s">
        <v>253</v>
      </c>
      <c r="CU1" s="15" t="s">
        <v>255</v>
      </c>
      <c r="CV1" s="15" t="s">
        <v>257</v>
      </c>
      <c r="CW1" s="15" t="s">
        <v>259</v>
      </c>
      <c r="CX1" s="15" t="s">
        <v>261</v>
      </c>
      <c r="CY1" s="15" t="s">
        <v>263</v>
      </c>
      <c r="CZ1" s="15" t="s">
        <v>265</v>
      </c>
      <c r="DA1" s="15" t="s">
        <v>267</v>
      </c>
      <c r="DB1" s="15" t="s">
        <v>269</v>
      </c>
      <c r="DC1" s="15" t="s">
        <v>271</v>
      </c>
      <c r="DD1" s="15" t="s">
        <v>273</v>
      </c>
      <c r="DE1" s="15" t="s">
        <v>275</v>
      </c>
      <c r="DG1" s="15" t="s">
        <v>277</v>
      </c>
      <c r="DH1" s="15" t="s">
        <v>41</v>
      </c>
      <c r="DI1" s="15" t="s">
        <v>280</v>
      </c>
      <c r="DK1" s="15" t="s">
        <v>29</v>
      </c>
      <c r="DM1" s="15" t="s">
        <v>104</v>
      </c>
      <c r="DO1" s="15" t="s">
        <v>25</v>
      </c>
      <c r="DQ1" s="15" t="s">
        <v>285</v>
      </c>
      <c r="DS1" s="15" t="s">
        <v>27</v>
      </c>
      <c r="DU1" s="15" t="s">
        <v>288</v>
      </c>
      <c r="DV1" s="15" t="s">
        <v>290</v>
      </c>
      <c r="DW1" s="15" t="s">
        <v>292</v>
      </c>
      <c r="DY1" s="15" t="s">
        <v>295</v>
      </c>
    </row>
    <row r="2" spans="1:129" ht="215">
      <c r="B2" s="1" t="s">
        <v>0</v>
      </c>
      <c r="C2" s="1" t="s">
        <v>1</v>
      </c>
      <c r="D2" s="1" t="s">
        <v>2</v>
      </c>
      <c r="E2" s="16" t="s">
        <v>96</v>
      </c>
      <c r="F2" s="18" t="s">
        <v>97</v>
      </c>
      <c r="G2" s="19" t="s">
        <v>98</v>
      </c>
      <c r="H2" s="20" t="s">
        <v>100</v>
      </c>
      <c r="I2" s="21" t="s">
        <v>102</v>
      </c>
      <c r="J2" s="22" t="s">
        <v>103</v>
      </c>
      <c r="K2" s="23" t="s">
        <v>104</v>
      </c>
      <c r="L2" s="24" t="s">
        <v>106</v>
      </c>
      <c r="M2" s="25" t="s">
        <v>107</v>
      </c>
      <c r="N2" s="26" t="s">
        <v>109</v>
      </c>
      <c r="O2" s="27" t="s">
        <v>110</v>
      </c>
      <c r="P2" s="15" t="s">
        <v>111</v>
      </c>
      <c r="Q2" s="16" t="s">
        <v>112</v>
      </c>
      <c r="R2" s="28" t="s">
        <v>97</v>
      </c>
      <c r="S2" s="15" t="s">
        <v>113</v>
      </c>
      <c r="T2" s="15" t="s">
        <v>115</v>
      </c>
      <c r="U2" s="15" t="s">
        <v>116</v>
      </c>
      <c r="V2" s="15" t="s">
        <v>118</v>
      </c>
      <c r="W2" s="15" t="s">
        <v>120</v>
      </c>
      <c r="X2" s="15" t="s">
        <v>121</v>
      </c>
      <c r="Y2" s="15" t="s">
        <v>123</v>
      </c>
      <c r="Z2" s="15" t="s">
        <v>125</v>
      </c>
      <c r="AA2" s="15" t="s">
        <v>127</v>
      </c>
      <c r="AB2" s="15" t="s">
        <v>129</v>
      </c>
      <c r="AC2" s="15" t="s">
        <v>130</v>
      </c>
      <c r="AD2" s="15" t="s">
        <v>132</v>
      </c>
      <c r="AE2" s="15" t="s">
        <v>133</v>
      </c>
      <c r="AF2" s="15" t="s">
        <v>135</v>
      </c>
      <c r="AG2" s="15" t="s">
        <v>137</v>
      </c>
      <c r="AH2" s="15" t="s">
        <v>138</v>
      </c>
      <c r="AI2" s="15" t="s">
        <v>140</v>
      </c>
      <c r="AJ2" s="15" t="s">
        <v>142</v>
      </c>
      <c r="AK2" s="15" t="s">
        <v>143</v>
      </c>
      <c r="AL2" s="15" t="s">
        <v>145</v>
      </c>
      <c r="AM2" s="15" t="s">
        <v>146</v>
      </c>
      <c r="AN2" s="15" t="s">
        <v>148</v>
      </c>
      <c r="AO2" s="15" t="s">
        <v>150</v>
      </c>
      <c r="AP2" s="15" t="s">
        <v>152</v>
      </c>
      <c r="AQ2" s="15" t="s">
        <v>154</v>
      </c>
      <c r="AR2" s="15" t="s">
        <v>156</v>
      </c>
      <c r="AS2" s="15" t="s">
        <v>158</v>
      </c>
      <c r="AT2" s="15" t="s">
        <v>159</v>
      </c>
      <c r="AU2" s="15" t="s">
        <v>161</v>
      </c>
      <c r="AV2" s="15" t="s">
        <v>162</v>
      </c>
      <c r="AW2" s="15" t="s">
        <v>163</v>
      </c>
      <c r="AX2" s="15" t="s">
        <v>165</v>
      </c>
      <c r="AY2" s="15" t="s">
        <v>167</v>
      </c>
      <c r="AZ2" s="15" t="s">
        <v>169</v>
      </c>
      <c r="BA2" s="15" t="s">
        <v>170</v>
      </c>
      <c r="BB2" s="15" t="s">
        <v>172</v>
      </c>
      <c r="BC2" s="15" t="s">
        <v>174</v>
      </c>
      <c r="BD2" s="15" t="s">
        <v>176</v>
      </c>
      <c r="BE2" s="15" t="s">
        <v>177</v>
      </c>
      <c r="BF2" s="15" t="s">
        <v>179</v>
      </c>
      <c r="BG2" s="15" t="s">
        <v>181</v>
      </c>
      <c r="BH2" s="15" t="s">
        <v>183</v>
      </c>
      <c r="BI2" s="15" t="s">
        <v>184</v>
      </c>
      <c r="BJ2" s="15" t="s">
        <v>186</v>
      </c>
      <c r="BK2" s="15" t="s">
        <v>188</v>
      </c>
      <c r="BL2" s="15" t="s">
        <v>190</v>
      </c>
      <c r="BM2" s="15" t="s">
        <v>192</v>
      </c>
      <c r="BN2" s="15" t="s">
        <v>194</v>
      </c>
      <c r="BO2" s="15" t="s">
        <v>195</v>
      </c>
      <c r="BP2" s="15" t="s">
        <v>197</v>
      </c>
      <c r="BQ2" s="15" t="s">
        <v>199</v>
      </c>
      <c r="BR2" s="15" t="s">
        <v>201</v>
      </c>
      <c r="BS2" s="15" t="s">
        <v>203</v>
      </c>
      <c r="BT2" s="15" t="s">
        <v>205</v>
      </c>
      <c r="BU2" s="15" t="s">
        <v>206</v>
      </c>
      <c r="BV2" s="15" t="s">
        <v>208</v>
      </c>
      <c r="BW2" s="28" t="s">
        <v>98</v>
      </c>
      <c r="BX2" s="15" t="s">
        <v>210</v>
      </c>
      <c r="BY2" s="15" t="s">
        <v>212</v>
      </c>
      <c r="BZ2" s="15" t="s">
        <v>214</v>
      </c>
      <c r="CA2" s="15" t="s">
        <v>216</v>
      </c>
      <c r="CB2" s="15" t="s">
        <v>218</v>
      </c>
      <c r="CC2" s="15" t="s">
        <v>220</v>
      </c>
      <c r="CD2" s="15" t="s">
        <v>222</v>
      </c>
      <c r="CE2" s="15" t="s">
        <v>224</v>
      </c>
      <c r="CF2" s="15" t="s">
        <v>226</v>
      </c>
      <c r="CG2" s="15" t="s">
        <v>228</v>
      </c>
      <c r="CH2" s="15" t="s">
        <v>230</v>
      </c>
      <c r="CI2" s="15" t="s">
        <v>232</v>
      </c>
      <c r="CJ2" s="28" t="s">
        <v>100</v>
      </c>
      <c r="CK2" s="15" t="s">
        <v>234</v>
      </c>
      <c r="CL2" s="15" t="s">
        <v>236</v>
      </c>
      <c r="CM2" s="15" t="s">
        <v>238</v>
      </c>
      <c r="CN2" s="15" t="s">
        <v>240</v>
      </c>
      <c r="CO2" s="15" t="s">
        <v>242</v>
      </c>
      <c r="CP2" s="15" t="s">
        <v>244</v>
      </c>
      <c r="CQ2" s="15" t="s">
        <v>246</v>
      </c>
      <c r="CR2" s="15" t="s">
        <v>248</v>
      </c>
      <c r="CS2" s="15" t="s">
        <v>250</v>
      </c>
      <c r="CT2" s="15" t="s">
        <v>252</v>
      </c>
      <c r="CU2" s="15" t="s">
        <v>254</v>
      </c>
      <c r="CV2" s="15" t="s">
        <v>256</v>
      </c>
      <c r="CW2" s="15" t="s">
        <v>258</v>
      </c>
      <c r="CX2" s="15" t="s">
        <v>260</v>
      </c>
      <c r="CY2" s="15" t="s">
        <v>262</v>
      </c>
      <c r="CZ2" s="15" t="s">
        <v>264</v>
      </c>
      <c r="DA2" s="15" t="s">
        <v>266</v>
      </c>
      <c r="DB2" s="15" t="s">
        <v>268</v>
      </c>
      <c r="DC2" s="15" t="s">
        <v>270</v>
      </c>
      <c r="DD2" s="15" t="s">
        <v>272</v>
      </c>
      <c r="DE2" s="15" t="s">
        <v>274</v>
      </c>
      <c r="DF2" s="28" t="s">
        <v>102</v>
      </c>
      <c r="DG2" s="15" t="s">
        <v>276</v>
      </c>
      <c r="DH2" s="15" t="s">
        <v>278</v>
      </c>
      <c r="DI2" s="15" t="s">
        <v>279</v>
      </c>
      <c r="DJ2" s="28" t="s">
        <v>103</v>
      </c>
      <c r="DK2" s="15" t="s">
        <v>281</v>
      </c>
      <c r="DL2" s="28" t="s">
        <v>104</v>
      </c>
      <c r="DM2" s="15" t="s">
        <v>282</v>
      </c>
      <c r="DN2" s="28" t="s">
        <v>106</v>
      </c>
      <c r="DO2" s="15" t="s">
        <v>283</v>
      </c>
      <c r="DP2" s="28" t="s">
        <v>107</v>
      </c>
      <c r="DQ2" s="15" t="s">
        <v>284</v>
      </c>
      <c r="DR2" s="28" t="s">
        <v>109</v>
      </c>
      <c r="DS2" s="15" t="s">
        <v>286</v>
      </c>
      <c r="DT2" s="28" t="s">
        <v>110</v>
      </c>
      <c r="DU2" s="15" t="s">
        <v>287</v>
      </c>
      <c r="DV2" s="15" t="s">
        <v>289</v>
      </c>
      <c r="DW2" s="15" t="s">
        <v>291</v>
      </c>
      <c r="DX2" s="16" t="s">
        <v>293</v>
      </c>
      <c r="DY2" s="15" t="s">
        <v>294</v>
      </c>
    </row>
    <row r="3" spans="1:129">
      <c r="A3">
        <v>1</v>
      </c>
      <c r="B3" t="s">
        <v>490</v>
      </c>
      <c r="F3" s="29">
        <f>IF(P3=0,0,COUNTIF('Transect 3_imgsummary'!J3:N3,"C")*100/P3)</f>
        <v>20</v>
      </c>
      <c r="G3">
        <f>IF(P3=0,0,COUNTIF('Transect 3_imgsummary'!J3:N3,"OI")*100/P3)</f>
        <v>0</v>
      </c>
      <c r="H3">
        <f>IF(P3=0,0,COUNTIF('Transect 3_imgsummary'!J3:N3,"MA")*100/P3)</f>
        <v>0</v>
      </c>
      <c r="I3">
        <f>IF(P3=0,0,COUNTIF('Transect 3_imgsummary'!J3:N3,"BCA")*100/P3)</f>
        <v>0</v>
      </c>
      <c r="J3" s="29">
        <f>IF(P3=0,0,COUNTIF('Transect 3_imgsummary'!J3:N3,"CCA")*100/P3)</f>
        <v>40</v>
      </c>
      <c r="K3">
        <f>IF(P3=0,0,COUNTIF('Transect 3_imgsummary'!J3:N3,"SD")*100/P3)</f>
        <v>0</v>
      </c>
      <c r="L3" s="29">
        <f>IF(P3=0,0,COUNTIF('Transect 3_imgsummary'!J3:N3,"FCA")*100/P3)</f>
        <v>20</v>
      </c>
      <c r="M3">
        <f>IF(P3=0,0,COUNTIF('Transect 3_imgsummary'!J3:N3,"CHRYS")*100/P3)</f>
        <v>0</v>
      </c>
      <c r="N3" s="29">
        <f>IF(P3=0,0,COUNTIF('Transect 3_imgsummary'!J3:N3,"T")*100/P3)</f>
        <v>20</v>
      </c>
      <c r="O3">
        <f>IF(P3=0,0,COUNTIF('Transect 3_imgsummary'!J3:N3,"TWS")*100/P3)</f>
        <v>0</v>
      </c>
      <c r="P3">
        <f>5-COUNTIF('Transect 3_imgsummary'!J3:N3,"TWS")</f>
        <v>5</v>
      </c>
      <c r="S3">
        <f>IF(P3=0,0,COUNTIF('Transect 3_imgsummary'!E3:I3,"ACAN")*100/P3)</f>
        <v>0</v>
      </c>
      <c r="T3">
        <f>IF(P3=0,0,COUNTIF('Transect 3_imgsummary'!E3:I3,"ACROP")*100/P3)</f>
        <v>0</v>
      </c>
      <c r="U3">
        <f>IF(P3=0,0,COUNTIF('Transect 3_imgsummary'!E3:I3,"ACROPARB")*100/P3)</f>
        <v>0</v>
      </c>
      <c r="V3">
        <f>IF(P3=0,0,COUNTIF('Transect 3_imgsummary'!E3:I3,"ACROST")*100/P3)</f>
        <v>0</v>
      </c>
      <c r="W3">
        <f>IF(P3=0,0,COUNTIF('Transect 3_imgsummary'!E3:I3,"ACROTBL")*100/P3)</f>
        <v>0</v>
      </c>
      <c r="X3">
        <f>IF(P3=0,0,COUNTIF('Transect 3_imgsummary'!E3:I3,"ASTRP")*100/P3)</f>
        <v>0</v>
      </c>
      <c r="Y3">
        <f>IF(P3=0,0,COUNTIF('Transect 3_imgsummary'!E3:I3,"CAUL")*100/P3)</f>
        <v>0</v>
      </c>
      <c r="Z3">
        <f>IF(P3=0,0,COUNTIF('Transect 3_imgsummary'!E3:I3,"COSC")*100/P3)</f>
        <v>0</v>
      </c>
      <c r="AA3">
        <f>IF(P3=0,0,COUNTIF('Transect 3_imgsummary'!E3:I3,"CTEN")*100/P3)</f>
        <v>0</v>
      </c>
      <c r="AB3">
        <f>IF(P3=0,0,COUNTIF('Transect 3_imgsummary'!E3:I3,"CYPH")*100/P3)</f>
        <v>0</v>
      </c>
      <c r="AC3">
        <f>IF(P3=0,0,COUNTIF('Transect 3_imgsummary'!E3:I3,"DIPLO")*100/P3)</f>
        <v>0</v>
      </c>
      <c r="AD3" s="29">
        <f>IF(P3=0,0,COUNTIF('Transect 3_imgsummary'!E3:I3,"ECHPO")*100/P3)</f>
        <v>20</v>
      </c>
      <c r="AE3">
        <f>IF(P3=0,0,COUNTIF('Transect 3_imgsummary'!E3:I3,"ECHPHY")*100/P3)</f>
        <v>0</v>
      </c>
      <c r="AF3">
        <f>IF(P3=0,0,COUNTIF('Transect 3_imgsummary'!E3:I3,"EUPH")*100/P3)</f>
        <v>0</v>
      </c>
      <c r="AG3">
        <f>IF(P3=0,0,COUNTIF('Transect 3_imgsummary'!E3:I3,"FAV")*100/P3)</f>
        <v>0</v>
      </c>
      <c r="AH3">
        <f>IF(P3=0,0,COUNTIF('Transect 3_imgsummary'!E3:I3,"FAVT")*100/P3)</f>
        <v>0</v>
      </c>
      <c r="AI3">
        <f>IF(P3=0,0,COUNTIF('Transect 3_imgsummary'!E3:I3,"FUNG")*100/P3)</f>
        <v>0</v>
      </c>
      <c r="AJ3">
        <f>IF(P3=0,0,COUNTIF('Transect 3_imgsummary'!E3:I3,"GAL")*100/P3)</f>
        <v>0</v>
      </c>
      <c r="AK3">
        <f>IF(P3=0,0,COUNTIF('Transect 3_imgsummary'!E3:I3,"GARD")*100/P3)</f>
        <v>0</v>
      </c>
      <c r="AL3">
        <f>IF(P3=0,0,COUNTIF('Transect 3_imgsummary'!E3:I3,"GON")*100/P3)</f>
        <v>0</v>
      </c>
      <c r="AM3">
        <f>IF(P3=0,0,COUNTIF('Transect 3_imgsummary'!E3:I3,"GONIO")*100/P3)</f>
        <v>0</v>
      </c>
      <c r="AN3">
        <f>IF(P3=0,0,COUNTIF('Transect 3_imgsummary'!E3:I3,"HELIO")*100/P3)</f>
        <v>0</v>
      </c>
      <c r="AO3">
        <f>IF(P3=0,0,COUNTIF('Transect 3_imgsummary'!E3:I3,"HERP")*100/P3)</f>
        <v>0</v>
      </c>
      <c r="AP3">
        <f>IF(P3=0,0,COUNTIF('Transect 3_imgsummary'!E3:I3,"HYD")*100/P3)</f>
        <v>0</v>
      </c>
      <c r="AQ3">
        <f>IF(P3=0,0,COUNTIF('Transect 3_imgsummary'!E3:I3,"ISOP")*100/P3)</f>
        <v>0</v>
      </c>
      <c r="AR3">
        <f>IF(P3=0,0,COUNTIF('Transect 3_imgsummary'!E3:I3,"LEPT")*100/P3)</f>
        <v>0</v>
      </c>
      <c r="AS3">
        <f>IF(P3=0,0,COUNTIF('Transect 3_imgsummary'!E3:I3,"LEPTOR")*100/P3)</f>
        <v>0</v>
      </c>
      <c r="AT3">
        <f>IF(P3=0,0,COUNTIF('Transect 3_imgsummary'!E3:I3,"LEPTOS")*100/P3)</f>
        <v>0</v>
      </c>
      <c r="AU3">
        <f>IF(P3=0,0,COUNTIF('Transect 3_imgsummary'!E3:I3,"LOBOPH")*100/P3)</f>
        <v>0</v>
      </c>
      <c r="AV3">
        <f>IF(P3=0,0,COUNTIF('Transect 3_imgsummary'!E3:I3,"MERU")*100/P3)</f>
        <v>0</v>
      </c>
      <c r="AW3">
        <f>IF(P3=0,0,COUNTIF('Transect 3_imgsummary'!E3:I3,"MILL")*100/P3)</f>
        <v>0</v>
      </c>
      <c r="AX3">
        <f>IF(P3=0,0,COUNTIF('Transect 3_imgsummary'!E3:I3,"MONT")*100/P3)</f>
        <v>0</v>
      </c>
      <c r="AY3">
        <f>IF(P3=0,0,COUNTIF('Transect 3_imgsummary'!E3:I3,"MONTI")*100/P3)</f>
        <v>0</v>
      </c>
      <c r="AZ3">
        <f>IF(P3=0,0,COUNTIF('Transect 3_imgsummary'!E3:I3,"MYCED")*100/P3)</f>
        <v>0</v>
      </c>
      <c r="BA3">
        <f>IF(P3=0,0,COUNTIF('Transect 3_imgsummary'!E3:I3,"OULO")*100/P3)</f>
        <v>0</v>
      </c>
      <c r="BB3">
        <f>IF(P3=0,0,COUNTIF('Transect 3_imgsummary'!E3:I3,"OXYP")*100/P3)</f>
        <v>0</v>
      </c>
      <c r="BC3">
        <f>IF(P3=0,0,COUNTIF('Transect 3_imgsummary'!E3:I3,"PLSIA")*100/P3)</f>
        <v>0</v>
      </c>
      <c r="BD3">
        <f>IF(P3=0,0,COUNTIF('Transect 3_imgsummary'!E3:I3,"PACHY")*100/P3)</f>
        <v>0</v>
      </c>
      <c r="BE3">
        <f>IF(P3=0,0,COUNTIF('Transect 3_imgsummary'!E3:I3,"PAV")*100/P3)</f>
        <v>0</v>
      </c>
      <c r="BF3">
        <f>IF(P3=0,0,COUNTIF('Transect 3_imgsummary'!E3:I3,"PECT")*100/P3)</f>
        <v>0</v>
      </c>
      <c r="BG3">
        <f>IF(P3=0,0,COUNTIF('Transect 3_imgsummary'!E3:I3,"PHYSO")*100/P3)</f>
        <v>0</v>
      </c>
      <c r="BH3">
        <f>IF(P3=0,0,COUNTIF('Transect 3_imgsummary'!E3:I3,"PLAT")*100/P3)</f>
        <v>0</v>
      </c>
      <c r="BI3">
        <f>IF(P3=0,0,COUNTIF('Transect 3_imgsummary'!E3:I3,"PLERO")*100/P3)</f>
        <v>0</v>
      </c>
      <c r="BJ3">
        <f>IF(P3=0,0,COUNTIF('Transect 3_imgsummary'!E3:I3,"POC")*100/P3)</f>
        <v>0</v>
      </c>
      <c r="BK3">
        <f>IF(P3=0,0,COUNTIF('Transect 3_imgsummary'!E3:I3,"POR")*100/P3)</f>
        <v>0</v>
      </c>
      <c r="BL3">
        <f>IF(P3=0,0,COUNTIF('Transect 3_imgsummary'!E3:I3,"PORCYL")*100/P3)</f>
        <v>0</v>
      </c>
      <c r="BM3">
        <f>IF(P3=0,0,COUNTIF('Transect 3_imgsummary'!E3:I3,"PORMAS")*100/P3)</f>
        <v>0</v>
      </c>
      <c r="BN3">
        <f>IF(P3=0,0,COUNTIF('Transect 3_imgsummary'!E3:I3,"PORRUS")*100/P3)</f>
        <v>0</v>
      </c>
      <c r="BO3">
        <f>IF(P3=0,0,COUNTIF('Transect 3_imgsummary'!E3:I3,"PSAM")*100/P3)</f>
        <v>0</v>
      </c>
      <c r="BP3">
        <f>IF(P3=0,0,COUNTIF('Transect 3_imgsummary'!E3:I3,"SANDO")*100/P3)</f>
        <v>0</v>
      </c>
      <c r="BQ3">
        <f>IF(P3=0,0,COUNTIF('Transect 3_imgsummary'!E3:I3,"SCAP")*100/P3)</f>
        <v>0</v>
      </c>
      <c r="BR3">
        <f>IF(P3=0,0,COUNTIF('Transect 3_imgsummary'!E3:I3,"SERIA")*100/P3)</f>
        <v>0</v>
      </c>
      <c r="BS3">
        <f>IF(P3=0,0,COUNTIF('Transect 3_imgsummary'!E3:I3,"STYLC")*100/P3)</f>
        <v>0</v>
      </c>
      <c r="BT3">
        <f>IF(P3=0,0,COUNTIF('Transect 3_imgsummary'!E3:I3,"STYLO")*100/P3)</f>
        <v>0</v>
      </c>
      <c r="BU3">
        <f>IF(P3=0,0,COUNTIF('Transect 3_imgsummary'!E3:I3,"SYMP")*100/P3)</f>
        <v>0</v>
      </c>
      <c r="BV3">
        <f>IF(P3=0,0,COUNTIF('Transect 3_imgsummary'!E3:I3,"TURBIN")*100/P3)</f>
        <v>0</v>
      </c>
      <c r="BX3">
        <f>IF(P3=0,0,COUNTIF('Transect 3_imgsummary'!E3:I3,"ANEM")*100/P3)</f>
        <v>0</v>
      </c>
      <c r="BY3">
        <f>IF(P3=0,0,COUNTIF('Transect 3_imgsummary'!E3:I3,"ASC")*100/P3)</f>
        <v>0</v>
      </c>
      <c r="BZ3">
        <f>IF(P3=0,0,COUNTIF('Transect 3_imgsummary'!E3:I3,"CUPS")*100/P3)</f>
        <v>0</v>
      </c>
      <c r="CA3">
        <f>IF(P3=0,0,COUNTIF('Transect 3_imgsummary'!E3:I3,"DISCO")*100/P3)</f>
        <v>0</v>
      </c>
      <c r="CB3">
        <f>IF(P3=0,0,COUNTIF('Transect 3_imgsummary'!E3:I3,"DYS")*100/P3)</f>
        <v>0</v>
      </c>
      <c r="CC3">
        <f>IF(P3=0,0,COUNTIF('Transect 3_imgsummary'!E3:I3,"G")*100/P3)</f>
        <v>0</v>
      </c>
      <c r="CD3">
        <f>IF(P3=0,0,COUNTIF('Transect 3_imgsummary'!E3:I3,"NoIDINV")*100/P3)</f>
        <v>0</v>
      </c>
      <c r="CE3">
        <f>IF(P3=0,0,COUNTIF('Transect 3_imgsummary'!E3:I3,"OLV")*100/P3)</f>
        <v>0</v>
      </c>
      <c r="CF3">
        <f>IF(P3=0,0,COUNTIF('Transect 3_imgsummary'!E3:I3,"SC")*100/P3)</f>
        <v>0</v>
      </c>
      <c r="CG3">
        <f>IF(P3=0,0,COUNTIF('Transect 3_imgsummary'!E3:I3,"S")*100/P3)</f>
        <v>0</v>
      </c>
      <c r="CH3">
        <f>IF(P3=0,0,COUNTIF('Transect 3_imgsummary'!E3:I3,"TERPS")*100/P3)</f>
        <v>0</v>
      </c>
      <c r="CI3">
        <f>IF(P3=0,0,COUNTIF('Transect 3_imgsummary'!E3:I3,"Z")*100/P3)</f>
        <v>0</v>
      </c>
      <c r="CK3">
        <f>IF(P3=0,0,COUNTIF('Transect 3_imgsummary'!E3:I3,"ASP")*100/P3)</f>
        <v>0</v>
      </c>
      <c r="CL3">
        <f>IF(P3=0,0,COUNTIF('Transect 3_imgsummary'!E3:I3,"BG")*100/P3)</f>
        <v>0</v>
      </c>
      <c r="CM3">
        <f>IF(P3=0,0,COUNTIF('Transect 3_imgsummary'!E3:I3,"Bood")*100/P3)</f>
        <v>0</v>
      </c>
      <c r="CN3">
        <f>IF(P3=0,0,COUNTIF('Transect 3_imgsummary'!E3:I3,"BRYP")*100/P3)</f>
        <v>0</v>
      </c>
      <c r="CO3">
        <f>IF(P3=0,0,COUNTIF('Transect 3_imgsummary'!E3:I3,"CLP")*100/P3)</f>
        <v>0</v>
      </c>
      <c r="CP3">
        <f>IF(P3=0,0,COUNTIF('Transect 3_imgsummary'!E3:I3,"CHLDES")*100/P3)</f>
        <v>0</v>
      </c>
      <c r="CQ3">
        <f>IF(P3=0,0,COUNTIF('Transect 3_imgsummary'!E3:I3,"DYCTY")*100/P3)</f>
        <v>0</v>
      </c>
      <c r="CR3">
        <f>IF(P3=0,0,COUNTIF('Transect 3_imgsummary'!E3:I3,"DICT")*100/P3)</f>
        <v>0</v>
      </c>
      <c r="CS3">
        <f>IF(P3=0,0,COUNTIF('Transect 3_imgsummary'!E3:I3,"GLXU")*100/P3)</f>
        <v>0</v>
      </c>
      <c r="CT3">
        <f>IF(P3=0,0,COUNTIF('Transect 3_imgsummary'!E3:I3,"HALI")*100/P3)</f>
        <v>0</v>
      </c>
      <c r="CU3">
        <f>IF(P3=0,0,COUNTIF('Transect 3_imgsummary'!E3:I3,"LIAG")*100/P3)</f>
        <v>0</v>
      </c>
      <c r="CV3">
        <f>IF(P3=0,0,COUNTIF('Transect 3_imgsummary'!E3:I3,"LOBO")*100/P3)</f>
        <v>0</v>
      </c>
      <c r="CW3">
        <f>IF(P3=0,0,COUNTIF('Transect 3_imgsummary'!E3:I3,"MAST")*100/P3)</f>
        <v>0</v>
      </c>
      <c r="CX3">
        <f>IF(P3=0,0,COUNTIF('Transect 3_imgsummary'!E3:I3,"MICDTY")*100/P3)</f>
        <v>0</v>
      </c>
      <c r="CY3">
        <f>IF(P3=0,0,COUNTIF('Transect 3_imgsummary'!E3:I3,"NEOM")*100/P3)</f>
        <v>0</v>
      </c>
      <c r="CZ3">
        <f>IF(P3=0,0,COUNTIF('Transect 3_imgsummary'!E3:I3,"NOIDMAC")*100/P3)</f>
        <v>0</v>
      </c>
      <c r="DA3">
        <f>IF(P3=0,0,COUNTIF('Transect 3_imgsummary'!E3:I3,"PAD")*100/P3)</f>
        <v>0</v>
      </c>
      <c r="DB3">
        <f>IF(P3=0,0,COUNTIF('Transect 3_imgsummary'!E3:I3,"SARG")*100/P3)</f>
        <v>0</v>
      </c>
      <c r="DC3">
        <f>IF(P3=0,0,COUNTIF('Transect 3_imgsummary'!E3:I3,"SCHIZ")*100/P3)</f>
        <v>0</v>
      </c>
      <c r="DD3">
        <f>IF(P3=0,0,COUNTIF('Transect 3_imgsummary'!E3:I3,"TURB")*100/P3)</f>
        <v>0</v>
      </c>
      <c r="DE3">
        <f>IF(P3=0,0,COUNTIF('Transect 3_imgsummary'!E3:I3,"TYDM")*100/P3)</f>
        <v>0</v>
      </c>
      <c r="DG3">
        <f>IF(P3=0,0,COUNTIF('Transect 3_imgsummary'!E3:I3,"AMP")*100/P3)</f>
        <v>0</v>
      </c>
      <c r="DH3">
        <f>IF(P3=0,0,COUNTIF('Transect 3_imgsummary'!E3:I3,"BCA1")*100/P3)</f>
        <v>0</v>
      </c>
      <c r="DI3">
        <f>IF(P3=0,0,COUNTIF('Transect 3_imgsummary'!E3:I3,"JAN")*100/P3)</f>
        <v>0</v>
      </c>
      <c r="DK3" s="29">
        <f>IF(P3=0,0,COUNTIF('Transect 3_imgsummary'!E3:I3,"CCA1")*100/P3)</f>
        <v>40</v>
      </c>
      <c r="DM3">
        <f>IF(P3=0,0,COUNTIF('Transect 3_imgsummary'!E3:I3,"Sand")*100/P3)</f>
        <v>0</v>
      </c>
      <c r="DO3" s="29">
        <f>IF(P3=0,0,COUNTIF('Transect 3_imgsummary'!E3:I3,"FCA1")*100/P3)</f>
        <v>20</v>
      </c>
      <c r="DQ3">
        <f>IF(P3=0,0,COUNTIF('Transect 3_imgsummary'!E3:I3,"CHRYOBRN")*100/P3)</f>
        <v>0</v>
      </c>
      <c r="DS3" s="29">
        <f>IF(P3=0,0,COUNTIF('Transect 3_imgsummary'!E3:I3,"TURF")*100/P3)</f>
        <v>20</v>
      </c>
      <c r="DU3">
        <f>COUNTIF('Transect 3_imgsummary'!E3:I3,"Shadow")*100/5</f>
        <v>0</v>
      </c>
      <c r="DV3">
        <f>COUNTIF('Transect 3_imgsummary'!E3:I3,"Tape")*100/5</f>
        <v>0</v>
      </c>
      <c r="DW3">
        <f>COUNTIF('Transect 3_imgsummary'!E3:I3,"Wand")*100/5</f>
        <v>0</v>
      </c>
      <c r="DY3">
        <f>IF(P3=0,0,COUNTIF('Transect 3_imgsummary'!O3:S3,"BC")*100/P3)</f>
        <v>0</v>
      </c>
    </row>
    <row r="4" spans="1:129">
      <c r="A4">
        <v>2</v>
      </c>
      <c r="B4" t="s">
        <v>491</v>
      </c>
      <c r="F4" s="29">
        <f>IF(P4=0,0,COUNTIF('Transect 3_imgsummary'!J4:N4,"C")*100/P4)</f>
        <v>20</v>
      </c>
      <c r="G4">
        <f>IF(P4=0,0,COUNTIF('Transect 3_imgsummary'!J4:N4,"OI")*100/P4)</f>
        <v>0</v>
      </c>
      <c r="H4">
        <f>IF(P4=0,0,COUNTIF('Transect 3_imgsummary'!J4:N4,"MA")*100/P4)</f>
        <v>0</v>
      </c>
      <c r="I4">
        <f>IF(P4=0,0,COUNTIF('Transect 3_imgsummary'!J4:N4,"BCA")*100/P4)</f>
        <v>0</v>
      </c>
      <c r="J4" s="29">
        <f>IF(P4=0,0,COUNTIF('Transect 3_imgsummary'!J4:N4,"CCA")*100/P4)</f>
        <v>40</v>
      </c>
      <c r="K4">
        <f>IF(P4=0,0,COUNTIF('Transect 3_imgsummary'!J4:N4,"SD")*100/P4)</f>
        <v>0</v>
      </c>
      <c r="L4">
        <f>IF(P4=0,0,COUNTIF('Transect 3_imgsummary'!J4:N4,"FCA")*100/P4)</f>
        <v>0</v>
      </c>
      <c r="M4">
        <f>IF(P4=0,0,COUNTIF('Transect 3_imgsummary'!J4:N4,"CHRYS")*100/P4)</f>
        <v>0</v>
      </c>
      <c r="N4" s="29">
        <f>IF(P4=0,0,COUNTIF('Transect 3_imgsummary'!J4:N4,"T")*100/P4)</f>
        <v>40</v>
      </c>
      <c r="O4">
        <f>IF(P4=0,0,COUNTIF('Transect 3_imgsummary'!J4:N4,"TWS")*100/P4)</f>
        <v>0</v>
      </c>
      <c r="P4">
        <f>5-COUNTIF('Transect 3_imgsummary'!J4:N4,"TWS")</f>
        <v>5</v>
      </c>
      <c r="S4">
        <f>IF(P4=0,0,COUNTIF('Transect 3_imgsummary'!E4:I4,"ACAN")*100/P4)</f>
        <v>0</v>
      </c>
      <c r="T4">
        <f>IF(P4=0,0,COUNTIF('Transect 3_imgsummary'!E4:I4,"ACROP")*100/P4)</f>
        <v>0</v>
      </c>
      <c r="U4">
        <f>IF(P4=0,0,COUNTIF('Transect 3_imgsummary'!E4:I4,"ACROPARB")*100/P4)</f>
        <v>0</v>
      </c>
      <c r="V4">
        <f>IF(P4=0,0,COUNTIF('Transect 3_imgsummary'!E4:I4,"ACROST")*100/P4)</f>
        <v>0</v>
      </c>
      <c r="W4">
        <f>IF(P4=0,0,COUNTIF('Transect 3_imgsummary'!E4:I4,"ACROTBL")*100/P4)</f>
        <v>0</v>
      </c>
      <c r="X4">
        <f>IF(P4=0,0,COUNTIF('Transect 3_imgsummary'!E4:I4,"ASTRP")*100/P4)</f>
        <v>0</v>
      </c>
      <c r="Y4">
        <f>IF(P4=0,0,COUNTIF('Transect 3_imgsummary'!E4:I4,"CAUL")*100/P4)</f>
        <v>0</v>
      </c>
      <c r="Z4">
        <f>IF(P4=0,0,COUNTIF('Transect 3_imgsummary'!E4:I4,"COSC")*100/P4)</f>
        <v>0</v>
      </c>
      <c r="AA4">
        <f>IF(P4=0,0,COUNTIF('Transect 3_imgsummary'!E4:I4,"CTEN")*100/P4)</f>
        <v>0</v>
      </c>
      <c r="AB4">
        <f>IF(P4=0,0,COUNTIF('Transect 3_imgsummary'!E4:I4,"CYPH")*100/P4)</f>
        <v>0</v>
      </c>
      <c r="AC4">
        <f>IF(P4=0,0,COUNTIF('Transect 3_imgsummary'!E4:I4,"DIPLO")*100/P4)</f>
        <v>0</v>
      </c>
      <c r="AD4">
        <f>IF(P4=0,0,COUNTIF('Transect 3_imgsummary'!E4:I4,"ECHPO")*100/P4)</f>
        <v>0</v>
      </c>
      <c r="AE4">
        <f>IF(P4=0,0,COUNTIF('Transect 3_imgsummary'!E4:I4,"ECHPHY")*100/P4)</f>
        <v>0</v>
      </c>
      <c r="AF4">
        <f>IF(P4=0,0,COUNTIF('Transect 3_imgsummary'!E4:I4,"EUPH")*100/P4)</f>
        <v>0</v>
      </c>
      <c r="AG4">
        <f>IF(P4=0,0,COUNTIF('Transect 3_imgsummary'!E4:I4,"FAV")*100/P4)</f>
        <v>0</v>
      </c>
      <c r="AH4">
        <f>IF(P4=0,0,COUNTIF('Transect 3_imgsummary'!E4:I4,"FAVT")*100/P4)</f>
        <v>0</v>
      </c>
      <c r="AI4">
        <f>IF(P4=0,0,COUNTIF('Transect 3_imgsummary'!E4:I4,"FUNG")*100/P4)</f>
        <v>0</v>
      </c>
      <c r="AJ4">
        <f>IF(P4=0,0,COUNTIF('Transect 3_imgsummary'!E4:I4,"GAL")*100/P4)</f>
        <v>0</v>
      </c>
      <c r="AK4">
        <f>IF(P4=0,0,COUNTIF('Transect 3_imgsummary'!E4:I4,"GARD")*100/P4)</f>
        <v>0</v>
      </c>
      <c r="AL4">
        <f>IF(P4=0,0,COUNTIF('Transect 3_imgsummary'!E4:I4,"GON")*100/P4)</f>
        <v>0</v>
      </c>
      <c r="AM4">
        <f>IF(P4=0,0,COUNTIF('Transect 3_imgsummary'!E4:I4,"GONIO")*100/P4)</f>
        <v>0</v>
      </c>
      <c r="AN4">
        <f>IF(P4=0,0,COUNTIF('Transect 3_imgsummary'!E4:I4,"HELIO")*100/P4)</f>
        <v>0</v>
      </c>
      <c r="AO4">
        <f>IF(P4=0,0,COUNTIF('Transect 3_imgsummary'!E4:I4,"HERP")*100/P4)</f>
        <v>0</v>
      </c>
      <c r="AP4">
        <f>IF(P4=0,0,COUNTIF('Transect 3_imgsummary'!E4:I4,"HYD")*100/P4)</f>
        <v>0</v>
      </c>
      <c r="AQ4">
        <f>IF(P4=0,0,COUNTIF('Transect 3_imgsummary'!E4:I4,"ISOP")*100/P4)</f>
        <v>0</v>
      </c>
      <c r="AR4">
        <f>IF(P4=0,0,COUNTIF('Transect 3_imgsummary'!E4:I4,"LEPT")*100/P4)</f>
        <v>0</v>
      </c>
      <c r="AS4" s="29">
        <f>IF(P4=0,0,COUNTIF('Transect 3_imgsummary'!E4:I4,"LEPTOR")*100/P4)</f>
        <v>20</v>
      </c>
      <c r="AT4">
        <f>IF(P4=0,0,COUNTIF('Transect 3_imgsummary'!E4:I4,"LEPTOS")*100/P4)</f>
        <v>0</v>
      </c>
      <c r="AU4">
        <f>IF(P4=0,0,COUNTIF('Transect 3_imgsummary'!E4:I4,"LOBOPH")*100/P4)</f>
        <v>0</v>
      </c>
      <c r="AV4">
        <f>IF(P4=0,0,COUNTIF('Transect 3_imgsummary'!E4:I4,"MERU")*100/P4)</f>
        <v>0</v>
      </c>
      <c r="AW4">
        <f>IF(P4=0,0,COUNTIF('Transect 3_imgsummary'!E4:I4,"MILL")*100/P4)</f>
        <v>0</v>
      </c>
      <c r="AX4">
        <f>IF(P4=0,0,COUNTIF('Transect 3_imgsummary'!E4:I4,"MONT")*100/P4)</f>
        <v>0</v>
      </c>
      <c r="AY4">
        <f>IF(P4=0,0,COUNTIF('Transect 3_imgsummary'!E4:I4,"MONTI")*100/P4)</f>
        <v>0</v>
      </c>
      <c r="AZ4">
        <f>IF(P4=0,0,COUNTIF('Transect 3_imgsummary'!E4:I4,"MYCED")*100/P4)</f>
        <v>0</v>
      </c>
      <c r="BA4">
        <f>IF(P4=0,0,COUNTIF('Transect 3_imgsummary'!E4:I4,"OULO")*100/P4)</f>
        <v>0</v>
      </c>
      <c r="BB4">
        <f>IF(P4=0,0,COUNTIF('Transect 3_imgsummary'!E4:I4,"OXYP")*100/P4)</f>
        <v>0</v>
      </c>
      <c r="BC4">
        <f>IF(P4=0,0,COUNTIF('Transect 3_imgsummary'!E4:I4,"PLSIA")*100/P4)</f>
        <v>0</v>
      </c>
      <c r="BD4">
        <f>IF(P4=0,0,COUNTIF('Transect 3_imgsummary'!E4:I4,"PACHY")*100/P4)</f>
        <v>0</v>
      </c>
      <c r="BE4">
        <f>IF(P4=0,0,COUNTIF('Transect 3_imgsummary'!E4:I4,"PAV")*100/P4)</f>
        <v>0</v>
      </c>
      <c r="BF4">
        <f>IF(P4=0,0,COUNTIF('Transect 3_imgsummary'!E4:I4,"PECT")*100/P4)</f>
        <v>0</v>
      </c>
      <c r="BG4">
        <f>IF(P4=0,0,COUNTIF('Transect 3_imgsummary'!E4:I4,"PHYSO")*100/P4)</f>
        <v>0</v>
      </c>
      <c r="BH4">
        <f>IF(P4=0,0,COUNTIF('Transect 3_imgsummary'!E4:I4,"PLAT")*100/P4)</f>
        <v>0</v>
      </c>
      <c r="BI4">
        <f>IF(P4=0,0,COUNTIF('Transect 3_imgsummary'!E4:I4,"PLERO")*100/P4)</f>
        <v>0</v>
      </c>
      <c r="BJ4">
        <f>IF(P4=0,0,COUNTIF('Transect 3_imgsummary'!E4:I4,"POC")*100/P4)</f>
        <v>0</v>
      </c>
      <c r="BK4">
        <f>IF(P4=0,0,COUNTIF('Transect 3_imgsummary'!E4:I4,"POR")*100/P4)</f>
        <v>0</v>
      </c>
      <c r="BL4">
        <f>IF(P4=0,0,COUNTIF('Transect 3_imgsummary'!E4:I4,"PORCYL")*100/P4)</f>
        <v>0</v>
      </c>
      <c r="BM4">
        <f>IF(P4=0,0,COUNTIF('Transect 3_imgsummary'!E4:I4,"PORMAS")*100/P4)</f>
        <v>0</v>
      </c>
      <c r="BN4">
        <f>IF(P4=0,0,COUNTIF('Transect 3_imgsummary'!E4:I4,"PORRUS")*100/P4)</f>
        <v>0</v>
      </c>
      <c r="BO4">
        <f>IF(P4=0,0,COUNTIF('Transect 3_imgsummary'!E4:I4,"PSAM")*100/P4)</f>
        <v>0</v>
      </c>
      <c r="BP4">
        <f>IF(P4=0,0,COUNTIF('Transect 3_imgsummary'!E4:I4,"SANDO")*100/P4)</f>
        <v>0</v>
      </c>
      <c r="BQ4">
        <f>IF(P4=0,0,COUNTIF('Transect 3_imgsummary'!E4:I4,"SCAP")*100/P4)</f>
        <v>0</v>
      </c>
      <c r="BR4">
        <f>IF(P4=0,0,COUNTIF('Transect 3_imgsummary'!E4:I4,"SERIA")*100/P4)</f>
        <v>0</v>
      </c>
      <c r="BS4">
        <f>IF(P4=0,0,COUNTIF('Transect 3_imgsummary'!E4:I4,"STYLC")*100/P4)</f>
        <v>0</v>
      </c>
      <c r="BT4">
        <f>IF(P4=0,0,COUNTIF('Transect 3_imgsummary'!E4:I4,"STYLO")*100/P4)</f>
        <v>0</v>
      </c>
      <c r="BU4">
        <f>IF(P4=0,0,COUNTIF('Transect 3_imgsummary'!E4:I4,"SYMP")*100/P4)</f>
        <v>0</v>
      </c>
      <c r="BV4">
        <f>IF(P4=0,0,COUNTIF('Transect 3_imgsummary'!E4:I4,"TURBIN")*100/P4)</f>
        <v>0</v>
      </c>
      <c r="BX4">
        <f>IF(P4=0,0,COUNTIF('Transect 3_imgsummary'!E4:I4,"ANEM")*100/P4)</f>
        <v>0</v>
      </c>
      <c r="BY4">
        <f>IF(P4=0,0,COUNTIF('Transect 3_imgsummary'!E4:I4,"ASC")*100/P4)</f>
        <v>0</v>
      </c>
      <c r="BZ4">
        <f>IF(P4=0,0,COUNTIF('Transect 3_imgsummary'!E4:I4,"CUPS")*100/P4)</f>
        <v>0</v>
      </c>
      <c r="CA4">
        <f>IF(P4=0,0,COUNTIF('Transect 3_imgsummary'!E4:I4,"DISCO")*100/P4)</f>
        <v>0</v>
      </c>
      <c r="CB4">
        <f>IF(P4=0,0,COUNTIF('Transect 3_imgsummary'!E4:I4,"DYS")*100/P4)</f>
        <v>0</v>
      </c>
      <c r="CC4">
        <f>IF(P4=0,0,COUNTIF('Transect 3_imgsummary'!E4:I4,"G")*100/P4)</f>
        <v>0</v>
      </c>
      <c r="CD4">
        <f>IF(P4=0,0,COUNTIF('Transect 3_imgsummary'!E4:I4,"NoIDINV")*100/P4)</f>
        <v>0</v>
      </c>
      <c r="CE4">
        <f>IF(P4=0,0,COUNTIF('Transect 3_imgsummary'!E4:I4,"OLV")*100/P4)</f>
        <v>0</v>
      </c>
      <c r="CF4">
        <f>IF(P4=0,0,COUNTIF('Transect 3_imgsummary'!E4:I4,"SC")*100/P4)</f>
        <v>0</v>
      </c>
      <c r="CG4">
        <f>IF(P4=0,0,COUNTIF('Transect 3_imgsummary'!E4:I4,"S")*100/P4)</f>
        <v>0</v>
      </c>
      <c r="CH4">
        <f>IF(P4=0,0,COUNTIF('Transect 3_imgsummary'!E4:I4,"TERPS")*100/P4)</f>
        <v>0</v>
      </c>
      <c r="CI4">
        <f>IF(P4=0,0,COUNTIF('Transect 3_imgsummary'!E4:I4,"Z")*100/P4)</f>
        <v>0</v>
      </c>
      <c r="CK4">
        <f>IF(P4=0,0,COUNTIF('Transect 3_imgsummary'!E4:I4,"ASP")*100/P4)</f>
        <v>0</v>
      </c>
      <c r="CL4">
        <f>IF(P4=0,0,COUNTIF('Transect 3_imgsummary'!E4:I4,"BG")*100/P4)</f>
        <v>0</v>
      </c>
      <c r="CM4">
        <f>IF(P4=0,0,COUNTIF('Transect 3_imgsummary'!E4:I4,"Bood")*100/P4)</f>
        <v>0</v>
      </c>
      <c r="CN4">
        <f>IF(P4=0,0,COUNTIF('Transect 3_imgsummary'!E4:I4,"BRYP")*100/P4)</f>
        <v>0</v>
      </c>
      <c r="CO4">
        <f>IF(P4=0,0,COUNTIF('Transect 3_imgsummary'!E4:I4,"CLP")*100/P4)</f>
        <v>0</v>
      </c>
      <c r="CP4">
        <f>IF(P4=0,0,COUNTIF('Transect 3_imgsummary'!E4:I4,"CHLDES")*100/P4)</f>
        <v>0</v>
      </c>
      <c r="CQ4">
        <f>IF(P4=0,0,COUNTIF('Transect 3_imgsummary'!E4:I4,"DYCTY")*100/P4)</f>
        <v>0</v>
      </c>
      <c r="CR4">
        <f>IF(P4=0,0,COUNTIF('Transect 3_imgsummary'!E4:I4,"DICT")*100/P4)</f>
        <v>0</v>
      </c>
      <c r="CS4">
        <f>IF(P4=0,0,COUNTIF('Transect 3_imgsummary'!E4:I4,"GLXU")*100/P4)</f>
        <v>0</v>
      </c>
      <c r="CT4">
        <f>IF(P4=0,0,COUNTIF('Transect 3_imgsummary'!E4:I4,"HALI")*100/P4)</f>
        <v>0</v>
      </c>
      <c r="CU4">
        <f>IF(P4=0,0,COUNTIF('Transect 3_imgsummary'!E4:I4,"LIAG")*100/P4)</f>
        <v>0</v>
      </c>
      <c r="CV4">
        <f>IF(P4=0,0,COUNTIF('Transect 3_imgsummary'!E4:I4,"LOBO")*100/P4)</f>
        <v>0</v>
      </c>
      <c r="CW4">
        <f>IF(P4=0,0,COUNTIF('Transect 3_imgsummary'!E4:I4,"MAST")*100/P4)</f>
        <v>0</v>
      </c>
      <c r="CX4">
        <f>IF(P4=0,0,COUNTIF('Transect 3_imgsummary'!E4:I4,"MICDTY")*100/P4)</f>
        <v>0</v>
      </c>
      <c r="CY4">
        <f>IF(P4=0,0,COUNTIF('Transect 3_imgsummary'!E4:I4,"NEOM")*100/P4)</f>
        <v>0</v>
      </c>
      <c r="CZ4">
        <f>IF(P4=0,0,COUNTIF('Transect 3_imgsummary'!E4:I4,"NOIDMAC")*100/P4)</f>
        <v>0</v>
      </c>
      <c r="DA4">
        <f>IF(P4=0,0,COUNTIF('Transect 3_imgsummary'!E4:I4,"PAD")*100/P4)</f>
        <v>0</v>
      </c>
      <c r="DB4">
        <f>IF(P4=0,0,COUNTIF('Transect 3_imgsummary'!E4:I4,"SARG")*100/P4)</f>
        <v>0</v>
      </c>
      <c r="DC4">
        <f>IF(P4=0,0,COUNTIF('Transect 3_imgsummary'!E4:I4,"SCHIZ")*100/P4)</f>
        <v>0</v>
      </c>
      <c r="DD4">
        <f>IF(P4=0,0,COUNTIF('Transect 3_imgsummary'!E4:I4,"TURB")*100/P4)</f>
        <v>0</v>
      </c>
      <c r="DE4">
        <f>IF(P4=0,0,COUNTIF('Transect 3_imgsummary'!E4:I4,"TYDM")*100/P4)</f>
        <v>0</v>
      </c>
      <c r="DG4">
        <f>IF(P4=0,0,COUNTIF('Transect 3_imgsummary'!E4:I4,"AMP")*100/P4)</f>
        <v>0</v>
      </c>
      <c r="DH4">
        <f>IF(P4=0,0,COUNTIF('Transect 3_imgsummary'!E4:I4,"BCA1")*100/P4)</f>
        <v>0</v>
      </c>
      <c r="DI4">
        <f>IF(P4=0,0,COUNTIF('Transect 3_imgsummary'!E4:I4,"JAN")*100/P4)</f>
        <v>0</v>
      </c>
      <c r="DK4" s="29">
        <f>IF(P4=0,0,COUNTIF('Transect 3_imgsummary'!E4:I4,"CCA1")*100/P4)</f>
        <v>40</v>
      </c>
      <c r="DM4">
        <f>IF(P4=0,0,COUNTIF('Transect 3_imgsummary'!E4:I4,"Sand")*100/P4)</f>
        <v>0</v>
      </c>
      <c r="DO4">
        <f>IF(P4=0,0,COUNTIF('Transect 3_imgsummary'!E4:I4,"FCA1")*100/P4)</f>
        <v>0</v>
      </c>
      <c r="DQ4">
        <f>IF(P4=0,0,COUNTIF('Transect 3_imgsummary'!E4:I4,"CHRYOBRN")*100/P4)</f>
        <v>0</v>
      </c>
      <c r="DS4" s="29">
        <f>IF(P4=0,0,COUNTIF('Transect 3_imgsummary'!E4:I4,"TURF")*100/P4)</f>
        <v>40</v>
      </c>
      <c r="DU4">
        <f>COUNTIF('Transect 3_imgsummary'!E4:I4,"Shadow")*100/5</f>
        <v>0</v>
      </c>
      <c r="DV4">
        <f>COUNTIF('Transect 3_imgsummary'!E4:I4,"Tape")*100/5</f>
        <v>0</v>
      </c>
      <c r="DW4">
        <f>COUNTIF('Transect 3_imgsummary'!E4:I4,"Wand")*100/5</f>
        <v>0</v>
      </c>
      <c r="DY4">
        <f>IF(P4=0,0,COUNTIF('Transect 3_imgsummary'!O4:S4,"BC")*100/P4)</f>
        <v>0</v>
      </c>
    </row>
    <row r="5" spans="1:129">
      <c r="A5">
        <v>3</v>
      </c>
      <c r="B5" t="s">
        <v>492</v>
      </c>
      <c r="F5" s="29">
        <f>IF(P5=0,0,COUNTIF('Transect 3_imgsummary'!J5:N5,"C")*100/P5)</f>
        <v>80</v>
      </c>
      <c r="G5">
        <f>IF(P5=0,0,COUNTIF('Transect 3_imgsummary'!J5:N5,"OI")*100/P5)</f>
        <v>0</v>
      </c>
      <c r="H5">
        <f>IF(P5=0,0,COUNTIF('Transect 3_imgsummary'!J5:N5,"MA")*100/P5)</f>
        <v>0</v>
      </c>
      <c r="I5">
        <f>IF(P5=0,0,COUNTIF('Transect 3_imgsummary'!J5:N5,"BCA")*100/P5)</f>
        <v>0</v>
      </c>
      <c r="J5" s="29">
        <f>IF(P5=0,0,COUNTIF('Transect 3_imgsummary'!J5:N5,"CCA")*100/P5)</f>
        <v>20</v>
      </c>
      <c r="K5">
        <f>IF(P5=0,0,COUNTIF('Transect 3_imgsummary'!J5:N5,"SD")*100/P5)</f>
        <v>0</v>
      </c>
      <c r="L5">
        <f>IF(P5=0,0,COUNTIF('Transect 3_imgsummary'!J5:N5,"FCA")*100/P5)</f>
        <v>0</v>
      </c>
      <c r="M5">
        <f>IF(P5=0,0,COUNTIF('Transect 3_imgsummary'!J5:N5,"CHRYS")*100/P5)</f>
        <v>0</v>
      </c>
      <c r="N5">
        <f>IF(P5=0,0,COUNTIF('Transect 3_imgsummary'!J5:N5,"T")*100/P5)</f>
        <v>0</v>
      </c>
      <c r="O5">
        <f>IF(P5=0,0,COUNTIF('Transect 3_imgsummary'!J5:N5,"TWS")*100/P5)</f>
        <v>0</v>
      </c>
      <c r="P5">
        <f>5-COUNTIF('Transect 3_imgsummary'!J5:N5,"TWS")</f>
        <v>5</v>
      </c>
      <c r="S5">
        <f>IF(P5=0,0,COUNTIF('Transect 3_imgsummary'!E5:I5,"ACAN")*100/P5)</f>
        <v>0</v>
      </c>
      <c r="T5">
        <f>IF(P5=0,0,COUNTIF('Transect 3_imgsummary'!E5:I5,"ACROP")*100/P5)</f>
        <v>0</v>
      </c>
      <c r="U5">
        <f>IF(P5=0,0,COUNTIF('Transect 3_imgsummary'!E5:I5,"ACROPARB")*100/P5)</f>
        <v>0</v>
      </c>
      <c r="V5">
        <f>IF(P5=0,0,COUNTIF('Transect 3_imgsummary'!E5:I5,"ACROST")*100/P5)</f>
        <v>0</v>
      </c>
      <c r="W5">
        <f>IF(P5=0,0,COUNTIF('Transect 3_imgsummary'!E5:I5,"ACROTBL")*100/P5)</f>
        <v>0</v>
      </c>
      <c r="X5">
        <f>IF(P5=0,0,COUNTIF('Transect 3_imgsummary'!E5:I5,"ASTRP")*100/P5)</f>
        <v>0</v>
      </c>
      <c r="Y5">
        <f>IF(P5=0,0,COUNTIF('Transect 3_imgsummary'!E5:I5,"CAUL")*100/P5)</f>
        <v>0</v>
      </c>
      <c r="Z5">
        <f>IF(P5=0,0,COUNTIF('Transect 3_imgsummary'!E5:I5,"COSC")*100/P5)</f>
        <v>0</v>
      </c>
      <c r="AA5">
        <f>IF(P5=0,0,COUNTIF('Transect 3_imgsummary'!E5:I5,"CTEN")*100/P5)</f>
        <v>0</v>
      </c>
      <c r="AB5">
        <f>IF(P5=0,0,COUNTIF('Transect 3_imgsummary'!E5:I5,"CYPH")*100/P5)</f>
        <v>0</v>
      </c>
      <c r="AC5">
        <f>IF(P5=0,0,COUNTIF('Transect 3_imgsummary'!E5:I5,"DIPLO")*100/P5)</f>
        <v>0</v>
      </c>
      <c r="AD5" s="29">
        <f>IF(P5=0,0,COUNTIF('Transect 3_imgsummary'!E5:I5,"ECHPO")*100/P5)</f>
        <v>60</v>
      </c>
      <c r="AE5">
        <f>IF(P5=0,0,COUNTIF('Transect 3_imgsummary'!E5:I5,"ECHPHY")*100/P5)</f>
        <v>0</v>
      </c>
      <c r="AF5">
        <f>IF(P5=0,0,COUNTIF('Transect 3_imgsummary'!E5:I5,"EUPH")*100/P5)</f>
        <v>0</v>
      </c>
      <c r="AG5">
        <f>IF(P5=0,0,COUNTIF('Transect 3_imgsummary'!E5:I5,"FAV")*100/P5)</f>
        <v>0</v>
      </c>
      <c r="AH5">
        <f>IF(P5=0,0,COUNTIF('Transect 3_imgsummary'!E5:I5,"FAVT")*100/P5)</f>
        <v>0</v>
      </c>
      <c r="AI5">
        <f>IF(P5=0,0,COUNTIF('Transect 3_imgsummary'!E5:I5,"FUNG")*100/P5)</f>
        <v>0</v>
      </c>
      <c r="AJ5">
        <f>IF(P5=0,0,COUNTIF('Transect 3_imgsummary'!E5:I5,"GAL")*100/P5)</f>
        <v>0</v>
      </c>
      <c r="AK5">
        <f>IF(P5=0,0,COUNTIF('Transect 3_imgsummary'!E5:I5,"GARD")*100/P5)</f>
        <v>0</v>
      </c>
      <c r="AL5">
        <f>IF(P5=0,0,COUNTIF('Transect 3_imgsummary'!E5:I5,"GON")*100/P5)</f>
        <v>0</v>
      </c>
      <c r="AM5">
        <f>IF(P5=0,0,COUNTIF('Transect 3_imgsummary'!E5:I5,"GONIO")*100/P5)</f>
        <v>0</v>
      </c>
      <c r="AN5">
        <f>IF(P5=0,0,COUNTIF('Transect 3_imgsummary'!E5:I5,"HELIO")*100/P5)</f>
        <v>0</v>
      </c>
      <c r="AO5">
        <f>IF(P5=0,0,COUNTIF('Transect 3_imgsummary'!E5:I5,"HERP")*100/P5)</f>
        <v>0</v>
      </c>
      <c r="AP5">
        <f>IF(P5=0,0,COUNTIF('Transect 3_imgsummary'!E5:I5,"HYD")*100/P5)</f>
        <v>0</v>
      </c>
      <c r="AQ5">
        <f>IF(P5=0,0,COUNTIF('Transect 3_imgsummary'!E5:I5,"ISOP")*100/P5)</f>
        <v>0</v>
      </c>
      <c r="AR5">
        <f>IF(P5=0,0,COUNTIF('Transect 3_imgsummary'!E5:I5,"LEPT")*100/P5)</f>
        <v>0</v>
      </c>
      <c r="AS5">
        <f>IF(P5=0,0,COUNTIF('Transect 3_imgsummary'!E5:I5,"LEPTOR")*100/P5)</f>
        <v>0</v>
      </c>
      <c r="AT5">
        <f>IF(P5=0,0,COUNTIF('Transect 3_imgsummary'!E5:I5,"LEPTOS")*100/P5)</f>
        <v>0</v>
      </c>
      <c r="AU5">
        <f>IF(P5=0,0,COUNTIF('Transect 3_imgsummary'!E5:I5,"LOBOPH")*100/P5)</f>
        <v>0</v>
      </c>
      <c r="AV5">
        <f>IF(P5=0,0,COUNTIF('Transect 3_imgsummary'!E5:I5,"MERU")*100/P5)</f>
        <v>0</v>
      </c>
      <c r="AW5">
        <f>IF(P5=0,0,COUNTIF('Transect 3_imgsummary'!E5:I5,"MILL")*100/P5)</f>
        <v>0</v>
      </c>
      <c r="AX5">
        <f>IF(P5=0,0,COUNTIF('Transect 3_imgsummary'!E5:I5,"MONT")*100/P5)</f>
        <v>0</v>
      </c>
      <c r="AY5">
        <f>IF(P5=0,0,COUNTIF('Transect 3_imgsummary'!E5:I5,"MONTI")*100/P5)</f>
        <v>0</v>
      </c>
      <c r="AZ5">
        <f>IF(P5=0,0,COUNTIF('Transect 3_imgsummary'!E5:I5,"MYCED")*100/P5)</f>
        <v>0</v>
      </c>
      <c r="BA5">
        <f>IF(P5=0,0,COUNTIF('Transect 3_imgsummary'!E5:I5,"OULO")*100/P5)</f>
        <v>0</v>
      </c>
      <c r="BB5">
        <f>IF(P5=0,0,COUNTIF('Transect 3_imgsummary'!E5:I5,"OXYP")*100/P5)</f>
        <v>0</v>
      </c>
      <c r="BC5">
        <f>IF(P5=0,0,COUNTIF('Transect 3_imgsummary'!E5:I5,"PLSIA")*100/P5)</f>
        <v>0</v>
      </c>
      <c r="BD5">
        <f>IF(P5=0,0,COUNTIF('Transect 3_imgsummary'!E5:I5,"PACHY")*100/P5)</f>
        <v>0</v>
      </c>
      <c r="BE5">
        <f>IF(P5=0,0,COUNTIF('Transect 3_imgsummary'!E5:I5,"PAV")*100/P5)</f>
        <v>0</v>
      </c>
      <c r="BF5">
        <f>IF(P5=0,0,COUNTIF('Transect 3_imgsummary'!E5:I5,"PECT")*100/P5)</f>
        <v>0</v>
      </c>
      <c r="BG5">
        <f>IF(P5=0,0,COUNTIF('Transect 3_imgsummary'!E5:I5,"PHYSO")*100/P5)</f>
        <v>0</v>
      </c>
      <c r="BH5">
        <f>IF(P5=0,0,COUNTIF('Transect 3_imgsummary'!E5:I5,"PLAT")*100/P5)</f>
        <v>0</v>
      </c>
      <c r="BI5">
        <f>IF(P5=0,0,COUNTIF('Transect 3_imgsummary'!E5:I5,"PLERO")*100/P5)</f>
        <v>0</v>
      </c>
      <c r="BJ5">
        <f>IF(P5=0,0,COUNTIF('Transect 3_imgsummary'!E5:I5,"POC")*100/P5)</f>
        <v>0</v>
      </c>
      <c r="BK5">
        <f>IF(P5=0,0,COUNTIF('Transect 3_imgsummary'!E5:I5,"POR")*100/P5)</f>
        <v>0</v>
      </c>
      <c r="BL5">
        <f>IF(P5=0,0,COUNTIF('Transect 3_imgsummary'!E5:I5,"PORCYL")*100/P5)</f>
        <v>0</v>
      </c>
      <c r="BM5">
        <f>IF(P5=0,0,COUNTIF('Transect 3_imgsummary'!E5:I5,"PORMAS")*100/P5)</f>
        <v>0</v>
      </c>
      <c r="BN5">
        <f>IF(P5=0,0,COUNTIF('Transect 3_imgsummary'!E5:I5,"PORRUS")*100/P5)</f>
        <v>0</v>
      </c>
      <c r="BO5">
        <f>IF(P5=0,0,COUNTIF('Transect 3_imgsummary'!E5:I5,"PSAM")*100/P5)</f>
        <v>0</v>
      </c>
      <c r="BP5">
        <f>IF(P5=0,0,COUNTIF('Transect 3_imgsummary'!E5:I5,"SANDO")*100/P5)</f>
        <v>0</v>
      </c>
      <c r="BQ5">
        <f>IF(P5=0,0,COUNTIF('Transect 3_imgsummary'!E5:I5,"SCAP")*100/P5)</f>
        <v>0</v>
      </c>
      <c r="BR5">
        <f>IF(P5=0,0,COUNTIF('Transect 3_imgsummary'!E5:I5,"SERIA")*100/P5)</f>
        <v>0</v>
      </c>
      <c r="BS5">
        <f>IF(P5=0,0,COUNTIF('Transect 3_imgsummary'!E5:I5,"STYLC")*100/P5)</f>
        <v>0</v>
      </c>
      <c r="BT5" s="29">
        <f>IF(P5=0,0,COUNTIF('Transect 3_imgsummary'!E5:I5,"STYLO")*100/P5)</f>
        <v>20</v>
      </c>
      <c r="BU5">
        <f>IF(P5=0,0,COUNTIF('Transect 3_imgsummary'!E5:I5,"SYMP")*100/P5)</f>
        <v>0</v>
      </c>
      <c r="BV5">
        <f>IF(P5=0,0,COUNTIF('Transect 3_imgsummary'!E5:I5,"TURBIN")*100/P5)</f>
        <v>0</v>
      </c>
      <c r="BX5">
        <f>IF(P5=0,0,COUNTIF('Transect 3_imgsummary'!E5:I5,"ANEM")*100/P5)</f>
        <v>0</v>
      </c>
      <c r="BY5">
        <f>IF(P5=0,0,COUNTIF('Transect 3_imgsummary'!E5:I5,"ASC")*100/P5)</f>
        <v>0</v>
      </c>
      <c r="BZ5">
        <f>IF(P5=0,0,COUNTIF('Transect 3_imgsummary'!E5:I5,"CUPS")*100/P5)</f>
        <v>0</v>
      </c>
      <c r="CA5">
        <f>IF(P5=0,0,COUNTIF('Transect 3_imgsummary'!E5:I5,"DISCO")*100/P5)</f>
        <v>0</v>
      </c>
      <c r="CB5">
        <f>IF(P5=0,0,COUNTIF('Transect 3_imgsummary'!E5:I5,"DYS")*100/P5)</f>
        <v>0</v>
      </c>
      <c r="CC5">
        <f>IF(P5=0,0,COUNTIF('Transect 3_imgsummary'!E5:I5,"G")*100/P5)</f>
        <v>0</v>
      </c>
      <c r="CD5">
        <f>IF(P5=0,0,COUNTIF('Transect 3_imgsummary'!E5:I5,"NoIDINV")*100/P5)</f>
        <v>0</v>
      </c>
      <c r="CE5">
        <f>IF(P5=0,0,COUNTIF('Transect 3_imgsummary'!E5:I5,"OLV")*100/P5)</f>
        <v>0</v>
      </c>
      <c r="CF5">
        <f>IF(P5=0,0,COUNTIF('Transect 3_imgsummary'!E5:I5,"SC")*100/P5)</f>
        <v>0</v>
      </c>
      <c r="CG5">
        <f>IF(P5=0,0,COUNTIF('Transect 3_imgsummary'!E5:I5,"S")*100/P5)</f>
        <v>0</v>
      </c>
      <c r="CH5">
        <f>IF(P5=0,0,COUNTIF('Transect 3_imgsummary'!E5:I5,"TERPS")*100/P5)</f>
        <v>0</v>
      </c>
      <c r="CI5">
        <f>IF(P5=0,0,COUNTIF('Transect 3_imgsummary'!E5:I5,"Z")*100/P5)</f>
        <v>0</v>
      </c>
      <c r="CK5">
        <f>IF(P5=0,0,COUNTIF('Transect 3_imgsummary'!E5:I5,"ASP")*100/P5)</f>
        <v>0</v>
      </c>
      <c r="CL5">
        <f>IF(P5=0,0,COUNTIF('Transect 3_imgsummary'!E5:I5,"BG")*100/P5)</f>
        <v>0</v>
      </c>
      <c r="CM5">
        <f>IF(P5=0,0,COUNTIF('Transect 3_imgsummary'!E5:I5,"Bood")*100/P5)</f>
        <v>0</v>
      </c>
      <c r="CN5">
        <f>IF(P5=0,0,COUNTIF('Transect 3_imgsummary'!E5:I5,"BRYP")*100/P5)</f>
        <v>0</v>
      </c>
      <c r="CO5">
        <f>IF(P5=0,0,COUNTIF('Transect 3_imgsummary'!E5:I5,"CLP")*100/P5)</f>
        <v>0</v>
      </c>
      <c r="CP5">
        <f>IF(P5=0,0,COUNTIF('Transect 3_imgsummary'!E5:I5,"CHLDES")*100/P5)</f>
        <v>0</v>
      </c>
      <c r="CQ5">
        <f>IF(P5=0,0,COUNTIF('Transect 3_imgsummary'!E5:I5,"DYCTY")*100/P5)</f>
        <v>0</v>
      </c>
      <c r="CR5">
        <f>IF(P5=0,0,COUNTIF('Transect 3_imgsummary'!E5:I5,"DICT")*100/P5)</f>
        <v>0</v>
      </c>
      <c r="CS5">
        <f>IF(P5=0,0,COUNTIF('Transect 3_imgsummary'!E5:I5,"GLXU")*100/P5)</f>
        <v>0</v>
      </c>
      <c r="CT5">
        <f>IF(P5=0,0,COUNTIF('Transect 3_imgsummary'!E5:I5,"HALI")*100/P5)</f>
        <v>0</v>
      </c>
      <c r="CU5">
        <f>IF(P5=0,0,COUNTIF('Transect 3_imgsummary'!E5:I5,"LIAG")*100/P5)</f>
        <v>0</v>
      </c>
      <c r="CV5">
        <f>IF(P5=0,0,COUNTIF('Transect 3_imgsummary'!E5:I5,"LOBO")*100/P5)</f>
        <v>0</v>
      </c>
      <c r="CW5">
        <f>IF(P5=0,0,COUNTIF('Transect 3_imgsummary'!E5:I5,"MAST")*100/P5)</f>
        <v>0</v>
      </c>
      <c r="CX5">
        <f>IF(P5=0,0,COUNTIF('Transect 3_imgsummary'!E5:I5,"MICDTY")*100/P5)</f>
        <v>0</v>
      </c>
      <c r="CY5">
        <f>IF(P5=0,0,COUNTIF('Transect 3_imgsummary'!E5:I5,"NEOM")*100/P5)</f>
        <v>0</v>
      </c>
      <c r="CZ5">
        <f>IF(P5=0,0,COUNTIF('Transect 3_imgsummary'!E5:I5,"NOIDMAC")*100/P5)</f>
        <v>0</v>
      </c>
      <c r="DA5">
        <f>IF(P5=0,0,COUNTIF('Transect 3_imgsummary'!E5:I5,"PAD")*100/P5)</f>
        <v>0</v>
      </c>
      <c r="DB5">
        <f>IF(P5=0,0,COUNTIF('Transect 3_imgsummary'!E5:I5,"SARG")*100/P5)</f>
        <v>0</v>
      </c>
      <c r="DC5">
        <f>IF(P5=0,0,COUNTIF('Transect 3_imgsummary'!E5:I5,"SCHIZ")*100/P5)</f>
        <v>0</v>
      </c>
      <c r="DD5">
        <f>IF(P5=0,0,COUNTIF('Transect 3_imgsummary'!E5:I5,"TURB")*100/P5)</f>
        <v>0</v>
      </c>
      <c r="DE5">
        <f>IF(P5=0,0,COUNTIF('Transect 3_imgsummary'!E5:I5,"TYDM")*100/P5)</f>
        <v>0</v>
      </c>
      <c r="DG5">
        <f>IF(P5=0,0,COUNTIF('Transect 3_imgsummary'!E5:I5,"AMP")*100/P5)</f>
        <v>0</v>
      </c>
      <c r="DH5">
        <f>IF(P5=0,0,COUNTIF('Transect 3_imgsummary'!E5:I5,"BCA1")*100/P5)</f>
        <v>0</v>
      </c>
      <c r="DI5">
        <f>IF(P5=0,0,COUNTIF('Transect 3_imgsummary'!E5:I5,"JAN")*100/P5)</f>
        <v>0</v>
      </c>
      <c r="DK5" s="29">
        <f>IF(P5=0,0,COUNTIF('Transect 3_imgsummary'!E5:I5,"CCA1")*100/P5)</f>
        <v>20</v>
      </c>
      <c r="DM5">
        <f>IF(P5=0,0,COUNTIF('Transect 3_imgsummary'!E5:I5,"Sand")*100/P5)</f>
        <v>0</v>
      </c>
      <c r="DO5">
        <f>IF(P5=0,0,COUNTIF('Transect 3_imgsummary'!E5:I5,"FCA1")*100/P5)</f>
        <v>0</v>
      </c>
      <c r="DQ5">
        <f>IF(P5=0,0,COUNTIF('Transect 3_imgsummary'!E5:I5,"CHRYOBRN")*100/P5)</f>
        <v>0</v>
      </c>
      <c r="DS5">
        <f>IF(P5=0,0,COUNTIF('Transect 3_imgsummary'!E5:I5,"TURF")*100/P5)</f>
        <v>0</v>
      </c>
      <c r="DU5">
        <f>COUNTIF('Transect 3_imgsummary'!E5:I5,"Shadow")*100/5</f>
        <v>0</v>
      </c>
      <c r="DV5">
        <f>COUNTIF('Transect 3_imgsummary'!E5:I5,"Tape")*100/5</f>
        <v>0</v>
      </c>
      <c r="DW5">
        <f>COUNTIF('Transect 3_imgsummary'!E5:I5,"Wand")*100/5</f>
        <v>0</v>
      </c>
      <c r="DY5">
        <f>IF(P5=0,0,COUNTIF('Transect 3_imgsummary'!O5:S5,"BC")*100/P5)</f>
        <v>0</v>
      </c>
    </row>
    <row r="6" spans="1:129">
      <c r="A6">
        <v>4</v>
      </c>
      <c r="B6" t="s">
        <v>493</v>
      </c>
      <c r="F6" s="29">
        <f>IF(P6=0,0,COUNTIF('Transect 3_imgsummary'!J6:N6,"C")*100/P6)</f>
        <v>100</v>
      </c>
      <c r="G6">
        <f>IF(P6=0,0,COUNTIF('Transect 3_imgsummary'!J6:N6,"OI")*100/P6)</f>
        <v>0</v>
      </c>
      <c r="H6">
        <f>IF(P6=0,0,COUNTIF('Transect 3_imgsummary'!J6:N6,"MA")*100/P6)</f>
        <v>0</v>
      </c>
      <c r="I6">
        <f>IF(P6=0,0,COUNTIF('Transect 3_imgsummary'!J6:N6,"BCA")*100/P6)</f>
        <v>0</v>
      </c>
      <c r="J6">
        <f>IF(P6=0,0,COUNTIF('Transect 3_imgsummary'!J6:N6,"CCA")*100/P6)</f>
        <v>0</v>
      </c>
      <c r="K6">
        <f>IF(P6=0,0,COUNTIF('Transect 3_imgsummary'!J6:N6,"SD")*100/P6)</f>
        <v>0</v>
      </c>
      <c r="L6">
        <f>IF(P6=0,0,COUNTIF('Transect 3_imgsummary'!J6:N6,"FCA")*100/P6)</f>
        <v>0</v>
      </c>
      <c r="M6">
        <f>IF(P6=0,0,COUNTIF('Transect 3_imgsummary'!J6:N6,"CHRYS")*100/P6)</f>
        <v>0</v>
      </c>
      <c r="N6">
        <f>IF(P6=0,0,COUNTIF('Transect 3_imgsummary'!J6:N6,"T")*100/P6)</f>
        <v>0</v>
      </c>
      <c r="O6">
        <f>IF(P6=0,0,COUNTIF('Transect 3_imgsummary'!J6:N6,"TWS")*100/P6)</f>
        <v>0</v>
      </c>
      <c r="P6">
        <f>5-COUNTIF('Transect 3_imgsummary'!J6:N6,"TWS")</f>
        <v>5</v>
      </c>
      <c r="S6">
        <f>IF(P6=0,0,COUNTIF('Transect 3_imgsummary'!E6:I6,"ACAN")*100/P6)</f>
        <v>0</v>
      </c>
      <c r="T6">
        <f>IF(P6=0,0,COUNTIF('Transect 3_imgsummary'!E6:I6,"ACROP")*100/P6)</f>
        <v>0</v>
      </c>
      <c r="U6">
        <f>IF(P6=0,0,COUNTIF('Transect 3_imgsummary'!E6:I6,"ACROPARB")*100/P6)</f>
        <v>0</v>
      </c>
      <c r="V6">
        <f>IF(P6=0,0,COUNTIF('Transect 3_imgsummary'!E6:I6,"ACROST")*100/P6)</f>
        <v>0</v>
      </c>
      <c r="W6" s="29">
        <f>IF(P6=0,0,COUNTIF('Transect 3_imgsummary'!E6:I6,"ACROTBL")*100/P6)</f>
        <v>60</v>
      </c>
      <c r="X6">
        <f>IF(P6=0,0,COUNTIF('Transect 3_imgsummary'!E6:I6,"ASTRP")*100/P6)</f>
        <v>0</v>
      </c>
      <c r="Y6">
        <f>IF(P6=0,0,COUNTIF('Transect 3_imgsummary'!E6:I6,"CAUL")*100/P6)</f>
        <v>0</v>
      </c>
      <c r="Z6">
        <f>IF(P6=0,0,COUNTIF('Transect 3_imgsummary'!E6:I6,"COSC")*100/P6)</f>
        <v>0</v>
      </c>
      <c r="AA6">
        <f>IF(P6=0,0,COUNTIF('Transect 3_imgsummary'!E6:I6,"CTEN")*100/P6)</f>
        <v>0</v>
      </c>
      <c r="AB6">
        <f>IF(P6=0,0,COUNTIF('Transect 3_imgsummary'!E6:I6,"CYPH")*100/P6)</f>
        <v>0</v>
      </c>
      <c r="AC6">
        <f>IF(P6=0,0,COUNTIF('Transect 3_imgsummary'!E6:I6,"DIPLO")*100/P6)</f>
        <v>0</v>
      </c>
      <c r="AD6">
        <f>IF(P6=0,0,COUNTIF('Transect 3_imgsummary'!E6:I6,"ECHPO")*100/P6)</f>
        <v>0</v>
      </c>
      <c r="AE6">
        <f>IF(P6=0,0,COUNTIF('Transect 3_imgsummary'!E6:I6,"ECHPHY")*100/P6)</f>
        <v>0</v>
      </c>
      <c r="AF6">
        <f>IF(P6=0,0,COUNTIF('Transect 3_imgsummary'!E6:I6,"EUPH")*100/P6)</f>
        <v>0</v>
      </c>
      <c r="AG6">
        <f>IF(P6=0,0,COUNTIF('Transect 3_imgsummary'!E6:I6,"FAV")*100/P6)</f>
        <v>0</v>
      </c>
      <c r="AH6">
        <f>IF(P6=0,0,COUNTIF('Transect 3_imgsummary'!E6:I6,"FAVT")*100/P6)</f>
        <v>0</v>
      </c>
      <c r="AI6">
        <f>IF(P6=0,0,COUNTIF('Transect 3_imgsummary'!E6:I6,"FUNG")*100/P6)</f>
        <v>0</v>
      </c>
      <c r="AJ6">
        <f>IF(P6=0,0,COUNTIF('Transect 3_imgsummary'!E6:I6,"GAL")*100/P6)</f>
        <v>0</v>
      </c>
      <c r="AK6">
        <f>IF(P6=0,0,COUNTIF('Transect 3_imgsummary'!E6:I6,"GARD")*100/P6)</f>
        <v>0</v>
      </c>
      <c r="AL6">
        <f>IF(P6=0,0,COUNTIF('Transect 3_imgsummary'!E6:I6,"GON")*100/P6)</f>
        <v>0</v>
      </c>
      <c r="AM6">
        <f>IF(P6=0,0,COUNTIF('Transect 3_imgsummary'!E6:I6,"GONIO")*100/P6)</f>
        <v>0</v>
      </c>
      <c r="AN6">
        <f>IF(P6=0,0,COUNTIF('Transect 3_imgsummary'!E6:I6,"HELIO")*100/P6)</f>
        <v>0</v>
      </c>
      <c r="AO6">
        <f>IF(P6=0,0,COUNTIF('Transect 3_imgsummary'!E6:I6,"HERP")*100/P6)</f>
        <v>0</v>
      </c>
      <c r="AP6">
        <f>IF(P6=0,0,COUNTIF('Transect 3_imgsummary'!E6:I6,"HYD")*100/P6)</f>
        <v>0</v>
      </c>
      <c r="AQ6">
        <f>IF(P6=0,0,COUNTIF('Transect 3_imgsummary'!E6:I6,"ISOP")*100/P6)</f>
        <v>0</v>
      </c>
      <c r="AR6">
        <f>IF(P6=0,0,COUNTIF('Transect 3_imgsummary'!E6:I6,"LEPT")*100/P6)</f>
        <v>0</v>
      </c>
      <c r="AS6" s="29">
        <f>IF(P6=0,0,COUNTIF('Transect 3_imgsummary'!E6:I6,"LEPTOR")*100/P6)</f>
        <v>40</v>
      </c>
      <c r="AT6">
        <f>IF(P6=0,0,COUNTIF('Transect 3_imgsummary'!E6:I6,"LEPTOS")*100/P6)</f>
        <v>0</v>
      </c>
      <c r="AU6">
        <f>IF(P6=0,0,COUNTIF('Transect 3_imgsummary'!E6:I6,"LOBOPH")*100/P6)</f>
        <v>0</v>
      </c>
      <c r="AV6">
        <f>IF(P6=0,0,COUNTIF('Transect 3_imgsummary'!E6:I6,"MERU")*100/P6)</f>
        <v>0</v>
      </c>
      <c r="AW6">
        <f>IF(P6=0,0,COUNTIF('Transect 3_imgsummary'!E6:I6,"MILL")*100/P6)</f>
        <v>0</v>
      </c>
      <c r="AX6">
        <f>IF(P6=0,0,COUNTIF('Transect 3_imgsummary'!E6:I6,"MONT")*100/P6)</f>
        <v>0</v>
      </c>
      <c r="AY6">
        <f>IF(P6=0,0,COUNTIF('Transect 3_imgsummary'!E6:I6,"MONTI")*100/P6)</f>
        <v>0</v>
      </c>
      <c r="AZ6">
        <f>IF(P6=0,0,COUNTIF('Transect 3_imgsummary'!E6:I6,"MYCED")*100/P6)</f>
        <v>0</v>
      </c>
      <c r="BA6">
        <f>IF(P6=0,0,COUNTIF('Transect 3_imgsummary'!E6:I6,"OULO")*100/P6)</f>
        <v>0</v>
      </c>
      <c r="BB6">
        <f>IF(P6=0,0,COUNTIF('Transect 3_imgsummary'!E6:I6,"OXYP")*100/P6)</f>
        <v>0</v>
      </c>
      <c r="BC6">
        <f>IF(P6=0,0,COUNTIF('Transect 3_imgsummary'!E6:I6,"PLSIA")*100/P6)</f>
        <v>0</v>
      </c>
      <c r="BD6">
        <f>IF(P6=0,0,COUNTIF('Transect 3_imgsummary'!E6:I6,"PACHY")*100/P6)</f>
        <v>0</v>
      </c>
      <c r="BE6">
        <f>IF(P6=0,0,COUNTIF('Transect 3_imgsummary'!E6:I6,"PAV")*100/P6)</f>
        <v>0</v>
      </c>
      <c r="BF6">
        <f>IF(P6=0,0,COUNTIF('Transect 3_imgsummary'!E6:I6,"PECT")*100/P6)</f>
        <v>0</v>
      </c>
      <c r="BG6">
        <f>IF(P6=0,0,COUNTIF('Transect 3_imgsummary'!E6:I6,"PHYSO")*100/P6)</f>
        <v>0</v>
      </c>
      <c r="BH6">
        <f>IF(P6=0,0,COUNTIF('Transect 3_imgsummary'!E6:I6,"PLAT")*100/P6)</f>
        <v>0</v>
      </c>
      <c r="BI6">
        <f>IF(P6=0,0,COUNTIF('Transect 3_imgsummary'!E6:I6,"PLERO")*100/P6)</f>
        <v>0</v>
      </c>
      <c r="BJ6">
        <f>IF(P6=0,0,COUNTIF('Transect 3_imgsummary'!E6:I6,"POC")*100/P6)</f>
        <v>0</v>
      </c>
      <c r="BK6">
        <f>IF(P6=0,0,COUNTIF('Transect 3_imgsummary'!E6:I6,"POR")*100/P6)</f>
        <v>0</v>
      </c>
      <c r="BL6">
        <f>IF(P6=0,0,COUNTIF('Transect 3_imgsummary'!E6:I6,"PORCYL")*100/P6)</f>
        <v>0</v>
      </c>
      <c r="BM6">
        <f>IF(P6=0,0,COUNTIF('Transect 3_imgsummary'!E6:I6,"PORMAS")*100/P6)</f>
        <v>0</v>
      </c>
      <c r="BN6">
        <f>IF(P6=0,0,COUNTIF('Transect 3_imgsummary'!E6:I6,"PORRUS")*100/P6)</f>
        <v>0</v>
      </c>
      <c r="BO6">
        <f>IF(P6=0,0,COUNTIF('Transect 3_imgsummary'!E6:I6,"PSAM")*100/P6)</f>
        <v>0</v>
      </c>
      <c r="BP6">
        <f>IF(P6=0,0,COUNTIF('Transect 3_imgsummary'!E6:I6,"SANDO")*100/P6)</f>
        <v>0</v>
      </c>
      <c r="BQ6">
        <f>IF(P6=0,0,COUNTIF('Transect 3_imgsummary'!E6:I6,"SCAP")*100/P6)</f>
        <v>0</v>
      </c>
      <c r="BR6">
        <f>IF(P6=0,0,COUNTIF('Transect 3_imgsummary'!E6:I6,"SERIA")*100/P6)</f>
        <v>0</v>
      </c>
      <c r="BS6">
        <f>IF(P6=0,0,COUNTIF('Transect 3_imgsummary'!E6:I6,"STYLC")*100/P6)</f>
        <v>0</v>
      </c>
      <c r="BT6">
        <f>IF(P6=0,0,COUNTIF('Transect 3_imgsummary'!E6:I6,"STYLO")*100/P6)</f>
        <v>0</v>
      </c>
      <c r="BU6">
        <f>IF(P6=0,0,COUNTIF('Transect 3_imgsummary'!E6:I6,"SYMP")*100/P6)</f>
        <v>0</v>
      </c>
      <c r="BV6">
        <f>IF(P6=0,0,COUNTIF('Transect 3_imgsummary'!E6:I6,"TURBIN")*100/P6)</f>
        <v>0</v>
      </c>
      <c r="BX6">
        <f>IF(P6=0,0,COUNTIF('Transect 3_imgsummary'!E6:I6,"ANEM")*100/P6)</f>
        <v>0</v>
      </c>
      <c r="BY6">
        <f>IF(P6=0,0,COUNTIF('Transect 3_imgsummary'!E6:I6,"ASC")*100/P6)</f>
        <v>0</v>
      </c>
      <c r="BZ6">
        <f>IF(P6=0,0,COUNTIF('Transect 3_imgsummary'!E6:I6,"CUPS")*100/P6)</f>
        <v>0</v>
      </c>
      <c r="CA6">
        <f>IF(P6=0,0,COUNTIF('Transect 3_imgsummary'!E6:I6,"DISCO")*100/P6)</f>
        <v>0</v>
      </c>
      <c r="CB6">
        <f>IF(P6=0,0,COUNTIF('Transect 3_imgsummary'!E6:I6,"DYS")*100/P6)</f>
        <v>0</v>
      </c>
      <c r="CC6">
        <f>IF(P6=0,0,COUNTIF('Transect 3_imgsummary'!E6:I6,"G")*100/P6)</f>
        <v>0</v>
      </c>
      <c r="CD6">
        <f>IF(P6=0,0,COUNTIF('Transect 3_imgsummary'!E6:I6,"NoIDINV")*100/P6)</f>
        <v>0</v>
      </c>
      <c r="CE6">
        <f>IF(P6=0,0,COUNTIF('Transect 3_imgsummary'!E6:I6,"OLV")*100/P6)</f>
        <v>0</v>
      </c>
      <c r="CF6">
        <f>IF(P6=0,0,COUNTIF('Transect 3_imgsummary'!E6:I6,"SC")*100/P6)</f>
        <v>0</v>
      </c>
      <c r="CG6">
        <f>IF(P6=0,0,COUNTIF('Transect 3_imgsummary'!E6:I6,"S")*100/P6)</f>
        <v>0</v>
      </c>
      <c r="CH6">
        <f>IF(P6=0,0,COUNTIF('Transect 3_imgsummary'!E6:I6,"TERPS")*100/P6)</f>
        <v>0</v>
      </c>
      <c r="CI6">
        <f>IF(P6=0,0,COUNTIF('Transect 3_imgsummary'!E6:I6,"Z")*100/P6)</f>
        <v>0</v>
      </c>
      <c r="CK6">
        <f>IF(P6=0,0,COUNTIF('Transect 3_imgsummary'!E6:I6,"ASP")*100/P6)</f>
        <v>0</v>
      </c>
      <c r="CL6">
        <f>IF(P6=0,0,COUNTIF('Transect 3_imgsummary'!E6:I6,"BG")*100/P6)</f>
        <v>0</v>
      </c>
      <c r="CM6">
        <f>IF(P6=0,0,COUNTIF('Transect 3_imgsummary'!E6:I6,"Bood")*100/P6)</f>
        <v>0</v>
      </c>
      <c r="CN6">
        <f>IF(P6=0,0,COUNTIF('Transect 3_imgsummary'!E6:I6,"BRYP")*100/P6)</f>
        <v>0</v>
      </c>
      <c r="CO6">
        <f>IF(P6=0,0,COUNTIF('Transect 3_imgsummary'!E6:I6,"CLP")*100/P6)</f>
        <v>0</v>
      </c>
      <c r="CP6">
        <f>IF(P6=0,0,COUNTIF('Transect 3_imgsummary'!E6:I6,"CHLDES")*100/P6)</f>
        <v>0</v>
      </c>
      <c r="CQ6">
        <f>IF(P6=0,0,COUNTIF('Transect 3_imgsummary'!E6:I6,"DYCTY")*100/P6)</f>
        <v>0</v>
      </c>
      <c r="CR6">
        <f>IF(P6=0,0,COUNTIF('Transect 3_imgsummary'!E6:I6,"DICT")*100/P6)</f>
        <v>0</v>
      </c>
      <c r="CS6">
        <f>IF(P6=0,0,COUNTIF('Transect 3_imgsummary'!E6:I6,"GLXU")*100/P6)</f>
        <v>0</v>
      </c>
      <c r="CT6">
        <f>IF(P6=0,0,COUNTIF('Transect 3_imgsummary'!E6:I6,"HALI")*100/P6)</f>
        <v>0</v>
      </c>
      <c r="CU6">
        <f>IF(P6=0,0,COUNTIF('Transect 3_imgsummary'!E6:I6,"LIAG")*100/P6)</f>
        <v>0</v>
      </c>
      <c r="CV6">
        <f>IF(P6=0,0,COUNTIF('Transect 3_imgsummary'!E6:I6,"LOBO")*100/P6)</f>
        <v>0</v>
      </c>
      <c r="CW6">
        <f>IF(P6=0,0,COUNTIF('Transect 3_imgsummary'!E6:I6,"MAST")*100/P6)</f>
        <v>0</v>
      </c>
      <c r="CX6">
        <f>IF(P6=0,0,COUNTIF('Transect 3_imgsummary'!E6:I6,"MICDTY")*100/P6)</f>
        <v>0</v>
      </c>
      <c r="CY6">
        <f>IF(P6=0,0,COUNTIF('Transect 3_imgsummary'!E6:I6,"NEOM")*100/P6)</f>
        <v>0</v>
      </c>
      <c r="CZ6">
        <f>IF(P6=0,0,COUNTIF('Transect 3_imgsummary'!E6:I6,"NOIDMAC")*100/P6)</f>
        <v>0</v>
      </c>
      <c r="DA6">
        <f>IF(P6=0,0,COUNTIF('Transect 3_imgsummary'!E6:I6,"PAD")*100/P6)</f>
        <v>0</v>
      </c>
      <c r="DB6">
        <f>IF(P6=0,0,COUNTIF('Transect 3_imgsummary'!E6:I6,"SARG")*100/P6)</f>
        <v>0</v>
      </c>
      <c r="DC6">
        <f>IF(P6=0,0,COUNTIF('Transect 3_imgsummary'!E6:I6,"SCHIZ")*100/P6)</f>
        <v>0</v>
      </c>
      <c r="DD6">
        <f>IF(P6=0,0,COUNTIF('Transect 3_imgsummary'!E6:I6,"TURB")*100/P6)</f>
        <v>0</v>
      </c>
      <c r="DE6">
        <f>IF(P6=0,0,COUNTIF('Transect 3_imgsummary'!E6:I6,"TYDM")*100/P6)</f>
        <v>0</v>
      </c>
      <c r="DG6">
        <f>IF(P6=0,0,COUNTIF('Transect 3_imgsummary'!E6:I6,"AMP")*100/P6)</f>
        <v>0</v>
      </c>
      <c r="DH6">
        <f>IF(P6=0,0,COUNTIF('Transect 3_imgsummary'!E6:I6,"BCA1")*100/P6)</f>
        <v>0</v>
      </c>
      <c r="DI6">
        <f>IF(P6=0,0,COUNTIF('Transect 3_imgsummary'!E6:I6,"JAN")*100/P6)</f>
        <v>0</v>
      </c>
      <c r="DK6">
        <f>IF(P6=0,0,COUNTIF('Transect 3_imgsummary'!E6:I6,"CCA1")*100/P6)</f>
        <v>0</v>
      </c>
      <c r="DM6">
        <f>IF(P6=0,0,COUNTIF('Transect 3_imgsummary'!E6:I6,"Sand")*100/P6)</f>
        <v>0</v>
      </c>
      <c r="DO6">
        <f>IF(P6=0,0,COUNTIF('Transect 3_imgsummary'!E6:I6,"FCA1")*100/P6)</f>
        <v>0</v>
      </c>
      <c r="DQ6">
        <f>IF(P6=0,0,COUNTIF('Transect 3_imgsummary'!E6:I6,"CHRYOBRN")*100/P6)</f>
        <v>0</v>
      </c>
      <c r="DS6">
        <f>IF(P6=0,0,COUNTIF('Transect 3_imgsummary'!E6:I6,"TURF")*100/P6)</f>
        <v>0</v>
      </c>
      <c r="DU6">
        <f>COUNTIF('Transect 3_imgsummary'!E6:I6,"Shadow")*100/5</f>
        <v>0</v>
      </c>
      <c r="DV6">
        <f>COUNTIF('Transect 3_imgsummary'!E6:I6,"Tape")*100/5</f>
        <v>0</v>
      </c>
      <c r="DW6">
        <f>COUNTIF('Transect 3_imgsummary'!E6:I6,"Wand")*100/5</f>
        <v>0</v>
      </c>
      <c r="DY6">
        <f>IF(P6=0,0,COUNTIF('Transect 3_imgsummary'!O6:S6,"BC")*100/P6)</f>
        <v>0</v>
      </c>
    </row>
    <row r="7" spans="1:129">
      <c r="A7">
        <v>5</v>
      </c>
      <c r="B7" t="s">
        <v>494</v>
      </c>
      <c r="F7" s="29">
        <f>IF(P7=0,0,COUNTIF('Transect 3_imgsummary'!J7:N7,"C")*100/P7)</f>
        <v>40</v>
      </c>
      <c r="G7">
        <f>IF(P7=0,0,COUNTIF('Transect 3_imgsummary'!J7:N7,"OI")*100/P7)</f>
        <v>0</v>
      </c>
      <c r="H7">
        <f>IF(P7=0,0,COUNTIF('Transect 3_imgsummary'!J7:N7,"MA")*100/P7)</f>
        <v>0</v>
      </c>
      <c r="I7">
        <f>IF(P7=0,0,COUNTIF('Transect 3_imgsummary'!J7:N7,"BCA")*100/P7)</f>
        <v>0</v>
      </c>
      <c r="J7" s="29">
        <f>IF(P7=0,0,COUNTIF('Transect 3_imgsummary'!J7:N7,"CCA")*100/P7)</f>
        <v>60</v>
      </c>
      <c r="K7">
        <f>IF(P7=0,0,COUNTIF('Transect 3_imgsummary'!J7:N7,"SD")*100/P7)</f>
        <v>0</v>
      </c>
      <c r="L7">
        <f>IF(P7=0,0,COUNTIF('Transect 3_imgsummary'!J7:N7,"FCA")*100/P7)</f>
        <v>0</v>
      </c>
      <c r="M7">
        <f>IF(P7=0,0,COUNTIF('Transect 3_imgsummary'!J7:N7,"CHRYS")*100/P7)</f>
        <v>0</v>
      </c>
      <c r="N7">
        <f>IF(P7=0,0,COUNTIF('Transect 3_imgsummary'!J7:N7,"T")*100/P7)</f>
        <v>0</v>
      </c>
      <c r="O7">
        <f>IF(P7=0,0,COUNTIF('Transect 3_imgsummary'!J7:N7,"TWS")*100/P7)</f>
        <v>0</v>
      </c>
      <c r="P7">
        <f>5-COUNTIF('Transect 3_imgsummary'!J7:N7,"TWS")</f>
        <v>5</v>
      </c>
      <c r="S7">
        <f>IF(P7=0,0,COUNTIF('Transect 3_imgsummary'!E7:I7,"ACAN")*100/P7)</f>
        <v>0</v>
      </c>
      <c r="T7">
        <f>IF(P7=0,0,COUNTIF('Transect 3_imgsummary'!E7:I7,"ACROP")*100/P7)</f>
        <v>0</v>
      </c>
      <c r="U7">
        <f>IF(P7=0,0,COUNTIF('Transect 3_imgsummary'!E7:I7,"ACROPARB")*100/P7)</f>
        <v>0</v>
      </c>
      <c r="V7">
        <f>IF(P7=0,0,COUNTIF('Transect 3_imgsummary'!E7:I7,"ACROST")*100/P7)</f>
        <v>0</v>
      </c>
      <c r="W7">
        <f>IF(P7=0,0,COUNTIF('Transect 3_imgsummary'!E7:I7,"ACROTBL")*100/P7)</f>
        <v>0</v>
      </c>
      <c r="X7">
        <f>IF(P7=0,0,COUNTIF('Transect 3_imgsummary'!E7:I7,"ASTRP")*100/P7)</f>
        <v>0</v>
      </c>
      <c r="Y7">
        <f>IF(P7=0,0,COUNTIF('Transect 3_imgsummary'!E7:I7,"CAUL")*100/P7)</f>
        <v>0</v>
      </c>
      <c r="Z7">
        <f>IF(P7=0,0,COUNTIF('Transect 3_imgsummary'!E7:I7,"COSC")*100/P7)</f>
        <v>0</v>
      </c>
      <c r="AA7">
        <f>IF(P7=0,0,COUNTIF('Transect 3_imgsummary'!E7:I7,"CTEN")*100/P7)</f>
        <v>0</v>
      </c>
      <c r="AB7">
        <f>IF(P7=0,0,COUNTIF('Transect 3_imgsummary'!E7:I7,"CYPH")*100/P7)</f>
        <v>0</v>
      </c>
      <c r="AC7">
        <f>IF(P7=0,0,COUNTIF('Transect 3_imgsummary'!E7:I7,"DIPLO")*100/P7)</f>
        <v>0</v>
      </c>
      <c r="AD7">
        <f>IF(P7=0,0,COUNTIF('Transect 3_imgsummary'!E7:I7,"ECHPO")*100/P7)</f>
        <v>0</v>
      </c>
      <c r="AE7">
        <f>IF(P7=0,0,COUNTIF('Transect 3_imgsummary'!E7:I7,"ECHPHY")*100/P7)</f>
        <v>0</v>
      </c>
      <c r="AF7">
        <f>IF(P7=0,0,COUNTIF('Transect 3_imgsummary'!E7:I7,"EUPH")*100/P7)</f>
        <v>0</v>
      </c>
      <c r="AG7" s="29">
        <f>IF(P7=0,0,COUNTIF('Transect 3_imgsummary'!E7:I7,"FAV")*100/P7)</f>
        <v>20</v>
      </c>
      <c r="AH7">
        <f>IF(P7=0,0,COUNTIF('Transect 3_imgsummary'!E7:I7,"FAVT")*100/P7)</f>
        <v>0</v>
      </c>
      <c r="AI7">
        <f>IF(P7=0,0,COUNTIF('Transect 3_imgsummary'!E7:I7,"FUNG")*100/P7)</f>
        <v>0</v>
      </c>
      <c r="AJ7">
        <f>IF(P7=0,0,COUNTIF('Transect 3_imgsummary'!E7:I7,"GAL")*100/P7)</f>
        <v>0</v>
      </c>
      <c r="AK7">
        <f>IF(P7=0,0,COUNTIF('Transect 3_imgsummary'!E7:I7,"GARD")*100/P7)</f>
        <v>0</v>
      </c>
      <c r="AL7">
        <f>IF(P7=0,0,COUNTIF('Transect 3_imgsummary'!E7:I7,"GON")*100/P7)</f>
        <v>0</v>
      </c>
      <c r="AM7">
        <f>IF(P7=0,0,COUNTIF('Transect 3_imgsummary'!E7:I7,"GONIO")*100/P7)</f>
        <v>0</v>
      </c>
      <c r="AN7">
        <f>IF(P7=0,0,COUNTIF('Transect 3_imgsummary'!E7:I7,"HELIO")*100/P7)</f>
        <v>0</v>
      </c>
      <c r="AO7">
        <f>IF(P7=0,0,COUNTIF('Transect 3_imgsummary'!E7:I7,"HERP")*100/P7)</f>
        <v>0</v>
      </c>
      <c r="AP7">
        <f>IF(P7=0,0,COUNTIF('Transect 3_imgsummary'!E7:I7,"HYD")*100/P7)</f>
        <v>0</v>
      </c>
      <c r="AQ7">
        <f>IF(P7=0,0,COUNTIF('Transect 3_imgsummary'!E7:I7,"ISOP")*100/P7)</f>
        <v>0</v>
      </c>
      <c r="AR7">
        <f>IF(P7=0,0,COUNTIF('Transect 3_imgsummary'!E7:I7,"LEPT")*100/P7)</f>
        <v>0</v>
      </c>
      <c r="AS7">
        <f>IF(P7=0,0,COUNTIF('Transect 3_imgsummary'!E7:I7,"LEPTOR")*100/P7)</f>
        <v>0</v>
      </c>
      <c r="AT7">
        <f>IF(P7=0,0,COUNTIF('Transect 3_imgsummary'!E7:I7,"LEPTOS")*100/P7)</f>
        <v>0</v>
      </c>
      <c r="AU7">
        <f>IF(P7=0,0,COUNTIF('Transect 3_imgsummary'!E7:I7,"LOBOPH")*100/P7)</f>
        <v>0</v>
      </c>
      <c r="AV7">
        <f>IF(P7=0,0,COUNTIF('Transect 3_imgsummary'!E7:I7,"MERU")*100/P7)</f>
        <v>0</v>
      </c>
      <c r="AW7">
        <f>IF(P7=0,0,COUNTIF('Transect 3_imgsummary'!E7:I7,"MILL")*100/P7)</f>
        <v>0</v>
      </c>
      <c r="AX7">
        <f>IF(P7=0,0,COUNTIF('Transect 3_imgsummary'!E7:I7,"MONT")*100/P7)</f>
        <v>0</v>
      </c>
      <c r="AY7">
        <f>IF(P7=0,0,COUNTIF('Transect 3_imgsummary'!E7:I7,"MONTI")*100/P7)</f>
        <v>0</v>
      </c>
      <c r="AZ7">
        <f>IF(P7=0,0,COUNTIF('Transect 3_imgsummary'!E7:I7,"MYCED")*100/P7)</f>
        <v>0</v>
      </c>
      <c r="BA7">
        <f>IF(P7=0,0,COUNTIF('Transect 3_imgsummary'!E7:I7,"OULO")*100/P7)</f>
        <v>0</v>
      </c>
      <c r="BB7">
        <f>IF(P7=0,0,COUNTIF('Transect 3_imgsummary'!E7:I7,"OXYP")*100/P7)</f>
        <v>0</v>
      </c>
      <c r="BC7">
        <f>IF(P7=0,0,COUNTIF('Transect 3_imgsummary'!E7:I7,"PLSIA")*100/P7)</f>
        <v>0</v>
      </c>
      <c r="BD7">
        <f>IF(P7=0,0,COUNTIF('Transect 3_imgsummary'!E7:I7,"PACHY")*100/P7)</f>
        <v>0</v>
      </c>
      <c r="BE7">
        <f>IF(P7=0,0,COUNTIF('Transect 3_imgsummary'!E7:I7,"PAV")*100/P7)</f>
        <v>0</v>
      </c>
      <c r="BF7">
        <f>IF(P7=0,0,COUNTIF('Transect 3_imgsummary'!E7:I7,"PECT")*100/P7)</f>
        <v>0</v>
      </c>
      <c r="BG7">
        <f>IF(P7=0,0,COUNTIF('Transect 3_imgsummary'!E7:I7,"PHYSO")*100/P7)</f>
        <v>0</v>
      </c>
      <c r="BH7" s="29">
        <f>IF(P7=0,0,COUNTIF('Transect 3_imgsummary'!E7:I7,"PLAT")*100/P7)</f>
        <v>20</v>
      </c>
      <c r="BI7">
        <f>IF(P7=0,0,COUNTIF('Transect 3_imgsummary'!E7:I7,"PLERO")*100/P7)</f>
        <v>0</v>
      </c>
      <c r="BJ7">
        <f>IF(P7=0,0,COUNTIF('Transect 3_imgsummary'!E7:I7,"POC")*100/P7)</f>
        <v>0</v>
      </c>
      <c r="BK7">
        <f>IF(P7=0,0,COUNTIF('Transect 3_imgsummary'!E7:I7,"POR")*100/P7)</f>
        <v>0</v>
      </c>
      <c r="BL7">
        <f>IF(P7=0,0,COUNTIF('Transect 3_imgsummary'!E7:I7,"PORCYL")*100/P7)</f>
        <v>0</v>
      </c>
      <c r="BM7">
        <f>IF(P7=0,0,COUNTIF('Transect 3_imgsummary'!E7:I7,"PORMAS")*100/P7)</f>
        <v>0</v>
      </c>
      <c r="BN7">
        <f>IF(P7=0,0,COUNTIF('Transect 3_imgsummary'!E7:I7,"PORRUS")*100/P7)</f>
        <v>0</v>
      </c>
      <c r="BO7">
        <f>IF(P7=0,0,COUNTIF('Transect 3_imgsummary'!E7:I7,"PSAM")*100/P7)</f>
        <v>0</v>
      </c>
      <c r="BP7">
        <f>IF(P7=0,0,COUNTIF('Transect 3_imgsummary'!E7:I7,"SANDO")*100/P7)</f>
        <v>0</v>
      </c>
      <c r="BQ7">
        <f>IF(P7=0,0,COUNTIF('Transect 3_imgsummary'!E7:I7,"SCAP")*100/P7)</f>
        <v>0</v>
      </c>
      <c r="BR7">
        <f>IF(P7=0,0,COUNTIF('Transect 3_imgsummary'!E7:I7,"SERIA")*100/P7)</f>
        <v>0</v>
      </c>
      <c r="BS7">
        <f>IF(P7=0,0,COUNTIF('Transect 3_imgsummary'!E7:I7,"STYLC")*100/P7)</f>
        <v>0</v>
      </c>
      <c r="BT7">
        <f>IF(P7=0,0,COUNTIF('Transect 3_imgsummary'!E7:I7,"STYLO")*100/P7)</f>
        <v>0</v>
      </c>
      <c r="BU7">
        <f>IF(P7=0,0,COUNTIF('Transect 3_imgsummary'!E7:I7,"SYMP")*100/P7)</f>
        <v>0</v>
      </c>
      <c r="BV7">
        <f>IF(P7=0,0,COUNTIF('Transect 3_imgsummary'!E7:I7,"TURBIN")*100/P7)</f>
        <v>0</v>
      </c>
      <c r="BX7">
        <f>IF(P7=0,0,COUNTIF('Transect 3_imgsummary'!E7:I7,"ANEM")*100/P7)</f>
        <v>0</v>
      </c>
      <c r="BY7">
        <f>IF(P7=0,0,COUNTIF('Transect 3_imgsummary'!E7:I7,"ASC")*100/P7)</f>
        <v>0</v>
      </c>
      <c r="BZ7">
        <f>IF(P7=0,0,COUNTIF('Transect 3_imgsummary'!E7:I7,"CUPS")*100/P7)</f>
        <v>0</v>
      </c>
      <c r="CA7">
        <f>IF(P7=0,0,COUNTIF('Transect 3_imgsummary'!E7:I7,"DISCO")*100/P7)</f>
        <v>0</v>
      </c>
      <c r="CB7">
        <f>IF(P7=0,0,COUNTIF('Transect 3_imgsummary'!E7:I7,"DYS")*100/P7)</f>
        <v>0</v>
      </c>
      <c r="CC7">
        <f>IF(P7=0,0,COUNTIF('Transect 3_imgsummary'!E7:I7,"G")*100/P7)</f>
        <v>0</v>
      </c>
      <c r="CD7">
        <f>IF(P7=0,0,COUNTIF('Transect 3_imgsummary'!E7:I7,"NoIDINV")*100/P7)</f>
        <v>0</v>
      </c>
      <c r="CE7">
        <f>IF(P7=0,0,COUNTIF('Transect 3_imgsummary'!E7:I7,"OLV")*100/P7)</f>
        <v>0</v>
      </c>
      <c r="CF7">
        <f>IF(P7=0,0,COUNTIF('Transect 3_imgsummary'!E7:I7,"SC")*100/P7)</f>
        <v>0</v>
      </c>
      <c r="CG7">
        <f>IF(P7=0,0,COUNTIF('Transect 3_imgsummary'!E7:I7,"S")*100/P7)</f>
        <v>0</v>
      </c>
      <c r="CH7">
        <f>IF(P7=0,0,COUNTIF('Transect 3_imgsummary'!E7:I7,"TERPS")*100/P7)</f>
        <v>0</v>
      </c>
      <c r="CI7">
        <f>IF(P7=0,0,COUNTIF('Transect 3_imgsummary'!E7:I7,"Z")*100/P7)</f>
        <v>0</v>
      </c>
      <c r="CK7">
        <f>IF(P7=0,0,COUNTIF('Transect 3_imgsummary'!E7:I7,"ASP")*100/P7)</f>
        <v>0</v>
      </c>
      <c r="CL7">
        <f>IF(P7=0,0,COUNTIF('Transect 3_imgsummary'!E7:I7,"BG")*100/P7)</f>
        <v>0</v>
      </c>
      <c r="CM7">
        <f>IF(P7=0,0,COUNTIF('Transect 3_imgsummary'!E7:I7,"Bood")*100/P7)</f>
        <v>0</v>
      </c>
      <c r="CN7">
        <f>IF(P7=0,0,COUNTIF('Transect 3_imgsummary'!E7:I7,"BRYP")*100/P7)</f>
        <v>0</v>
      </c>
      <c r="CO7">
        <f>IF(P7=0,0,COUNTIF('Transect 3_imgsummary'!E7:I7,"CLP")*100/P7)</f>
        <v>0</v>
      </c>
      <c r="CP7">
        <f>IF(P7=0,0,COUNTIF('Transect 3_imgsummary'!E7:I7,"CHLDES")*100/P7)</f>
        <v>0</v>
      </c>
      <c r="CQ7">
        <f>IF(P7=0,0,COUNTIF('Transect 3_imgsummary'!E7:I7,"DYCTY")*100/P7)</f>
        <v>0</v>
      </c>
      <c r="CR7">
        <f>IF(P7=0,0,COUNTIF('Transect 3_imgsummary'!E7:I7,"DICT")*100/P7)</f>
        <v>0</v>
      </c>
      <c r="CS7">
        <f>IF(P7=0,0,COUNTIF('Transect 3_imgsummary'!E7:I7,"GLXU")*100/P7)</f>
        <v>0</v>
      </c>
      <c r="CT7">
        <f>IF(P7=0,0,COUNTIF('Transect 3_imgsummary'!E7:I7,"HALI")*100/P7)</f>
        <v>0</v>
      </c>
      <c r="CU7">
        <f>IF(P7=0,0,COUNTIF('Transect 3_imgsummary'!E7:I7,"LIAG")*100/P7)</f>
        <v>0</v>
      </c>
      <c r="CV7">
        <f>IF(P7=0,0,COUNTIF('Transect 3_imgsummary'!E7:I7,"LOBO")*100/P7)</f>
        <v>0</v>
      </c>
      <c r="CW7">
        <f>IF(P7=0,0,COUNTIF('Transect 3_imgsummary'!E7:I7,"MAST")*100/P7)</f>
        <v>0</v>
      </c>
      <c r="CX7">
        <f>IF(P7=0,0,COUNTIF('Transect 3_imgsummary'!E7:I7,"MICDTY")*100/P7)</f>
        <v>0</v>
      </c>
      <c r="CY7">
        <f>IF(P7=0,0,COUNTIF('Transect 3_imgsummary'!E7:I7,"NEOM")*100/P7)</f>
        <v>0</v>
      </c>
      <c r="CZ7">
        <f>IF(P7=0,0,COUNTIF('Transect 3_imgsummary'!E7:I7,"NOIDMAC")*100/P7)</f>
        <v>0</v>
      </c>
      <c r="DA7">
        <f>IF(P7=0,0,COUNTIF('Transect 3_imgsummary'!E7:I7,"PAD")*100/P7)</f>
        <v>0</v>
      </c>
      <c r="DB7">
        <f>IF(P7=0,0,COUNTIF('Transect 3_imgsummary'!E7:I7,"SARG")*100/P7)</f>
        <v>0</v>
      </c>
      <c r="DC7">
        <f>IF(P7=0,0,COUNTIF('Transect 3_imgsummary'!E7:I7,"SCHIZ")*100/P7)</f>
        <v>0</v>
      </c>
      <c r="DD7">
        <f>IF(P7=0,0,COUNTIF('Transect 3_imgsummary'!E7:I7,"TURB")*100/P7)</f>
        <v>0</v>
      </c>
      <c r="DE7">
        <f>IF(P7=0,0,COUNTIF('Transect 3_imgsummary'!E7:I7,"TYDM")*100/P7)</f>
        <v>0</v>
      </c>
      <c r="DG7">
        <f>IF(P7=0,0,COUNTIF('Transect 3_imgsummary'!E7:I7,"AMP")*100/P7)</f>
        <v>0</v>
      </c>
      <c r="DH7">
        <f>IF(P7=0,0,COUNTIF('Transect 3_imgsummary'!E7:I7,"BCA1")*100/P7)</f>
        <v>0</v>
      </c>
      <c r="DI7">
        <f>IF(P7=0,0,COUNTIF('Transect 3_imgsummary'!E7:I7,"JAN")*100/P7)</f>
        <v>0</v>
      </c>
      <c r="DK7" s="29">
        <f>IF(P7=0,0,COUNTIF('Transect 3_imgsummary'!E7:I7,"CCA1")*100/P7)</f>
        <v>60</v>
      </c>
      <c r="DM7">
        <f>IF(P7=0,0,COUNTIF('Transect 3_imgsummary'!E7:I7,"Sand")*100/P7)</f>
        <v>0</v>
      </c>
      <c r="DO7">
        <f>IF(P7=0,0,COUNTIF('Transect 3_imgsummary'!E7:I7,"FCA1")*100/P7)</f>
        <v>0</v>
      </c>
      <c r="DQ7">
        <f>IF(P7=0,0,COUNTIF('Transect 3_imgsummary'!E7:I7,"CHRYOBRN")*100/P7)</f>
        <v>0</v>
      </c>
      <c r="DS7">
        <f>IF(P7=0,0,COUNTIF('Transect 3_imgsummary'!E7:I7,"TURF")*100/P7)</f>
        <v>0</v>
      </c>
      <c r="DU7">
        <f>COUNTIF('Transect 3_imgsummary'!E7:I7,"Shadow")*100/5</f>
        <v>0</v>
      </c>
      <c r="DV7">
        <f>COUNTIF('Transect 3_imgsummary'!E7:I7,"Tape")*100/5</f>
        <v>0</v>
      </c>
      <c r="DW7">
        <f>COUNTIF('Transect 3_imgsummary'!E7:I7,"Wand")*100/5</f>
        <v>0</v>
      </c>
      <c r="DY7">
        <f>IF(P7=0,0,COUNTIF('Transect 3_imgsummary'!O7:S7,"BC")*100/P7)</f>
        <v>0</v>
      </c>
    </row>
    <row r="8" spans="1:129">
      <c r="A8">
        <v>6</v>
      </c>
      <c r="B8" t="s">
        <v>495</v>
      </c>
      <c r="F8">
        <f>IF(P8=0,0,COUNTIF('Transect 3_imgsummary'!J8:N8,"C")*100/P8)</f>
        <v>0</v>
      </c>
      <c r="G8">
        <f>IF(P8=0,0,COUNTIF('Transect 3_imgsummary'!J8:N8,"OI")*100/P8)</f>
        <v>0</v>
      </c>
      <c r="H8">
        <f>IF(P8=0,0,COUNTIF('Transect 3_imgsummary'!J8:N8,"MA")*100/P8)</f>
        <v>0</v>
      </c>
      <c r="I8">
        <f>IF(P8=0,0,COUNTIF('Transect 3_imgsummary'!J8:N8,"BCA")*100/P8)</f>
        <v>0</v>
      </c>
      <c r="J8" s="29">
        <f>IF(P8=0,0,COUNTIF('Transect 3_imgsummary'!J8:N8,"CCA")*100/P8)</f>
        <v>40</v>
      </c>
      <c r="K8">
        <f>IF(P8=0,0,COUNTIF('Transect 3_imgsummary'!J8:N8,"SD")*100/P8)</f>
        <v>0</v>
      </c>
      <c r="L8" s="29">
        <f>IF(P8=0,0,COUNTIF('Transect 3_imgsummary'!J8:N8,"FCA")*100/P8)</f>
        <v>40</v>
      </c>
      <c r="M8">
        <f>IF(P8=0,0,COUNTIF('Transect 3_imgsummary'!J8:N8,"CHRYS")*100/P8)</f>
        <v>0</v>
      </c>
      <c r="N8" s="29">
        <f>IF(P8=0,0,COUNTIF('Transect 3_imgsummary'!J8:N8,"T")*100/P8)</f>
        <v>20</v>
      </c>
      <c r="O8">
        <f>IF(P8=0,0,COUNTIF('Transect 3_imgsummary'!J8:N8,"TWS")*100/P8)</f>
        <v>0</v>
      </c>
      <c r="P8">
        <f>5-COUNTIF('Transect 3_imgsummary'!J8:N8,"TWS")</f>
        <v>5</v>
      </c>
      <c r="S8">
        <f>IF(P8=0,0,COUNTIF('Transect 3_imgsummary'!E8:I8,"ACAN")*100/P8)</f>
        <v>0</v>
      </c>
      <c r="T8">
        <f>IF(P8=0,0,COUNTIF('Transect 3_imgsummary'!E8:I8,"ACROP")*100/P8)</f>
        <v>0</v>
      </c>
      <c r="U8">
        <f>IF(P8=0,0,COUNTIF('Transect 3_imgsummary'!E8:I8,"ACROPARB")*100/P8)</f>
        <v>0</v>
      </c>
      <c r="V8">
        <f>IF(P8=0,0,COUNTIF('Transect 3_imgsummary'!E8:I8,"ACROST")*100/P8)</f>
        <v>0</v>
      </c>
      <c r="W8">
        <f>IF(P8=0,0,COUNTIF('Transect 3_imgsummary'!E8:I8,"ACROTBL")*100/P8)</f>
        <v>0</v>
      </c>
      <c r="X8">
        <f>IF(P8=0,0,COUNTIF('Transect 3_imgsummary'!E8:I8,"ASTRP")*100/P8)</f>
        <v>0</v>
      </c>
      <c r="Y8">
        <f>IF(P8=0,0,COUNTIF('Transect 3_imgsummary'!E8:I8,"CAUL")*100/P8)</f>
        <v>0</v>
      </c>
      <c r="Z8">
        <f>IF(P8=0,0,COUNTIF('Transect 3_imgsummary'!E8:I8,"COSC")*100/P8)</f>
        <v>0</v>
      </c>
      <c r="AA8">
        <f>IF(P8=0,0,COUNTIF('Transect 3_imgsummary'!E8:I8,"CTEN")*100/P8)</f>
        <v>0</v>
      </c>
      <c r="AB8">
        <f>IF(P8=0,0,COUNTIF('Transect 3_imgsummary'!E8:I8,"CYPH")*100/P8)</f>
        <v>0</v>
      </c>
      <c r="AC8">
        <f>IF(P8=0,0,COUNTIF('Transect 3_imgsummary'!E8:I8,"DIPLO")*100/P8)</f>
        <v>0</v>
      </c>
      <c r="AD8">
        <f>IF(P8=0,0,COUNTIF('Transect 3_imgsummary'!E8:I8,"ECHPO")*100/P8)</f>
        <v>0</v>
      </c>
      <c r="AE8">
        <f>IF(P8=0,0,COUNTIF('Transect 3_imgsummary'!E8:I8,"ECHPHY")*100/P8)</f>
        <v>0</v>
      </c>
      <c r="AF8">
        <f>IF(P8=0,0,COUNTIF('Transect 3_imgsummary'!E8:I8,"EUPH")*100/P8)</f>
        <v>0</v>
      </c>
      <c r="AG8">
        <f>IF(P8=0,0,COUNTIF('Transect 3_imgsummary'!E8:I8,"FAV")*100/P8)</f>
        <v>0</v>
      </c>
      <c r="AH8">
        <f>IF(P8=0,0,COUNTIF('Transect 3_imgsummary'!E8:I8,"FAVT")*100/P8)</f>
        <v>0</v>
      </c>
      <c r="AI8">
        <f>IF(P8=0,0,COUNTIF('Transect 3_imgsummary'!E8:I8,"FUNG")*100/P8)</f>
        <v>0</v>
      </c>
      <c r="AJ8">
        <f>IF(P8=0,0,COUNTIF('Transect 3_imgsummary'!E8:I8,"GAL")*100/P8)</f>
        <v>0</v>
      </c>
      <c r="AK8">
        <f>IF(P8=0,0,COUNTIF('Transect 3_imgsummary'!E8:I8,"GARD")*100/P8)</f>
        <v>0</v>
      </c>
      <c r="AL8">
        <f>IF(P8=0,0,COUNTIF('Transect 3_imgsummary'!E8:I8,"GON")*100/P8)</f>
        <v>0</v>
      </c>
      <c r="AM8">
        <f>IF(P8=0,0,COUNTIF('Transect 3_imgsummary'!E8:I8,"GONIO")*100/P8)</f>
        <v>0</v>
      </c>
      <c r="AN8">
        <f>IF(P8=0,0,COUNTIF('Transect 3_imgsummary'!E8:I8,"HELIO")*100/P8)</f>
        <v>0</v>
      </c>
      <c r="AO8">
        <f>IF(P8=0,0,COUNTIF('Transect 3_imgsummary'!E8:I8,"HERP")*100/P8)</f>
        <v>0</v>
      </c>
      <c r="AP8">
        <f>IF(P8=0,0,COUNTIF('Transect 3_imgsummary'!E8:I8,"HYD")*100/P8)</f>
        <v>0</v>
      </c>
      <c r="AQ8">
        <f>IF(P8=0,0,COUNTIF('Transect 3_imgsummary'!E8:I8,"ISOP")*100/P8)</f>
        <v>0</v>
      </c>
      <c r="AR8">
        <f>IF(P8=0,0,COUNTIF('Transect 3_imgsummary'!E8:I8,"LEPT")*100/P8)</f>
        <v>0</v>
      </c>
      <c r="AS8">
        <f>IF(P8=0,0,COUNTIF('Transect 3_imgsummary'!E8:I8,"LEPTOR")*100/P8)</f>
        <v>0</v>
      </c>
      <c r="AT8">
        <f>IF(P8=0,0,COUNTIF('Transect 3_imgsummary'!E8:I8,"LEPTOS")*100/P8)</f>
        <v>0</v>
      </c>
      <c r="AU8">
        <f>IF(P8=0,0,COUNTIF('Transect 3_imgsummary'!E8:I8,"LOBOPH")*100/P8)</f>
        <v>0</v>
      </c>
      <c r="AV8">
        <f>IF(P8=0,0,COUNTIF('Transect 3_imgsummary'!E8:I8,"MERU")*100/P8)</f>
        <v>0</v>
      </c>
      <c r="AW8">
        <f>IF(P8=0,0,COUNTIF('Transect 3_imgsummary'!E8:I8,"MILL")*100/P8)</f>
        <v>0</v>
      </c>
      <c r="AX8">
        <f>IF(P8=0,0,COUNTIF('Transect 3_imgsummary'!E8:I8,"MONT")*100/P8)</f>
        <v>0</v>
      </c>
      <c r="AY8">
        <f>IF(P8=0,0,COUNTIF('Transect 3_imgsummary'!E8:I8,"MONTI")*100/P8)</f>
        <v>0</v>
      </c>
      <c r="AZ8">
        <f>IF(P8=0,0,COUNTIF('Transect 3_imgsummary'!E8:I8,"MYCED")*100/P8)</f>
        <v>0</v>
      </c>
      <c r="BA8">
        <f>IF(P8=0,0,COUNTIF('Transect 3_imgsummary'!E8:I8,"OULO")*100/P8)</f>
        <v>0</v>
      </c>
      <c r="BB8">
        <f>IF(P8=0,0,COUNTIF('Transect 3_imgsummary'!E8:I8,"OXYP")*100/P8)</f>
        <v>0</v>
      </c>
      <c r="BC8">
        <f>IF(P8=0,0,COUNTIF('Transect 3_imgsummary'!E8:I8,"PLSIA")*100/P8)</f>
        <v>0</v>
      </c>
      <c r="BD8">
        <f>IF(P8=0,0,COUNTIF('Transect 3_imgsummary'!E8:I8,"PACHY")*100/P8)</f>
        <v>0</v>
      </c>
      <c r="BE8">
        <f>IF(P8=0,0,COUNTIF('Transect 3_imgsummary'!E8:I8,"PAV")*100/P8)</f>
        <v>0</v>
      </c>
      <c r="BF8">
        <f>IF(P8=0,0,COUNTIF('Transect 3_imgsummary'!E8:I8,"PECT")*100/P8)</f>
        <v>0</v>
      </c>
      <c r="BG8">
        <f>IF(P8=0,0,COUNTIF('Transect 3_imgsummary'!E8:I8,"PHYSO")*100/P8)</f>
        <v>0</v>
      </c>
      <c r="BH8">
        <f>IF(P8=0,0,COUNTIF('Transect 3_imgsummary'!E8:I8,"PLAT")*100/P8)</f>
        <v>0</v>
      </c>
      <c r="BI8">
        <f>IF(P8=0,0,COUNTIF('Transect 3_imgsummary'!E8:I8,"PLERO")*100/P8)</f>
        <v>0</v>
      </c>
      <c r="BJ8">
        <f>IF(P8=0,0,COUNTIF('Transect 3_imgsummary'!E8:I8,"POC")*100/P8)</f>
        <v>0</v>
      </c>
      <c r="BK8">
        <f>IF(P8=0,0,COUNTIF('Transect 3_imgsummary'!E8:I8,"POR")*100/P8)</f>
        <v>0</v>
      </c>
      <c r="BL8">
        <f>IF(P8=0,0,COUNTIF('Transect 3_imgsummary'!E8:I8,"PORCYL")*100/P8)</f>
        <v>0</v>
      </c>
      <c r="BM8">
        <f>IF(P8=0,0,COUNTIF('Transect 3_imgsummary'!E8:I8,"PORMAS")*100/P8)</f>
        <v>0</v>
      </c>
      <c r="BN8">
        <f>IF(P8=0,0,COUNTIF('Transect 3_imgsummary'!E8:I8,"PORRUS")*100/P8)</f>
        <v>0</v>
      </c>
      <c r="BO8">
        <f>IF(P8=0,0,COUNTIF('Transect 3_imgsummary'!E8:I8,"PSAM")*100/P8)</f>
        <v>0</v>
      </c>
      <c r="BP8">
        <f>IF(P8=0,0,COUNTIF('Transect 3_imgsummary'!E8:I8,"SANDO")*100/P8)</f>
        <v>0</v>
      </c>
      <c r="BQ8">
        <f>IF(P8=0,0,COUNTIF('Transect 3_imgsummary'!E8:I8,"SCAP")*100/P8)</f>
        <v>0</v>
      </c>
      <c r="BR8">
        <f>IF(P8=0,0,COUNTIF('Transect 3_imgsummary'!E8:I8,"SERIA")*100/P8)</f>
        <v>0</v>
      </c>
      <c r="BS8">
        <f>IF(P8=0,0,COUNTIF('Transect 3_imgsummary'!E8:I8,"STYLC")*100/P8)</f>
        <v>0</v>
      </c>
      <c r="BT8">
        <f>IF(P8=0,0,COUNTIF('Transect 3_imgsummary'!E8:I8,"STYLO")*100/P8)</f>
        <v>0</v>
      </c>
      <c r="BU8">
        <f>IF(P8=0,0,COUNTIF('Transect 3_imgsummary'!E8:I8,"SYMP")*100/P8)</f>
        <v>0</v>
      </c>
      <c r="BV8">
        <f>IF(P8=0,0,COUNTIF('Transect 3_imgsummary'!E8:I8,"TURBIN")*100/P8)</f>
        <v>0</v>
      </c>
      <c r="BX8">
        <f>IF(P8=0,0,COUNTIF('Transect 3_imgsummary'!E8:I8,"ANEM")*100/P8)</f>
        <v>0</v>
      </c>
      <c r="BY8">
        <f>IF(P8=0,0,COUNTIF('Transect 3_imgsummary'!E8:I8,"ASC")*100/P8)</f>
        <v>0</v>
      </c>
      <c r="BZ8">
        <f>IF(P8=0,0,COUNTIF('Transect 3_imgsummary'!E8:I8,"CUPS")*100/P8)</f>
        <v>0</v>
      </c>
      <c r="CA8">
        <f>IF(P8=0,0,COUNTIF('Transect 3_imgsummary'!E8:I8,"DISCO")*100/P8)</f>
        <v>0</v>
      </c>
      <c r="CB8">
        <f>IF(P8=0,0,COUNTIF('Transect 3_imgsummary'!E8:I8,"DYS")*100/P8)</f>
        <v>0</v>
      </c>
      <c r="CC8">
        <f>IF(P8=0,0,COUNTIF('Transect 3_imgsummary'!E8:I8,"G")*100/P8)</f>
        <v>0</v>
      </c>
      <c r="CD8">
        <f>IF(P8=0,0,COUNTIF('Transect 3_imgsummary'!E8:I8,"NoIDINV")*100/P8)</f>
        <v>0</v>
      </c>
      <c r="CE8">
        <f>IF(P8=0,0,COUNTIF('Transect 3_imgsummary'!E8:I8,"OLV")*100/P8)</f>
        <v>0</v>
      </c>
      <c r="CF8">
        <f>IF(P8=0,0,COUNTIF('Transect 3_imgsummary'!E8:I8,"SC")*100/P8)</f>
        <v>0</v>
      </c>
      <c r="CG8">
        <f>IF(P8=0,0,COUNTIF('Transect 3_imgsummary'!E8:I8,"S")*100/P8)</f>
        <v>0</v>
      </c>
      <c r="CH8">
        <f>IF(P8=0,0,COUNTIF('Transect 3_imgsummary'!E8:I8,"TERPS")*100/P8)</f>
        <v>0</v>
      </c>
      <c r="CI8">
        <f>IF(P8=0,0,COUNTIF('Transect 3_imgsummary'!E8:I8,"Z")*100/P8)</f>
        <v>0</v>
      </c>
      <c r="CK8">
        <f>IF(P8=0,0,COUNTIF('Transect 3_imgsummary'!E8:I8,"ASP")*100/P8)</f>
        <v>0</v>
      </c>
      <c r="CL8">
        <f>IF(P8=0,0,COUNTIF('Transect 3_imgsummary'!E8:I8,"BG")*100/P8)</f>
        <v>0</v>
      </c>
      <c r="CM8">
        <f>IF(P8=0,0,COUNTIF('Transect 3_imgsummary'!E8:I8,"Bood")*100/P8)</f>
        <v>0</v>
      </c>
      <c r="CN8">
        <f>IF(P8=0,0,COUNTIF('Transect 3_imgsummary'!E8:I8,"BRYP")*100/P8)</f>
        <v>0</v>
      </c>
      <c r="CO8">
        <f>IF(P8=0,0,COUNTIF('Transect 3_imgsummary'!E8:I8,"CLP")*100/P8)</f>
        <v>0</v>
      </c>
      <c r="CP8">
        <f>IF(P8=0,0,COUNTIF('Transect 3_imgsummary'!E8:I8,"CHLDES")*100/P8)</f>
        <v>0</v>
      </c>
      <c r="CQ8">
        <f>IF(P8=0,0,COUNTIF('Transect 3_imgsummary'!E8:I8,"DYCTY")*100/P8)</f>
        <v>0</v>
      </c>
      <c r="CR8">
        <f>IF(P8=0,0,COUNTIF('Transect 3_imgsummary'!E8:I8,"DICT")*100/P8)</f>
        <v>0</v>
      </c>
      <c r="CS8">
        <f>IF(P8=0,0,COUNTIF('Transect 3_imgsummary'!E8:I8,"GLXU")*100/P8)</f>
        <v>0</v>
      </c>
      <c r="CT8">
        <f>IF(P8=0,0,COUNTIF('Transect 3_imgsummary'!E8:I8,"HALI")*100/P8)</f>
        <v>0</v>
      </c>
      <c r="CU8">
        <f>IF(P8=0,0,COUNTIF('Transect 3_imgsummary'!E8:I8,"LIAG")*100/P8)</f>
        <v>0</v>
      </c>
      <c r="CV8">
        <f>IF(P8=0,0,COUNTIF('Transect 3_imgsummary'!E8:I8,"LOBO")*100/P8)</f>
        <v>0</v>
      </c>
      <c r="CW8">
        <f>IF(P8=0,0,COUNTIF('Transect 3_imgsummary'!E8:I8,"MAST")*100/P8)</f>
        <v>0</v>
      </c>
      <c r="CX8">
        <f>IF(P8=0,0,COUNTIF('Transect 3_imgsummary'!E8:I8,"MICDTY")*100/P8)</f>
        <v>0</v>
      </c>
      <c r="CY8">
        <f>IF(P8=0,0,COUNTIF('Transect 3_imgsummary'!E8:I8,"NEOM")*100/P8)</f>
        <v>0</v>
      </c>
      <c r="CZ8">
        <f>IF(P8=0,0,COUNTIF('Transect 3_imgsummary'!E8:I8,"NOIDMAC")*100/P8)</f>
        <v>0</v>
      </c>
      <c r="DA8">
        <f>IF(P8=0,0,COUNTIF('Transect 3_imgsummary'!E8:I8,"PAD")*100/P8)</f>
        <v>0</v>
      </c>
      <c r="DB8">
        <f>IF(P8=0,0,COUNTIF('Transect 3_imgsummary'!E8:I8,"SARG")*100/P8)</f>
        <v>0</v>
      </c>
      <c r="DC8">
        <f>IF(P8=0,0,COUNTIF('Transect 3_imgsummary'!E8:I8,"SCHIZ")*100/P8)</f>
        <v>0</v>
      </c>
      <c r="DD8">
        <f>IF(P8=0,0,COUNTIF('Transect 3_imgsummary'!E8:I8,"TURB")*100/P8)</f>
        <v>0</v>
      </c>
      <c r="DE8">
        <f>IF(P8=0,0,COUNTIF('Transect 3_imgsummary'!E8:I8,"TYDM")*100/P8)</f>
        <v>0</v>
      </c>
      <c r="DG8">
        <f>IF(P8=0,0,COUNTIF('Transect 3_imgsummary'!E8:I8,"AMP")*100/P8)</f>
        <v>0</v>
      </c>
      <c r="DH8">
        <f>IF(P8=0,0,COUNTIF('Transect 3_imgsummary'!E8:I8,"BCA1")*100/P8)</f>
        <v>0</v>
      </c>
      <c r="DI8">
        <f>IF(P8=0,0,COUNTIF('Transect 3_imgsummary'!E8:I8,"JAN")*100/P8)</f>
        <v>0</v>
      </c>
      <c r="DK8" s="29">
        <f>IF(P8=0,0,COUNTIF('Transect 3_imgsummary'!E8:I8,"CCA1")*100/P8)</f>
        <v>40</v>
      </c>
      <c r="DM8">
        <f>IF(P8=0,0,COUNTIF('Transect 3_imgsummary'!E8:I8,"Sand")*100/P8)</f>
        <v>0</v>
      </c>
      <c r="DO8" s="29">
        <f>IF(P8=0,0,COUNTIF('Transect 3_imgsummary'!E8:I8,"FCA1")*100/P8)</f>
        <v>40</v>
      </c>
      <c r="DQ8">
        <f>IF(P8=0,0,COUNTIF('Transect 3_imgsummary'!E8:I8,"CHRYOBRN")*100/P8)</f>
        <v>0</v>
      </c>
      <c r="DS8" s="29">
        <f>IF(P8=0,0,COUNTIF('Transect 3_imgsummary'!E8:I8,"TURF")*100/P8)</f>
        <v>20</v>
      </c>
      <c r="DU8">
        <f>COUNTIF('Transect 3_imgsummary'!E8:I8,"Shadow")*100/5</f>
        <v>0</v>
      </c>
      <c r="DV8">
        <f>COUNTIF('Transect 3_imgsummary'!E8:I8,"Tape")*100/5</f>
        <v>0</v>
      </c>
      <c r="DW8">
        <f>COUNTIF('Transect 3_imgsummary'!E8:I8,"Wand")*100/5</f>
        <v>0</v>
      </c>
      <c r="DY8">
        <f>IF(P8=0,0,COUNTIF('Transect 3_imgsummary'!O8:S8,"BC")*100/P8)</f>
        <v>0</v>
      </c>
    </row>
    <row r="9" spans="1:129">
      <c r="A9">
        <v>7</v>
      </c>
      <c r="B9" t="s">
        <v>496</v>
      </c>
      <c r="F9" s="29">
        <f>IF(P9=0,0,COUNTIF('Transect 3_imgsummary'!J9:N9,"C")*100/P9)</f>
        <v>80</v>
      </c>
      <c r="G9">
        <f>IF(P9=0,0,COUNTIF('Transect 3_imgsummary'!J9:N9,"OI")*100/P9)</f>
        <v>0</v>
      </c>
      <c r="H9">
        <f>IF(P9=0,0,COUNTIF('Transect 3_imgsummary'!J9:N9,"MA")*100/P9)</f>
        <v>0</v>
      </c>
      <c r="I9">
        <f>IF(P9=0,0,COUNTIF('Transect 3_imgsummary'!J9:N9,"BCA")*100/P9)</f>
        <v>0</v>
      </c>
      <c r="J9" s="29">
        <f>IF(P9=0,0,COUNTIF('Transect 3_imgsummary'!J9:N9,"CCA")*100/P9)</f>
        <v>20</v>
      </c>
      <c r="K9">
        <f>IF(P9=0,0,COUNTIF('Transect 3_imgsummary'!J9:N9,"SD")*100/P9)</f>
        <v>0</v>
      </c>
      <c r="L9">
        <f>IF(P9=0,0,COUNTIF('Transect 3_imgsummary'!J9:N9,"FCA")*100/P9)</f>
        <v>0</v>
      </c>
      <c r="M9">
        <f>IF(P9=0,0,COUNTIF('Transect 3_imgsummary'!J9:N9,"CHRYS")*100/P9)</f>
        <v>0</v>
      </c>
      <c r="N9">
        <f>IF(P9=0,0,COUNTIF('Transect 3_imgsummary'!J9:N9,"T")*100/P9)</f>
        <v>0</v>
      </c>
      <c r="O9">
        <f>IF(P9=0,0,COUNTIF('Transect 3_imgsummary'!J9:N9,"TWS")*100/P9)</f>
        <v>0</v>
      </c>
      <c r="P9">
        <f>5-COUNTIF('Transect 3_imgsummary'!J9:N9,"TWS")</f>
        <v>5</v>
      </c>
      <c r="S9">
        <f>IF(P9=0,0,COUNTIF('Transect 3_imgsummary'!E9:I9,"ACAN")*100/P9)</f>
        <v>0</v>
      </c>
      <c r="T9">
        <f>IF(P9=0,0,COUNTIF('Transect 3_imgsummary'!E9:I9,"ACROP")*100/P9)</f>
        <v>0</v>
      </c>
      <c r="U9">
        <f>IF(P9=0,0,COUNTIF('Transect 3_imgsummary'!E9:I9,"ACROPARB")*100/P9)</f>
        <v>0</v>
      </c>
      <c r="V9">
        <f>IF(P9=0,0,COUNTIF('Transect 3_imgsummary'!E9:I9,"ACROST")*100/P9)</f>
        <v>0</v>
      </c>
      <c r="W9">
        <f>IF(P9=0,0,COUNTIF('Transect 3_imgsummary'!E9:I9,"ACROTBL")*100/P9)</f>
        <v>0</v>
      </c>
      <c r="X9">
        <f>IF(P9=0,0,COUNTIF('Transect 3_imgsummary'!E9:I9,"ASTRP")*100/P9)</f>
        <v>0</v>
      </c>
      <c r="Y9">
        <f>IF(P9=0,0,COUNTIF('Transect 3_imgsummary'!E9:I9,"CAUL")*100/P9)</f>
        <v>0</v>
      </c>
      <c r="Z9">
        <f>IF(P9=0,0,COUNTIF('Transect 3_imgsummary'!E9:I9,"COSC")*100/P9)</f>
        <v>0</v>
      </c>
      <c r="AA9">
        <f>IF(P9=0,0,COUNTIF('Transect 3_imgsummary'!E9:I9,"CTEN")*100/P9)</f>
        <v>0</v>
      </c>
      <c r="AB9">
        <f>IF(P9=0,0,COUNTIF('Transect 3_imgsummary'!E9:I9,"CYPH")*100/P9)</f>
        <v>0</v>
      </c>
      <c r="AC9">
        <f>IF(P9=0,0,COUNTIF('Transect 3_imgsummary'!E9:I9,"DIPLO")*100/P9)</f>
        <v>0</v>
      </c>
      <c r="AD9" s="29">
        <f>IF(P9=0,0,COUNTIF('Transect 3_imgsummary'!E9:I9,"ECHPO")*100/P9)</f>
        <v>60</v>
      </c>
      <c r="AE9">
        <f>IF(P9=0,0,COUNTIF('Transect 3_imgsummary'!E9:I9,"ECHPHY")*100/P9)</f>
        <v>0</v>
      </c>
      <c r="AF9">
        <f>IF(P9=0,0,COUNTIF('Transect 3_imgsummary'!E9:I9,"EUPH")*100/P9)</f>
        <v>0</v>
      </c>
      <c r="AG9">
        <f>IF(P9=0,0,COUNTIF('Transect 3_imgsummary'!E9:I9,"FAV")*100/P9)</f>
        <v>0</v>
      </c>
      <c r="AH9">
        <f>IF(P9=0,0,COUNTIF('Transect 3_imgsummary'!E9:I9,"FAVT")*100/P9)</f>
        <v>0</v>
      </c>
      <c r="AI9">
        <f>IF(P9=0,0,COUNTIF('Transect 3_imgsummary'!E9:I9,"FUNG")*100/P9)</f>
        <v>0</v>
      </c>
      <c r="AJ9">
        <f>IF(P9=0,0,COUNTIF('Transect 3_imgsummary'!E9:I9,"GAL")*100/P9)</f>
        <v>0</v>
      </c>
      <c r="AK9">
        <f>IF(P9=0,0,COUNTIF('Transect 3_imgsummary'!E9:I9,"GARD")*100/P9)</f>
        <v>0</v>
      </c>
      <c r="AL9">
        <f>IF(P9=0,0,COUNTIF('Transect 3_imgsummary'!E9:I9,"GON")*100/P9)</f>
        <v>0</v>
      </c>
      <c r="AM9">
        <f>IF(P9=0,0,COUNTIF('Transect 3_imgsummary'!E9:I9,"GONIO")*100/P9)</f>
        <v>0</v>
      </c>
      <c r="AN9">
        <f>IF(P9=0,0,COUNTIF('Transect 3_imgsummary'!E9:I9,"HELIO")*100/P9)</f>
        <v>0</v>
      </c>
      <c r="AO9">
        <f>IF(P9=0,0,COUNTIF('Transect 3_imgsummary'!E9:I9,"HERP")*100/P9)</f>
        <v>0</v>
      </c>
      <c r="AP9">
        <f>IF(P9=0,0,COUNTIF('Transect 3_imgsummary'!E9:I9,"HYD")*100/P9)</f>
        <v>0</v>
      </c>
      <c r="AQ9">
        <f>IF(P9=0,0,COUNTIF('Transect 3_imgsummary'!E9:I9,"ISOP")*100/P9)</f>
        <v>0</v>
      </c>
      <c r="AR9">
        <f>IF(P9=0,0,COUNTIF('Transect 3_imgsummary'!E9:I9,"LEPT")*100/P9)</f>
        <v>0</v>
      </c>
      <c r="AS9">
        <f>IF(P9=0,0,COUNTIF('Transect 3_imgsummary'!E9:I9,"LEPTOR")*100/P9)</f>
        <v>0</v>
      </c>
      <c r="AT9">
        <f>IF(P9=0,0,COUNTIF('Transect 3_imgsummary'!E9:I9,"LEPTOS")*100/P9)</f>
        <v>0</v>
      </c>
      <c r="AU9">
        <f>IF(P9=0,0,COUNTIF('Transect 3_imgsummary'!E9:I9,"LOBOPH")*100/P9)</f>
        <v>0</v>
      </c>
      <c r="AV9">
        <f>IF(P9=0,0,COUNTIF('Transect 3_imgsummary'!E9:I9,"MERU")*100/P9)</f>
        <v>0</v>
      </c>
      <c r="AW9">
        <f>IF(P9=0,0,COUNTIF('Transect 3_imgsummary'!E9:I9,"MILL")*100/P9)</f>
        <v>0</v>
      </c>
      <c r="AX9" s="29">
        <f>IF(P9=0,0,COUNTIF('Transect 3_imgsummary'!E9:I9,"MONT")*100/P9)</f>
        <v>20</v>
      </c>
      <c r="AY9">
        <f>IF(P9=0,0,COUNTIF('Transect 3_imgsummary'!E9:I9,"MONTI")*100/P9)</f>
        <v>0</v>
      </c>
      <c r="AZ9">
        <f>IF(P9=0,0,COUNTIF('Transect 3_imgsummary'!E9:I9,"MYCED")*100/P9)</f>
        <v>0</v>
      </c>
      <c r="BA9">
        <f>IF(P9=0,0,COUNTIF('Transect 3_imgsummary'!E9:I9,"OULO")*100/P9)</f>
        <v>0</v>
      </c>
      <c r="BB9">
        <f>IF(P9=0,0,COUNTIF('Transect 3_imgsummary'!E9:I9,"OXYP")*100/P9)</f>
        <v>0</v>
      </c>
      <c r="BC9">
        <f>IF(P9=0,0,COUNTIF('Transect 3_imgsummary'!E9:I9,"PLSIA")*100/P9)</f>
        <v>0</v>
      </c>
      <c r="BD9">
        <f>IF(P9=0,0,COUNTIF('Transect 3_imgsummary'!E9:I9,"PACHY")*100/P9)</f>
        <v>0</v>
      </c>
      <c r="BE9">
        <f>IF(P9=0,0,COUNTIF('Transect 3_imgsummary'!E9:I9,"PAV")*100/P9)</f>
        <v>0</v>
      </c>
      <c r="BF9">
        <f>IF(P9=0,0,COUNTIF('Transect 3_imgsummary'!E9:I9,"PECT")*100/P9)</f>
        <v>0</v>
      </c>
      <c r="BG9">
        <f>IF(P9=0,0,COUNTIF('Transect 3_imgsummary'!E9:I9,"PHYSO")*100/P9)</f>
        <v>0</v>
      </c>
      <c r="BH9">
        <f>IF(P9=0,0,COUNTIF('Transect 3_imgsummary'!E9:I9,"PLAT")*100/P9)</f>
        <v>0</v>
      </c>
      <c r="BI9">
        <f>IF(P9=0,0,COUNTIF('Transect 3_imgsummary'!E9:I9,"PLERO")*100/P9)</f>
        <v>0</v>
      </c>
      <c r="BJ9">
        <f>IF(P9=0,0,COUNTIF('Transect 3_imgsummary'!E9:I9,"POC")*100/P9)</f>
        <v>0</v>
      </c>
      <c r="BK9">
        <f>IF(P9=0,0,COUNTIF('Transect 3_imgsummary'!E9:I9,"POR")*100/P9)</f>
        <v>0</v>
      </c>
      <c r="BL9">
        <f>IF(P9=0,0,COUNTIF('Transect 3_imgsummary'!E9:I9,"PORCYL")*100/P9)</f>
        <v>0</v>
      </c>
      <c r="BM9">
        <f>IF(P9=0,0,COUNTIF('Transect 3_imgsummary'!E9:I9,"PORMAS")*100/P9)</f>
        <v>0</v>
      </c>
      <c r="BN9">
        <f>IF(P9=0,0,COUNTIF('Transect 3_imgsummary'!E9:I9,"PORRUS")*100/P9)</f>
        <v>0</v>
      </c>
      <c r="BO9">
        <f>IF(P9=0,0,COUNTIF('Transect 3_imgsummary'!E9:I9,"PSAM")*100/P9)</f>
        <v>0</v>
      </c>
      <c r="BP9">
        <f>IF(P9=0,0,COUNTIF('Transect 3_imgsummary'!E9:I9,"SANDO")*100/P9)</f>
        <v>0</v>
      </c>
      <c r="BQ9">
        <f>IF(P9=0,0,COUNTIF('Transect 3_imgsummary'!E9:I9,"SCAP")*100/P9)</f>
        <v>0</v>
      </c>
      <c r="BR9">
        <f>IF(P9=0,0,COUNTIF('Transect 3_imgsummary'!E9:I9,"SERIA")*100/P9)</f>
        <v>0</v>
      </c>
      <c r="BS9">
        <f>IF(P9=0,0,COUNTIF('Transect 3_imgsummary'!E9:I9,"STYLC")*100/P9)</f>
        <v>0</v>
      </c>
      <c r="BT9">
        <f>IF(P9=0,0,COUNTIF('Transect 3_imgsummary'!E9:I9,"STYLO")*100/P9)</f>
        <v>0</v>
      </c>
      <c r="BU9">
        <f>IF(P9=0,0,COUNTIF('Transect 3_imgsummary'!E9:I9,"SYMP")*100/P9)</f>
        <v>0</v>
      </c>
      <c r="BV9">
        <f>IF(P9=0,0,COUNTIF('Transect 3_imgsummary'!E9:I9,"TURBIN")*100/P9)</f>
        <v>0</v>
      </c>
      <c r="BX9">
        <f>IF(P9=0,0,COUNTIF('Transect 3_imgsummary'!E9:I9,"ANEM")*100/P9)</f>
        <v>0</v>
      </c>
      <c r="BY9">
        <f>IF(P9=0,0,COUNTIF('Transect 3_imgsummary'!E9:I9,"ASC")*100/P9)</f>
        <v>0</v>
      </c>
      <c r="BZ9">
        <f>IF(P9=0,0,COUNTIF('Transect 3_imgsummary'!E9:I9,"CUPS")*100/P9)</f>
        <v>0</v>
      </c>
      <c r="CA9">
        <f>IF(P9=0,0,COUNTIF('Transect 3_imgsummary'!E9:I9,"DISCO")*100/P9)</f>
        <v>0</v>
      </c>
      <c r="CB9">
        <f>IF(P9=0,0,COUNTIF('Transect 3_imgsummary'!E9:I9,"DYS")*100/P9)</f>
        <v>0</v>
      </c>
      <c r="CC9">
        <f>IF(P9=0,0,COUNTIF('Transect 3_imgsummary'!E9:I9,"G")*100/P9)</f>
        <v>0</v>
      </c>
      <c r="CD9">
        <f>IF(P9=0,0,COUNTIF('Transect 3_imgsummary'!E9:I9,"NoIDINV")*100/P9)</f>
        <v>0</v>
      </c>
      <c r="CE9">
        <f>IF(P9=0,0,COUNTIF('Transect 3_imgsummary'!E9:I9,"OLV")*100/P9)</f>
        <v>0</v>
      </c>
      <c r="CF9">
        <f>IF(P9=0,0,COUNTIF('Transect 3_imgsummary'!E9:I9,"SC")*100/P9)</f>
        <v>0</v>
      </c>
      <c r="CG9">
        <f>IF(P9=0,0,COUNTIF('Transect 3_imgsummary'!E9:I9,"S")*100/P9)</f>
        <v>0</v>
      </c>
      <c r="CH9">
        <f>IF(P9=0,0,COUNTIF('Transect 3_imgsummary'!E9:I9,"TERPS")*100/P9)</f>
        <v>0</v>
      </c>
      <c r="CI9">
        <f>IF(P9=0,0,COUNTIF('Transect 3_imgsummary'!E9:I9,"Z")*100/P9)</f>
        <v>0</v>
      </c>
      <c r="CK9">
        <f>IF(P9=0,0,COUNTIF('Transect 3_imgsummary'!E9:I9,"ASP")*100/P9)</f>
        <v>0</v>
      </c>
      <c r="CL9">
        <f>IF(P9=0,0,COUNTIF('Transect 3_imgsummary'!E9:I9,"BG")*100/P9)</f>
        <v>0</v>
      </c>
      <c r="CM9">
        <f>IF(P9=0,0,COUNTIF('Transect 3_imgsummary'!E9:I9,"Bood")*100/P9)</f>
        <v>0</v>
      </c>
      <c r="CN9">
        <f>IF(P9=0,0,COUNTIF('Transect 3_imgsummary'!E9:I9,"BRYP")*100/P9)</f>
        <v>0</v>
      </c>
      <c r="CO9">
        <f>IF(P9=0,0,COUNTIF('Transect 3_imgsummary'!E9:I9,"CLP")*100/P9)</f>
        <v>0</v>
      </c>
      <c r="CP9">
        <f>IF(P9=0,0,COUNTIF('Transect 3_imgsummary'!E9:I9,"CHLDES")*100/P9)</f>
        <v>0</v>
      </c>
      <c r="CQ9">
        <f>IF(P9=0,0,COUNTIF('Transect 3_imgsummary'!E9:I9,"DYCTY")*100/P9)</f>
        <v>0</v>
      </c>
      <c r="CR9">
        <f>IF(P9=0,0,COUNTIF('Transect 3_imgsummary'!E9:I9,"DICT")*100/P9)</f>
        <v>0</v>
      </c>
      <c r="CS9">
        <f>IF(P9=0,0,COUNTIF('Transect 3_imgsummary'!E9:I9,"GLXU")*100/P9)</f>
        <v>0</v>
      </c>
      <c r="CT9">
        <f>IF(P9=0,0,COUNTIF('Transect 3_imgsummary'!E9:I9,"HALI")*100/P9)</f>
        <v>0</v>
      </c>
      <c r="CU9">
        <f>IF(P9=0,0,COUNTIF('Transect 3_imgsummary'!E9:I9,"LIAG")*100/P9)</f>
        <v>0</v>
      </c>
      <c r="CV9">
        <f>IF(P9=0,0,COUNTIF('Transect 3_imgsummary'!E9:I9,"LOBO")*100/P9)</f>
        <v>0</v>
      </c>
      <c r="CW9">
        <f>IF(P9=0,0,COUNTIF('Transect 3_imgsummary'!E9:I9,"MAST")*100/P9)</f>
        <v>0</v>
      </c>
      <c r="CX9">
        <f>IF(P9=0,0,COUNTIF('Transect 3_imgsummary'!E9:I9,"MICDTY")*100/P9)</f>
        <v>0</v>
      </c>
      <c r="CY9">
        <f>IF(P9=0,0,COUNTIF('Transect 3_imgsummary'!E9:I9,"NEOM")*100/P9)</f>
        <v>0</v>
      </c>
      <c r="CZ9">
        <f>IF(P9=0,0,COUNTIF('Transect 3_imgsummary'!E9:I9,"NOIDMAC")*100/P9)</f>
        <v>0</v>
      </c>
      <c r="DA9">
        <f>IF(P9=0,0,COUNTIF('Transect 3_imgsummary'!E9:I9,"PAD")*100/P9)</f>
        <v>0</v>
      </c>
      <c r="DB9">
        <f>IF(P9=0,0,COUNTIF('Transect 3_imgsummary'!E9:I9,"SARG")*100/P9)</f>
        <v>0</v>
      </c>
      <c r="DC9">
        <f>IF(P9=0,0,COUNTIF('Transect 3_imgsummary'!E9:I9,"SCHIZ")*100/P9)</f>
        <v>0</v>
      </c>
      <c r="DD9">
        <f>IF(P9=0,0,COUNTIF('Transect 3_imgsummary'!E9:I9,"TURB")*100/P9)</f>
        <v>0</v>
      </c>
      <c r="DE9">
        <f>IF(P9=0,0,COUNTIF('Transect 3_imgsummary'!E9:I9,"TYDM")*100/P9)</f>
        <v>0</v>
      </c>
      <c r="DG9">
        <f>IF(P9=0,0,COUNTIF('Transect 3_imgsummary'!E9:I9,"AMP")*100/P9)</f>
        <v>0</v>
      </c>
      <c r="DH9">
        <f>IF(P9=0,0,COUNTIF('Transect 3_imgsummary'!E9:I9,"BCA1")*100/P9)</f>
        <v>0</v>
      </c>
      <c r="DI9">
        <f>IF(P9=0,0,COUNTIF('Transect 3_imgsummary'!E9:I9,"JAN")*100/P9)</f>
        <v>0</v>
      </c>
      <c r="DK9" s="29">
        <f>IF(P9=0,0,COUNTIF('Transect 3_imgsummary'!E9:I9,"CCA1")*100/P9)</f>
        <v>20</v>
      </c>
      <c r="DM9">
        <f>IF(P9=0,0,COUNTIF('Transect 3_imgsummary'!E9:I9,"Sand")*100/P9)</f>
        <v>0</v>
      </c>
      <c r="DO9">
        <f>IF(P9=0,0,COUNTIF('Transect 3_imgsummary'!E9:I9,"FCA1")*100/P9)</f>
        <v>0</v>
      </c>
      <c r="DQ9">
        <f>IF(P9=0,0,COUNTIF('Transect 3_imgsummary'!E9:I9,"CHRYOBRN")*100/P9)</f>
        <v>0</v>
      </c>
      <c r="DS9">
        <f>IF(P9=0,0,COUNTIF('Transect 3_imgsummary'!E9:I9,"TURF")*100/P9)</f>
        <v>0</v>
      </c>
      <c r="DU9">
        <f>COUNTIF('Transect 3_imgsummary'!E9:I9,"Shadow")*100/5</f>
        <v>0</v>
      </c>
      <c r="DV9">
        <f>COUNTIF('Transect 3_imgsummary'!E9:I9,"Tape")*100/5</f>
        <v>0</v>
      </c>
      <c r="DW9">
        <f>COUNTIF('Transect 3_imgsummary'!E9:I9,"Wand")*100/5</f>
        <v>0</v>
      </c>
      <c r="DY9">
        <f>IF(P9=0,0,COUNTIF('Transect 3_imgsummary'!O9:S9,"BC")*100/P9)</f>
        <v>0</v>
      </c>
    </row>
    <row r="10" spans="1:129">
      <c r="A10">
        <v>8</v>
      </c>
      <c r="B10" t="s">
        <v>497</v>
      </c>
      <c r="F10" s="29">
        <f>IF(P10=0,0,COUNTIF('Transect 3_imgsummary'!J10:N10,"C")*100/P10)</f>
        <v>20</v>
      </c>
      <c r="G10">
        <f>IF(P10=0,0,COUNTIF('Transect 3_imgsummary'!J10:N10,"OI")*100/P10)</f>
        <v>0</v>
      </c>
      <c r="H10">
        <f>IF(P10=0,0,COUNTIF('Transect 3_imgsummary'!J10:N10,"MA")*100/P10)</f>
        <v>0</v>
      </c>
      <c r="I10">
        <f>IF(P10=0,0,COUNTIF('Transect 3_imgsummary'!J10:N10,"BCA")*100/P10)</f>
        <v>0</v>
      </c>
      <c r="J10" s="29">
        <f>IF(P10=0,0,COUNTIF('Transect 3_imgsummary'!J10:N10,"CCA")*100/P10)</f>
        <v>20</v>
      </c>
      <c r="K10">
        <f>IF(P10=0,0,COUNTIF('Transect 3_imgsummary'!J10:N10,"SD")*100/P10)</f>
        <v>0</v>
      </c>
      <c r="L10">
        <f>IF(P10=0,0,COUNTIF('Transect 3_imgsummary'!J10:N10,"FCA")*100/P10)</f>
        <v>0</v>
      </c>
      <c r="M10">
        <f>IF(P10=0,0,COUNTIF('Transect 3_imgsummary'!J10:N10,"CHRYS")*100/P10)</f>
        <v>0</v>
      </c>
      <c r="N10" s="29">
        <f>IF(P10=0,0,COUNTIF('Transect 3_imgsummary'!J10:N10,"T")*100/P10)</f>
        <v>60</v>
      </c>
      <c r="O10">
        <f>IF(P10=0,0,COUNTIF('Transect 3_imgsummary'!J10:N10,"TWS")*100/P10)</f>
        <v>0</v>
      </c>
      <c r="P10">
        <f>5-COUNTIF('Transect 3_imgsummary'!J10:N10,"TWS")</f>
        <v>5</v>
      </c>
      <c r="S10">
        <f>IF(P10=0,0,COUNTIF('Transect 3_imgsummary'!E10:I10,"ACAN")*100/P10)</f>
        <v>0</v>
      </c>
      <c r="T10">
        <f>IF(P10=0,0,COUNTIF('Transect 3_imgsummary'!E10:I10,"ACROP")*100/P10)</f>
        <v>0</v>
      </c>
      <c r="U10">
        <f>IF(P10=0,0,COUNTIF('Transect 3_imgsummary'!E10:I10,"ACROPARB")*100/P10)</f>
        <v>0</v>
      </c>
      <c r="V10">
        <f>IF(P10=0,0,COUNTIF('Transect 3_imgsummary'!E10:I10,"ACROST")*100/P10)</f>
        <v>0</v>
      </c>
      <c r="W10">
        <f>IF(P10=0,0,COUNTIF('Transect 3_imgsummary'!E10:I10,"ACROTBL")*100/P10)</f>
        <v>0</v>
      </c>
      <c r="X10">
        <f>IF(P10=0,0,COUNTIF('Transect 3_imgsummary'!E10:I10,"ASTRP")*100/P10)</f>
        <v>0</v>
      </c>
      <c r="Y10">
        <f>IF(P10=0,0,COUNTIF('Transect 3_imgsummary'!E10:I10,"CAUL")*100/P10)</f>
        <v>0</v>
      </c>
      <c r="Z10">
        <f>IF(P10=0,0,COUNTIF('Transect 3_imgsummary'!E10:I10,"COSC")*100/P10)</f>
        <v>0</v>
      </c>
      <c r="AA10">
        <f>IF(P10=0,0,COUNTIF('Transect 3_imgsummary'!E10:I10,"CTEN")*100/P10)</f>
        <v>0</v>
      </c>
      <c r="AB10">
        <f>IF(P10=0,0,COUNTIF('Transect 3_imgsummary'!E10:I10,"CYPH")*100/P10)</f>
        <v>0</v>
      </c>
      <c r="AC10">
        <f>IF(P10=0,0,COUNTIF('Transect 3_imgsummary'!E10:I10,"DIPLO")*100/P10)</f>
        <v>0</v>
      </c>
      <c r="AD10">
        <f>IF(P10=0,0,COUNTIF('Transect 3_imgsummary'!E10:I10,"ECHPO")*100/P10)</f>
        <v>0</v>
      </c>
      <c r="AE10">
        <f>IF(P10=0,0,COUNTIF('Transect 3_imgsummary'!E10:I10,"ECHPHY")*100/P10)</f>
        <v>0</v>
      </c>
      <c r="AF10">
        <f>IF(P10=0,0,COUNTIF('Transect 3_imgsummary'!E10:I10,"EUPH")*100/P10)</f>
        <v>0</v>
      </c>
      <c r="AG10">
        <f>IF(P10=0,0,COUNTIF('Transect 3_imgsummary'!E10:I10,"FAV")*100/P10)</f>
        <v>0</v>
      </c>
      <c r="AH10">
        <f>IF(P10=0,0,COUNTIF('Transect 3_imgsummary'!E10:I10,"FAVT")*100/P10)</f>
        <v>0</v>
      </c>
      <c r="AI10">
        <f>IF(P10=0,0,COUNTIF('Transect 3_imgsummary'!E10:I10,"FUNG")*100/P10)</f>
        <v>0</v>
      </c>
      <c r="AJ10" s="29">
        <f>IF(P10=0,0,COUNTIF('Transect 3_imgsummary'!E10:I10,"GAL")*100/P10)</f>
        <v>20</v>
      </c>
      <c r="AK10">
        <f>IF(P10=0,0,COUNTIF('Transect 3_imgsummary'!E10:I10,"GARD")*100/P10)</f>
        <v>0</v>
      </c>
      <c r="AL10">
        <f>IF(P10=0,0,COUNTIF('Transect 3_imgsummary'!E10:I10,"GON")*100/P10)</f>
        <v>0</v>
      </c>
      <c r="AM10">
        <f>IF(P10=0,0,COUNTIF('Transect 3_imgsummary'!E10:I10,"GONIO")*100/P10)</f>
        <v>0</v>
      </c>
      <c r="AN10">
        <f>IF(P10=0,0,COUNTIF('Transect 3_imgsummary'!E10:I10,"HELIO")*100/P10)</f>
        <v>0</v>
      </c>
      <c r="AO10">
        <f>IF(P10=0,0,COUNTIF('Transect 3_imgsummary'!E10:I10,"HERP")*100/P10)</f>
        <v>0</v>
      </c>
      <c r="AP10">
        <f>IF(P10=0,0,COUNTIF('Transect 3_imgsummary'!E10:I10,"HYD")*100/P10)</f>
        <v>0</v>
      </c>
      <c r="AQ10">
        <f>IF(P10=0,0,COUNTIF('Transect 3_imgsummary'!E10:I10,"ISOP")*100/P10)</f>
        <v>0</v>
      </c>
      <c r="AR10">
        <f>IF(P10=0,0,COUNTIF('Transect 3_imgsummary'!E10:I10,"LEPT")*100/P10)</f>
        <v>0</v>
      </c>
      <c r="AS10">
        <f>IF(P10=0,0,COUNTIF('Transect 3_imgsummary'!E10:I10,"LEPTOR")*100/P10)</f>
        <v>0</v>
      </c>
      <c r="AT10">
        <f>IF(P10=0,0,COUNTIF('Transect 3_imgsummary'!E10:I10,"LEPTOS")*100/P10)</f>
        <v>0</v>
      </c>
      <c r="AU10">
        <f>IF(P10=0,0,COUNTIF('Transect 3_imgsummary'!E10:I10,"LOBOPH")*100/P10)</f>
        <v>0</v>
      </c>
      <c r="AV10">
        <f>IF(P10=0,0,COUNTIF('Transect 3_imgsummary'!E10:I10,"MERU")*100/P10)</f>
        <v>0</v>
      </c>
      <c r="AW10">
        <f>IF(P10=0,0,COUNTIF('Transect 3_imgsummary'!E10:I10,"MILL")*100/P10)</f>
        <v>0</v>
      </c>
      <c r="AX10">
        <f>IF(P10=0,0,COUNTIF('Transect 3_imgsummary'!E10:I10,"MONT")*100/P10)</f>
        <v>0</v>
      </c>
      <c r="AY10">
        <f>IF(P10=0,0,COUNTIF('Transect 3_imgsummary'!E10:I10,"MONTI")*100/P10)</f>
        <v>0</v>
      </c>
      <c r="AZ10">
        <f>IF(P10=0,0,COUNTIF('Transect 3_imgsummary'!E10:I10,"MYCED")*100/P10)</f>
        <v>0</v>
      </c>
      <c r="BA10">
        <f>IF(P10=0,0,COUNTIF('Transect 3_imgsummary'!E10:I10,"OULO")*100/P10)</f>
        <v>0</v>
      </c>
      <c r="BB10">
        <f>IF(P10=0,0,COUNTIF('Transect 3_imgsummary'!E10:I10,"OXYP")*100/P10)</f>
        <v>0</v>
      </c>
      <c r="BC10">
        <f>IF(P10=0,0,COUNTIF('Transect 3_imgsummary'!E10:I10,"PLSIA")*100/P10)</f>
        <v>0</v>
      </c>
      <c r="BD10">
        <f>IF(P10=0,0,COUNTIF('Transect 3_imgsummary'!E10:I10,"PACHY")*100/P10)</f>
        <v>0</v>
      </c>
      <c r="BE10">
        <f>IF(P10=0,0,COUNTIF('Transect 3_imgsummary'!E10:I10,"PAV")*100/P10)</f>
        <v>0</v>
      </c>
      <c r="BF10">
        <f>IF(P10=0,0,COUNTIF('Transect 3_imgsummary'!E10:I10,"PECT")*100/P10)</f>
        <v>0</v>
      </c>
      <c r="BG10">
        <f>IF(P10=0,0,COUNTIF('Transect 3_imgsummary'!E10:I10,"PHYSO")*100/P10)</f>
        <v>0</v>
      </c>
      <c r="BH10">
        <f>IF(P10=0,0,COUNTIF('Transect 3_imgsummary'!E10:I10,"PLAT")*100/P10)</f>
        <v>0</v>
      </c>
      <c r="BI10">
        <f>IF(P10=0,0,COUNTIF('Transect 3_imgsummary'!E10:I10,"PLERO")*100/P10)</f>
        <v>0</v>
      </c>
      <c r="BJ10">
        <f>IF(P10=0,0,COUNTIF('Transect 3_imgsummary'!E10:I10,"POC")*100/P10)</f>
        <v>0</v>
      </c>
      <c r="BK10">
        <f>IF(P10=0,0,COUNTIF('Transect 3_imgsummary'!E10:I10,"POR")*100/P10)</f>
        <v>0</v>
      </c>
      <c r="BL10">
        <f>IF(P10=0,0,COUNTIF('Transect 3_imgsummary'!E10:I10,"PORCYL")*100/P10)</f>
        <v>0</v>
      </c>
      <c r="BM10">
        <f>IF(P10=0,0,COUNTIF('Transect 3_imgsummary'!E10:I10,"PORMAS")*100/P10)</f>
        <v>0</v>
      </c>
      <c r="BN10">
        <f>IF(P10=0,0,COUNTIF('Transect 3_imgsummary'!E10:I10,"PORRUS")*100/P10)</f>
        <v>0</v>
      </c>
      <c r="BO10">
        <f>IF(P10=0,0,COUNTIF('Transect 3_imgsummary'!E10:I10,"PSAM")*100/P10)</f>
        <v>0</v>
      </c>
      <c r="BP10">
        <f>IF(P10=0,0,COUNTIF('Transect 3_imgsummary'!E10:I10,"SANDO")*100/P10)</f>
        <v>0</v>
      </c>
      <c r="BQ10">
        <f>IF(P10=0,0,COUNTIF('Transect 3_imgsummary'!E10:I10,"SCAP")*100/P10)</f>
        <v>0</v>
      </c>
      <c r="BR10">
        <f>IF(P10=0,0,COUNTIF('Transect 3_imgsummary'!E10:I10,"SERIA")*100/P10)</f>
        <v>0</v>
      </c>
      <c r="BS10">
        <f>IF(P10=0,0,COUNTIF('Transect 3_imgsummary'!E10:I10,"STYLC")*100/P10)</f>
        <v>0</v>
      </c>
      <c r="BT10">
        <f>IF(P10=0,0,COUNTIF('Transect 3_imgsummary'!E10:I10,"STYLO")*100/P10)</f>
        <v>0</v>
      </c>
      <c r="BU10">
        <f>IF(P10=0,0,COUNTIF('Transect 3_imgsummary'!E10:I10,"SYMP")*100/P10)</f>
        <v>0</v>
      </c>
      <c r="BV10">
        <f>IF(P10=0,0,COUNTIF('Transect 3_imgsummary'!E10:I10,"TURBIN")*100/P10)</f>
        <v>0</v>
      </c>
      <c r="BX10">
        <f>IF(P10=0,0,COUNTIF('Transect 3_imgsummary'!E10:I10,"ANEM")*100/P10)</f>
        <v>0</v>
      </c>
      <c r="BY10">
        <f>IF(P10=0,0,COUNTIF('Transect 3_imgsummary'!E10:I10,"ASC")*100/P10)</f>
        <v>0</v>
      </c>
      <c r="BZ10">
        <f>IF(P10=0,0,COUNTIF('Transect 3_imgsummary'!E10:I10,"CUPS")*100/P10)</f>
        <v>0</v>
      </c>
      <c r="CA10">
        <f>IF(P10=0,0,COUNTIF('Transect 3_imgsummary'!E10:I10,"DISCO")*100/P10)</f>
        <v>0</v>
      </c>
      <c r="CB10">
        <f>IF(P10=0,0,COUNTIF('Transect 3_imgsummary'!E10:I10,"DYS")*100/P10)</f>
        <v>0</v>
      </c>
      <c r="CC10">
        <f>IF(P10=0,0,COUNTIF('Transect 3_imgsummary'!E10:I10,"G")*100/P10)</f>
        <v>0</v>
      </c>
      <c r="CD10">
        <f>IF(P10=0,0,COUNTIF('Transect 3_imgsummary'!E10:I10,"NoIDINV")*100/P10)</f>
        <v>0</v>
      </c>
      <c r="CE10">
        <f>IF(P10=0,0,COUNTIF('Transect 3_imgsummary'!E10:I10,"OLV")*100/P10)</f>
        <v>0</v>
      </c>
      <c r="CF10">
        <f>IF(P10=0,0,COUNTIF('Transect 3_imgsummary'!E10:I10,"SC")*100/P10)</f>
        <v>0</v>
      </c>
      <c r="CG10">
        <f>IF(P10=0,0,COUNTIF('Transect 3_imgsummary'!E10:I10,"S")*100/P10)</f>
        <v>0</v>
      </c>
      <c r="CH10">
        <f>IF(P10=0,0,COUNTIF('Transect 3_imgsummary'!E10:I10,"TERPS")*100/P10)</f>
        <v>0</v>
      </c>
      <c r="CI10">
        <f>IF(P10=0,0,COUNTIF('Transect 3_imgsummary'!E10:I10,"Z")*100/P10)</f>
        <v>0</v>
      </c>
      <c r="CK10">
        <f>IF(P10=0,0,COUNTIF('Transect 3_imgsummary'!E10:I10,"ASP")*100/P10)</f>
        <v>0</v>
      </c>
      <c r="CL10">
        <f>IF(P10=0,0,COUNTIF('Transect 3_imgsummary'!E10:I10,"BG")*100/P10)</f>
        <v>0</v>
      </c>
      <c r="CM10">
        <f>IF(P10=0,0,COUNTIF('Transect 3_imgsummary'!E10:I10,"Bood")*100/P10)</f>
        <v>0</v>
      </c>
      <c r="CN10">
        <f>IF(P10=0,0,COUNTIF('Transect 3_imgsummary'!E10:I10,"BRYP")*100/P10)</f>
        <v>0</v>
      </c>
      <c r="CO10">
        <f>IF(P10=0,0,COUNTIF('Transect 3_imgsummary'!E10:I10,"CLP")*100/P10)</f>
        <v>0</v>
      </c>
      <c r="CP10">
        <f>IF(P10=0,0,COUNTIF('Transect 3_imgsummary'!E10:I10,"CHLDES")*100/P10)</f>
        <v>0</v>
      </c>
      <c r="CQ10">
        <f>IF(P10=0,0,COUNTIF('Transect 3_imgsummary'!E10:I10,"DYCTY")*100/P10)</f>
        <v>0</v>
      </c>
      <c r="CR10">
        <f>IF(P10=0,0,COUNTIF('Transect 3_imgsummary'!E10:I10,"DICT")*100/P10)</f>
        <v>0</v>
      </c>
      <c r="CS10">
        <f>IF(P10=0,0,COUNTIF('Transect 3_imgsummary'!E10:I10,"GLXU")*100/P10)</f>
        <v>0</v>
      </c>
      <c r="CT10">
        <f>IF(P10=0,0,COUNTIF('Transect 3_imgsummary'!E10:I10,"HALI")*100/P10)</f>
        <v>0</v>
      </c>
      <c r="CU10">
        <f>IF(P10=0,0,COUNTIF('Transect 3_imgsummary'!E10:I10,"LIAG")*100/P10)</f>
        <v>0</v>
      </c>
      <c r="CV10">
        <f>IF(P10=0,0,COUNTIF('Transect 3_imgsummary'!E10:I10,"LOBO")*100/P10)</f>
        <v>0</v>
      </c>
      <c r="CW10">
        <f>IF(P10=0,0,COUNTIF('Transect 3_imgsummary'!E10:I10,"MAST")*100/P10)</f>
        <v>0</v>
      </c>
      <c r="CX10">
        <f>IF(P10=0,0,COUNTIF('Transect 3_imgsummary'!E10:I10,"MICDTY")*100/P10)</f>
        <v>0</v>
      </c>
      <c r="CY10">
        <f>IF(P10=0,0,COUNTIF('Transect 3_imgsummary'!E10:I10,"NEOM")*100/P10)</f>
        <v>0</v>
      </c>
      <c r="CZ10">
        <f>IF(P10=0,0,COUNTIF('Transect 3_imgsummary'!E10:I10,"NOIDMAC")*100/P10)</f>
        <v>0</v>
      </c>
      <c r="DA10">
        <f>IF(P10=0,0,COUNTIF('Transect 3_imgsummary'!E10:I10,"PAD")*100/P10)</f>
        <v>0</v>
      </c>
      <c r="DB10">
        <f>IF(P10=0,0,COUNTIF('Transect 3_imgsummary'!E10:I10,"SARG")*100/P10)</f>
        <v>0</v>
      </c>
      <c r="DC10">
        <f>IF(P10=0,0,COUNTIF('Transect 3_imgsummary'!E10:I10,"SCHIZ")*100/P10)</f>
        <v>0</v>
      </c>
      <c r="DD10">
        <f>IF(P10=0,0,COUNTIF('Transect 3_imgsummary'!E10:I10,"TURB")*100/P10)</f>
        <v>0</v>
      </c>
      <c r="DE10">
        <f>IF(P10=0,0,COUNTIF('Transect 3_imgsummary'!E10:I10,"TYDM")*100/P10)</f>
        <v>0</v>
      </c>
      <c r="DG10">
        <f>IF(P10=0,0,COUNTIF('Transect 3_imgsummary'!E10:I10,"AMP")*100/P10)</f>
        <v>0</v>
      </c>
      <c r="DH10">
        <f>IF(P10=0,0,COUNTIF('Transect 3_imgsummary'!E10:I10,"BCA1")*100/P10)</f>
        <v>0</v>
      </c>
      <c r="DI10">
        <f>IF(P10=0,0,COUNTIF('Transect 3_imgsummary'!E10:I10,"JAN")*100/P10)</f>
        <v>0</v>
      </c>
      <c r="DK10" s="29">
        <f>IF(P10=0,0,COUNTIF('Transect 3_imgsummary'!E10:I10,"CCA1")*100/P10)</f>
        <v>20</v>
      </c>
      <c r="DM10">
        <f>IF(P10=0,0,COUNTIF('Transect 3_imgsummary'!E10:I10,"Sand")*100/P10)</f>
        <v>0</v>
      </c>
      <c r="DO10">
        <f>IF(P10=0,0,COUNTIF('Transect 3_imgsummary'!E10:I10,"FCA1")*100/P10)</f>
        <v>0</v>
      </c>
      <c r="DQ10">
        <f>IF(P10=0,0,COUNTIF('Transect 3_imgsummary'!E10:I10,"CHRYOBRN")*100/P10)</f>
        <v>0</v>
      </c>
      <c r="DS10" s="29">
        <f>IF(P10=0,0,COUNTIF('Transect 3_imgsummary'!E10:I10,"TURF")*100/P10)</f>
        <v>60</v>
      </c>
      <c r="DU10">
        <f>COUNTIF('Transect 3_imgsummary'!E10:I10,"Shadow")*100/5</f>
        <v>0</v>
      </c>
      <c r="DV10">
        <f>COUNTIF('Transect 3_imgsummary'!E10:I10,"Tape")*100/5</f>
        <v>0</v>
      </c>
      <c r="DW10">
        <f>COUNTIF('Transect 3_imgsummary'!E10:I10,"Wand")*100/5</f>
        <v>0</v>
      </c>
      <c r="DY10">
        <f>IF(P10=0,0,COUNTIF('Transect 3_imgsummary'!O10:S10,"BC")*100/P10)</f>
        <v>0</v>
      </c>
    </row>
    <row r="11" spans="1:129">
      <c r="A11">
        <v>9</v>
      </c>
      <c r="B11" t="s">
        <v>498</v>
      </c>
      <c r="F11" s="29">
        <f>IF(P11=0,0,COUNTIF('Transect 3_imgsummary'!J11:N11,"C")*100/P11)</f>
        <v>40</v>
      </c>
      <c r="G11">
        <f>IF(P11=0,0,COUNTIF('Transect 3_imgsummary'!J11:N11,"OI")*100/P11)</f>
        <v>0</v>
      </c>
      <c r="H11">
        <f>IF(P11=0,0,COUNTIF('Transect 3_imgsummary'!J11:N11,"MA")*100/P11)</f>
        <v>0</v>
      </c>
      <c r="I11">
        <f>IF(P11=0,0,COUNTIF('Transect 3_imgsummary'!J11:N11,"BCA")*100/P11)</f>
        <v>0</v>
      </c>
      <c r="J11">
        <f>IF(P11=0,0,COUNTIF('Transect 3_imgsummary'!J11:N11,"CCA")*100/P11)</f>
        <v>0</v>
      </c>
      <c r="K11">
        <f>IF(P11=0,0,COUNTIF('Transect 3_imgsummary'!J11:N11,"SD")*100/P11)</f>
        <v>0</v>
      </c>
      <c r="L11" s="29">
        <f>IF(P11=0,0,COUNTIF('Transect 3_imgsummary'!J11:N11,"FCA")*100/P11)</f>
        <v>20</v>
      </c>
      <c r="M11">
        <f>IF(P11=0,0,COUNTIF('Transect 3_imgsummary'!J11:N11,"CHRYS")*100/P11)</f>
        <v>0</v>
      </c>
      <c r="N11" s="29">
        <f>IF(P11=0,0,COUNTIF('Transect 3_imgsummary'!J11:N11,"T")*100/P11)</f>
        <v>40</v>
      </c>
      <c r="O11">
        <f>IF(P11=0,0,COUNTIF('Transect 3_imgsummary'!J11:N11,"TWS")*100/P11)</f>
        <v>0</v>
      </c>
      <c r="P11">
        <f>5-COUNTIF('Transect 3_imgsummary'!J11:N11,"TWS")</f>
        <v>5</v>
      </c>
      <c r="S11">
        <f>IF(P11=0,0,COUNTIF('Transect 3_imgsummary'!E11:I11,"ACAN")*100/P11)</f>
        <v>0</v>
      </c>
      <c r="T11">
        <f>IF(P11=0,0,COUNTIF('Transect 3_imgsummary'!E11:I11,"ACROP")*100/P11)</f>
        <v>0</v>
      </c>
      <c r="U11">
        <f>IF(P11=0,0,COUNTIF('Transect 3_imgsummary'!E11:I11,"ACROPARB")*100/P11)</f>
        <v>0</v>
      </c>
      <c r="V11">
        <f>IF(P11=0,0,COUNTIF('Transect 3_imgsummary'!E11:I11,"ACROST")*100/P11)</f>
        <v>0</v>
      </c>
      <c r="W11">
        <f>IF(P11=0,0,COUNTIF('Transect 3_imgsummary'!E11:I11,"ACROTBL")*100/P11)</f>
        <v>0</v>
      </c>
      <c r="X11">
        <f>IF(P11=0,0,COUNTIF('Transect 3_imgsummary'!E11:I11,"ASTRP")*100/P11)</f>
        <v>0</v>
      </c>
      <c r="Y11">
        <f>IF(P11=0,0,COUNTIF('Transect 3_imgsummary'!E11:I11,"CAUL")*100/P11)</f>
        <v>0</v>
      </c>
      <c r="Z11">
        <f>IF(P11=0,0,COUNTIF('Transect 3_imgsummary'!E11:I11,"COSC")*100/P11)</f>
        <v>0</v>
      </c>
      <c r="AA11">
        <f>IF(P11=0,0,COUNTIF('Transect 3_imgsummary'!E11:I11,"CTEN")*100/P11)</f>
        <v>0</v>
      </c>
      <c r="AB11">
        <f>IF(P11=0,0,COUNTIF('Transect 3_imgsummary'!E11:I11,"CYPH")*100/P11)</f>
        <v>0</v>
      </c>
      <c r="AC11">
        <f>IF(P11=0,0,COUNTIF('Transect 3_imgsummary'!E11:I11,"DIPLO")*100/P11)</f>
        <v>0</v>
      </c>
      <c r="AD11" s="29">
        <f>IF(P11=0,0,COUNTIF('Transect 3_imgsummary'!E11:I11,"ECHPO")*100/P11)</f>
        <v>40</v>
      </c>
      <c r="AE11">
        <f>IF(P11=0,0,COUNTIF('Transect 3_imgsummary'!E11:I11,"ECHPHY")*100/P11)</f>
        <v>0</v>
      </c>
      <c r="AF11">
        <f>IF(P11=0,0,COUNTIF('Transect 3_imgsummary'!E11:I11,"EUPH")*100/P11)</f>
        <v>0</v>
      </c>
      <c r="AG11">
        <f>IF(P11=0,0,COUNTIF('Transect 3_imgsummary'!E11:I11,"FAV")*100/P11)</f>
        <v>0</v>
      </c>
      <c r="AH11">
        <f>IF(P11=0,0,COUNTIF('Transect 3_imgsummary'!E11:I11,"FAVT")*100/P11)</f>
        <v>0</v>
      </c>
      <c r="AI11">
        <f>IF(P11=0,0,COUNTIF('Transect 3_imgsummary'!E11:I11,"FUNG")*100/P11)</f>
        <v>0</v>
      </c>
      <c r="AJ11">
        <f>IF(P11=0,0,COUNTIF('Transect 3_imgsummary'!E11:I11,"GAL")*100/P11)</f>
        <v>0</v>
      </c>
      <c r="AK11">
        <f>IF(P11=0,0,COUNTIF('Transect 3_imgsummary'!E11:I11,"GARD")*100/P11)</f>
        <v>0</v>
      </c>
      <c r="AL11">
        <f>IF(P11=0,0,COUNTIF('Transect 3_imgsummary'!E11:I11,"GON")*100/P11)</f>
        <v>0</v>
      </c>
      <c r="AM11">
        <f>IF(P11=0,0,COUNTIF('Transect 3_imgsummary'!E11:I11,"GONIO")*100/P11)</f>
        <v>0</v>
      </c>
      <c r="AN11">
        <f>IF(P11=0,0,COUNTIF('Transect 3_imgsummary'!E11:I11,"HELIO")*100/P11)</f>
        <v>0</v>
      </c>
      <c r="AO11">
        <f>IF(P11=0,0,COUNTIF('Transect 3_imgsummary'!E11:I11,"HERP")*100/P11)</f>
        <v>0</v>
      </c>
      <c r="AP11">
        <f>IF(P11=0,0,COUNTIF('Transect 3_imgsummary'!E11:I11,"HYD")*100/P11)</f>
        <v>0</v>
      </c>
      <c r="AQ11">
        <f>IF(P11=0,0,COUNTIF('Transect 3_imgsummary'!E11:I11,"ISOP")*100/P11)</f>
        <v>0</v>
      </c>
      <c r="AR11">
        <f>IF(P11=0,0,COUNTIF('Transect 3_imgsummary'!E11:I11,"LEPT")*100/P11)</f>
        <v>0</v>
      </c>
      <c r="AS11">
        <f>IF(P11=0,0,COUNTIF('Transect 3_imgsummary'!E11:I11,"LEPTOR")*100/P11)</f>
        <v>0</v>
      </c>
      <c r="AT11">
        <f>IF(P11=0,0,COUNTIF('Transect 3_imgsummary'!E11:I11,"LEPTOS")*100/P11)</f>
        <v>0</v>
      </c>
      <c r="AU11">
        <f>IF(P11=0,0,COUNTIF('Transect 3_imgsummary'!E11:I11,"LOBOPH")*100/P11)</f>
        <v>0</v>
      </c>
      <c r="AV11">
        <f>IF(P11=0,0,COUNTIF('Transect 3_imgsummary'!E11:I11,"MERU")*100/P11)</f>
        <v>0</v>
      </c>
      <c r="AW11">
        <f>IF(P11=0,0,COUNTIF('Transect 3_imgsummary'!E11:I11,"MILL")*100/P11)</f>
        <v>0</v>
      </c>
      <c r="AX11">
        <f>IF(P11=0,0,COUNTIF('Transect 3_imgsummary'!E11:I11,"MONT")*100/P11)</f>
        <v>0</v>
      </c>
      <c r="AY11">
        <f>IF(P11=0,0,COUNTIF('Transect 3_imgsummary'!E11:I11,"MONTI")*100/P11)</f>
        <v>0</v>
      </c>
      <c r="AZ11">
        <f>IF(P11=0,0,COUNTIF('Transect 3_imgsummary'!E11:I11,"MYCED")*100/P11)</f>
        <v>0</v>
      </c>
      <c r="BA11">
        <f>IF(P11=0,0,COUNTIF('Transect 3_imgsummary'!E11:I11,"OULO")*100/P11)</f>
        <v>0</v>
      </c>
      <c r="BB11">
        <f>IF(P11=0,0,COUNTIF('Transect 3_imgsummary'!E11:I11,"OXYP")*100/P11)</f>
        <v>0</v>
      </c>
      <c r="BC11">
        <f>IF(P11=0,0,COUNTIF('Transect 3_imgsummary'!E11:I11,"PLSIA")*100/P11)</f>
        <v>0</v>
      </c>
      <c r="BD11">
        <f>IF(P11=0,0,COUNTIF('Transect 3_imgsummary'!E11:I11,"PACHY")*100/P11)</f>
        <v>0</v>
      </c>
      <c r="BE11">
        <f>IF(P11=0,0,COUNTIF('Transect 3_imgsummary'!E11:I11,"PAV")*100/P11)</f>
        <v>0</v>
      </c>
      <c r="BF11">
        <f>IF(P11=0,0,COUNTIF('Transect 3_imgsummary'!E11:I11,"PECT")*100/P11)</f>
        <v>0</v>
      </c>
      <c r="BG11">
        <f>IF(P11=0,0,COUNTIF('Transect 3_imgsummary'!E11:I11,"PHYSO")*100/P11)</f>
        <v>0</v>
      </c>
      <c r="BH11">
        <f>IF(P11=0,0,COUNTIF('Transect 3_imgsummary'!E11:I11,"PLAT")*100/P11)</f>
        <v>0</v>
      </c>
      <c r="BI11">
        <f>IF(P11=0,0,COUNTIF('Transect 3_imgsummary'!E11:I11,"PLERO")*100/P11)</f>
        <v>0</v>
      </c>
      <c r="BJ11">
        <f>IF(P11=0,0,COUNTIF('Transect 3_imgsummary'!E11:I11,"POC")*100/P11)</f>
        <v>0</v>
      </c>
      <c r="BK11">
        <f>IF(P11=0,0,COUNTIF('Transect 3_imgsummary'!E11:I11,"POR")*100/P11)</f>
        <v>0</v>
      </c>
      <c r="BL11">
        <f>IF(P11=0,0,COUNTIF('Transect 3_imgsummary'!E11:I11,"PORCYL")*100/P11)</f>
        <v>0</v>
      </c>
      <c r="BM11">
        <f>IF(P11=0,0,COUNTIF('Transect 3_imgsummary'!E11:I11,"PORMAS")*100/P11)</f>
        <v>0</v>
      </c>
      <c r="BN11">
        <f>IF(P11=0,0,COUNTIF('Transect 3_imgsummary'!E11:I11,"PORRUS")*100/P11)</f>
        <v>0</v>
      </c>
      <c r="BO11">
        <f>IF(P11=0,0,COUNTIF('Transect 3_imgsummary'!E11:I11,"PSAM")*100/P11)</f>
        <v>0</v>
      </c>
      <c r="BP11">
        <f>IF(P11=0,0,COUNTIF('Transect 3_imgsummary'!E11:I11,"SANDO")*100/P11)</f>
        <v>0</v>
      </c>
      <c r="BQ11">
        <f>IF(P11=0,0,COUNTIF('Transect 3_imgsummary'!E11:I11,"SCAP")*100/P11)</f>
        <v>0</v>
      </c>
      <c r="BR11">
        <f>IF(P11=0,0,COUNTIF('Transect 3_imgsummary'!E11:I11,"SERIA")*100/P11)</f>
        <v>0</v>
      </c>
      <c r="BS11">
        <f>IF(P11=0,0,COUNTIF('Transect 3_imgsummary'!E11:I11,"STYLC")*100/P11)</f>
        <v>0</v>
      </c>
      <c r="BT11">
        <f>IF(P11=0,0,COUNTIF('Transect 3_imgsummary'!E11:I11,"STYLO")*100/P11)</f>
        <v>0</v>
      </c>
      <c r="BU11">
        <f>IF(P11=0,0,COUNTIF('Transect 3_imgsummary'!E11:I11,"SYMP")*100/P11)</f>
        <v>0</v>
      </c>
      <c r="BV11">
        <f>IF(P11=0,0,COUNTIF('Transect 3_imgsummary'!E11:I11,"TURBIN")*100/P11)</f>
        <v>0</v>
      </c>
      <c r="BX11">
        <f>IF(P11=0,0,COUNTIF('Transect 3_imgsummary'!E11:I11,"ANEM")*100/P11)</f>
        <v>0</v>
      </c>
      <c r="BY11">
        <f>IF(P11=0,0,COUNTIF('Transect 3_imgsummary'!E11:I11,"ASC")*100/P11)</f>
        <v>0</v>
      </c>
      <c r="BZ11">
        <f>IF(P11=0,0,COUNTIF('Transect 3_imgsummary'!E11:I11,"CUPS")*100/P11)</f>
        <v>0</v>
      </c>
      <c r="CA11">
        <f>IF(P11=0,0,COUNTIF('Transect 3_imgsummary'!E11:I11,"DISCO")*100/P11)</f>
        <v>0</v>
      </c>
      <c r="CB11">
        <f>IF(P11=0,0,COUNTIF('Transect 3_imgsummary'!E11:I11,"DYS")*100/P11)</f>
        <v>0</v>
      </c>
      <c r="CC11">
        <f>IF(P11=0,0,COUNTIF('Transect 3_imgsummary'!E11:I11,"G")*100/P11)</f>
        <v>0</v>
      </c>
      <c r="CD11">
        <f>IF(P11=0,0,COUNTIF('Transect 3_imgsummary'!E11:I11,"NoIDINV")*100/P11)</f>
        <v>0</v>
      </c>
      <c r="CE11">
        <f>IF(P11=0,0,COUNTIF('Transect 3_imgsummary'!E11:I11,"OLV")*100/P11)</f>
        <v>0</v>
      </c>
      <c r="CF11">
        <f>IF(P11=0,0,COUNTIF('Transect 3_imgsummary'!E11:I11,"SC")*100/P11)</f>
        <v>0</v>
      </c>
      <c r="CG11">
        <f>IF(P11=0,0,COUNTIF('Transect 3_imgsummary'!E11:I11,"S")*100/P11)</f>
        <v>0</v>
      </c>
      <c r="CH11">
        <f>IF(P11=0,0,COUNTIF('Transect 3_imgsummary'!E11:I11,"TERPS")*100/P11)</f>
        <v>0</v>
      </c>
      <c r="CI11">
        <f>IF(P11=0,0,COUNTIF('Transect 3_imgsummary'!E11:I11,"Z")*100/P11)</f>
        <v>0</v>
      </c>
      <c r="CK11">
        <f>IF(P11=0,0,COUNTIF('Transect 3_imgsummary'!E11:I11,"ASP")*100/P11)</f>
        <v>0</v>
      </c>
      <c r="CL11">
        <f>IF(P11=0,0,COUNTIF('Transect 3_imgsummary'!E11:I11,"BG")*100/P11)</f>
        <v>0</v>
      </c>
      <c r="CM11">
        <f>IF(P11=0,0,COUNTIF('Transect 3_imgsummary'!E11:I11,"Bood")*100/P11)</f>
        <v>0</v>
      </c>
      <c r="CN11">
        <f>IF(P11=0,0,COUNTIF('Transect 3_imgsummary'!E11:I11,"BRYP")*100/P11)</f>
        <v>0</v>
      </c>
      <c r="CO11">
        <f>IF(P11=0,0,COUNTIF('Transect 3_imgsummary'!E11:I11,"CLP")*100/P11)</f>
        <v>0</v>
      </c>
      <c r="CP11">
        <f>IF(P11=0,0,COUNTIF('Transect 3_imgsummary'!E11:I11,"CHLDES")*100/P11)</f>
        <v>0</v>
      </c>
      <c r="CQ11">
        <f>IF(P11=0,0,COUNTIF('Transect 3_imgsummary'!E11:I11,"DYCTY")*100/P11)</f>
        <v>0</v>
      </c>
      <c r="CR11">
        <f>IF(P11=0,0,COUNTIF('Transect 3_imgsummary'!E11:I11,"DICT")*100/P11)</f>
        <v>0</v>
      </c>
      <c r="CS11">
        <f>IF(P11=0,0,COUNTIF('Transect 3_imgsummary'!E11:I11,"GLXU")*100/P11)</f>
        <v>0</v>
      </c>
      <c r="CT11">
        <f>IF(P11=0,0,COUNTIF('Transect 3_imgsummary'!E11:I11,"HALI")*100/P11)</f>
        <v>0</v>
      </c>
      <c r="CU11">
        <f>IF(P11=0,0,COUNTIF('Transect 3_imgsummary'!E11:I11,"LIAG")*100/P11)</f>
        <v>0</v>
      </c>
      <c r="CV11">
        <f>IF(P11=0,0,COUNTIF('Transect 3_imgsummary'!E11:I11,"LOBO")*100/P11)</f>
        <v>0</v>
      </c>
      <c r="CW11">
        <f>IF(P11=0,0,COUNTIF('Transect 3_imgsummary'!E11:I11,"MAST")*100/P11)</f>
        <v>0</v>
      </c>
      <c r="CX11">
        <f>IF(P11=0,0,COUNTIF('Transect 3_imgsummary'!E11:I11,"MICDTY")*100/P11)</f>
        <v>0</v>
      </c>
      <c r="CY11">
        <f>IF(P11=0,0,COUNTIF('Transect 3_imgsummary'!E11:I11,"NEOM")*100/P11)</f>
        <v>0</v>
      </c>
      <c r="CZ11">
        <f>IF(P11=0,0,COUNTIF('Transect 3_imgsummary'!E11:I11,"NOIDMAC")*100/P11)</f>
        <v>0</v>
      </c>
      <c r="DA11">
        <f>IF(P11=0,0,COUNTIF('Transect 3_imgsummary'!E11:I11,"PAD")*100/P11)</f>
        <v>0</v>
      </c>
      <c r="DB11">
        <f>IF(P11=0,0,COUNTIF('Transect 3_imgsummary'!E11:I11,"SARG")*100/P11)</f>
        <v>0</v>
      </c>
      <c r="DC11">
        <f>IF(P11=0,0,COUNTIF('Transect 3_imgsummary'!E11:I11,"SCHIZ")*100/P11)</f>
        <v>0</v>
      </c>
      <c r="DD11">
        <f>IF(P11=0,0,COUNTIF('Transect 3_imgsummary'!E11:I11,"TURB")*100/P11)</f>
        <v>0</v>
      </c>
      <c r="DE11">
        <f>IF(P11=0,0,COUNTIF('Transect 3_imgsummary'!E11:I11,"TYDM")*100/P11)</f>
        <v>0</v>
      </c>
      <c r="DG11">
        <f>IF(P11=0,0,COUNTIF('Transect 3_imgsummary'!E11:I11,"AMP")*100/P11)</f>
        <v>0</v>
      </c>
      <c r="DH11">
        <f>IF(P11=0,0,COUNTIF('Transect 3_imgsummary'!E11:I11,"BCA1")*100/P11)</f>
        <v>0</v>
      </c>
      <c r="DI11">
        <f>IF(P11=0,0,COUNTIF('Transect 3_imgsummary'!E11:I11,"JAN")*100/P11)</f>
        <v>0</v>
      </c>
      <c r="DK11">
        <f>IF(P11=0,0,COUNTIF('Transect 3_imgsummary'!E11:I11,"CCA1")*100/P11)</f>
        <v>0</v>
      </c>
      <c r="DM11">
        <f>IF(P11=0,0,COUNTIF('Transect 3_imgsummary'!E11:I11,"Sand")*100/P11)</f>
        <v>0</v>
      </c>
      <c r="DO11" s="29">
        <f>IF(P11=0,0,COUNTIF('Transect 3_imgsummary'!E11:I11,"FCA1")*100/P11)</f>
        <v>20</v>
      </c>
      <c r="DQ11">
        <f>IF(P11=0,0,COUNTIF('Transect 3_imgsummary'!E11:I11,"CHRYOBRN")*100/P11)</f>
        <v>0</v>
      </c>
      <c r="DS11" s="29">
        <f>IF(P11=0,0,COUNTIF('Transect 3_imgsummary'!E11:I11,"TURF")*100/P11)</f>
        <v>40</v>
      </c>
      <c r="DU11">
        <f>COUNTIF('Transect 3_imgsummary'!E11:I11,"Shadow")*100/5</f>
        <v>0</v>
      </c>
      <c r="DV11">
        <f>COUNTIF('Transect 3_imgsummary'!E11:I11,"Tape")*100/5</f>
        <v>0</v>
      </c>
      <c r="DW11">
        <f>COUNTIF('Transect 3_imgsummary'!E11:I11,"Wand")*100/5</f>
        <v>0</v>
      </c>
      <c r="DY11">
        <f>IF(P11=0,0,COUNTIF('Transect 3_imgsummary'!O11:S11,"BC")*100/P11)</f>
        <v>0</v>
      </c>
    </row>
    <row r="12" spans="1:129">
      <c r="A12">
        <v>10</v>
      </c>
      <c r="B12" t="s">
        <v>499</v>
      </c>
      <c r="F12" s="29">
        <f>IF(P12=0,0,COUNTIF('Transect 3_imgsummary'!J12:N12,"C")*100/P12)</f>
        <v>40</v>
      </c>
      <c r="G12">
        <f>IF(P12=0,0,COUNTIF('Transect 3_imgsummary'!J12:N12,"OI")*100/P12)</f>
        <v>0</v>
      </c>
      <c r="H12">
        <f>IF(P12=0,0,COUNTIF('Transect 3_imgsummary'!J12:N12,"MA")*100/P12)</f>
        <v>0</v>
      </c>
      <c r="I12">
        <f>IF(P12=0,0,COUNTIF('Transect 3_imgsummary'!J12:N12,"BCA")*100/P12)</f>
        <v>0</v>
      </c>
      <c r="J12" s="29">
        <f>IF(P12=0,0,COUNTIF('Transect 3_imgsummary'!J12:N12,"CCA")*100/P12)</f>
        <v>40</v>
      </c>
      <c r="K12">
        <f>IF(P12=0,0,COUNTIF('Transect 3_imgsummary'!J12:N12,"SD")*100/P12)</f>
        <v>0</v>
      </c>
      <c r="L12">
        <f>IF(P12=0,0,COUNTIF('Transect 3_imgsummary'!J12:N12,"FCA")*100/P12)</f>
        <v>0</v>
      </c>
      <c r="M12">
        <f>IF(P12=0,0,COUNTIF('Transect 3_imgsummary'!J12:N12,"CHRYS")*100/P12)</f>
        <v>0</v>
      </c>
      <c r="N12" s="29">
        <f>IF(P12=0,0,COUNTIF('Transect 3_imgsummary'!J12:N12,"T")*100/P12)</f>
        <v>20</v>
      </c>
      <c r="O12">
        <f>IF(P12=0,0,COUNTIF('Transect 3_imgsummary'!J12:N12,"TWS")*100/P12)</f>
        <v>0</v>
      </c>
      <c r="P12">
        <f>5-COUNTIF('Transect 3_imgsummary'!J12:N12,"TWS")</f>
        <v>5</v>
      </c>
      <c r="S12">
        <f>IF(P12=0,0,COUNTIF('Transect 3_imgsummary'!E12:I12,"ACAN")*100/P12)</f>
        <v>0</v>
      </c>
      <c r="T12">
        <f>IF(P12=0,0,COUNTIF('Transect 3_imgsummary'!E12:I12,"ACROP")*100/P12)</f>
        <v>0</v>
      </c>
      <c r="U12">
        <f>IF(P12=0,0,COUNTIF('Transect 3_imgsummary'!E12:I12,"ACROPARB")*100/P12)</f>
        <v>0</v>
      </c>
      <c r="V12">
        <f>IF(P12=0,0,COUNTIF('Transect 3_imgsummary'!E12:I12,"ACROST")*100/P12)</f>
        <v>0</v>
      </c>
      <c r="W12">
        <f>IF(P12=0,0,COUNTIF('Transect 3_imgsummary'!E12:I12,"ACROTBL")*100/P12)</f>
        <v>0</v>
      </c>
      <c r="X12">
        <f>IF(P12=0,0,COUNTIF('Transect 3_imgsummary'!E12:I12,"ASTRP")*100/P12)</f>
        <v>0</v>
      </c>
      <c r="Y12">
        <f>IF(P12=0,0,COUNTIF('Transect 3_imgsummary'!E12:I12,"CAUL")*100/P12)</f>
        <v>0</v>
      </c>
      <c r="Z12">
        <f>IF(P12=0,0,COUNTIF('Transect 3_imgsummary'!E12:I12,"COSC")*100/P12)</f>
        <v>0</v>
      </c>
      <c r="AA12">
        <f>IF(P12=0,0,COUNTIF('Transect 3_imgsummary'!E12:I12,"CTEN")*100/P12)</f>
        <v>0</v>
      </c>
      <c r="AB12">
        <f>IF(P12=0,0,COUNTIF('Transect 3_imgsummary'!E12:I12,"CYPH")*100/P12)</f>
        <v>0</v>
      </c>
      <c r="AC12">
        <f>IF(P12=0,0,COUNTIF('Transect 3_imgsummary'!E12:I12,"DIPLO")*100/P12)</f>
        <v>0</v>
      </c>
      <c r="AD12">
        <f>IF(P12=0,0,COUNTIF('Transect 3_imgsummary'!E12:I12,"ECHPO")*100/P12)</f>
        <v>0</v>
      </c>
      <c r="AE12">
        <f>IF(P12=0,0,COUNTIF('Transect 3_imgsummary'!E12:I12,"ECHPHY")*100/P12)</f>
        <v>0</v>
      </c>
      <c r="AF12">
        <f>IF(P12=0,0,COUNTIF('Transect 3_imgsummary'!E12:I12,"EUPH")*100/P12)</f>
        <v>0</v>
      </c>
      <c r="AG12">
        <f>IF(P12=0,0,COUNTIF('Transect 3_imgsummary'!E12:I12,"FAV")*100/P12)</f>
        <v>0</v>
      </c>
      <c r="AH12" s="29">
        <f>IF(P12=0,0,COUNTIF('Transect 3_imgsummary'!E12:I12,"FAVT")*100/P12)</f>
        <v>20</v>
      </c>
      <c r="AI12">
        <f>IF(P12=0,0,COUNTIF('Transect 3_imgsummary'!E12:I12,"FUNG")*100/P12)</f>
        <v>0</v>
      </c>
      <c r="AJ12">
        <f>IF(P12=0,0,COUNTIF('Transect 3_imgsummary'!E12:I12,"GAL")*100/P12)</f>
        <v>0</v>
      </c>
      <c r="AK12">
        <f>IF(P12=0,0,COUNTIF('Transect 3_imgsummary'!E12:I12,"GARD")*100/P12)</f>
        <v>0</v>
      </c>
      <c r="AL12">
        <f>IF(P12=0,0,COUNTIF('Transect 3_imgsummary'!E12:I12,"GON")*100/P12)</f>
        <v>0</v>
      </c>
      <c r="AM12">
        <f>IF(P12=0,0,COUNTIF('Transect 3_imgsummary'!E12:I12,"GONIO")*100/P12)</f>
        <v>0</v>
      </c>
      <c r="AN12">
        <f>IF(P12=0,0,COUNTIF('Transect 3_imgsummary'!E12:I12,"HELIO")*100/P12)</f>
        <v>0</v>
      </c>
      <c r="AO12">
        <f>IF(P12=0,0,COUNTIF('Transect 3_imgsummary'!E12:I12,"HERP")*100/P12)</f>
        <v>0</v>
      </c>
      <c r="AP12">
        <f>IF(P12=0,0,COUNTIF('Transect 3_imgsummary'!E12:I12,"HYD")*100/P12)</f>
        <v>0</v>
      </c>
      <c r="AQ12">
        <f>IF(P12=0,0,COUNTIF('Transect 3_imgsummary'!E12:I12,"ISOP")*100/P12)</f>
        <v>0</v>
      </c>
      <c r="AR12">
        <f>IF(P12=0,0,COUNTIF('Transect 3_imgsummary'!E12:I12,"LEPT")*100/P12)</f>
        <v>0</v>
      </c>
      <c r="AS12">
        <f>IF(P12=0,0,COUNTIF('Transect 3_imgsummary'!E12:I12,"LEPTOR")*100/P12)</f>
        <v>0</v>
      </c>
      <c r="AT12">
        <f>IF(P12=0,0,COUNTIF('Transect 3_imgsummary'!E12:I12,"LEPTOS")*100/P12)</f>
        <v>0</v>
      </c>
      <c r="AU12">
        <f>IF(P12=0,0,COUNTIF('Transect 3_imgsummary'!E12:I12,"LOBOPH")*100/P12)</f>
        <v>0</v>
      </c>
      <c r="AV12">
        <f>IF(P12=0,0,COUNTIF('Transect 3_imgsummary'!E12:I12,"MERU")*100/P12)</f>
        <v>0</v>
      </c>
      <c r="AW12">
        <f>IF(P12=0,0,COUNTIF('Transect 3_imgsummary'!E12:I12,"MILL")*100/P12)</f>
        <v>0</v>
      </c>
      <c r="AX12">
        <f>IF(P12=0,0,COUNTIF('Transect 3_imgsummary'!E12:I12,"MONT")*100/P12)</f>
        <v>0</v>
      </c>
      <c r="AY12">
        <f>IF(P12=0,0,COUNTIF('Transect 3_imgsummary'!E12:I12,"MONTI")*100/P12)</f>
        <v>0</v>
      </c>
      <c r="AZ12">
        <f>IF(P12=0,0,COUNTIF('Transect 3_imgsummary'!E12:I12,"MYCED")*100/P12)</f>
        <v>0</v>
      </c>
      <c r="BA12">
        <f>IF(P12=0,0,COUNTIF('Transect 3_imgsummary'!E12:I12,"OULO")*100/P12)</f>
        <v>0</v>
      </c>
      <c r="BB12">
        <f>IF(P12=0,0,COUNTIF('Transect 3_imgsummary'!E12:I12,"OXYP")*100/P12)</f>
        <v>0</v>
      </c>
      <c r="BC12">
        <f>IF(P12=0,0,COUNTIF('Transect 3_imgsummary'!E12:I12,"PLSIA")*100/P12)</f>
        <v>0</v>
      </c>
      <c r="BD12">
        <f>IF(P12=0,0,COUNTIF('Transect 3_imgsummary'!E12:I12,"PACHY")*100/P12)</f>
        <v>0</v>
      </c>
      <c r="BE12">
        <f>IF(P12=0,0,COUNTIF('Transect 3_imgsummary'!E12:I12,"PAV")*100/P12)</f>
        <v>0</v>
      </c>
      <c r="BF12">
        <f>IF(P12=0,0,COUNTIF('Transect 3_imgsummary'!E12:I12,"PECT")*100/P12)</f>
        <v>0</v>
      </c>
      <c r="BG12">
        <f>IF(P12=0,0,COUNTIF('Transect 3_imgsummary'!E12:I12,"PHYSO")*100/P12)</f>
        <v>0</v>
      </c>
      <c r="BH12" s="29">
        <f>IF(P12=0,0,COUNTIF('Transect 3_imgsummary'!E12:I12,"PLAT")*100/P12)</f>
        <v>20</v>
      </c>
      <c r="BI12">
        <f>IF(P12=0,0,COUNTIF('Transect 3_imgsummary'!E12:I12,"PLERO")*100/P12)</f>
        <v>0</v>
      </c>
      <c r="BJ12">
        <f>IF(P12=0,0,COUNTIF('Transect 3_imgsummary'!E12:I12,"POC")*100/P12)</f>
        <v>0</v>
      </c>
      <c r="BK12">
        <f>IF(P12=0,0,COUNTIF('Transect 3_imgsummary'!E12:I12,"POR")*100/P12)</f>
        <v>0</v>
      </c>
      <c r="BL12">
        <f>IF(P12=0,0,COUNTIF('Transect 3_imgsummary'!E12:I12,"PORCYL")*100/P12)</f>
        <v>0</v>
      </c>
      <c r="BM12">
        <f>IF(P12=0,0,COUNTIF('Transect 3_imgsummary'!E12:I12,"PORMAS")*100/P12)</f>
        <v>0</v>
      </c>
      <c r="BN12">
        <f>IF(P12=0,0,COUNTIF('Transect 3_imgsummary'!E12:I12,"PORRUS")*100/P12)</f>
        <v>0</v>
      </c>
      <c r="BO12">
        <f>IF(P12=0,0,COUNTIF('Transect 3_imgsummary'!E12:I12,"PSAM")*100/P12)</f>
        <v>0</v>
      </c>
      <c r="BP12">
        <f>IF(P12=0,0,COUNTIF('Transect 3_imgsummary'!E12:I12,"SANDO")*100/P12)</f>
        <v>0</v>
      </c>
      <c r="BQ12">
        <f>IF(P12=0,0,COUNTIF('Transect 3_imgsummary'!E12:I12,"SCAP")*100/P12)</f>
        <v>0</v>
      </c>
      <c r="BR12">
        <f>IF(P12=0,0,COUNTIF('Transect 3_imgsummary'!E12:I12,"SERIA")*100/P12)</f>
        <v>0</v>
      </c>
      <c r="BS12">
        <f>IF(P12=0,0,COUNTIF('Transect 3_imgsummary'!E12:I12,"STYLC")*100/P12)</f>
        <v>0</v>
      </c>
      <c r="BT12">
        <f>IF(P12=0,0,COUNTIF('Transect 3_imgsummary'!E12:I12,"STYLO")*100/P12)</f>
        <v>0</v>
      </c>
      <c r="BU12">
        <f>IF(P12=0,0,COUNTIF('Transect 3_imgsummary'!E12:I12,"SYMP")*100/P12)</f>
        <v>0</v>
      </c>
      <c r="BV12">
        <f>IF(P12=0,0,COUNTIF('Transect 3_imgsummary'!E12:I12,"TURBIN")*100/P12)</f>
        <v>0</v>
      </c>
      <c r="BX12">
        <f>IF(P12=0,0,COUNTIF('Transect 3_imgsummary'!E12:I12,"ANEM")*100/P12)</f>
        <v>0</v>
      </c>
      <c r="BY12">
        <f>IF(P12=0,0,COUNTIF('Transect 3_imgsummary'!E12:I12,"ASC")*100/P12)</f>
        <v>0</v>
      </c>
      <c r="BZ12">
        <f>IF(P12=0,0,COUNTIF('Transect 3_imgsummary'!E12:I12,"CUPS")*100/P12)</f>
        <v>0</v>
      </c>
      <c r="CA12">
        <f>IF(P12=0,0,COUNTIF('Transect 3_imgsummary'!E12:I12,"DISCO")*100/P12)</f>
        <v>0</v>
      </c>
      <c r="CB12">
        <f>IF(P12=0,0,COUNTIF('Transect 3_imgsummary'!E12:I12,"DYS")*100/P12)</f>
        <v>0</v>
      </c>
      <c r="CC12">
        <f>IF(P12=0,0,COUNTIF('Transect 3_imgsummary'!E12:I12,"G")*100/P12)</f>
        <v>0</v>
      </c>
      <c r="CD12">
        <f>IF(P12=0,0,COUNTIF('Transect 3_imgsummary'!E12:I12,"NoIDINV")*100/P12)</f>
        <v>0</v>
      </c>
      <c r="CE12">
        <f>IF(P12=0,0,COUNTIF('Transect 3_imgsummary'!E12:I12,"OLV")*100/P12)</f>
        <v>0</v>
      </c>
      <c r="CF12">
        <f>IF(P12=0,0,COUNTIF('Transect 3_imgsummary'!E12:I12,"SC")*100/P12)</f>
        <v>0</v>
      </c>
      <c r="CG12">
        <f>IF(P12=0,0,COUNTIF('Transect 3_imgsummary'!E12:I12,"S")*100/P12)</f>
        <v>0</v>
      </c>
      <c r="CH12">
        <f>IF(P12=0,0,COUNTIF('Transect 3_imgsummary'!E12:I12,"TERPS")*100/P12)</f>
        <v>0</v>
      </c>
      <c r="CI12">
        <f>IF(P12=0,0,COUNTIF('Transect 3_imgsummary'!E12:I12,"Z")*100/P12)</f>
        <v>0</v>
      </c>
      <c r="CK12">
        <f>IF(P12=0,0,COUNTIF('Transect 3_imgsummary'!E12:I12,"ASP")*100/P12)</f>
        <v>0</v>
      </c>
      <c r="CL12">
        <f>IF(P12=0,0,COUNTIF('Transect 3_imgsummary'!E12:I12,"BG")*100/P12)</f>
        <v>0</v>
      </c>
      <c r="CM12">
        <f>IF(P12=0,0,COUNTIF('Transect 3_imgsummary'!E12:I12,"Bood")*100/P12)</f>
        <v>0</v>
      </c>
      <c r="CN12">
        <f>IF(P12=0,0,COUNTIF('Transect 3_imgsummary'!E12:I12,"BRYP")*100/P12)</f>
        <v>0</v>
      </c>
      <c r="CO12">
        <f>IF(P12=0,0,COUNTIF('Transect 3_imgsummary'!E12:I12,"CLP")*100/P12)</f>
        <v>0</v>
      </c>
      <c r="CP12">
        <f>IF(P12=0,0,COUNTIF('Transect 3_imgsummary'!E12:I12,"CHLDES")*100/P12)</f>
        <v>0</v>
      </c>
      <c r="CQ12">
        <f>IF(P12=0,0,COUNTIF('Transect 3_imgsummary'!E12:I12,"DYCTY")*100/P12)</f>
        <v>0</v>
      </c>
      <c r="CR12">
        <f>IF(P12=0,0,COUNTIF('Transect 3_imgsummary'!E12:I12,"DICT")*100/P12)</f>
        <v>0</v>
      </c>
      <c r="CS12">
        <f>IF(P12=0,0,COUNTIF('Transect 3_imgsummary'!E12:I12,"GLXU")*100/P12)</f>
        <v>0</v>
      </c>
      <c r="CT12">
        <f>IF(P12=0,0,COUNTIF('Transect 3_imgsummary'!E12:I12,"HALI")*100/P12)</f>
        <v>0</v>
      </c>
      <c r="CU12">
        <f>IF(P12=0,0,COUNTIF('Transect 3_imgsummary'!E12:I12,"LIAG")*100/P12)</f>
        <v>0</v>
      </c>
      <c r="CV12">
        <f>IF(P12=0,0,COUNTIF('Transect 3_imgsummary'!E12:I12,"LOBO")*100/P12)</f>
        <v>0</v>
      </c>
      <c r="CW12">
        <f>IF(P12=0,0,COUNTIF('Transect 3_imgsummary'!E12:I12,"MAST")*100/P12)</f>
        <v>0</v>
      </c>
      <c r="CX12">
        <f>IF(P12=0,0,COUNTIF('Transect 3_imgsummary'!E12:I12,"MICDTY")*100/P12)</f>
        <v>0</v>
      </c>
      <c r="CY12">
        <f>IF(P12=0,0,COUNTIF('Transect 3_imgsummary'!E12:I12,"NEOM")*100/P12)</f>
        <v>0</v>
      </c>
      <c r="CZ12">
        <f>IF(P12=0,0,COUNTIF('Transect 3_imgsummary'!E12:I12,"NOIDMAC")*100/P12)</f>
        <v>0</v>
      </c>
      <c r="DA12">
        <f>IF(P12=0,0,COUNTIF('Transect 3_imgsummary'!E12:I12,"PAD")*100/P12)</f>
        <v>0</v>
      </c>
      <c r="DB12">
        <f>IF(P12=0,0,COUNTIF('Transect 3_imgsummary'!E12:I12,"SARG")*100/P12)</f>
        <v>0</v>
      </c>
      <c r="DC12">
        <f>IF(P12=0,0,COUNTIF('Transect 3_imgsummary'!E12:I12,"SCHIZ")*100/P12)</f>
        <v>0</v>
      </c>
      <c r="DD12">
        <f>IF(P12=0,0,COUNTIF('Transect 3_imgsummary'!E12:I12,"TURB")*100/P12)</f>
        <v>0</v>
      </c>
      <c r="DE12">
        <f>IF(P12=0,0,COUNTIF('Transect 3_imgsummary'!E12:I12,"TYDM")*100/P12)</f>
        <v>0</v>
      </c>
      <c r="DG12">
        <f>IF(P12=0,0,COUNTIF('Transect 3_imgsummary'!E12:I12,"AMP")*100/P12)</f>
        <v>0</v>
      </c>
      <c r="DH12">
        <f>IF(P12=0,0,COUNTIF('Transect 3_imgsummary'!E12:I12,"BCA1")*100/P12)</f>
        <v>0</v>
      </c>
      <c r="DI12">
        <f>IF(P12=0,0,COUNTIF('Transect 3_imgsummary'!E12:I12,"JAN")*100/P12)</f>
        <v>0</v>
      </c>
      <c r="DK12" s="29">
        <f>IF(P12=0,0,COUNTIF('Transect 3_imgsummary'!E12:I12,"CCA1")*100/P12)</f>
        <v>40</v>
      </c>
      <c r="DM12">
        <f>IF(P12=0,0,COUNTIF('Transect 3_imgsummary'!E12:I12,"Sand")*100/P12)</f>
        <v>0</v>
      </c>
      <c r="DO12">
        <f>IF(P12=0,0,COUNTIF('Transect 3_imgsummary'!E12:I12,"FCA1")*100/P12)</f>
        <v>0</v>
      </c>
      <c r="DQ12">
        <f>IF(P12=0,0,COUNTIF('Transect 3_imgsummary'!E12:I12,"CHRYOBRN")*100/P12)</f>
        <v>0</v>
      </c>
      <c r="DS12" s="29">
        <f>IF(P12=0,0,COUNTIF('Transect 3_imgsummary'!E12:I12,"TURF")*100/P12)</f>
        <v>20</v>
      </c>
      <c r="DU12">
        <f>COUNTIF('Transect 3_imgsummary'!E12:I12,"Shadow")*100/5</f>
        <v>0</v>
      </c>
      <c r="DV12">
        <f>COUNTIF('Transect 3_imgsummary'!E12:I12,"Tape")*100/5</f>
        <v>0</v>
      </c>
      <c r="DW12">
        <f>COUNTIF('Transect 3_imgsummary'!E12:I12,"Wand")*100/5</f>
        <v>0</v>
      </c>
      <c r="DY12">
        <f>IF(P12=0,0,COUNTIF('Transect 3_imgsummary'!O12:S12,"BC")*100/P12)</f>
        <v>0</v>
      </c>
    </row>
    <row r="13" spans="1:129">
      <c r="A13">
        <v>11</v>
      </c>
      <c r="B13" t="s">
        <v>500</v>
      </c>
      <c r="F13" s="29">
        <f>IF(P13=0,0,COUNTIF('Transect 3_imgsummary'!J13:N13,"C")*100/P13)</f>
        <v>100</v>
      </c>
      <c r="G13">
        <f>IF(P13=0,0,COUNTIF('Transect 3_imgsummary'!J13:N13,"OI")*100/P13)</f>
        <v>0</v>
      </c>
      <c r="H13">
        <f>IF(P13=0,0,COUNTIF('Transect 3_imgsummary'!J13:N13,"MA")*100/P13)</f>
        <v>0</v>
      </c>
      <c r="I13">
        <f>IF(P13=0,0,COUNTIF('Transect 3_imgsummary'!J13:N13,"BCA")*100/P13)</f>
        <v>0</v>
      </c>
      <c r="J13">
        <f>IF(P13=0,0,COUNTIF('Transect 3_imgsummary'!J13:N13,"CCA")*100/P13)</f>
        <v>0</v>
      </c>
      <c r="K13">
        <f>IF(P13=0,0,COUNTIF('Transect 3_imgsummary'!J13:N13,"SD")*100/P13)</f>
        <v>0</v>
      </c>
      <c r="L13">
        <f>IF(P13=0,0,COUNTIF('Transect 3_imgsummary'!J13:N13,"FCA")*100/P13)</f>
        <v>0</v>
      </c>
      <c r="M13">
        <f>IF(P13=0,0,COUNTIF('Transect 3_imgsummary'!J13:N13,"CHRYS")*100/P13)</f>
        <v>0</v>
      </c>
      <c r="N13">
        <f>IF(P13=0,0,COUNTIF('Transect 3_imgsummary'!J13:N13,"T")*100/P13)</f>
        <v>0</v>
      </c>
      <c r="O13">
        <f>IF(P13=0,0,COUNTIF('Transect 3_imgsummary'!J13:N13,"TWS")*100/P13)</f>
        <v>0</v>
      </c>
      <c r="P13">
        <f>5-COUNTIF('Transect 3_imgsummary'!J13:N13,"TWS")</f>
        <v>5</v>
      </c>
      <c r="S13">
        <f>IF(P13=0,0,COUNTIF('Transect 3_imgsummary'!E13:I13,"ACAN")*100/P13)</f>
        <v>0</v>
      </c>
      <c r="T13">
        <f>IF(P13=0,0,COUNTIF('Transect 3_imgsummary'!E13:I13,"ACROP")*100/P13)</f>
        <v>0</v>
      </c>
      <c r="U13">
        <f>IF(P13=0,0,COUNTIF('Transect 3_imgsummary'!E13:I13,"ACROPARB")*100/P13)</f>
        <v>0</v>
      </c>
      <c r="V13">
        <f>IF(P13=0,0,COUNTIF('Transect 3_imgsummary'!E13:I13,"ACROST")*100/P13)</f>
        <v>0</v>
      </c>
      <c r="W13">
        <f>IF(P13=0,0,COUNTIF('Transect 3_imgsummary'!E13:I13,"ACROTBL")*100/P13)</f>
        <v>0</v>
      </c>
      <c r="X13">
        <f>IF(P13=0,0,COUNTIF('Transect 3_imgsummary'!E13:I13,"ASTRP")*100/P13)</f>
        <v>0</v>
      </c>
      <c r="Y13">
        <f>IF(P13=0,0,COUNTIF('Transect 3_imgsummary'!E13:I13,"CAUL")*100/P13)</f>
        <v>0</v>
      </c>
      <c r="Z13">
        <f>IF(P13=0,0,COUNTIF('Transect 3_imgsummary'!E13:I13,"COSC")*100/P13)</f>
        <v>0</v>
      </c>
      <c r="AA13">
        <f>IF(P13=0,0,COUNTIF('Transect 3_imgsummary'!E13:I13,"CTEN")*100/P13)</f>
        <v>0</v>
      </c>
      <c r="AB13">
        <f>IF(P13=0,0,COUNTIF('Transect 3_imgsummary'!E13:I13,"CYPH")*100/P13)</f>
        <v>0</v>
      </c>
      <c r="AC13">
        <f>IF(P13=0,0,COUNTIF('Transect 3_imgsummary'!E13:I13,"DIPLO")*100/P13)</f>
        <v>0</v>
      </c>
      <c r="AD13" s="29">
        <f>IF(P13=0,0,COUNTIF('Transect 3_imgsummary'!E13:I13,"ECHPO")*100/P13)</f>
        <v>100</v>
      </c>
      <c r="AE13">
        <f>IF(P13=0,0,COUNTIF('Transect 3_imgsummary'!E13:I13,"ECHPHY")*100/P13)</f>
        <v>0</v>
      </c>
      <c r="AF13">
        <f>IF(P13=0,0,COUNTIF('Transect 3_imgsummary'!E13:I13,"EUPH")*100/P13)</f>
        <v>0</v>
      </c>
      <c r="AG13">
        <f>IF(P13=0,0,COUNTIF('Transect 3_imgsummary'!E13:I13,"FAV")*100/P13)</f>
        <v>0</v>
      </c>
      <c r="AH13">
        <f>IF(P13=0,0,COUNTIF('Transect 3_imgsummary'!E13:I13,"FAVT")*100/P13)</f>
        <v>0</v>
      </c>
      <c r="AI13">
        <f>IF(P13=0,0,COUNTIF('Transect 3_imgsummary'!E13:I13,"FUNG")*100/P13)</f>
        <v>0</v>
      </c>
      <c r="AJ13">
        <f>IF(P13=0,0,COUNTIF('Transect 3_imgsummary'!E13:I13,"GAL")*100/P13)</f>
        <v>0</v>
      </c>
      <c r="AK13">
        <f>IF(P13=0,0,COUNTIF('Transect 3_imgsummary'!E13:I13,"GARD")*100/P13)</f>
        <v>0</v>
      </c>
      <c r="AL13">
        <f>IF(P13=0,0,COUNTIF('Transect 3_imgsummary'!E13:I13,"GON")*100/P13)</f>
        <v>0</v>
      </c>
      <c r="AM13">
        <f>IF(P13=0,0,COUNTIF('Transect 3_imgsummary'!E13:I13,"GONIO")*100/P13)</f>
        <v>0</v>
      </c>
      <c r="AN13">
        <f>IF(P13=0,0,COUNTIF('Transect 3_imgsummary'!E13:I13,"HELIO")*100/P13)</f>
        <v>0</v>
      </c>
      <c r="AO13">
        <f>IF(P13=0,0,COUNTIF('Transect 3_imgsummary'!E13:I13,"HERP")*100/P13)</f>
        <v>0</v>
      </c>
      <c r="AP13">
        <f>IF(P13=0,0,COUNTIF('Transect 3_imgsummary'!E13:I13,"HYD")*100/P13)</f>
        <v>0</v>
      </c>
      <c r="AQ13">
        <f>IF(P13=0,0,COUNTIF('Transect 3_imgsummary'!E13:I13,"ISOP")*100/P13)</f>
        <v>0</v>
      </c>
      <c r="AR13">
        <f>IF(P13=0,0,COUNTIF('Transect 3_imgsummary'!E13:I13,"LEPT")*100/P13)</f>
        <v>0</v>
      </c>
      <c r="AS13">
        <f>IF(P13=0,0,COUNTIF('Transect 3_imgsummary'!E13:I13,"LEPTOR")*100/P13)</f>
        <v>0</v>
      </c>
      <c r="AT13">
        <f>IF(P13=0,0,COUNTIF('Transect 3_imgsummary'!E13:I13,"LEPTOS")*100/P13)</f>
        <v>0</v>
      </c>
      <c r="AU13">
        <f>IF(P13=0,0,COUNTIF('Transect 3_imgsummary'!E13:I13,"LOBOPH")*100/P13)</f>
        <v>0</v>
      </c>
      <c r="AV13">
        <f>IF(P13=0,0,COUNTIF('Transect 3_imgsummary'!E13:I13,"MERU")*100/P13)</f>
        <v>0</v>
      </c>
      <c r="AW13">
        <f>IF(P13=0,0,COUNTIF('Transect 3_imgsummary'!E13:I13,"MILL")*100/P13)</f>
        <v>0</v>
      </c>
      <c r="AX13">
        <f>IF(P13=0,0,COUNTIF('Transect 3_imgsummary'!E13:I13,"MONT")*100/P13)</f>
        <v>0</v>
      </c>
      <c r="AY13">
        <f>IF(P13=0,0,COUNTIF('Transect 3_imgsummary'!E13:I13,"MONTI")*100/P13)</f>
        <v>0</v>
      </c>
      <c r="AZ13">
        <f>IF(P13=0,0,COUNTIF('Transect 3_imgsummary'!E13:I13,"MYCED")*100/P13)</f>
        <v>0</v>
      </c>
      <c r="BA13">
        <f>IF(P13=0,0,COUNTIF('Transect 3_imgsummary'!E13:I13,"OULO")*100/P13)</f>
        <v>0</v>
      </c>
      <c r="BB13">
        <f>IF(P13=0,0,COUNTIF('Transect 3_imgsummary'!E13:I13,"OXYP")*100/P13)</f>
        <v>0</v>
      </c>
      <c r="BC13">
        <f>IF(P13=0,0,COUNTIF('Transect 3_imgsummary'!E13:I13,"PLSIA")*100/P13)</f>
        <v>0</v>
      </c>
      <c r="BD13">
        <f>IF(P13=0,0,COUNTIF('Transect 3_imgsummary'!E13:I13,"PACHY")*100/P13)</f>
        <v>0</v>
      </c>
      <c r="BE13">
        <f>IF(P13=0,0,COUNTIF('Transect 3_imgsummary'!E13:I13,"PAV")*100/P13)</f>
        <v>0</v>
      </c>
      <c r="BF13">
        <f>IF(P13=0,0,COUNTIF('Transect 3_imgsummary'!E13:I13,"PECT")*100/P13)</f>
        <v>0</v>
      </c>
      <c r="BG13">
        <f>IF(P13=0,0,COUNTIF('Transect 3_imgsummary'!E13:I13,"PHYSO")*100/P13)</f>
        <v>0</v>
      </c>
      <c r="BH13">
        <f>IF(P13=0,0,COUNTIF('Transect 3_imgsummary'!E13:I13,"PLAT")*100/P13)</f>
        <v>0</v>
      </c>
      <c r="BI13">
        <f>IF(P13=0,0,COUNTIF('Transect 3_imgsummary'!E13:I13,"PLERO")*100/P13)</f>
        <v>0</v>
      </c>
      <c r="BJ13">
        <f>IF(P13=0,0,COUNTIF('Transect 3_imgsummary'!E13:I13,"POC")*100/P13)</f>
        <v>0</v>
      </c>
      <c r="BK13">
        <f>IF(P13=0,0,COUNTIF('Transect 3_imgsummary'!E13:I13,"POR")*100/P13)</f>
        <v>0</v>
      </c>
      <c r="BL13">
        <f>IF(P13=0,0,COUNTIF('Transect 3_imgsummary'!E13:I13,"PORCYL")*100/P13)</f>
        <v>0</v>
      </c>
      <c r="BM13">
        <f>IF(P13=0,0,COUNTIF('Transect 3_imgsummary'!E13:I13,"PORMAS")*100/P13)</f>
        <v>0</v>
      </c>
      <c r="BN13">
        <f>IF(P13=0,0,COUNTIF('Transect 3_imgsummary'!E13:I13,"PORRUS")*100/P13)</f>
        <v>0</v>
      </c>
      <c r="BO13">
        <f>IF(P13=0,0,COUNTIF('Transect 3_imgsummary'!E13:I13,"PSAM")*100/P13)</f>
        <v>0</v>
      </c>
      <c r="BP13">
        <f>IF(P13=0,0,COUNTIF('Transect 3_imgsummary'!E13:I13,"SANDO")*100/P13)</f>
        <v>0</v>
      </c>
      <c r="BQ13">
        <f>IF(P13=0,0,COUNTIF('Transect 3_imgsummary'!E13:I13,"SCAP")*100/P13)</f>
        <v>0</v>
      </c>
      <c r="BR13">
        <f>IF(P13=0,0,COUNTIF('Transect 3_imgsummary'!E13:I13,"SERIA")*100/P13)</f>
        <v>0</v>
      </c>
      <c r="BS13">
        <f>IF(P13=0,0,COUNTIF('Transect 3_imgsummary'!E13:I13,"STYLC")*100/P13)</f>
        <v>0</v>
      </c>
      <c r="BT13">
        <f>IF(P13=0,0,COUNTIF('Transect 3_imgsummary'!E13:I13,"STYLO")*100/P13)</f>
        <v>0</v>
      </c>
      <c r="BU13">
        <f>IF(P13=0,0,COUNTIF('Transect 3_imgsummary'!E13:I13,"SYMP")*100/P13)</f>
        <v>0</v>
      </c>
      <c r="BV13">
        <f>IF(P13=0,0,COUNTIF('Transect 3_imgsummary'!E13:I13,"TURBIN")*100/P13)</f>
        <v>0</v>
      </c>
      <c r="BX13">
        <f>IF(P13=0,0,COUNTIF('Transect 3_imgsummary'!E13:I13,"ANEM")*100/P13)</f>
        <v>0</v>
      </c>
      <c r="BY13">
        <f>IF(P13=0,0,COUNTIF('Transect 3_imgsummary'!E13:I13,"ASC")*100/P13)</f>
        <v>0</v>
      </c>
      <c r="BZ13">
        <f>IF(P13=0,0,COUNTIF('Transect 3_imgsummary'!E13:I13,"CUPS")*100/P13)</f>
        <v>0</v>
      </c>
      <c r="CA13">
        <f>IF(P13=0,0,COUNTIF('Transect 3_imgsummary'!E13:I13,"DISCO")*100/P13)</f>
        <v>0</v>
      </c>
      <c r="CB13">
        <f>IF(P13=0,0,COUNTIF('Transect 3_imgsummary'!E13:I13,"DYS")*100/P13)</f>
        <v>0</v>
      </c>
      <c r="CC13">
        <f>IF(P13=0,0,COUNTIF('Transect 3_imgsummary'!E13:I13,"G")*100/P13)</f>
        <v>0</v>
      </c>
      <c r="CD13">
        <f>IF(P13=0,0,COUNTIF('Transect 3_imgsummary'!E13:I13,"NoIDINV")*100/P13)</f>
        <v>0</v>
      </c>
      <c r="CE13">
        <f>IF(P13=0,0,COUNTIF('Transect 3_imgsummary'!E13:I13,"OLV")*100/P13)</f>
        <v>0</v>
      </c>
      <c r="CF13">
        <f>IF(P13=0,0,COUNTIF('Transect 3_imgsummary'!E13:I13,"SC")*100/P13)</f>
        <v>0</v>
      </c>
      <c r="CG13">
        <f>IF(P13=0,0,COUNTIF('Transect 3_imgsummary'!E13:I13,"S")*100/P13)</f>
        <v>0</v>
      </c>
      <c r="CH13">
        <f>IF(P13=0,0,COUNTIF('Transect 3_imgsummary'!E13:I13,"TERPS")*100/P13)</f>
        <v>0</v>
      </c>
      <c r="CI13">
        <f>IF(P13=0,0,COUNTIF('Transect 3_imgsummary'!E13:I13,"Z")*100/P13)</f>
        <v>0</v>
      </c>
      <c r="CK13">
        <f>IF(P13=0,0,COUNTIF('Transect 3_imgsummary'!E13:I13,"ASP")*100/P13)</f>
        <v>0</v>
      </c>
      <c r="CL13">
        <f>IF(P13=0,0,COUNTIF('Transect 3_imgsummary'!E13:I13,"BG")*100/P13)</f>
        <v>0</v>
      </c>
      <c r="CM13">
        <f>IF(P13=0,0,COUNTIF('Transect 3_imgsummary'!E13:I13,"Bood")*100/P13)</f>
        <v>0</v>
      </c>
      <c r="CN13">
        <f>IF(P13=0,0,COUNTIF('Transect 3_imgsummary'!E13:I13,"BRYP")*100/P13)</f>
        <v>0</v>
      </c>
      <c r="CO13">
        <f>IF(P13=0,0,COUNTIF('Transect 3_imgsummary'!E13:I13,"CLP")*100/P13)</f>
        <v>0</v>
      </c>
      <c r="CP13">
        <f>IF(P13=0,0,COUNTIF('Transect 3_imgsummary'!E13:I13,"CHLDES")*100/P13)</f>
        <v>0</v>
      </c>
      <c r="CQ13">
        <f>IF(P13=0,0,COUNTIF('Transect 3_imgsummary'!E13:I13,"DYCTY")*100/P13)</f>
        <v>0</v>
      </c>
      <c r="CR13">
        <f>IF(P13=0,0,COUNTIF('Transect 3_imgsummary'!E13:I13,"DICT")*100/P13)</f>
        <v>0</v>
      </c>
      <c r="CS13">
        <f>IF(P13=0,0,COUNTIF('Transect 3_imgsummary'!E13:I13,"GLXU")*100/P13)</f>
        <v>0</v>
      </c>
      <c r="CT13">
        <f>IF(P13=0,0,COUNTIF('Transect 3_imgsummary'!E13:I13,"HALI")*100/P13)</f>
        <v>0</v>
      </c>
      <c r="CU13">
        <f>IF(P13=0,0,COUNTIF('Transect 3_imgsummary'!E13:I13,"LIAG")*100/P13)</f>
        <v>0</v>
      </c>
      <c r="CV13">
        <f>IF(P13=0,0,COUNTIF('Transect 3_imgsummary'!E13:I13,"LOBO")*100/P13)</f>
        <v>0</v>
      </c>
      <c r="CW13">
        <f>IF(P13=0,0,COUNTIF('Transect 3_imgsummary'!E13:I13,"MAST")*100/P13)</f>
        <v>0</v>
      </c>
      <c r="CX13">
        <f>IF(P13=0,0,COUNTIF('Transect 3_imgsummary'!E13:I13,"MICDTY")*100/P13)</f>
        <v>0</v>
      </c>
      <c r="CY13">
        <f>IF(P13=0,0,COUNTIF('Transect 3_imgsummary'!E13:I13,"NEOM")*100/P13)</f>
        <v>0</v>
      </c>
      <c r="CZ13">
        <f>IF(P13=0,0,COUNTIF('Transect 3_imgsummary'!E13:I13,"NOIDMAC")*100/P13)</f>
        <v>0</v>
      </c>
      <c r="DA13">
        <f>IF(P13=0,0,COUNTIF('Transect 3_imgsummary'!E13:I13,"PAD")*100/P13)</f>
        <v>0</v>
      </c>
      <c r="DB13">
        <f>IF(P13=0,0,COUNTIF('Transect 3_imgsummary'!E13:I13,"SARG")*100/P13)</f>
        <v>0</v>
      </c>
      <c r="DC13">
        <f>IF(P13=0,0,COUNTIF('Transect 3_imgsummary'!E13:I13,"SCHIZ")*100/P13)</f>
        <v>0</v>
      </c>
      <c r="DD13">
        <f>IF(P13=0,0,COUNTIF('Transect 3_imgsummary'!E13:I13,"TURB")*100/P13)</f>
        <v>0</v>
      </c>
      <c r="DE13">
        <f>IF(P13=0,0,COUNTIF('Transect 3_imgsummary'!E13:I13,"TYDM")*100/P13)</f>
        <v>0</v>
      </c>
      <c r="DG13">
        <f>IF(P13=0,0,COUNTIF('Transect 3_imgsummary'!E13:I13,"AMP")*100/P13)</f>
        <v>0</v>
      </c>
      <c r="DH13">
        <f>IF(P13=0,0,COUNTIF('Transect 3_imgsummary'!E13:I13,"BCA1")*100/P13)</f>
        <v>0</v>
      </c>
      <c r="DI13">
        <f>IF(P13=0,0,COUNTIF('Transect 3_imgsummary'!E13:I13,"JAN")*100/P13)</f>
        <v>0</v>
      </c>
      <c r="DK13">
        <f>IF(P13=0,0,COUNTIF('Transect 3_imgsummary'!E13:I13,"CCA1")*100/P13)</f>
        <v>0</v>
      </c>
      <c r="DM13">
        <f>IF(P13=0,0,COUNTIF('Transect 3_imgsummary'!E13:I13,"Sand")*100/P13)</f>
        <v>0</v>
      </c>
      <c r="DO13">
        <f>IF(P13=0,0,COUNTIF('Transect 3_imgsummary'!E13:I13,"FCA1")*100/P13)</f>
        <v>0</v>
      </c>
      <c r="DQ13">
        <f>IF(P13=0,0,COUNTIF('Transect 3_imgsummary'!E13:I13,"CHRYOBRN")*100/P13)</f>
        <v>0</v>
      </c>
      <c r="DS13">
        <f>IF(P13=0,0,COUNTIF('Transect 3_imgsummary'!E13:I13,"TURF")*100/P13)</f>
        <v>0</v>
      </c>
      <c r="DU13">
        <f>COUNTIF('Transect 3_imgsummary'!E13:I13,"Shadow")*100/5</f>
        <v>0</v>
      </c>
      <c r="DV13">
        <f>COUNTIF('Transect 3_imgsummary'!E13:I13,"Tape")*100/5</f>
        <v>0</v>
      </c>
      <c r="DW13">
        <f>COUNTIF('Transect 3_imgsummary'!E13:I13,"Wand")*100/5</f>
        <v>0</v>
      </c>
      <c r="DY13">
        <f>IF(P13=0,0,COUNTIF('Transect 3_imgsummary'!O13:S13,"BC")*100/P13)</f>
        <v>0</v>
      </c>
    </row>
    <row r="14" spans="1:129">
      <c r="A14">
        <v>12</v>
      </c>
      <c r="B14" t="s">
        <v>501</v>
      </c>
      <c r="F14" s="29">
        <f>IF(P14=0,0,COUNTIF('Transect 3_imgsummary'!J14:N14,"C")*100/P14)</f>
        <v>60</v>
      </c>
      <c r="G14">
        <f>IF(P14=0,0,COUNTIF('Transect 3_imgsummary'!J14:N14,"OI")*100/P14)</f>
        <v>0</v>
      </c>
      <c r="H14">
        <f>IF(P14=0,0,COUNTIF('Transect 3_imgsummary'!J14:N14,"MA")*100/P14)</f>
        <v>0</v>
      </c>
      <c r="I14">
        <f>IF(P14=0,0,COUNTIF('Transect 3_imgsummary'!J14:N14,"BCA")*100/P14)</f>
        <v>0</v>
      </c>
      <c r="J14">
        <f>IF(P14=0,0,COUNTIF('Transect 3_imgsummary'!J14:N14,"CCA")*100/P14)</f>
        <v>0</v>
      </c>
      <c r="K14">
        <f>IF(P14=0,0,COUNTIF('Transect 3_imgsummary'!J14:N14,"SD")*100/P14)</f>
        <v>0</v>
      </c>
      <c r="L14">
        <f>IF(P14=0,0,COUNTIF('Transect 3_imgsummary'!J14:N14,"FCA")*100/P14)</f>
        <v>0</v>
      </c>
      <c r="M14">
        <f>IF(P14=0,0,COUNTIF('Transect 3_imgsummary'!J14:N14,"CHRYS")*100/P14)</f>
        <v>0</v>
      </c>
      <c r="N14" s="29">
        <f>IF(P14=0,0,COUNTIF('Transect 3_imgsummary'!J14:N14,"T")*100/P14)</f>
        <v>40</v>
      </c>
      <c r="O14">
        <f>IF(P14=0,0,COUNTIF('Transect 3_imgsummary'!J14:N14,"TWS")*100/P14)</f>
        <v>0</v>
      </c>
      <c r="P14">
        <f>5-COUNTIF('Transect 3_imgsummary'!J14:N14,"TWS")</f>
        <v>5</v>
      </c>
      <c r="S14">
        <f>IF(P14=0,0,COUNTIF('Transect 3_imgsummary'!E14:I14,"ACAN")*100/P14)</f>
        <v>0</v>
      </c>
      <c r="T14">
        <f>IF(P14=0,0,COUNTIF('Transect 3_imgsummary'!E14:I14,"ACROP")*100/P14)</f>
        <v>0</v>
      </c>
      <c r="U14">
        <f>IF(P14=0,0,COUNTIF('Transect 3_imgsummary'!E14:I14,"ACROPARB")*100/P14)</f>
        <v>0</v>
      </c>
      <c r="V14">
        <f>IF(P14=0,0,COUNTIF('Transect 3_imgsummary'!E14:I14,"ACROST")*100/P14)</f>
        <v>0</v>
      </c>
      <c r="W14" s="29">
        <f>IF(P14=0,0,COUNTIF('Transect 3_imgsummary'!E14:I14,"ACROTBL")*100/P14)</f>
        <v>20</v>
      </c>
      <c r="X14">
        <f>IF(P14=0,0,COUNTIF('Transect 3_imgsummary'!E14:I14,"ASTRP")*100/P14)</f>
        <v>0</v>
      </c>
      <c r="Y14">
        <f>IF(P14=0,0,COUNTIF('Transect 3_imgsummary'!E14:I14,"CAUL")*100/P14)</f>
        <v>0</v>
      </c>
      <c r="Z14">
        <f>IF(P14=0,0,COUNTIF('Transect 3_imgsummary'!E14:I14,"COSC")*100/P14)</f>
        <v>0</v>
      </c>
      <c r="AA14">
        <f>IF(P14=0,0,COUNTIF('Transect 3_imgsummary'!E14:I14,"CTEN")*100/P14)</f>
        <v>0</v>
      </c>
      <c r="AB14">
        <f>IF(P14=0,0,COUNTIF('Transect 3_imgsummary'!E14:I14,"CYPH")*100/P14)</f>
        <v>0</v>
      </c>
      <c r="AC14">
        <f>IF(P14=0,0,COUNTIF('Transect 3_imgsummary'!E14:I14,"DIPLO")*100/P14)</f>
        <v>0</v>
      </c>
      <c r="AD14" s="29">
        <f>IF(P14=0,0,COUNTIF('Transect 3_imgsummary'!E14:I14,"ECHPO")*100/P14)</f>
        <v>20</v>
      </c>
      <c r="AE14">
        <f>IF(P14=0,0,COUNTIF('Transect 3_imgsummary'!E14:I14,"ECHPHY")*100/P14)</f>
        <v>0</v>
      </c>
      <c r="AF14">
        <f>IF(P14=0,0,COUNTIF('Transect 3_imgsummary'!E14:I14,"EUPH")*100/P14)</f>
        <v>0</v>
      </c>
      <c r="AG14">
        <f>IF(P14=0,0,COUNTIF('Transect 3_imgsummary'!E14:I14,"FAV")*100/P14)</f>
        <v>0</v>
      </c>
      <c r="AH14">
        <f>IF(P14=0,0,COUNTIF('Transect 3_imgsummary'!E14:I14,"FAVT")*100/P14)</f>
        <v>0</v>
      </c>
      <c r="AI14">
        <f>IF(P14=0,0,COUNTIF('Transect 3_imgsummary'!E14:I14,"FUNG")*100/P14)</f>
        <v>0</v>
      </c>
      <c r="AJ14">
        <f>IF(P14=0,0,COUNTIF('Transect 3_imgsummary'!E14:I14,"GAL")*100/P14)</f>
        <v>0</v>
      </c>
      <c r="AK14">
        <f>IF(P14=0,0,COUNTIF('Transect 3_imgsummary'!E14:I14,"GARD")*100/P14)</f>
        <v>0</v>
      </c>
      <c r="AL14">
        <f>IF(P14=0,0,COUNTIF('Transect 3_imgsummary'!E14:I14,"GON")*100/P14)</f>
        <v>0</v>
      </c>
      <c r="AM14">
        <f>IF(P14=0,0,COUNTIF('Transect 3_imgsummary'!E14:I14,"GONIO")*100/P14)</f>
        <v>0</v>
      </c>
      <c r="AN14">
        <f>IF(P14=0,0,COUNTIF('Transect 3_imgsummary'!E14:I14,"HELIO")*100/P14)</f>
        <v>0</v>
      </c>
      <c r="AO14">
        <f>IF(P14=0,0,COUNTIF('Transect 3_imgsummary'!E14:I14,"HERP")*100/P14)</f>
        <v>0</v>
      </c>
      <c r="AP14">
        <f>IF(P14=0,0,COUNTIF('Transect 3_imgsummary'!E14:I14,"HYD")*100/P14)</f>
        <v>0</v>
      </c>
      <c r="AQ14">
        <f>IF(P14=0,0,COUNTIF('Transect 3_imgsummary'!E14:I14,"ISOP")*100/P14)</f>
        <v>0</v>
      </c>
      <c r="AR14">
        <f>IF(P14=0,0,COUNTIF('Transect 3_imgsummary'!E14:I14,"LEPT")*100/P14)</f>
        <v>0</v>
      </c>
      <c r="AS14">
        <f>IF(P14=0,0,COUNTIF('Transect 3_imgsummary'!E14:I14,"LEPTOR")*100/P14)</f>
        <v>0</v>
      </c>
      <c r="AT14">
        <f>IF(P14=0,0,COUNTIF('Transect 3_imgsummary'!E14:I14,"LEPTOS")*100/P14)</f>
        <v>0</v>
      </c>
      <c r="AU14">
        <f>IF(P14=0,0,COUNTIF('Transect 3_imgsummary'!E14:I14,"LOBOPH")*100/P14)</f>
        <v>0</v>
      </c>
      <c r="AV14">
        <f>IF(P14=0,0,COUNTIF('Transect 3_imgsummary'!E14:I14,"MERU")*100/P14)</f>
        <v>0</v>
      </c>
      <c r="AW14" s="29">
        <f>IF(P14=0,0,COUNTIF('Transect 3_imgsummary'!E14:I14,"MILL")*100/P14)</f>
        <v>20</v>
      </c>
      <c r="AX14">
        <f>IF(P14=0,0,COUNTIF('Transect 3_imgsummary'!E14:I14,"MONT")*100/P14)</f>
        <v>0</v>
      </c>
      <c r="AY14">
        <f>IF(P14=0,0,COUNTIF('Transect 3_imgsummary'!E14:I14,"MONTI")*100/P14)</f>
        <v>0</v>
      </c>
      <c r="AZ14">
        <f>IF(P14=0,0,COUNTIF('Transect 3_imgsummary'!E14:I14,"MYCED")*100/P14)</f>
        <v>0</v>
      </c>
      <c r="BA14">
        <f>IF(P14=0,0,COUNTIF('Transect 3_imgsummary'!E14:I14,"OULO")*100/P14)</f>
        <v>0</v>
      </c>
      <c r="BB14">
        <f>IF(P14=0,0,COUNTIF('Transect 3_imgsummary'!E14:I14,"OXYP")*100/P14)</f>
        <v>0</v>
      </c>
      <c r="BC14">
        <f>IF(P14=0,0,COUNTIF('Transect 3_imgsummary'!E14:I14,"PLSIA")*100/P14)</f>
        <v>0</v>
      </c>
      <c r="BD14">
        <f>IF(P14=0,0,COUNTIF('Transect 3_imgsummary'!E14:I14,"PACHY")*100/P14)</f>
        <v>0</v>
      </c>
      <c r="BE14">
        <f>IF(P14=0,0,COUNTIF('Transect 3_imgsummary'!E14:I14,"PAV")*100/P14)</f>
        <v>0</v>
      </c>
      <c r="BF14">
        <f>IF(P14=0,0,COUNTIF('Transect 3_imgsummary'!E14:I14,"PECT")*100/P14)</f>
        <v>0</v>
      </c>
      <c r="BG14">
        <f>IF(P14=0,0,COUNTIF('Transect 3_imgsummary'!E14:I14,"PHYSO")*100/P14)</f>
        <v>0</v>
      </c>
      <c r="BH14">
        <f>IF(P14=0,0,COUNTIF('Transect 3_imgsummary'!E14:I14,"PLAT")*100/P14)</f>
        <v>0</v>
      </c>
      <c r="BI14">
        <f>IF(P14=0,0,COUNTIF('Transect 3_imgsummary'!E14:I14,"PLERO")*100/P14)</f>
        <v>0</v>
      </c>
      <c r="BJ14">
        <f>IF(P14=0,0,COUNTIF('Transect 3_imgsummary'!E14:I14,"POC")*100/P14)</f>
        <v>0</v>
      </c>
      <c r="BK14">
        <f>IF(P14=0,0,COUNTIF('Transect 3_imgsummary'!E14:I14,"POR")*100/P14)</f>
        <v>0</v>
      </c>
      <c r="BL14">
        <f>IF(P14=0,0,COUNTIF('Transect 3_imgsummary'!E14:I14,"PORCYL")*100/P14)</f>
        <v>0</v>
      </c>
      <c r="BM14">
        <f>IF(P14=0,0,COUNTIF('Transect 3_imgsummary'!E14:I14,"PORMAS")*100/P14)</f>
        <v>0</v>
      </c>
      <c r="BN14">
        <f>IF(P14=0,0,COUNTIF('Transect 3_imgsummary'!E14:I14,"PORRUS")*100/P14)</f>
        <v>0</v>
      </c>
      <c r="BO14">
        <f>IF(P14=0,0,COUNTIF('Transect 3_imgsummary'!E14:I14,"PSAM")*100/P14)</f>
        <v>0</v>
      </c>
      <c r="BP14">
        <f>IF(P14=0,0,COUNTIF('Transect 3_imgsummary'!E14:I14,"SANDO")*100/P14)</f>
        <v>0</v>
      </c>
      <c r="BQ14">
        <f>IF(P14=0,0,COUNTIF('Transect 3_imgsummary'!E14:I14,"SCAP")*100/P14)</f>
        <v>0</v>
      </c>
      <c r="BR14">
        <f>IF(P14=0,0,COUNTIF('Transect 3_imgsummary'!E14:I14,"SERIA")*100/P14)</f>
        <v>0</v>
      </c>
      <c r="BS14">
        <f>IF(P14=0,0,COUNTIF('Transect 3_imgsummary'!E14:I14,"STYLC")*100/P14)</f>
        <v>0</v>
      </c>
      <c r="BT14">
        <f>IF(P14=0,0,COUNTIF('Transect 3_imgsummary'!E14:I14,"STYLO")*100/P14)</f>
        <v>0</v>
      </c>
      <c r="BU14">
        <f>IF(P14=0,0,COUNTIF('Transect 3_imgsummary'!E14:I14,"SYMP")*100/P14)</f>
        <v>0</v>
      </c>
      <c r="BV14">
        <f>IF(P14=0,0,COUNTIF('Transect 3_imgsummary'!E14:I14,"TURBIN")*100/P14)</f>
        <v>0</v>
      </c>
      <c r="BX14">
        <f>IF(P14=0,0,COUNTIF('Transect 3_imgsummary'!E14:I14,"ANEM")*100/P14)</f>
        <v>0</v>
      </c>
      <c r="BY14">
        <f>IF(P14=0,0,COUNTIF('Transect 3_imgsummary'!E14:I14,"ASC")*100/P14)</f>
        <v>0</v>
      </c>
      <c r="BZ14">
        <f>IF(P14=0,0,COUNTIF('Transect 3_imgsummary'!E14:I14,"CUPS")*100/P14)</f>
        <v>0</v>
      </c>
      <c r="CA14">
        <f>IF(P14=0,0,COUNTIF('Transect 3_imgsummary'!E14:I14,"DISCO")*100/P14)</f>
        <v>0</v>
      </c>
      <c r="CB14">
        <f>IF(P14=0,0,COUNTIF('Transect 3_imgsummary'!E14:I14,"DYS")*100/P14)</f>
        <v>0</v>
      </c>
      <c r="CC14">
        <f>IF(P14=0,0,COUNTIF('Transect 3_imgsummary'!E14:I14,"G")*100/P14)</f>
        <v>0</v>
      </c>
      <c r="CD14">
        <f>IF(P14=0,0,COUNTIF('Transect 3_imgsummary'!E14:I14,"NoIDINV")*100/P14)</f>
        <v>0</v>
      </c>
      <c r="CE14">
        <f>IF(P14=0,0,COUNTIF('Transect 3_imgsummary'!E14:I14,"OLV")*100/P14)</f>
        <v>0</v>
      </c>
      <c r="CF14">
        <f>IF(P14=0,0,COUNTIF('Transect 3_imgsummary'!E14:I14,"SC")*100/P14)</f>
        <v>0</v>
      </c>
      <c r="CG14">
        <f>IF(P14=0,0,COUNTIF('Transect 3_imgsummary'!E14:I14,"S")*100/P14)</f>
        <v>0</v>
      </c>
      <c r="CH14">
        <f>IF(P14=0,0,COUNTIF('Transect 3_imgsummary'!E14:I14,"TERPS")*100/P14)</f>
        <v>0</v>
      </c>
      <c r="CI14">
        <f>IF(P14=0,0,COUNTIF('Transect 3_imgsummary'!E14:I14,"Z")*100/P14)</f>
        <v>0</v>
      </c>
      <c r="CK14">
        <f>IF(P14=0,0,COUNTIF('Transect 3_imgsummary'!E14:I14,"ASP")*100/P14)</f>
        <v>0</v>
      </c>
      <c r="CL14">
        <f>IF(P14=0,0,COUNTIF('Transect 3_imgsummary'!E14:I14,"BG")*100/P14)</f>
        <v>0</v>
      </c>
      <c r="CM14">
        <f>IF(P14=0,0,COUNTIF('Transect 3_imgsummary'!E14:I14,"Bood")*100/P14)</f>
        <v>0</v>
      </c>
      <c r="CN14">
        <f>IF(P14=0,0,COUNTIF('Transect 3_imgsummary'!E14:I14,"BRYP")*100/P14)</f>
        <v>0</v>
      </c>
      <c r="CO14">
        <f>IF(P14=0,0,COUNTIF('Transect 3_imgsummary'!E14:I14,"CLP")*100/P14)</f>
        <v>0</v>
      </c>
      <c r="CP14">
        <f>IF(P14=0,0,COUNTIF('Transect 3_imgsummary'!E14:I14,"CHLDES")*100/P14)</f>
        <v>0</v>
      </c>
      <c r="CQ14">
        <f>IF(P14=0,0,COUNTIF('Transect 3_imgsummary'!E14:I14,"DYCTY")*100/P14)</f>
        <v>0</v>
      </c>
      <c r="CR14">
        <f>IF(P14=0,0,COUNTIF('Transect 3_imgsummary'!E14:I14,"DICT")*100/P14)</f>
        <v>0</v>
      </c>
      <c r="CS14">
        <f>IF(P14=0,0,COUNTIF('Transect 3_imgsummary'!E14:I14,"GLXU")*100/P14)</f>
        <v>0</v>
      </c>
      <c r="CT14">
        <f>IF(P14=0,0,COUNTIF('Transect 3_imgsummary'!E14:I14,"HALI")*100/P14)</f>
        <v>0</v>
      </c>
      <c r="CU14">
        <f>IF(P14=0,0,COUNTIF('Transect 3_imgsummary'!E14:I14,"LIAG")*100/P14)</f>
        <v>0</v>
      </c>
      <c r="CV14">
        <f>IF(P14=0,0,COUNTIF('Transect 3_imgsummary'!E14:I14,"LOBO")*100/P14)</f>
        <v>0</v>
      </c>
      <c r="CW14">
        <f>IF(P14=0,0,COUNTIF('Transect 3_imgsummary'!E14:I14,"MAST")*100/P14)</f>
        <v>0</v>
      </c>
      <c r="CX14">
        <f>IF(P14=0,0,COUNTIF('Transect 3_imgsummary'!E14:I14,"MICDTY")*100/P14)</f>
        <v>0</v>
      </c>
      <c r="CY14">
        <f>IF(P14=0,0,COUNTIF('Transect 3_imgsummary'!E14:I14,"NEOM")*100/P14)</f>
        <v>0</v>
      </c>
      <c r="CZ14">
        <f>IF(P14=0,0,COUNTIF('Transect 3_imgsummary'!E14:I14,"NOIDMAC")*100/P14)</f>
        <v>0</v>
      </c>
      <c r="DA14">
        <f>IF(P14=0,0,COUNTIF('Transect 3_imgsummary'!E14:I14,"PAD")*100/P14)</f>
        <v>0</v>
      </c>
      <c r="DB14">
        <f>IF(P14=0,0,COUNTIF('Transect 3_imgsummary'!E14:I14,"SARG")*100/P14)</f>
        <v>0</v>
      </c>
      <c r="DC14">
        <f>IF(P14=0,0,COUNTIF('Transect 3_imgsummary'!E14:I14,"SCHIZ")*100/P14)</f>
        <v>0</v>
      </c>
      <c r="DD14">
        <f>IF(P14=0,0,COUNTIF('Transect 3_imgsummary'!E14:I14,"TURB")*100/P14)</f>
        <v>0</v>
      </c>
      <c r="DE14">
        <f>IF(P14=0,0,COUNTIF('Transect 3_imgsummary'!E14:I14,"TYDM")*100/P14)</f>
        <v>0</v>
      </c>
      <c r="DG14">
        <f>IF(P14=0,0,COUNTIF('Transect 3_imgsummary'!E14:I14,"AMP")*100/P14)</f>
        <v>0</v>
      </c>
      <c r="DH14">
        <f>IF(P14=0,0,COUNTIF('Transect 3_imgsummary'!E14:I14,"BCA1")*100/P14)</f>
        <v>0</v>
      </c>
      <c r="DI14">
        <f>IF(P14=0,0,COUNTIF('Transect 3_imgsummary'!E14:I14,"JAN")*100/P14)</f>
        <v>0</v>
      </c>
      <c r="DK14">
        <f>IF(P14=0,0,COUNTIF('Transect 3_imgsummary'!E14:I14,"CCA1")*100/P14)</f>
        <v>0</v>
      </c>
      <c r="DM14">
        <f>IF(P14=0,0,COUNTIF('Transect 3_imgsummary'!E14:I14,"Sand")*100/P14)</f>
        <v>0</v>
      </c>
      <c r="DO14">
        <f>IF(P14=0,0,COUNTIF('Transect 3_imgsummary'!E14:I14,"FCA1")*100/P14)</f>
        <v>0</v>
      </c>
      <c r="DQ14">
        <f>IF(P14=0,0,COUNTIF('Transect 3_imgsummary'!E14:I14,"CHRYOBRN")*100/P14)</f>
        <v>0</v>
      </c>
      <c r="DS14" s="29">
        <f>IF(P14=0,0,COUNTIF('Transect 3_imgsummary'!E14:I14,"TURF")*100/P14)</f>
        <v>40</v>
      </c>
      <c r="DU14">
        <f>COUNTIF('Transect 3_imgsummary'!E14:I14,"Shadow")*100/5</f>
        <v>0</v>
      </c>
      <c r="DV14">
        <f>COUNTIF('Transect 3_imgsummary'!E14:I14,"Tape")*100/5</f>
        <v>0</v>
      </c>
      <c r="DW14">
        <f>COUNTIF('Transect 3_imgsummary'!E14:I14,"Wand")*100/5</f>
        <v>0</v>
      </c>
      <c r="DY14">
        <f>IF(P14=0,0,COUNTIF('Transect 3_imgsummary'!O14:S14,"BC")*100/P14)</f>
        <v>0</v>
      </c>
    </row>
    <row r="15" spans="1:129">
      <c r="A15">
        <v>13</v>
      </c>
      <c r="B15" t="s">
        <v>502</v>
      </c>
      <c r="F15" s="29">
        <f>IF(P15=0,0,COUNTIF('Transect 3_imgsummary'!J15:N15,"C")*100/P15)</f>
        <v>100</v>
      </c>
      <c r="G15">
        <f>IF(P15=0,0,COUNTIF('Transect 3_imgsummary'!J15:N15,"OI")*100/P15)</f>
        <v>0</v>
      </c>
      <c r="H15">
        <f>IF(P15=0,0,COUNTIF('Transect 3_imgsummary'!J15:N15,"MA")*100/P15)</f>
        <v>0</v>
      </c>
      <c r="I15">
        <f>IF(P15=0,0,COUNTIF('Transect 3_imgsummary'!J15:N15,"BCA")*100/P15)</f>
        <v>0</v>
      </c>
      <c r="J15">
        <f>IF(P15=0,0,COUNTIF('Transect 3_imgsummary'!J15:N15,"CCA")*100/P15)</f>
        <v>0</v>
      </c>
      <c r="K15">
        <f>IF(P15=0,0,COUNTIF('Transect 3_imgsummary'!J15:N15,"SD")*100/P15)</f>
        <v>0</v>
      </c>
      <c r="L15">
        <f>IF(P15=0,0,COUNTIF('Transect 3_imgsummary'!J15:N15,"FCA")*100/P15)</f>
        <v>0</v>
      </c>
      <c r="M15">
        <f>IF(P15=0,0,COUNTIF('Transect 3_imgsummary'!J15:N15,"CHRYS")*100/P15)</f>
        <v>0</v>
      </c>
      <c r="N15">
        <f>IF(P15=0,0,COUNTIF('Transect 3_imgsummary'!J15:N15,"T")*100/P15)</f>
        <v>0</v>
      </c>
      <c r="O15">
        <f>IF(P15=0,0,COUNTIF('Transect 3_imgsummary'!J15:N15,"TWS")*100/P15)</f>
        <v>0</v>
      </c>
      <c r="P15">
        <f>5-COUNTIF('Transect 3_imgsummary'!J15:N15,"TWS")</f>
        <v>5</v>
      </c>
      <c r="S15">
        <f>IF(P15=0,0,COUNTIF('Transect 3_imgsummary'!E15:I15,"ACAN")*100/P15)</f>
        <v>0</v>
      </c>
      <c r="T15">
        <f>IF(P15=0,0,COUNTIF('Transect 3_imgsummary'!E15:I15,"ACROP")*100/P15)</f>
        <v>0</v>
      </c>
      <c r="U15">
        <f>IF(P15=0,0,COUNTIF('Transect 3_imgsummary'!E15:I15,"ACROPARB")*100/P15)</f>
        <v>0</v>
      </c>
      <c r="V15">
        <f>IF(P15=0,0,COUNTIF('Transect 3_imgsummary'!E15:I15,"ACROST")*100/P15)</f>
        <v>0</v>
      </c>
      <c r="W15" s="29">
        <f>IF(P15=0,0,COUNTIF('Transect 3_imgsummary'!E15:I15,"ACROTBL")*100/P15)</f>
        <v>60</v>
      </c>
      <c r="X15">
        <f>IF(P15=0,0,COUNTIF('Transect 3_imgsummary'!E15:I15,"ASTRP")*100/P15)</f>
        <v>0</v>
      </c>
      <c r="Y15">
        <f>IF(P15=0,0,COUNTIF('Transect 3_imgsummary'!E15:I15,"CAUL")*100/P15)</f>
        <v>0</v>
      </c>
      <c r="Z15">
        <f>IF(P15=0,0,COUNTIF('Transect 3_imgsummary'!E15:I15,"COSC")*100/P15)</f>
        <v>0</v>
      </c>
      <c r="AA15">
        <f>IF(P15=0,0,COUNTIF('Transect 3_imgsummary'!E15:I15,"CTEN")*100/P15)</f>
        <v>0</v>
      </c>
      <c r="AB15">
        <f>IF(P15=0,0,COUNTIF('Transect 3_imgsummary'!E15:I15,"CYPH")*100/P15)</f>
        <v>0</v>
      </c>
      <c r="AC15">
        <f>IF(P15=0,0,COUNTIF('Transect 3_imgsummary'!E15:I15,"DIPLO")*100/P15)</f>
        <v>0</v>
      </c>
      <c r="AD15" s="29">
        <f>IF(P15=0,0,COUNTIF('Transect 3_imgsummary'!E15:I15,"ECHPO")*100/P15)</f>
        <v>40</v>
      </c>
      <c r="AE15">
        <f>IF(P15=0,0,COUNTIF('Transect 3_imgsummary'!E15:I15,"ECHPHY")*100/P15)</f>
        <v>0</v>
      </c>
      <c r="AF15">
        <f>IF(P15=0,0,COUNTIF('Transect 3_imgsummary'!E15:I15,"EUPH")*100/P15)</f>
        <v>0</v>
      </c>
      <c r="AG15">
        <f>IF(P15=0,0,COUNTIF('Transect 3_imgsummary'!E15:I15,"FAV")*100/P15)</f>
        <v>0</v>
      </c>
      <c r="AH15">
        <f>IF(P15=0,0,COUNTIF('Transect 3_imgsummary'!E15:I15,"FAVT")*100/P15)</f>
        <v>0</v>
      </c>
      <c r="AI15">
        <f>IF(P15=0,0,COUNTIF('Transect 3_imgsummary'!E15:I15,"FUNG")*100/P15)</f>
        <v>0</v>
      </c>
      <c r="AJ15">
        <f>IF(P15=0,0,COUNTIF('Transect 3_imgsummary'!E15:I15,"GAL")*100/P15)</f>
        <v>0</v>
      </c>
      <c r="AK15">
        <f>IF(P15=0,0,COUNTIF('Transect 3_imgsummary'!E15:I15,"GARD")*100/P15)</f>
        <v>0</v>
      </c>
      <c r="AL15">
        <f>IF(P15=0,0,COUNTIF('Transect 3_imgsummary'!E15:I15,"GON")*100/P15)</f>
        <v>0</v>
      </c>
      <c r="AM15">
        <f>IF(P15=0,0,COUNTIF('Transect 3_imgsummary'!E15:I15,"GONIO")*100/P15)</f>
        <v>0</v>
      </c>
      <c r="AN15">
        <f>IF(P15=0,0,COUNTIF('Transect 3_imgsummary'!E15:I15,"HELIO")*100/P15)</f>
        <v>0</v>
      </c>
      <c r="AO15">
        <f>IF(P15=0,0,COUNTIF('Transect 3_imgsummary'!E15:I15,"HERP")*100/P15)</f>
        <v>0</v>
      </c>
      <c r="AP15">
        <f>IF(P15=0,0,COUNTIF('Transect 3_imgsummary'!E15:I15,"HYD")*100/P15)</f>
        <v>0</v>
      </c>
      <c r="AQ15">
        <f>IF(P15=0,0,COUNTIF('Transect 3_imgsummary'!E15:I15,"ISOP")*100/P15)</f>
        <v>0</v>
      </c>
      <c r="AR15">
        <f>IF(P15=0,0,COUNTIF('Transect 3_imgsummary'!E15:I15,"LEPT")*100/P15)</f>
        <v>0</v>
      </c>
      <c r="AS15">
        <f>IF(P15=0,0,COUNTIF('Transect 3_imgsummary'!E15:I15,"LEPTOR")*100/P15)</f>
        <v>0</v>
      </c>
      <c r="AT15">
        <f>IF(P15=0,0,COUNTIF('Transect 3_imgsummary'!E15:I15,"LEPTOS")*100/P15)</f>
        <v>0</v>
      </c>
      <c r="AU15">
        <f>IF(P15=0,0,COUNTIF('Transect 3_imgsummary'!E15:I15,"LOBOPH")*100/P15)</f>
        <v>0</v>
      </c>
      <c r="AV15">
        <f>IF(P15=0,0,COUNTIF('Transect 3_imgsummary'!E15:I15,"MERU")*100/P15)</f>
        <v>0</v>
      </c>
      <c r="AW15">
        <f>IF(P15=0,0,COUNTIF('Transect 3_imgsummary'!E15:I15,"MILL")*100/P15)</f>
        <v>0</v>
      </c>
      <c r="AX15">
        <f>IF(P15=0,0,COUNTIF('Transect 3_imgsummary'!E15:I15,"MONT")*100/P15)</f>
        <v>0</v>
      </c>
      <c r="AY15">
        <f>IF(P15=0,0,COUNTIF('Transect 3_imgsummary'!E15:I15,"MONTI")*100/P15)</f>
        <v>0</v>
      </c>
      <c r="AZ15">
        <f>IF(P15=0,0,COUNTIF('Transect 3_imgsummary'!E15:I15,"MYCED")*100/P15)</f>
        <v>0</v>
      </c>
      <c r="BA15">
        <f>IF(P15=0,0,COUNTIF('Transect 3_imgsummary'!E15:I15,"OULO")*100/P15)</f>
        <v>0</v>
      </c>
      <c r="BB15">
        <f>IF(P15=0,0,COUNTIF('Transect 3_imgsummary'!E15:I15,"OXYP")*100/P15)</f>
        <v>0</v>
      </c>
      <c r="BC15">
        <f>IF(P15=0,0,COUNTIF('Transect 3_imgsummary'!E15:I15,"PLSIA")*100/P15)</f>
        <v>0</v>
      </c>
      <c r="BD15">
        <f>IF(P15=0,0,COUNTIF('Transect 3_imgsummary'!E15:I15,"PACHY")*100/P15)</f>
        <v>0</v>
      </c>
      <c r="BE15">
        <f>IF(P15=0,0,COUNTIF('Transect 3_imgsummary'!E15:I15,"PAV")*100/P15)</f>
        <v>0</v>
      </c>
      <c r="BF15">
        <f>IF(P15=0,0,COUNTIF('Transect 3_imgsummary'!E15:I15,"PECT")*100/P15)</f>
        <v>0</v>
      </c>
      <c r="BG15">
        <f>IF(P15=0,0,COUNTIF('Transect 3_imgsummary'!E15:I15,"PHYSO")*100/P15)</f>
        <v>0</v>
      </c>
      <c r="BH15">
        <f>IF(P15=0,0,COUNTIF('Transect 3_imgsummary'!E15:I15,"PLAT")*100/P15)</f>
        <v>0</v>
      </c>
      <c r="BI15">
        <f>IF(P15=0,0,COUNTIF('Transect 3_imgsummary'!E15:I15,"PLERO")*100/P15)</f>
        <v>0</v>
      </c>
      <c r="BJ15">
        <f>IF(P15=0,0,COUNTIF('Transect 3_imgsummary'!E15:I15,"POC")*100/P15)</f>
        <v>0</v>
      </c>
      <c r="BK15">
        <f>IF(P15=0,0,COUNTIF('Transect 3_imgsummary'!E15:I15,"POR")*100/P15)</f>
        <v>0</v>
      </c>
      <c r="BL15">
        <f>IF(P15=0,0,COUNTIF('Transect 3_imgsummary'!E15:I15,"PORCYL")*100/P15)</f>
        <v>0</v>
      </c>
      <c r="BM15">
        <f>IF(P15=0,0,COUNTIF('Transect 3_imgsummary'!E15:I15,"PORMAS")*100/P15)</f>
        <v>0</v>
      </c>
      <c r="BN15">
        <f>IF(P15=0,0,COUNTIF('Transect 3_imgsummary'!E15:I15,"PORRUS")*100/P15)</f>
        <v>0</v>
      </c>
      <c r="BO15">
        <f>IF(P15=0,0,COUNTIF('Transect 3_imgsummary'!E15:I15,"PSAM")*100/P15)</f>
        <v>0</v>
      </c>
      <c r="BP15">
        <f>IF(P15=0,0,COUNTIF('Transect 3_imgsummary'!E15:I15,"SANDO")*100/P15)</f>
        <v>0</v>
      </c>
      <c r="BQ15">
        <f>IF(P15=0,0,COUNTIF('Transect 3_imgsummary'!E15:I15,"SCAP")*100/P15)</f>
        <v>0</v>
      </c>
      <c r="BR15">
        <f>IF(P15=0,0,COUNTIF('Transect 3_imgsummary'!E15:I15,"SERIA")*100/P15)</f>
        <v>0</v>
      </c>
      <c r="BS15">
        <f>IF(P15=0,0,COUNTIF('Transect 3_imgsummary'!E15:I15,"STYLC")*100/P15)</f>
        <v>0</v>
      </c>
      <c r="BT15">
        <f>IF(P15=0,0,COUNTIF('Transect 3_imgsummary'!E15:I15,"STYLO")*100/P15)</f>
        <v>0</v>
      </c>
      <c r="BU15">
        <f>IF(P15=0,0,COUNTIF('Transect 3_imgsummary'!E15:I15,"SYMP")*100/P15)</f>
        <v>0</v>
      </c>
      <c r="BV15">
        <f>IF(P15=0,0,COUNTIF('Transect 3_imgsummary'!E15:I15,"TURBIN")*100/P15)</f>
        <v>0</v>
      </c>
      <c r="BX15">
        <f>IF(P15=0,0,COUNTIF('Transect 3_imgsummary'!E15:I15,"ANEM")*100/P15)</f>
        <v>0</v>
      </c>
      <c r="BY15">
        <f>IF(P15=0,0,COUNTIF('Transect 3_imgsummary'!E15:I15,"ASC")*100/P15)</f>
        <v>0</v>
      </c>
      <c r="BZ15">
        <f>IF(P15=0,0,COUNTIF('Transect 3_imgsummary'!E15:I15,"CUPS")*100/P15)</f>
        <v>0</v>
      </c>
      <c r="CA15">
        <f>IF(P15=0,0,COUNTIF('Transect 3_imgsummary'!E15:I15,"DISCO")*100/P15)</f>
        <v>0</v>
      </c>
      <c r="CB15">
        <f>IF(P15=0,0,COUNTIF('Transect 3_imgsummary'!E15:I15,"DYS")*100/P15)</f>
        <v>0</v>
      </c>
      <c r="CC15">
        <f>IF(P15=0,0,COUNTIF('Transect 3_imgsummary'!E15:I15,"G")*100/P15)</f>
        <v>0</v>
      </c>
      <c r="CD15">
        <f>IF(P15=0,0,COUNTIF('Transect 3_imgsummary'!E15:I15,"NoIDINV")*100/P15)</f>
        <v>0</v>
      </c>
      <c r="CE15">
        <f>IF(P15=0,0,COUNTIF('Transect 3_imgsummary'!E15:I15,"OLV")*100/P15)</f>
        <v>0</v>
      </c>
      <c r="CF15">
        <f>IF(P15=0,0,COUNTIF('Transect 3_imgsummary'!E15:I15,"SC")*100/P15)</f>
        <v>0</v>
      </c>
      <c r="CG15">
        <f>IF(P15=0,0,COUNTIF('Transect 3_imgsummary'!E15:I15,"S")*100/P15)</f>
        <v>0</v>
      </c>
      <c r="CH15">
        <f>IF(P15=0,0,COUNTIF('Transect 3_imgsummary'!E15:I15,"TERPS")*100/P15)</f>
        <v>0</v>
      </c>
      <c r="CI15">
        <f>IF(P15=0,0,COUNTIF('Transect 3_imgsummary'!E15:I15,"Z")*100/P15)</f>
        <v>0</v>
      </c>
      <c r="CK15">
        <f>IF(P15=0,0,COUNTIF('Transect 3_imgsummary'!E15:I15,"ASP")*100/P15)</f>
        <v>0</v>
      </c>
      <c r="CL15">
        <f>IF(P15=0,0,COUNTIF('Transect 3_imgsummary'!E15:I15,"BG")*100/P15)</f>
        <v>0</v>
      </c>
      <c r="CM15">
        <f>IF(P15=0,0,COUNTIF('Transect 3_imgsummary'!E15:I15,"Bood")*100/P15)</f>
        <v>0</v>
      </c>
      <c r="CN15">
        <f>IF(P15=0,0,COUNTIF('Transect 3_imgsummary'!E15:I15,"BRYP")*100/P15)</f>
        <v>0</v>
      </c>
      <c r="CO15">
        <f>IF(P15=0,0,COUNTIF('Transect 3_imgsummary'!E15:I15,"CLP")*100/P15)</f>
        <v>0</v>
      </c>
      <c r="CP15">
        <f>IF(P15=0,0,COUNTIF('Transect 3_imgsummary'!E15:I15,"CHLDES")*100/P15)</f>
        <v>0</v>
      </c>
      <c r="CQ15">
        <f>IF(P15=0,0,COUNTIF('Transect 3_imgsummary'!E15:I15,"DYCTY")*100/P15)</f>
        <v>0</v>
      </c>
      <c r="CR15">
        <f>IF(P15=0,0,COUNTIF('Transect 3_imgsummary'!E15:I15,"DICT")*100/P15)</f>
        <v>0</v>
      </c>
      <c r="CS15">
        <f>IF(P15=0,0,COUNTIF('Transect 3_imgsummary'!E15:I15,"GLXU")*100/P15)</f>
        <v>0</v>
      </c>
      <c r="CT15">
        <f>IF(P15=0,0,COUNTIF('Transect 3_imgsummary'!E15:I15,"HALI")*100/P15)</f>
        <v>0</v>
      </c>
      <c r="CU15">
        <f>IF(P15=0,0,COUNTIF('Transect 3_imgsummary'!E15:I15,"LIAG")*100/P15)</f>
        <v>0</v>
      </c>
      <c r="CV15">
        <f>IF(P15=0,0,COUNTIF('Transect 3_imgsummary'!E15:I15,"LOBO")*100/P15)</f>
        <v>0</v>
      </c>
      <c r="CW15">
        <f>IF(P15=0,0,COUNTIF('Transect 3_imgsummary'!E15:I15,"MAST")*100/P15)</f>
        <v>0</v>
      </c>
      <c r="CX15">
        <f>IF(P15=0,0,COUNTIF('Transect 3_imgsummary'!E15:I15,"MICDTY")*100/P15)</f>
        <v>0</v>
      </c>
      <c r="CY15">
        <f>IF(P15=0,0,COUNTIF('Transect 3_imgsummary'!E15:I15,"NEOM")*100/P15)</f>
        <v>0</v>
      </c>
      <c r="CZ15">
        <f>IF(P15=0,0,COUNTIF('Transect 3_imgsummary'!E15:I15,"NOIDMAC")*100/P15)</f>
        <v>0</v>
      </c>
      <c r="DA15">
        <f>IF(P15=0,0,COUNTIF('Transect 3_imgsummary'!E15:I15,"PAD")*100/P15)</f>
        <v>0</v>
      </c>
      <c r="DB15">
        <f>IF(P15=0,0,COUNTIF('Transect 3_imgsummary'!E15:I15,"SARG")*100/P15)</f>
        <v>0</v>
      </c>
      <c r="DC15">
        <f>IF(P15=0,0,COUNTIF('Transect 3_imgsummary'!E15:I15,"SCHIZ")*100/P15)</f>
        <v>0</v>
      </c>
      <c r="DD15">
        <f>IF(P15=0,0,COUNTIF('Transect 3_imgsummary'!E15:I15,"TURB")*100/P15)</f>
        <v>0</v>
      </c>
      <c r="DE15">
        <f>IF(P15=0,0,COUNTIF('Transect 3_imgsummary'!E15:I15,"TYDM")*100/P15)</f>
        <v>0</v>
      </c>
      <c r="DG15">
        <f>IF(P15=0,0,COUNTIF('Transect 3_imgsummary'!E15:I15,"AMP")*100/P15)</f>
        <v>0</v>
      </c>
      <c r="DH15">
        <f>IF(P15=0,0,COUNTIF('Transect 3_imgsummary'!E15:I15,"BCA1")*100/P15)</f>
        <v>0</v>
      </c>
      <c r="DI15">
        <f>IF(P15=0,0,COUNTIF('Transect 3_imgsummary'!E15:I15,"JAN")*100/P15)</f>
        <v>0</v>
      </c>
      <c r="DK15">
        <f>IF(P15=0,0,COUNTIF('Transect 3_imgsummary'!E15:I15,"CCA1")*100/P15)</f>
        <v>0</v>
      </c>
      <c r="DM15">
        <f>IF(P15=0,0,COUNTIF('Transect 3_imgsummary'!E15:I15,"Sand")*100/P15)</f>
        <v>0</v>
      </c>
      <c r="DO15">
        <f>IF(P15=0,0,COUNTIF('Transect 3_imgsummary'!E15:I15,"FCA1")*100/P15)</f>
        <v>0</v>
      </c>
      <c r="DQ15">
        <f>IF(P15=0,0,COUNTIF('Transect 3_imgsummary'!E15:I15,"CHRYOBRN")*100/P15)</f>
        <v>0</v>
      </c>
      <c r="DS15">
        <f>IF(P15=0,0,COUNTIF('Transect 3_imgsummary'!E15:I15,"TURF")*100/P15)</f>
        <v>0</v>
      </c>
      <c r="DU15">
        <f>COUNTIF('Transect 3_imgsummary'!E15:I15,"Shadow")*100/5</f>
        <v>0</v>
      </c>
      <c r="DV15">
        <f>COUNTIF('Transect 3_imgsummary'!E15:I15,"Tape")*100/5</f>
        <v>0</v>
      </c>
      <c r="DW15">
        <f>COUNTIF('Transect 3_imgsummary'!E15:I15,"Wand")*100/5</f>
        <v>0</v>
      </c>
      <c r="DY15">
        <f>IF(P15=0,0,COUNTIF('Transect 3_imgsummary'!O15:S15,"BC")*100/P15)</f>
        <v>0</v>
      </c>
    </row>
    <row r="16" spans="1:129">
      <c r="A16">
        <v>14</v>
      </c>
      <c r="B16" t="s">
        <v>503</v>
      </c>
      <c r="F16" s="29">
        <f>IF(P16=0,0,COUNTIF('Transect 3_imgsummary'!J16:N16,"C")*100/P16)</f>
        <v>80</v>
      </c>
      <c r="G16">
        <f>IF(P16=0,0,COUNTIF('Transect 3_imgsummary'!J16:N16,"OI")*100/P16)</f>
        <v>0</v>
      </c>
      <c r="H16">
        <f>IF(P16=0,0,COUNTIF('Transect 3_imgsummary'!J16:N16,"MA")*100/P16)</f>
        <v>0</v>
      </c>
      <c r="I16">
        <f>IF(P16=0,0,COUNTIF('Transect 3_imgsummary'!J16:N16,"BCA")*100/P16)</f>
        <v>0</v>
      </c>
      <c r="J16" s="29">
        <f>IF(P16=0,0,COUNTIF('Transect 3_imgsummary'!J16:N16,"CCA")*100/P16)</f>
        <v>20</v>
      </c>
      <c r="K16">
        <f>IF(P16=0,0,COUNTIF('Transect 3_imgsummary'!J16:N16,"SD")*100/P16)</f>
        <v>0</v>
      </c>
      <c r="L16">
        <f>IF(P16=0,0,COUNTIF('Transect 3_imgsummary'!J16:N16,"FCA")*100/P16)</f>
        <v>0</v>
      </c>
      <c r="M16">
        <f>IF(P16=0,0,COUNTIF('Transect 3_imgsummary'!J16:N16,"CHRYS")*100/P16)</f>
        <v>0</v>
      </c>
      <c r="N16">
        <f>IF(P16=0,0,COUNTIF('Transect 3_imgsummary'!J16:N16,"T")*100/P16)</f>
        <v>0</v>
      </c>
      <c r="O16">
        <f>IF(P16=0,0,COUNTIF('Transect 3_imgsummary'!J16:N16,"TWS")*100/P16)</f>
        <v>0</v>
      </c>
      <c r="P16">
        <f>5-COUNTIF('Transect 3_imgsummary'!J16:N16,"TWS")</f>
        <v>5</v>
      </c>
      <c r="S16">
        <f>IF(P16=0,0,COUNTIF('Transect 3_imgsummary'!E16:I16,"ACAN")*100/P16)</f>
        <v>0</v>
      </c>
      <c r="T16">
        <f>IF(P16=0,0,COUNTIF('Transect 3_imgsummary'!E16:I16,"ACROP")*100/P16)</f>
        <v>0</v>
      </c>
      <c r="U16">
        <f>IF(P16=0,0,COUNTIF('Transect 3_imgsummary'!E16:I16,"ACROPARB")*100/P16)</f>
        <v>0</v>
      </c>
      <c r="V16">
        <f>IF(P16=0,0,COUNTIF('Transect 3_imgsummary'!E16:I16,"ACROST")*100/P16)</f>
        <v>0</v>
      </c>
      <c r="W16" s="29">
        <f>IF(P16=0,0,COUNTIF('Transect 3_imgsummary'!E16:I16,"ACROTBL")*100/P16)</f>
        <v>20</v>
      </c>
      <c r="X16">
        <f>IF(P16=0,0,COUNTIF('Transect 3_imgsummary'!E16:I16,"ASTRP")*100/P16)</f>
        <v>0</v>
      </c>
      <c r="Y16">
        <f>IF(P16=0,0,COUNTIF('Transect 3_imgsummary'!E16:I16,"CAUL")*100/P16)</f>
        <v>0</v>
      </c>
      <c r="Z16">
        <f>IF(P16=0,0,COUNTIF('Transect 3_imgsummary'!E16:I16,"COSC")*100/P16)</f>
        <v>0</v>
      </c>
      <c r="AA16">
        <f>IF(P16=0,0,COUNTIF('Transect 3_imgsummary'!E16:I16,"CTEN")*100/P16)</f>
        <v>0</v>
      </c>
      <c r="AB16">
        <f>IF(P16=0,0,COUNTIF('Transect 3_imgsummary'!E16:I16,"CYPH")*100/P16)</f>
        <v>0</v>
      </c>
      <c r="AC16">
        <f>IF(P16=0,0,COUNTIF('Transect 3_imgsummary'!E16:I16,"DIPLO")*100/P16)</f>
        <v>0</v>
      </c>
      <c r="AD16" s="29">
        <f>IF(P16=0,0,COUNTIF('Transect 3_imgsummary'!E16:I16,"ECHPO")*100/P16)</f>
        <v>60</v>
      </c>
      <c r="AE16">
        <f>IF(P16=0,0,COUNTIF('Transect 3_imgsummary'!E16:I16,"ECHPHY")*100/P16)</f>
        <v>0</v>
      </c>
      <c r="AF16">
        <f>IF(P16=0,0,COUNTIF('Transect 3_imgsummary'!E16:I16,"EUPH")*100/P16)</f>
        <v>0</v>
      </c>
      <c r="AG16">
        <f>IF(P16=0,0,COUNTIF('Transect 3_imgsummary'!E16:I16,"FAV")*100/P16)</f>
        <v>0</v>
      </c>
      <c r="AH16">
        <f>IF(P16=0,0,COUNTIF('Transect 3_imgsummary'!E16:I16,"FAVT")*100/P16)</f>
        <v>0</v>
      </c>
      <c r="AI16">
        <f>IF(P16=0,0,COUNTIF('Transect 3_imgsummary'!E16:I16,"FUNG")*100/P16)</f>
        <v>0</v>
      </c>
      <c r="AJ16">
        <f>IF(P16=0,0,COUNTIF('Transect 3_imgsummary'!E16:I16,"GAL")*100/P16)</f>
        <v>0</v>
      </c>
      <c r="AK16">
        <f>IF(P16=0,0,COUNTIF('Transect 3_imgsummary'!E16:I16,"GARD")*100/P16)</f>
        <v>0</v>
      </c>
      <c r="AL16">
        <f>IF(P16=0,0,COUNTIF('Transect 3_imgsummary'!E16:I16,"GON")*100/P16)</f>
        <v>0</v>
      </c>
      <c r="AM16">
        <f>IF(P16=0,0,COUNTIF('Transect 3_imgsummary'!E16:I16,"GONIO")*100/P16)</f>
        <v>0</v>
      </c>
      <c r="AN16">
        <f>IF(P16=0,0,COUNTIF('Transect 3_imgsummary'!E16:I16,"HELIO")*100/P16)</f>
        <v>0</v>
      </c>
      <c r="AO16">
        <f>IF(P16=0,0,COUNTIF('Transect 3_imgsummary'!E16:I16,"HERP")*100/P16)</f>
        <v>0</v>
      </c>
      <c r="AP16">
        <f>IF(P16=0,0,COUNTIF('Transect 3_imgsummary'!E16:I16,"HYD")*100/P16)</f>
        <v>0</v>
      </c>
      <c r="AQ16">
        <f>IF(P16=0,0,COUNTIF('Transect 3_imgsummary'!E16:I16,"ISOP")*100/P16)</f>
        <v>0</v>
      </c>
      <c r="AR16">
        <f>IF(P16=0,0,COUNTIF('Transect 3_imgsummary'!E16:I16,"LEPT")*100/P16)</f>
        <v>0</v>
      </c>
      <c r="AS16">
        <f>IF(P16=0,0,COUNTIF('Transect 3_imgsummary'!E16:I16,"LEPTOR")*100/P16)</f>
        <v>0</v>
      </c>
      <c r="AT16">
        <f>IF(P16=0,0,COUNTIF('Transect 3_imgsummary'!E16:I16,"LEPTOS")*100/P16)</f>
        <v>0</v>
      </c>
      <c r="AU16">
        <f>IF(P16=0,0,COUNTIF('Transect 3_imgsummary'!E16:I16,"LOBOPH")*100/P16)</f>
        <v>0</v>
      </c>
      <c r="AV16">
        <f>IF(P16=0,0,COUNTIF('Transect 3_imgsummary'!E16:I16,"MERU")*100/P16)</f>
        <v>0</v>
      </c>
      <c r="AW16">
        <f>IF(P16=0,0,COUNTIF('Transect 3_imgsummary'!E16:I16,"MILL")*100/P16)</f>
        <v>0</v>
      </c>
      <c r="AX16">
        <f>IF(P16=0,0,COUNTIF('Transect 3_imgsummary'!E16:I16,"MONT")*100/P16)</f>
        <v>0</v>
      </c>
      <c r="AY16">
        <f>IF(P16=0,0,COUNTIF('Transect 3_imgsummary'!E16:I16,"MONTI")*100/P16)</f>
        <v>0</v>
      </c>
      <c r="AZ16">
        <f>IF(P16=0,0,COUNTIF('Transect 3_imgsummary'!E16:I16,"MYCED")*100/P16)</f>
        <v>0</v>
      </c>
      <c r="BA16">
        <f>IF(P16=0,0,COUNTIF('Transect 3_imgsummary'!E16:I16,"OULO")*100/P16)</f>
        <v>0</v>
      </c>
      <c r="BB16">
        <f>IF(P16=0,0,COUNTIF('Transect 3_imgsummary'!E16:I16,"OXYP")*100/P16)</f>
        <v>0</v>
      </c>
      <c r="BC16">
        <f>IF(P16=0,0,COUNTIF('Transect 3_imgsummary'!E16:I16,"PLSIA")*100/P16)</f>
        <v>0</v>
      </c>
      <c r="BD16">
        <f>IF(P16=0,0,COUNTIF('Transect 3_imgsummary'!E16:I16,"PACHY")*100/P16)</f>
        <v>0</v>
      </c>
      <c r="BE16">
        <f>IF(P16=0,0,COUNTIF('Transect 3_imgsummary'!E16:I16,"PAV")*100/P16)</f>
        <v>0</v>
      </c>
      <c r="BF16">
        <f>IF(P16=0,0,COUNTIF('Transect 3_imgsummary'!E16:I16,"PECT")*100/P16)</f>
        <v>0</v>
      </c>
      <c r="BG16">
        <f>IF(P16=0,0,COUNTIF('Transect 3_imgsummary'!E16:I16,"PHYSO")*100/P16)</f>
        <v>0</v>
      </c>
      <c r="BH16">
        <f>IF(P16=0,0,COUNTIF('Transect 3_imgsummary'!E16:I16,"PLAT")*100/P16)</f>
        <v>0</v>
      </c>
      <c r="BI16">
        <f>IF(P16=0,0,COUNTIF('Transect 3_imgsummary'!E16:I16,"PLERO")*100/P16)</f>
        <v>0</v>
      </c>
      <c r="BJ16">
        <f>IF(P16=0,0,COUNTIF('Transect 3_imgsummary'!E16:I16,"POC")*100/P16)</f>
        <v>0</v>
      </c>
      <c r="BK16">
        <f>IF(P16=0,0,COUNTIF('Transect 3_imgsummary'!E16:I16,"POR")*100/P16)</f>
        <v>0</v>
      </c>
      <c r="BL16">
        <f>IF(P16=0,0,COUNTIF('Transect 3_imgsummary'!E16:I16,"PORCYL")*100/P16)</f>
        <v>0</v>
      </c>
      <c r="BM16">
        <f>IF(P16=0,0,COUNTIF('Transect 3_imgsummary'!E16:I16,"PORMAS")*100/P16)</f>
        <v>0</v>
      </c>
      <c r="BN16">
        <f>IF(P16=0,0,COUNTIF('Transect 3_imgsummary'!E16:I16,"PORRUS")*100/P16)</f>
        <v>0</v>
      </c>
      <c r="BO16">
        <f>IF(P16=0,0,COUNTIF('Transect 3_imgsummary'!E16:I16,"PSAM")*100/P16)</f>
        <v>0</v>
      </c>
      <c r="BP16">
        <f>IF(P16=0,0,COUNTIF('Transect 3_imgsummary'!E16:I16,"SANDO")*100/P16)</f>
        <v>0</v>
      </c>
      <c r="BQ16">
        <f>IF(P16=0,0,COUNTIF('Transect 3_imgsummary'!E16:I16,"SCAP")*100/P16)</f>
        <v>0</v>
      </c>
      <c r="BR16">
        <f>IF(P16=0,0,COUNTIF('Transect 3_imgsummary'!E16:I16,"SERIA")*100/P16)</f>
        <v>0</v>
      </c>
      <c r="BS16">
        <f>IF(P16=0,0,COUNTIF('Transect 3_imgsummary'!E16:I16,"STYLC")*100/P16)</f>
        <v>0</v>
      </c>
      <c r="BT16">
        <f>IF(P16=0,0,COUNTIF('Transect 3_imgsummary'!E16:I16,"STYLO")*100/P16)</f>
        <v>0</v>
      </c>
      <c r="BU16">
        <f>IF(P16=0,0,COUNTIF('Transect 3_imgsummary'!E16:I16,"SYMP")*100/P16)</f>
        <v>0</v>
      </c>
      <c r="BV16">
        <f>IF(P16=0,0,COUNTIF('Transect 3_imgsummary'!E16:I16,"TURBIN")*100/P16)</f>
        <v>0</v>
      </c>
      <c r="BX16">
        <f>IF(P16=0,0,COUNTIF('Transect 3_imgsummary'!E16:I16,"ANEM")*100/P16)</f>
        <v>0</v>
      </c>
      <c r="BY16">
        <f>IF(P16=0,0,COUNTIF('Transect 3_imgsummary'!E16:I16,"ASC")*100/P16)</f>
        <v>0</v>
      </c>
      <c r="BZ16">
        <f>IF(P16=0,0,COUNTIF('Transect 3_imgsummary'!E16:I16,"CUPS")*100/P16)</f>
        <v>0</v>
      </c>
      <c r="CA16">
        <f>IF(P16=0,0,COUNTIF('Transect 3_imgsummary'!E16:I16,"DISCO")*100/P16)</f>
        <v>0</v>
      </c>
      <c r="CB16">
        <f>IF(P16=0,0,COUNTIF('Transect 3_imgsummary'!E16:I16,"DYS")*100/P16)</f>
        <v>0</v>
      </c>
      <c r="CC16">
        <f>IF(P16=0,0,COUNTIF('Transect 3_imgsummary'!E16:I16,"G")*100/P16)</f>
        <v>0</v>
      </c>
      <c r="CD16">
        <f>IF(P16=0,0,COUNTIF('Transect 3_imgsummary'!E16:I16,"NoIDINV")*100/P16)</f>
        <v>0</v>
      </c>
      <c r="CE16">
        <f>IF(P16=0,0,COUNTIF('Transect 3_imgsummary'!E16:I16,"OLV")*100/P16)</f>
        <v>0</v>
      </c>
      <c r="CF16">
        <f>IF(P16=0,0,COUNTIF('Transect 3_imgsummary'!E16:I16,"SC")*100/P16)</f>
        <v>0</v>
      </c>
      <c r="CG16">
        <f>IF(P16=0,0,COUNTIF('Transect 3_imgsummary'!E16:I16,"S")*100/P16)</f>
        <v>0</v>
      </c>
      <c r="CH16">
        <f>IF(P16=0,0,COUNTIF('Transect 3_imgsummary'!E16:I16,"TERPS")*100/P16)</f>
        <v>0</v>
      </c>
      <c r="CI16">
        <f>IF(P16=0,0,COUNTIF('Transect 3_imgsummary'!E16:I16,"Z")*100/P16)</f>
        <v>0</v>
      </c>
      <c r="CK16">
        <f>IF(P16=0,0,COUNTIF('Transect 3_imgsummary'!E16:I16,"ASP")*100/P16)</f>
        <v>0</v>
      </c>
      <c r="CL16">
        <f>IF(P16=0,0,COUNTIF('Transect 3_imgsummary'!E16:I16,"BG")*100/P16)</f>
        <v>0</v>
      </c>
      <c r="CM16">
        <f>IF(P16=0,0,COUNTIF('Transect 3_imgsummary'!E16:I16,"Bood")*100/P16)</f>
        <v>0</v>
      </c>
      <c r="CN16">
        <f>IF(P16=0,0,COUNTIF('Transect 3_imgsummary'!E16:I16,"BRYP")*100/P16)</f>
        <v>0</v>
      </c>
      <c r="CO16">
        <f>IF(P16=0,0,COUNTIF('Transect 3_imgsummary'!E16:I16,"CLP")*100/P16)</f>
        <v>0</v>
      </c>
      <c r="CP16">
        <f>IF(P16=0,0,COUNTIF('Transect 3_imgsummary'!E16:I16,"CHLDES")*100/P16)</f>
        <v>0</v>
      </c>
      <c r="CQ16">
        <f>IF(P16=0,0,COUNTIF('Transect 3_imgsummary'!E16:I16,"DYCTY")*100/P16)</f>
        <v>0</v>
      </c>
      <c r="CR16">
        <f>IF(P16=0,0,COUNTIF('Transect 3_imgsummary'!E16:I16,"DICT")*100/P16)</f>
        <v>0</v>
      </c>
      <c r="CS16">
        <f>IF(P16=0,0,COUNTIF('Transect 3_imgsummary'!E16:I16,"GLXU")*100/P16)</f>
        <v>0</v>
      </c>
      <c r="CT16">
        <f>IF(P16=0,0,COUNTIF('Transect 3_imgsummary'!E16:I16,"HALI")*100/P16)</f>
        <v>0</v>
      </c>
      <c r="CU16">
        <f>IF(P16=0,0,COUNTIF('Transect 3_imgsummary'!E16:I16,"LIAG")*100/P16)</f>
        <v>0</v>
      </c>
      <c r="CV16">
        <f>IF(P16=0,0,COUNTIF('Transect 3_imgsummary'!E16:I16,"LOBO")*100/P16)</f>
        <v>0</v>
      </c>
      <c r="CW16">
        <f>IF(P16=0,0,COUNTIF('Transect 3_imgsummary'!E16:I16,"MAST")*100/P16)</f>
        <v>0</v>
      </c>
      <c r="CX16">
        <f>IF(P16=0,0,COUNTIF('Transect 3_imgsummary'!E16:I16,"MICDTY")*100/P16)</f>
        <v>0</v>
      </c>
      <c r="CY16">
        <f>IF(P16=0,0,COUNTIF('Transect 3_imgsummary'!E16:I16,"NEOM")*100/P16)</f>
        <v>0</v>
      </c>
      <c r="CZ16">
        <f>IF(P16=0,0,COUNTIF('Transect 3_imgsummary'!E16:I16,"NOIDMAC")*100/P16)</f>
        <v>0</v>
      </c>
      <c r="DA16">
        <f>IF(P16=0,0,COUNTIF('Transect 3_imgsummary'!E16:I16,"PAD")*100/P16)</f>
        <v>0</v>
      </c>
      <c r="DB16">
        <f>IF(P16=0,0,COUNTIF('Transect 3_imgsummary'!E16:I16,"SARG")*100/P16)</f>
        <v>0</v>
      </c>
      <c r="DC16">
        <f>IF(P16=0,0,COUNTIF('Transect 3_imgsummary'!E16:I16,"SCHIZ")*100/P16)</f>
        <v>0</v>
      </c>
      <c r="DD16">
        <f>IF(P16=0,0,COUNTIF('Transect 3_imgsummary'!E16:I16,"TURB")*100/P16)</f>
        <v>0</v>
      </c>
      <c r="DE16">
        <f>IF(P16=0,0,COUNTIF('Transect 3_imgsummary'!E16:I16,"TYDM")*100/P16)</f>
        <v>0</v>
      </c>
      <c r="DG16">
        <f>IF(P16=0,0,COUNTIF('Transect 3_imgsummary'!E16:I16,"AMP")*100/P16)</f>
        <v>0</v>
      </c>
      <c r="DH16">
        <f>IF(P16=0,0,COUNTIF('Transect 3_imgsummary'!E16:I16,"BCA1")*100/P16)</f>
        <v>0</v>
      </c>
      <c r="DI16">
        <f>IF(P16=0,0,COUNTIF('Transect 3_imgsummary'!E16:I16,"JAN")*100/P16)</f>
        <v>0</v>
      </c>
      <c r="DK16" s="29">
        <f>IF(P16=0,0,COUNTIF('Transect 3_imgsummary'!E16:I16,"CCA1")*100/P16)</f>
        <v>20</v>
      </c>
      <c r="DM16">
        <f>IF(P16=0,0,COUNTIF('Transect 3_imgsummary'!E16:I16,"Sand")*100/P16)</f>
        <v>0</v>
      </c>
      <c r="DO16">
        <f>IF(P16=0,0,COUNTIF('Transect 3_imgsummary'!E16:I16,"FCA1")*100/P16)</f>
        <v>0</v>
      </c>
      <c r="DQ16">
        <f>IF(P16=0,0,COUNTIF('Transect 3_imgsummary'!E16:I16,"CHRYOBRN")*100/P16)</f>
        <v>0</v>
      </c>
      <c r="DS16">
        <f>IF(P16=0,0,COUNTIF('Transect 3_imgsummary'!E16:I16,"TURF")*100/P16)</f>
        <v>0</v>
      </c>
      <c r="DU16">
        <f>COUNTIF('Transect 3_imgsummary'!E16:I16,"Shadow")*100/5</f>
        <v>0</v>
      </c>
      <c r="DV16">
        <f>COUNTIF('Transect 3_imgsummary'!E16:I16,"Tape")*100/5</f>
        <v>0</v>
      </c>
      <c r="DW16">
        <f>COUNTIF('Transect 3_imgsummary'!E16:I16,"Wand")*100/5</f>
        <v>0</v>
      </c>
      <c r="DY16">
        <f>IF(P16=0,0,COUNTIF('Transect 3_imgsummary'!O16:S16,"BC")*100/P16)</f>
        <v>0</v>
      </c>
    </row>
    <row r="17" spans="1:129">
      <c r="A17">
        <v>15</v>
      </c>
      <c r="B17" t="s">
        <v>504</v>
      </c>
      <c r="F17" s="29">
        <f>IF(P17=0,0,COUNTIF('Transect 3_imgsummary'!J17:N17,"C")*100/P17)</f>
        <v>60</v>
      </c>
      <c r="G17">
        <f>IF(P17=0,0,COUNTIF('Transect 3_imgsummary'!J17:N17,"OI")*100/P17)</f>
        <v>0</v>
      </c>
      <c r="H17">
        <f>IF(P17=0,0,COUNTIF('Transect 3_imgsummary'!J17:N17,"MA")*100/P17)</f>
        <v>0</v>
      </c>
      <c r="I17">
        <f>IF(P17=0,0,COUNTIF('Transect 3_imgsummary'!J17:N17,"BCA")*100/P17)</f>
        <v>0</v>
      </c>
      <c r="J17" s="29">
        <f>IF(P17=0,0,COUNTIF('Transect 3_imgsummary'!J17:N17,"CCA")*100/P17)</f>
        <v>20</v>
      </c>
      <c r="K17">
        <f>IF(P17=0,0,COUNTIF('Transect 3_imgsummary'!J17:N17,"SD")*100/P17)</f>
        <v>0</v>
      </c>
      <c r="L17">
        <f>IF(P17=0,0,COUNTIF('Transect 3_imgsummary'!J17:N17,"FCA")*100/P17)</f>
        <v>0</v>
      </c>
      <c r="M17">
        <f>IF(P17=0,0,COUNTIF('Transect 3_imgsummary'!J17:N17,"CHRYS")*100/P17)</f>
        <v>0</v>
      </c>
      <c r="N17" s="29">
        <f>IF(P17=0,0,COUNTIF('Transect 3_imgsummary'!J17:N17,"T")*100/P17)</f>
        <v>20</v>
      </c>
      <c r="O17">
        <f>IF(P17=0,0,COUNTIF('Transect 3_imgsummary'!J17:N17,"TWS")*100/P17)</f>
        <v>0</v>
      </c>
      <c r="P17">
        <f>5-COUNTIF('Transect 3_imgsummary'!J17:N17,"TWS")</f>
        <v>5</v>
      </c>
      <c r="S17">
        <f>IF(P17=0,0,COUNTIF('Transect 3_imgsummary'!E17:I17,"ACAN")*100/P17)</f>
        <v>0</v>
      </c>
      <c r="T17">
        <f>IF(P17=0,0,COUNTIF('Transect 3_imgsummary'!E17:I17,"ACROP")*100/P17)</f>
        <v>0</v>
      </c>
      <c r="U17">
        <f>IF(P17=0,0,COUNTIF('Transect 3_imgsummary'!E17:I17,"ACROPARB")*100/P17)</f>
        <v>0</v>
      </c>
      <c r="V17">
        <f>IF(P17=0,0,COUNTIF('Transect 3_imgsummary'!E17:I17,"ACROST")*100/P17)</f>
        <v>0</v>
      </c>
      <c r="W17">
        <f>IF(P17=0,0,COUNTIF('Transect 3_imgsummary'!E17:I17,"ACROTBL")*100/P17)</f>
        <v>0</v>
      </c>
      <c r="X17">
        <f>IF(P17=0,0,COUNTIF('Transect 3_imgsummary'!E17:I17,"ASTRP")*100/P17)</f>
        <v>0</v>
      </c>
      <c r="Y17">
        <f>IF(P17=0,0,COUNTIF('Transect 3_imgsummary'!E17:I17,"CAUL")*100/P17)</f>
        <v>0</v>
      </c>
      <c r="Z17">
        <f>IF(P17=0,0,COUNTIF('Transect 3_imgsummary'!E17:I17,"COSC")*100/P17)</f>
        <v>0</v>
      </c>
      <c r="AA17">
        <f>IF(P17=0,0,COUNTIF('Transect 3_imgsummary'!E17:I17,"CTEN")*100/P17)</f>
        <v>0</v>
      </c>
      <c r="AB17">
        <f>IF(P17=0,0,COUNTIF('Transect 3_imgsummary'!E17:I17,"CYPH")*100/P17)</f>
        <v>0</v>
      </c>
      <c r="AC17">
        <f>IF(P17=0,0,COUNTIF('Transect 3_imgsummary'!E17:I17,"DIPLO")*100/P17)</f>
        <v>0</v>
      </c>
      <c r="AD17" s="29">
        <f>IF(P17=0,0,COUNTIF('Transect 3_imgsummary'!E17:I17,"ECHPO")*100/P17)</f>
        <v>60</v>
      </c>
      <c r="AE17">
        <f>IF(P17=0,0,COUNTIF('Transect 3_imgsummary'!E17:I17,"ECHPHY")*100/P17)</f>
        <v>0</v>
      </c>
      <c r="AF17">
        <f>IF(P17=0,0,COUNTIF('Transect 3_imgsummary'!E17:I17,"EUPH")*100/P17)</f>
        <v>0</v>
      </c>
      <c r="AG17">
        <f>IF(P17=0,0,COUNTIF('Transect 3_imgsummary'!E17:I17,"FAV")*100/P17)</f>
        <v>0</v>
      </c>
      <c r="AH17">
        <f>IF(P17=0,0,COUNTIF('Transect 3_imgsummary'!E17:I17,"FAVT")*100/P17)</f>
        <v>0</v>
      </c>
      <c r="AI17">
        <f>IF(P17=0,0,COUNTIF('Transect 3_imgsummary'!E17:I17,"FUNG")*100/P17)</f>
        <v>0</v>
      </c>
      <c r="AJ17">
        <f>IF(P17=0,0,COUNTIF('Transect 3_imgsummary'!E17:I17,"GAL")*100/P17)</f>
        <v>0</v>
      </c>
      <c r="AK17">
        <f>IF(P17=0,0,COUNTIF('Transect 3_imgsummary'!E17:I17,"GARD")*100/P17)</f>
        <v>0</v>
      </c>
      <c r="AL17">
        <f>IF(P17=0,0,COUNTIF('Transect 3_imgsummary'!E17:I17,"GON")*100/P17)</f>
        <v>0</v>
      </c>
      <c r="AM17">
        <f>IF(P17=0,0,COUNTIF('Transect 3_imgsummary'!E17:I17,"GONIO")*100/P17)</f>
        <v>0</v>
      </c>
      <c r="AN17">
        <f>IF(P17=0,0,COUNTIF('Transect 3_imgsummary'!E17:I17,"HELIO")*100/P17)</f>
        <v>0</v>
      </c>
      <c r="AO17">
        <f>IF(P17=0,0,COUNTIF('Transect 3_imgsummary'!E17:I17,"HERP")*100/P17)</f>
        <v>0</v>
      </c>
      <c r="AP17">
        <f>IF(P17=0,0,COUNTIF('Transect 3_imgsummary'!E17:I17,"HYD")*100/P17)</f>
        <v>0</v>
      </c>
      <c r="AQ17">
        <f>IF(P17=0,0,COUNTIF('Transect 3_imgsummary'!E17:I17,"ISOP")*100/P17)</f>
        <v>0</v>
      </c>
      <c r="AR17">
        <f>IF(P17=0,0,COUNTIF('Transect 3_imgsummary'!E17:I17,"LEPT")*100/P17)</f>
        <v>0</v>
      </c>
      <c r="AS17">
        <f>IF(P17=0,0,COUNTIF('Transect 3_imgsummary'!E17:I17,"LEPTOR")*100/P17)</f>
        <v>0</v>
      </c>
      <c r="AT17">
        <f>IF(P17=0,0,COUNTIF('Transect 3_imgsummary'!E17:I17,"LEPTOS")*100/P17)</f>
        <v>0</v>
      </c>
      <c r="AU17">
        <f>IF(P17=0,0,COUNTIF('Transect 3_imgsummary'!E17:I17,"LOBOPH")*100/P17)</f>
        <v>0</v>
      </c>
      <c r="AV17">
        <f>IF(P17=0,0,COUNTIF('Transect 3_imgsummary'!E17:I17,"MERU")*100/P17)</f>
        <v>0</v>
      </c>
      <c r="AW17">
        <f>IF(P17=0,0,COUNTIF('Transect 3_imgsummary'!E17:I17,"MILL")*100/P17)</f>
        <v>0</v>
      </c>
      <c r="AX17">
        <f>IF(P17=0,0,COUNTIF('Transect 3_imgsummary'!E17:I17,"MONT")*100/P17)</f>
        <v>0</v>
      </c>
      <c r="AY17">
        <f>IF(P17=0,0,COUNTIF('Transect 3_imgsummary'!E17:I17,"MONTI")*100/P17)</f>
        <v>0</v>
      </c>
      <c r="AZ17">
        <f>IF(P17=0,0,COUNTIF('Transect 3_imgsummary'!E17:I17,"MYCED")*100/P17)</f>
        <v>0</v>
      </c>
      <c r="BA17">
        <f>IF(P17=0,0,COUNTIF('Transect 3_imgsummary'!E17:I17,"OULO")*100/P17)</f>
        <v>0</v>
      </c>
      <c r="BB17">
        <f>IF(P17=0,0,COUNTIF('Transect 3_imgsummary'!E17:I17,"OXYP")*100/P17)</f>
        <v>0</v>
      </c>
      <c r="BC17">
        <f>IF(P17=0,0,COUNTIF('Transect 3_imgsummary'!E17:I17,"PLSIA")*100/P17)</f>
        <v>0</v>
      </c>
      <c r="BD17">
        <f>IF(P17=0,0,COUNTIF('Transect 3_imgsummary'!E17:I17,"PACHY")*100/P17)</f>
        <v>0</v>
      </c>
      <c r="BE17">
        <f>IF(P17=0,0,COUNTIF('Transect 3_imgsummary'!E17:I17,"PAV")*100/P17)</f>
        <v>0</v>
      </c>
      <c r="BF17">
        <f>IF(P17=0,0,COUNTIF('Transect 3_imgsummary'!E17:I17,"PECT")*100/P17)</f>
        <v>0</v>
      </c>
      <c r="BG17">
        <f>IF(P17=0,0,COUNTIF('Transect 3_imgsummary'!E17:I17,"PHYSO")*100/P17)</f>
        <v>0</v>
      </c>
      <c r="BH17">
        <f>IF(P17=0,0,COUNTIF('Transect 3_imgsummary'!E17:I17,"PLAT")*100/P17)</f>
        <v>0</v>
      </c>
      <c r="BI17">
        <f>IF(P17=0,0,COUNTIF('Transect 3_imgsummary'!E17:I17,"PLERO")*100/P17)</f>
        <v>0</v>
      </c>
      <c r="BJ17">
        <f>IF(P17=0,0,COUNTIF('Transect 3_imgsummary'!E17:I17,"POC")*100/P17)</f>
        <v>0</v>
      </c>
      <c r="BK17">
        <f>IF(P17=0,0,COUNTIF('Transect 3_imgsummary'!E17:I17,"POR")*100/P17)</f>
        <v>0</v>
      </c>
      <c r="BL17">
        <f>IF(P17=0,0,COUNTIF('Transect 3_imgsummary'!E17:I17,"PORCYL")*100/P17)</f>
        <v>0</v>
      </c>
      <c r="BM17">
        <f>IF(P17=0,0,COUNTIF('Transect 3_imgsummary'!E17:I17,"PORMAS")*100/P17)</f>
        <v>0</v>
      </c>
      <c r="BN17">
        <f>IF(P17=0,0,COUNTIF('Transect 3_imgsummary'!E17:I17,"PORRUS")*100/P17)</f>
        <v>0</v>
      </c>
      <c r="BO17">
        <f>IF(P17=0,0,COUNTIF('Transect 3_imgsummary'!E17:I17,"PSAM")*100/P17)</f>
        <v>0</v>
      </c>
      <c r="BP17">
        <f>IF(P17=0,0,COUNTIF('Transect 3_imgsummary'!E17:I17,"SANDO")*100/P17)</f>
        <v>0</v>
      </c>
      <c r="BQ17">
        <f>IF(P17=0,0,COUNTIF('Transect 3_imgsummary'!E17:I17,"SCAP")*100/P17)</f>
        <v>0</v>
      </c>
      <c r="BR17">
        <f>IF(P17=0,0,COUNTIF('Transect 3_imgsummary'!E17:I17,"SERIA")*100/P17)</f>
        <v>0</v>
      </c>
      <c r="BS17">
        <f>IF(P17=0,0,COUNTIF('Transect 3_imgsummary'!E17:I17,"STYLC")*100/P17)</f>
        <v>0</v>
      </c>
      <c r="BT17">
        <f>IF(P17=0,0,COUNTIF('Transect 3_imgsummary'!E17:I17,"STYLO")*100/P17)</f>
        <v>0</v>
      </c>
      <c r="BU17">
        <f>IF(P17=0,0,COUNTIF('Transect 3_imgsummary'!E17:I17,"SYMP")*100/P17)</f>
        <v>0</v>
      </c>
      <c r="BV17">
        <f>IF(P17=0,0,COUNTIF('Transect 3_imgsummary'!E17:I17,"TURBIN")*100/P17)</f>
        <v>0</v>
      </c>
      <c r="BX17">
        <f>IF(P17=0,0,COUNTIF('Transect 3_imgsummary'!E17:I17,"ANEM")*100/P17)</f>
        <v>0</v>
      </c>
      <c r="BY17">
        <f>IF(P17=0,0,COUNTIF('Transect 3_imgsummary'!E17:I17,"ASC")*100/P17)</f>
        <v>0</v>
      </c>
      <c r="BZ17">
        <f>IF(P17=0,0,COUNTIF('Transect 3_imgsummary'!E17:I17,"CUPS")*100/P17)</f>
        <v>0</v>
      </c>
      <c r="CA17">
        <f>IF(P17=0,0,COUNTIF('Transect 3_imgsummary'!E17:I17,"DISCO")*100/P17)</f>
        <v>0</v>
      </c>
      <c r="CB17">
        <f>IF(P17=0,0,COUNTIF('Transect 3_imgsummary'!E17:I17,"DYS")*100/P17)</f>
        <v>0</v>
      </c>
      <c r="CC17">
        <f>IF(P17=0,0,COUNTIF('Transect 3_imgsummary'!E17:I17,"G")*100/P17)</f>
        <v>0</v>
      </c>
      <c r="CD17">
        <f>IF(P17=0,0,COUNTIF('Transect 3_imgsummary'!E17:I17,"NoIDINV")*100/P17)</f>
        <v>0</v>
      </c>
      <c r="CE17">
        <f>IF(P17=0,0,COUNTIF('Transect 3_imgsummary'!E17:I17,"OLV")*100/P17)</f>
        <v>0</v>
      </c>
      <c r="CF17">
        <f>IF(P17=0,0,COUNTIF('Transect 3_imgsummary'!E17:I17,"SC")*100/P17)</f>
        <v>0</v>
      </c>
      <c r="CG17">
        <f>IF(P17=0,0,COUNTIF('Transect 3_imgsummary'!E17:I17,"S")*100/P17)</f>
        <v>0</v>
      </c>
      <c r="CH17">
        <f>IF(P17=0,0,COUNTIF('Transect 3_imgsummary'!E17:I17,"TERPS")*100/P17)</f>
        <v>0</v>
      </c>
      <c r="CI17">
        <f>IF(P17=0,0,COUNTIF('Transect 3_imgsummary'!E17:I17,"Z")*100/P17)</f>
        <v>0</v>
      </c>
      <c r="CK17">
        <f>IF(P17=0,0,COUNTIF('Transect 3_imgsummary'!E17:I17,"ASP")*100/P17)</f>
        <v>0</v>
      </c>
      <c r="CL17">
        <f>IF(P17=0,0,COUNTIF('Transect 3_imgsummary'!E17:I17,"BG")*100/P17)</f>
        <v>0</v>
      </c>
      <c r="CM17">
        <f>IF(P17=0,0,COUNTIF('Transect 3_imgsummary'!E17:I17,"Bood")*100/P17)</f>
        <v>0</v>
      </c>
      <c r="CN17">
        <f>IF(P17=0,0,COUNTIF('Transect 3_imgsummary'!E17:I17,"BRYP")*100/P17)</f>
        <v>0</v>
      </c>
      <c r="CO17">
        <f>IF(P17=0,0,COUNTIF('Transect 3_imgsummary'!E17:I17,"CLP")*100/P17)</f>
        <v>0</v>
      </c>
      <c r="CP17">
        <f>IF(P17=0,0,COUNTIF('Transect 3_imgsummary'!E17:I17,"CHLDES")*100/P17)</f>
        <v>0</v>
      </c>
      <c r="CQ17">
        <f>IF(P17=0,0,COUNTIF('Transect 3_imgsummary'!E17:I17,"DYCTY")*100/P17)</f>
        <v>0</v>
      </c>
      <c r="CR17">
        <f>IF(P17=0,0,COUNTIF('Transect 3_imgsummary'!E17:I17,"DICT")*100/P17)</f>
        <v>0</v>
      </c>
      <c r="CS17">
        <f>IF(P17=0,0,COUNTIF('Transect 3_imgsummary'!E17:I17,"GLXU")*100/P17)</f>
        <v>0</v>
      </c>
      <c r="CT17">
        <f>IF(P17=0,0,COUNTIF('Transect 3_imgsummary'!E17:I17,"HALI")*100/P17)</f>
        <v>0</v>
      </c>
      <c r="CU17">
        <f>IF(P17=0,0,COUNTIF('Transect 3_imgsummary'!E17:I17,"LIAG")*100/P17)</f>
        <v>0</v>
      </c>
      <c r="CV17">
        <f>IF(P17=0,0,COUNTIF('Transect 3_imgsummary'!E17:I17,"LOBO")*100/P17)</f>
        <v>0</v>
      </c>
      <c r="CW17">
        <f>IF(P17=0,0,COUNTIF('Transect 3_imgsummary'!E17:I17,"MAST")*100/P17)</f>
        <v>0</v>
      </c>
      <c r="CX17">
        <f>IF(P17=0,0,COUNTIF('Transect 3_imgsummary'!E17:I17,"MICDTY")*100/P17)</f>
        <v>0</v>
      </c>
      <c r="CY17">
        <f>IF(P17=0,0,COUNTIF('Transect 3_imgsummary'!E17:I17,"NEOM")*100/P17)</f>
        <v>0</v>
      </c>
      <c r="CZ17">
        <f>IF(P17=0,0,COUNTIF('Transect 3_imgsummary'!E17:I17,"NOIDMAC")*100/P17)</f>
        <v>0</v>
      </c>
      <c r="DA17">
        <f>IF(P17=0,0,COUNTIF('Transect 3_imgsummary'!E17:I17,"PAD")*100/P17)</f>
        <v>0</v>
      </c>
      <c r="DB17">
        <f>IF(P17=0,0,COUNTIF('Transect 3_imgsummary'!E17:I17,"SARG")*100/P17)</f>
        <v>0</v>
      </c>
      <c r="DC17">
        <f>IF(P17=0,0,COUNTIF('Transect 3_imgsummary'!E17:I17,"SCHIZ")*100/P17)</f>
        <v>0</v>
      </c>
      <c r="DD17">
        <f>IF(P17=0,0,COUNTIF('Transect 3_imgsummary'!E17:I17,"TURB")*100/P17)</f>
        <v>0</v>
      </c>
      <c r="DE17">
        <f>IF(P17=0,0,COUNTIF('Transect 3_imgsummary'!E17:I17,"TYDM")*100/P17)</f>
        <v>0</v>
      </c>
      <c r="DG17">
        <f>IF(P17=0,0,COUNTIF('Transect 3_imgsummary'!E17:I17,"AMP")*100/P17)</f>
        <v>0</v>
      </c>
      <c r="DH17">
        <f>IF(P17=0,0,COUNTIF('Transect 3_imgsummary'!E17:I17,"BCA1")*100/P17)</f>
        <v>0</v>
      </c>
      <c r="DI17">
        <f>IF(P17=0,0,COUNTIF('Transect 3_imgsummary'!E17:I17,"JAN")*100/P17)</f>
        <v>0</v>
      </c>
      <c r="DK17" s="29">
        <f>IF(P17=0,0,COUNTIF('Transect 3_imgsummary'!E17:I17,"CCA1")*100/P17)</f>
        <v>20</v>
      </c>
      <c r="DM17">
        <f>IF(P17=0,0,COUNTIF('Transect 3_imgsummary'!E17:I17,"Sand")*100/P17)</f>
        <v>0</v>
      </c>
      <c r="DO17">
        <f>IF(P17=0,0,COUNTIF('Transect 3_imgsummary'!E17:I17,"FCA1")*100/P17)</f>
        <v>0</v>
      </c>
      <c r="DQ17">
        <f>IF(P17=0,0,COUNTIF('Transect 3_imgsummary'!E17:I17,"CHRYOBRN")*100/P17)</f>
        <v>0</v>
      </c>
      <c r="DS17" s="29">
        <f>IF(P17=0,0,COUNTIF('Transect 3_imgsummary'!E17:I17,"TURF")*100/P17)</f>
        <v>20</v>
      </c>
      <c r="DU17">
        <f>COUNTIF('Transect 3_imgsummary'!E17:I17,"Shadow")*100/5</f>
        <v>0</v>
      </c>
      <c r="DV17">
        <f>COUNTIF('Transect 3_imgsummary'!E17:I17,"Tape")*100/5</f>
        <v>0</v>
      </c>
      <c r="DW17">
        <f>COUNTIF('Transect 3_imgsummary'!E17:I17,"Wand")*100/5</f>
        <v>0</v>
      </c>
      <c r="DY17">
        <f>IF(P17=0,0,COUNTIF('Transect 3_imgsummary'!O17:S17,"BC")*100/P17)</f>
        <v>0</v>
      </c>
    </row>
    <row r="18" spans="1:129">
      <c r="A18">
        <v>16</v>
      </c>
      <c r="B18" t="s">
        <v>505</v>
      </c>
      <c r="F18" s="29">
        <f>IF(P18=0,0,COUNTIF('Transect 3_imgsummary'!J18:N18,"C")*100/P18)</f>
        <v>40</v>
      </c>
      <c r="G18">
        <f>IF(P18=0,0,COUNTIF('Transect 3_imgsummary'!J18:N18,"OI")*100/P18)</f>
        <v>0</v>
      </c>
      <c r="H18">
        <f>IF(P18=0,0,COUNTIF('Transect 3_imgsummary'!J18:N18,"MA")*100/P18)</f>
        <v>0</v>
      </c>
      <c r="I18">
        <f>IF(P18=0,0,COUNTIF('Transect 3_imgsummary'!J18:N18,"BCA")*100/P18)</f>
        <v>0</v>
      </c>
      <c r="J18">
        <f>IF(P18=0,0,COUNTIF('Transect 3_imgsummary'!J18:N18,"CCA")*100/P18)</f>
        <v>0</v>
      </c>
      <c r="K18">
        <f>IF(P18=0,0,COUNTIF('Transect 3_imgsummary'!J18:N18,"SD")*100/P18)</f>
        <v>0</v>
      </c>
      <c r="L18">
        <f>IF(P18=0,0,COUNTIF('Transect 3_imgsummary'!J18:N18,"FCA")*100/P18)</f>
        <v>0</v>
      </c>
      <c r="M18">
        <f>IF(P18=0,0,COUNTIF('Transect 3_imgsummary'!J18:N18,"CHRYS")*100/P18)</f>
        <v>0</v>
      </c>
      <c r="N18" s="29">
        <f>IF(P18=0,0,COUNTIF('Transect 3_imgsummary'!J18:N18,"T")*100/P18)</f>
        <v>60</v>
      </c>
      <c r="O18">
        <f>IF(P18=0,0,COUNTIF('Transect 3_imgsummary'!J18:N18,"TWS")*100/P18)</f>
        <v>0</v>
      </c>
      <c r="P18">
        <f>5-COUNTIF('Transect 3_imgsummary'!J18:N18,"TWS")</f>
        <v>5</v>
      </c>
      <c r="S18">
        <f>IF(P18=0,0,COUNTIF('Transect 3_imgsummary'!E18:I18,"ACAN")*100/P18)</f>
        <v>0</v>
      </c>
      <c r="T18">
        <f>IF(P18=0,0,COUNTIF('Transect 3_imgsummary'!E18:I18,"ACROP")*100/P18)</f>
        <v>0</v>
      </c>
      <c r="U18">
        <f>IF(P18=0,0,COUNTIF('Transect 3_imgsummary'!E18:I18,"ACROPARB")*100/P18)</f>
        <v>0</v>
      </c>
      <c r="V18">
        <f>IF(P18=0,0,COUNTIF('Transect 3_imgsummary'!E18:I18,"ACROST")*100/P18)</f>
        <v>0</v>
      </c>
      <c r="W18">
        <f>IF(P18=0,0,COUNTIF('Transect 3_imgsummary'!E18:I18,"ACROTBL")*100/P18)</f>
        <v>0</v>
      </c>
      <c r="X18" s="29">
        <f>IF(P18=0,0,COUNTIF('Transect 3_imgsummary'!E18:I18,"ASTRP")*100/P18)</f>
        <v>20</v>
      </c>
      <c r="Y18">
        <f>IF(P18=0,0,COUNTIF('Transect 3_imgsummary'!E18:I18,"CAUL")*100/P18)</f>
        <v>0</v>
      </c>
      <c r="Z18">
        <f>IF(P18=0,0,COUNTIF('Transect 3_imgsummary'!E18:I18,"COSC")*100/P18)</f>
        <v>0</v>
      </c>
      <c r="AA18">
        <f>IF(P18=0,0,COUNTIF('Transect 3_imgsummary'!E18:I18,"CTEN")*100/P18)</f>
        <v>0</v>
      </c>
      <c r="AB18">
        <f>IF(P18=0,0,COUNTIF('Transect 3_imgsummary'!E18:I18,"CYPH")*100/P18)</f>
        <v>0</v>
      </c>
      <c r="AC18">
        <f>IF(P18=0,0,COUNTIF('Transect 3_imgsummary'!E18:I18,"DIPLO")*100/P18)</f>
        <v>0</v>
      </c>
      <c r="AD18">
        <f>IF(P18=0,0,COUNTIF('Transect 3_imgsummary'!E18:I18,"ECHPO")*100/P18)</f>
        <v>0</v>
      </c>
      <c r="AE18">
        <f>IF(P18=0,0,COUNTIF('Transect 3_imgsummary'!E18:I18,"ECHPHY")*100/P18)</f>
        <v>0</v>
      </c>
      <c r="AF18">
        <f>IF(P18=0,0,COUNTIF('Transect 3_imgsummary'!E18:I18,"EUPH")*100/P18)</f>
        <v>0</v>
      </c>
      <c r="AG18">
        <f>IF(P18=0,0,COUNTIF('Transect 3_imgsummary'!E18:I18,"FAV")*100/P18)</f>
        <v>0</v>
      </c>
      <c r="AH18">
        <f>IF(P18=0,0,COUNTIF('Transect 3_imgsummary'!E18:I18,"FAVT")*100/P18)</f>
        <v>0</v>
      </c>
      <c r="AI18">
        <f>IF(P18=0,0,COUNTIF('Transect 3_imgsummary'!E18:I18,"FUNG")*100/P18)</f>
        <v>0</v>
      </c>
      <c r="AJ18">
        <f>IF(P18=0,0,COUNTIF('Transect 3_imgsummary'!E18:I18,"GAL")*100/P18)</f>
        <v>0</v>
      </c>
      <c r="AK18">
        <f>IF(P18=0,0,COUNTIF('Transect 3_imgsummary'!E18:I18,"GARD")*100/P18)</f>
        <v>0</v>
      </c>
      <c r="AL18">
        <f>IF(P18=0,0,COUNTIF('Transect 3_imgsummary'!E18:I18,"GON")*100/P18)</f>
        <v>0</v>
      </c>
      <c r="AM18">
        <f>IF(P18=0,0,COUNTIF('Transect 3_imgsummary'!E18:I18,"GONIO")*100/P18)</f>
        <v>0</v>
      </c>
      <c r="AN18">
        <f>IF(P18=0,0,COUNTIF('Transect 3_imgsummary'!E18:I18,"HELIO")*100/P18)</f>
        <v>0</v>
      </c>
      <c r="AO18">
        <f>IF(P18=0,0,COUNTIF('Transect 3_imgsummary'!E18:I18,"HERP")*100/P18)</f>
        <v>0</v>
      </c>
      <c r="AP18">
        <f>IF(P18=0,0,COUNTIF('Transect 3_imgsummary'!E18:I18,"HYD")*100/P18)</f>
        <v>0</v>
      </c>
      <c r="AQ18">
        <f>IF(P18=0,0,COUNTIF('Transect 3_imgsummary'!E18:I18,"ISOP")*100/P18)</f>
        <v>0</v>
      </c>
      <c r="AR18">
        <f>IF(P18=0,0,COUNTIF('Transect 3_imgsummary'!E18:I18,"LEPT")*100/P18)</f>
        <v>0</v>
      </c>
      <c r="AS18" s="29">
        <f>IF(P18=0,0,COUNTIF('Transect 3_imgsummary'!E18:I18,"LEPTOR")*100/P18)</f>
        <v>20</v>
      </c>
      <c r="AT18">
        <f>IF(P18=0,0,COUNTIF('Transect 3_imgsummary'!E18:I18,"LEPTOS")*100/P18)</f>
        <v>0</v>
      </c>
      <c r="AU18">
        <f>IF(P18=0,0,COUNTIF('Transect 3_imgsummary'!E18:I18,"LOBOPH")*100/P18)</f>
        <v>0</v>
      </c>
      <c r="AV18">
        <f>IF(P18=0,0,COUNTIF('Transect 3_imgsummary'!E18:I18,"MERU")*100/P18)</f>
        <v>0</v>
      </c>
      <c r="AW18">
        <f>IF(P18=0,0,COUNTIF('Transect 3_imgsummary'!E18:I18,"MILL")*100/P18)</f>
        <v>0</v>
      </c>
      <c r="AX18">
        <f>IF(P18=0,0,COUNTIF('Transect 3_imgsummary'!E18:I18,"MONT")*100/P18)</f>
        <v>0</v>
      </c>
      <c r="AY18">
        <f>IF(P18=0,0,COUNTIF('Transect 3_imgsummary'!E18:I18,"MONTI")*100/P18)</f>
        <v>0</v>
      </c>
      <c r="AZ18">
        <f>IF(P18=0,0,COUNTIF('Transect 3_imgsummary'!E18:I18,"MYCED")*100/P18)</f>
        <v>0</v>
      </c>
      <c r="BA18">
        <f>IF(P18=0,0,COUNTIF('Transect 3_imgsummary'!E18:I18,"OULO")*100/P18)</f>
        <v>0</v>
      </c>
      <c r="BB18">
        <f>IF(P18=0,0,COUNTIF('Transect 3_imgsummary'!E18:I18,"OXYP")*100/P18)</f>
        <v>0</v>
      </c>
      <c r="BC18">
        <f>IF(P18=0,0,COUNTIF('Transect 3_imgsummary'!E18:I18,"PLSIA")*100/P18)</f>
        <v>0</v>
      </c>
      <c r="BD18">
        <f>IF(P18=0,0,COUNTIF('Transect 3_imgsummary'!E18:I18,"PACHY")*100/P18)</f>
        <v>0</v>
      </c>
      <c r="BE18">
        <f>IF(P18=0,0,COUNTIF('Transect 3_imgsummary'!E18:I18,"PAV")*100/P18)</f>
        <v>0</v>
      </c>
      <c r="BF18">
        <f>IF(P18=0,0,COUNTIF('Transect 3_imgsummary'!E18:I18,"PECT")*100/P18)</f>
        <v>0</v>
      </c>
      <c r="BG18">
        <f>IF(P18=0,0,COUNTIF('Transect 3_imgsummary'!E18:I18,"PHYSO")*100/P18)</f>
        <v>0</v>
      </c>
      <c r="BH18">
        <f>IF(P18=0,0,COUNTIF('Transect 3_imgsummary'!E18:I18,"PLAT")*100/P18)</f>
        <v>0</v>
      </c>
      <c r="BI18">
        <f>IF(P18=0,0,COUNTIF('Transect 3_imgsummary'!E18:I18,"PLERO")*100/P18)</f>
        <v>0</v>
      </c>
      <c r="BJ18">
        <f>IF(P18=0,0,COUNTIF('Transect 3_imgsummary'!E18:I18,"POC")*100/P18)</f>
        <v>0</v>
      </c>
      <c r="BK18">
        <f>IF(P18=0,0,COUNTIF('Transect 3_imgsummary'!E18:I18,"POR")*100/P18)</f>
        <v>0</v>
      </c>
      <c r="BL18">
        <f>IF(P18=0,0,COUNTIF('Transect 3_imgsummary'!E18:I18,"PORCYL")*100/P18)</f>
        <v>0</v>
      </c>
      <c r="BM18">
        <f>IF(P18=0,0,COUNTIF('Transect 3_imgsummary'!E18:I18,"PORMAS")*100/P18)</f>
        <v>0</v>
      </c>
      <c r="BN18">
        <f>IF(P18=0,0,COUNTIF('Transect 3_imgsummary'!E18:I18,"PORRUS")*100/P18)</f>
        <v>0</v>
      </c>
      <c r="BO18">
        <f>IF(P18=0,0,COUNTIF('Transect 3_imgsummary'!E18:I18,"PSAM")*100/P18)</f>
        <v>0</v>
      </c>
      <c r="BP18">
        <f>IF(P18=0,0,COUNTIF('Transect 3_imgsummary'!E18:I18,"SANDO")*100/P18)</f>
        <v>0</v>
      </c>
      <c r="BQ18">
        <f>IF(P18=0,0,COUNTIF('Transect 3_imgsummary'!E18:I18,"SCAP")*100/P18)</f>
        <v>0</v>
      </c>
      <c r="BR18">
        <f>IF(P18=0,0,COUNTIF('Transect 3_imgsummary'!E18:I18,"SERIA")*100/P18)</f>
        <v>0</v>
      </c>
      <c r="BS18">
        <f>IF(P18=0,0,COUNTIF('Transect 3_imgsummary'!E18:I18,"STYLC")*100/P18)</f>
        <v>0</v>
      </c>
      <c r="BT18">
        <f>IF(P18=0,0,COUNTIF('Transect 3_imgsummary'!E18:I18,"STYLO")*100/P18)</f>
        <v>0</v>
      </c>
      <c r="BU18">
        <f>IF(P18=0,0,COUNTIF('Transect 3_imgsummary'!E18:I18,"SYMP")*100/P18)</f>
        <v>0</v>
      </c>
      <c r="BV18">
        <f>IF(P18=0,0,COUNTIF('Transect 3_imgsummary'!E18:I18,"TURBIN")*100/P18)</f>
        <v>0</v>
      </c>
      <c r="BX18">
        <f>IF(P18=0,0,COUNTIF('Transect 3_imgsummary'!E18:I18,"ANEM")*100/P18)</f>
        <v>0</v>
      </c>
      <c r="BY18">
        <f>IF(P18=0,0,COUNTIF('Transect 3_imgsummary'!E18:I18,"ASC")*100/P18)</f>
        <v>0</v>
      </c>
      <c r="BZ18">
        <f>IF(P18=0,0,COUNTIF('Transect 3_imgsummary'!E18:I18,"CUPS")*100/P18)</f>
        <v>0</v>
      </c>
      <c r="CA18">
        <f>IF(P18=0,0,COUNTIF('Transect 3_imgsummary'!E18:I18,"DISCO")*100/P18)</f>
        <v>0</v>
      </c>
      <c r="CB18">
        <f>IF(P18=0,0,COUNTIF('Transect 3_imgsummary'!E18:I18,"DYS")*100/P18)</f>
        <v>0</v>
      </c>
      <c r="CC18">
        <f>IF(P18=0,0,COUNTIF('Transect 3_imgsummary'!E18:I18,"G")*100/P18)</f>
        <v>0</v>
      </c>
      <c r="CD18">
        <f>IF(P18=0,0,COUNTIF('Transect 3_imgsummary'!E18:I18,"NoIDINV")*100/P18)</f>
        <v>0</v>
      </c>
      <c r="CE18">
        <f>IF(P18=0,0,COUNTIF('Transect 3_imgsummary'!E18:I18,"OLV")*100/P18)</f>
        <v>0</v>
      </c>
      <c r="CF18">
        <f>IF(P18=0,0,COUNTIF('Transect 3_imgsummary'!E18:I18,"SC")*100/P18)</f>
        <v>0</v>
      </c>
      <c r="CG18">
        <f>IF(P18=0,0,COUNTIF('Transect 3_imgsummary'!E18:I18,"S")*100/P18)</f>
        <v>0</v>
      </c>
      <c r="CH18">
        <f>IF(P18=0,0,COUNTIF('Transect 3_imgsummary'!E18:I18,"TERPS")*100/P18)</f>
        <v>0</v>
      </c>
      <c r="CI18">
        <f>IF(P18=0,0,COUNTIF('Transect 3_imgsummary'!E18:I18,"Z")*100/P18)</f>
        <v>0</v>
      </c>
      <c r="CK18">
        <f>IF(P18=0,0,COUNTIF('Transect 3_imgsummary'!E18:I18,"ASP")*100/P18)</f>
        <v>0</v>
      </c>
      <c r="CL18">
        <f>IF(P18=0,0,COUNTIF('Transect 3_imgsummary'!E18:I18,"BG")*100/P18)</f>
        <v>0</v>
      </c>
      <c r="CM18">
        <f>IF(P18=0,0,COUNTIF('Transect 3_imgsummary'!E18:I18,"Bood")*100/P18)</f>
        <v>0</v>
      </c>
      <c r="CN18">
        <f>IF(P18=0,0,COUNTIF('Transect 3_imgsummary'!E18:I18,"BRYP")*100/P18)</f>
        <v>0</v>
      </c>
      <c r="CO18">
        <f>IF(P18=0,0,COUNTIF('Transect 3_imgsummary'!E18:I18,"CLP")*100/P18)</f>
        <v>0</v>
      </c>
      <c r="CP18">
        <f>IF(P18=0,0,COUNTIF('Transect 3_imgsummary'!E18:I18,"CHLDES")*100/P18)</f>
        <v>0</v>
      </c>
      <c r="CQ18">
        <f>IF(P18=0,0,COUNTIF('Transect 3_imgsummary'!E18:I18,"DYCTY")*100/P18)</f>
        <v>0</v>
      </c>
      <c r="CR18">
        <f>IF(P18=0,0,COUNTIF('Transect 3_imgsummary'!E18:I18,"DICT")*100/P18)</f>
        <v>0</v>
      </c>
      <c r="CS18">
        <f>IF(P18=0,0,COUNTIF('Transect 3_imgsummary'!E18:I18,"GLXU")*100/P18)</f>
        <v>0</v>
      </c>
      <c r="CT18">
        <f>IF(P18=0,0,COUNTIF('Transect 3_imgsummary'!E18:I18,"HALI")*100/P18)</f>
        <v>0</v>
      </c>
      <c r="CU18">
        <f>IF(P18=0,0,COUNTIF('Transect 3_imgsummary'!E18:I18,"LIAG")*100/P18)</f>
        <v>0</v>
      </c>
      <c r="CV18">
        <f>IF(P18=0,0,COUNTIF('Transect 3_imgsummary'!E18:I18,"LOBO")*100/P18)</f>
        <v>0</v>
      </c>
      <c r="CW18">
        <f>IF(P18=0,0,COUNTIF('Transect 3_imgsummary'!E18:I18,"MAST")*100/P18)</f>
        <v>0</v>
      </c>
      <c r="CX18">
        <f>IF(P18=0,0,COUNTIF('Transect 3_imgsummary'!E18:I18,"MICDTY")*100/P18)</f>
        <v>0</v>
      </c>
      <c r="CY18">
        <f>IF(P18=0,0,COUNTIF('Transect 3_imgsummary'!E18:I18,"NEOM")*100/P18)</f>
        <v>0</v>
      </c>
      <c r="CZ18">
        <f>IF(P18=0,0,COUNTIF('Transect 3_imgsummary'!E18:I18,"NOIDMAC")*100/P18)</f>
        <v>0</v>
      </c>
      <c r="DA18">
        <f>IF(P18=0,0,COUNTIF('Transect 3_imgsummary'!E18:I18,"PAD")*100/P18)</f>
        <v>0</v>
      </c>
      <c r="DB18">
        <f>IF(P18=0,0,COUNTIF('Transect 3_imgsummary'!E18:I18,"SARG")*100/P18)</f>
        <v>0</v>
      </c>
      <c r="DC18">
        <f>IF(P18=0,0,COUNTIF('Transect 3_imgsummary'!E18:I18,"SCHIZ")*100/P18)</f>
        <v>0</v>
      </c>
      <c r="DD18">
        <f>IF(P18=0,0,COUNTIF('Transect 3_imgsummary'!E18:I18,"TURB")*100/P18)</f>
        <v>0</v>
      </c>
      <c r="DE18">
        <f>IF(P18=0,0,COUNTIF('Transect 3_imgsummary'!E18:I18,"TYDM")*100/P18)</f>
        <v>0</v>
      </c>
      <c r="DG18">
        <f>IF(P18=0,0,COUNTIF('Transect 3_imgsummary'!E18:I18,"AMP")*100/P18)</f>
        <v>0</v>
      </c>
      <c r="DH18">
        <f>IF(P18=0,0,COUNTIF('Transect 3_imgsummary'!E18:I18,"BCA1")*100/P18)</f>
        <v>0</v>
      </c>
      <c r="DI18">
        <f>IF(P18=0,0,COUNTIF('Transect 3_imgsummary'!E18:I18,"JAN")*100/P18)</f>
        <v>0</v>
      </c>
      <c r="DK18">
        <f>IF(P18=0,0,COUNTIF('Transect 3_imgsummary'!E18:I18,"CCA1")*100/P18)</f>
        <v>0</v>
      </c>
      <c r="DM18">
        <f>IF(P18=0,0,COUNTIF('Transect 3_imgsummary'!E18:I18,"Sand")*100/P18)</f>
        <v>0</v>
      </c>
      <c r="DO18">
        <f>IF(P18=0,0,COUNTIF('Transect 3_imgsummary'!E18:I18,"FCA1")*100/P18)</f>
        <v>0</v>
      </c>
      <c r="DQ18">
        <f>IF(P18=0,0,COUNTIF('Transect 3_imgsummary'!E18:I18,"CHRYOBRN")*100/P18)</f>
        <v>0</v>
      </c>
      <c r="DS18" s="29">
        <f>IF(P18=0,0,COUNTIF('Transect 3_imgsummary'!E18:I18,"TURF")*100/P18)</f>
        <v>60</v>
      </c>
      <c r="DU18">
        <f>COUNTIF('Transect 3_imgsummary'!E18:I18,"Shadow")*100/5</f>
        <v>0</v>
      </c>
      <c r="DV18">
        <f>COUNTIF('Transect 3_imgsummary'!E18:I18,"Tape")*100/5</f>
        <v>0</v>
      </c>
      <c r="DW18">
        <f>COUNTIF('Transect 3_imgsummary'!E18:I18,"Wand")*100/5</f>
        <v>0</v>
      </c>
      <c r="DY18">
        <f>IF(P18=0,0,COUNTIF('Transect 3_imgsummary'!O18:S18,"BC")*100/P18)</f>
        <v>0</v>
      </c>
    </row>
    <row r="19" spans="1:129">
      <c r="A19">
        <v>17</v>
      </c>
      <c r="B19" t="s">
        <v>506</v>
      </c>
      <c r="F19" s="29">
        <f>IF(P19=0,0,COUNTIF('Transect 3_imgsummary'!J19:N19,"C")*100/P19)</f>
        <v>40</v>
      </c>
      <c r="G19">
        <f>IF(P19=0,0,COUNTIF('Transect 3_imgsummary'!J19:N19,"OI")*100/P19)</f>
        <v>0</v>
      </c>
      <c r="H19">
        <f>IF(P19=0,0,COUNTIF('Transect 3_imgsummary'!J19:N19,"MA")*100/P19)</f>
        <v>0</v>
      </c>
      <c r="I19">
        <f>IF(P19=0,0,COUNTIF('Transect 3_imgsummary'!J19:N19,"BCA")*100/P19)</f>
        <v>0</v>
      </c>
      <c r="J19" s="29">
        <f>IF(P19=0,0,COUNTIF('Transect 3_imgsummary'!J19:N19,"CCA")*100/P19)</f>
        <v>20</v>
      </c>
      <c r="K19">
        <f>IF(P19=0,0,COUNTIF('Transect 3_imgsummary'!J19:N19,"SD")*100/P19)</f>
        <v>0</v>
      </c>
      <c r="L19">
        <f>IF(P19=0,0,COUNTIF('Transect 3_imgsummary'!J19:N19,"FCA")*100/P19)</f>
        <v>0</v>
      </c>
      <c r="M19">
        <f>IF(P19=0,0,COUNTIF('Transect 3_imgsummary'!J19:N19,"CHRYS")*100/P19)</f>
        <v>0</v>
      </c>
      <c r="N19" s="29">
        <f>IF(P19=0,0,COUNTIF('Transect 3_imgsummary'!J19:N19,"T")*100/P19)</f>
        <v>40</v>
      </c>
      <c r="O19">
        <f>IF(P19=0,0,COUNTIF('Transect 3_imgsummary'!J19:N19,"TWS")*100/P19)</f>
        <v>0</v>
      </c>
      <c r="P19">
        <f>5-COUNTIF('Transect 3_imgsummary'!J19:N19,"TWS")</f>
        <v>5</v>
      </c>
      <c r="S19">
        <f>IF(P19=0,0,COUNTIF('Transect 3_imgsummary'!E19:I19,"ACAN")*100/P19)</f>
        <v>0</v>
      </c>
      <c r="T19">
        <f>IF(P19=0,0,COUNTIF('Transect 3_imgsummary'!E19:I19,"ACROP")*100/P19)</f>
        <v>0</v>
      </c>
      <c r="U19">
        <f>IF(P19=0,0,COUNTIF('Transect 3_imgsummary'!E19:I19,"ACROPARB")*100/P19)</f>
        <v>0</v>
      </c>
      <c r="V19">
        <f>IF(P19=0,0,COUNTIF('Transect 3_imgsummary'!E19:I19,"ACROST")*100/P19)</f>
        <v>0</v>
      </c>
      <c r="W19" s="29">
        <f>IF(P19=0,0,COUNTIF('Transect 3_imgsummary'!E19:I19,"ACROTBL")*100/P19)</f>
        <v>40</v>
      </c>
      <c r="X19">
        <f>IF(P19=0,0,COUNTIF('Transect 3_imgsummary'!E19:I19,"ASTRP")*100/P19)</f>
        <v>0</v>
      </c>
      <c r="Y19">
        <f>IF(P19=0,0,COUNTIF('Transect 3_imgsummary'!E19:I19,"CAUL")*100/P19)</f>
        <v>0</v>
      </c>
      <c r="Z19">
        <f>IF(P19=0,0,COUNTIF('Transect 3_imgsummary'!E19:I19,"COSC")*100/P19)</f>
        <v>0</v>
      </c>
      <c r="AA19">
        <f>IF(P19=0,0,COUNTIF('Transect 3_imgsummary'!E19:I19,"CTEN")*100/P19)</f>
        <v>0</v>
      </c>
      <c r="AB19">
        <f>IF(P19=0,0,COUNTIF('Transect 3_imgsummary'!E19:I19,"CYPH")*100/P19)</f>
        <v>0</v>
      </c>
      <c r="AC19">
        <f>IF(P19=0,0,COUNTIF('Transect 3_imgsummary'!E19:I19,"DIPLO")*100/P19)</f>
        <v>0</v>
      </c>
      <c r="AD19">
        <f>IF(P19=0,0,COUNTIF('Transect 3_imgsummary'!E19:I19,"ECHPO")*100/P19)</f>
        <v>0</v>
      </c>
      <c r="AE19">
        <f>IF(P19=0,0,COUNTIF('Transect 3_imgsummary'!E19:I19,"ECHPHY")*100/P19)</f>
        <v>0</v>
      </c>
      <c r="AF19">
        <f>IF(P19=0,0,COUNTIF('Transect 3_imgsummary'!E19:I19,"EUPH")*100/P19)</f>
        <v>0</v>
      </c>
      <c r="AG19">
        <f>IF(P19=0,0,COUNTIF('Transect 3_imgsummary'!E19:I19,"FAV")*100/P19)</f>
        <v>0</v>
      </c>
      <c r="AH19">
        <f>IF(P19=0,0,COUNTIF('Transect 3_imgsummary'!E19:I19,"FAVT")*100/P19)</f>
        <v>0</v>
      </c>
      <c r="AI19">
        <f>IF(P19=0,0,COUNTIF('Transect 3_imgsummary'!E19:I19,"FUNG")*100/P19)</f>
        <v>0</v>
      </c>
      <c r="AJ19">
        <f>IF(P19=0,0,COUNTIF('Transect 3_imgsummary'!E19:I19,"GAL")*100/P19)</f>
        <v>0</v>
      </c>
      <c r="AK19">
        <f>IF(P19=0,0,COUNTIF('Transect 3_imgsummary'!E19:I19,"GARD")*100/P19)</f>
        <v>0</v>
      </c>
      <c r="AL19">
        <f>IF(P19=0,0,COUNTIF('Transect 3_imgsummary'!E19:I19,"GON")*100/P19)</f>
        <v>0</v>
      </c>
      <c r="AM19">
        <f>IF(P19=0,0,COUNTIF('Transect 3_imgsummary'!E19:I19,"GONIO")*100/P19)</f>
        <v>0</v>
      </c>
      <c r="AN19">
        <f>IF(P19=0,0,COUNTIF('Transect 3_imgsummary'!E19:I19,"HELIO")*100/P19)</f>
        <v>0</v>
      </c>
      <c r="AO19">
        <f>IF(P19=0,0,COUNTIF('Transect 3_imgsummary'!E19:I19,"HERP")*100/P19)</f>
        <v>0</v>
      </c>
      <c r="AP19">
        <f>IF(P19=0,0,COUNTIF('Transect 3_imgsummary'!E19:I19,"HYD")*100/P19)</f>
        <v>0</v>
      </c>
      <c r="AQ19">
        <f>IF(P19=0,0,COUNTIF('Transect 3_imgsummary'!E19:I19,"ISOP")*100/P19)</f>
        <v>0</v>
      </c>
      <c r="AR19">
        <f>IF(P19=0,0,COUNTIF('Transect 3_imgsummary'!E19:I19,"LEPT")*100/P19)</f>
        <v>0</v>
      </c>
      <c r="AS19">
        <f>IF(P19=0,0,COUNTIF('Transect 3_imgsummary'!E19:I19,"LEPTOR")*100/P19)</f>
        <v>0</v>
      </c>
      <c r="AT19">
        <f>IF(P19=0,0,COUNTIF('Transect 3_imgsummary'!E19:I19,"LEPTOS")*100/P19)</f>
        <v>0</v>
      </c>
      <c r="AU19">
        <f>IF(P19=0,0,COUNTIF('Transect 3_imgsummary'!E19:I19,"LOBOPH")*100/P19)</f>
        <v>0</v>
      </c>
      <c r="AV19">
        <f>IF(P19=0,0,COUNTIF('Transect 3_imgsummary'!E19:I19,"MERU")*100/P19)</f>
        <v>0</v>
      </c>
      <c r="AW19">
        <f>IF(P19=0,0,COUNTIF('Transect 3_imgsummary'!E19:I19,"MILL")*100/P19)</f>
        <v>0</v>
      </c>
      <c r="AX19">
        <f>IF(P19=0,0,COUNTIF('Transect 3_imgsummary'!E19:I19,"MONT")*100/P19)</f>
        <v>0</v>
      </c>
      <c r="AY19">
        <f>IF(P19=0,0,COUNTIF('Transect 3_imgsummary'!E19:I19,"MONTI")*100/P19)</f>
        <v>0</v>
      </c>
      <c r="AZ19">
        <f>IF(P19=0,0,COUNTIF('Transect 3_imgsummary'!E19:I19,"MYCED")*100/P19)</f>
        <v>0</v>
      </c>
      <c r="BA19">
        <f>IF(P19=0,0,COUNTIF('Transect 3_imgsummary'!E19:I19,"OULO")*100/P19)</f>
        <v>0</v>
      </c>
      <c r="BB19">
        <f>IF(P19=0,0,COUNTIF('Transect 3_imgsummary'!E19:I19,"OXYP")*100/P19)</f>
        <v>0</v>
      </c>
      <c r="BC19">
        <f>IF(P19=0,0,COUNTIF('Transect 3_imgsummary'!E19:I19,"PLSIA")*100/P19)</f>
        <v>0</v>
      </c>
      <c r="BD19">
        <f>IF(P19=0,0,COUNTIF('Transect 3_imgsummary'!E19:I19,"PACHY")*100/P19)</f>
        <v>0</v>
      </c>
      <c r="BE19">
        <f>IF(P19=0,0,COUNTIF('Transect 3_imgsummary'!E19:I19,"PAV")*100/P19)</f>
        <v>0</v>
      </c>
      <c r="BF19">
        <f>IF(P19=0,0,COUNTIF('Transect 3_imgsummary'!E19:I19,"PECT")*100/P19)</f>
        <v>0</v>
      </c>
      <c r="BG19">
        <f>IF(P19=0,0,COUNTIF('Transect 3_imgsummary'!E19:I19,"PHYSO")*100/P19)</f>
        <v>0</v>
      </c>
      <c r="BH19">
        <f>IF(P19=0,0,COUNTIF('Transect 3_imgsummary'!E19:I19,"PLAT")*100/P19)</f>
        <v>0</v>
      </c>
      <c r="BI19">
        <f>IF(P19=0,0,COUNTIF('Transect 3_imgsummary'!E19:I19,"PLERO")*100/P19)</f>
        <v>0</v>
      </c>
      <c r="BJ19">
        <f>IF(P19=0,0,COUNTIF('Transect 3_imgsummary'!E19:I19,"POC")*100/P19)</f>
        <v>0</v>
      </c>
      <c r="BK19">
        <f>IF(P19=0,0,COUNTIF('Transect 3_imgsummary'!E19:I19,"POR")*100/P19)</f>
        <v>0</v>
      </c>
      <c r="BL19">
        <f>IF(P19=0,0,COUNTIF('Transect 3_imgsummary'!E19:I19,"PORCYL")*100/P19)</f>
        <v>0</v>
      </c>
      <c r="BM19">
        <f>IF(P19=0,0,COUNTIF('Transect 3_imgsummary'!E19:I19,"PORMAS")*100/P19)</f>
        <v>0</v>
      </c>
      <c r="BN19">
        <f>IF(P19=0,0,COUNTIF('Transect 3_imgsummary'!E19:I19,"PORRUS")*100/P19)</f>
        <v>0</v>
      </c>
      <c r="BO19">
        <f>IF(P19=0,0,COUNTIF('Transect 3_imgsummary'!E19:I19,"PSAM")*100/P19)</f>
        <v>0</v>
      </c>
      <c r="BP19">
        <f>IF(P19=0,0,COUNTIF('Transect 3_imgsummary'!E19:I19,"SANDO")*100/P19)</f>
        <v>0</v>
      </c>
      <c r="BQ19">
        <f>IF(P19=0,0,COUNTIF('Transect 3_imgsummary'!E19:I19,"SCAP")*100/P19)</f>
        <v>0</v>
      </c>
      <c r="BR19">
        <f>IF(P19=0,0,COUNTIF('Transect 3_imgsummary'!E19:I19,"SERIA")*100/P19)</f>
        <v>0</v>
      </c>
      <c r="BS19">
        <f>IF(P19=0,0,COUNTIF('Transect 3_imgsummary'!E19:I19,"STYLC")*100/P19)</f>
        <v>0</v>
      </c>
      <c r="BT19">
        <f>IF(P19=0,0,COUNTIF('Transect 3_imgsummary'!E19:I19,"STYLO")*100/P19)</f>
        <v>0</v>
      </c>
      <c r="BU19">
        <f>IF(P19=0,0,COUNTIF('Transect 3_imgsummary'!E19:I19,"SYMP")*100/P19)</f>
        <v>0</v>
      </c>
      <c r="BV19">
        <f>IF(P19=0,0,COUNTIF('Transect 3_imgsummary'!E19:I19,"TURBIN")*100/P19)</f>
        <v>0</v>
      </c>
      <c r="BX19">
        <f>IF(P19=0,0,COUNTIF('Transect 3_imgsummary'!E19:I19,"ANEM")*100/P19)</f>
        <v>0</v>
      </c>
      <c r="BY19">
        <f>IF(P19=0,0,COUNTIF('Transect 3_imgsummary'!E19:I19,"ASC")*100/P19)</f>
        <v>0</v>
      </c>
      <c r="BZ19">
        <f>IF(P19=0,0,COUNTIF('Transect 3_imgsummary'!E19:I19,"CUPS")*100/P19)</f>
        <v>0</v>
      </c>
      <c r="CA19">
        <f>IF(P19=0,0,COUNTIF('Transect 3_imgsummary'!E19:I19,"DISCO")*100/P19)</f>
        <v>0</v>
      </c>
      <c r="CB19">
        <f>IF(P19=0,0,COUNTIF('Transect 3_imgsummary'!E19:I19,"DYS")*100/P19)</f>
        <v>0</v>
      </c>
      <c r="CC19">
        <f>IF(P19=0,0,COUNTIF('Transect 3_imgsummary'!E19:I19,"G")*100/P19)</f>
        <v>0</v>
      </c>
      <c r="CD19">
        <f>IF(P19=0,0,COUNTIF('Transect 3_imgsummary'!E19:I19,"NoIDINV")*100/P19)</f>
        <v>0</v>
      </c>
      <c r="CE19">
        <f>IF(P19=0,0,COUNTIF('Transect 3_imgsummary'!E19:I19,"OLV")*100/P19)</f>
        <v>0</v>
      </c>
      <c r="CF19">
        <f>IF(P19=0,0,COUNTIF('Transect 3_imgsummary'!E19:I19,"SC")*100/P19)</f>
        <v>0</v>
      </c>
      <c r="CG19">
        <f>IF(P19=0,0,COUNTIF('Transect 3_imgsummary'!E19:I19,"S")*100/P19)</f>
        <v>0</v>
      </c>
      <c r="CH19">
        <f>IF(P19=0,0,COUNTIF('Transect 3_imgsummary'!E19:I19,"TERPS")*100/P19)</f>
        <v>0</v>
      </c>
      <c r="CI19">
        <f>IF(P19=0,0,COUNTIF('Transect 3_imgsummary'!E19:I19,"Z")*100/P19)</f>
        <v>0</v>
      </c>
      <c r="CK19">
        <f>IF(P19=0,0,COUNTIF('Transect 3_imgsummary'!E19:I19,"ASP")*100/P19)</f>
        <v>0</v>
      </c>
      <c r="CL19">
        <f>IF(P19=0,0,COUNTIF('Transect 3_imgsummary'!E19:I19,"BG")*100/P19)</f>
        <v>0</v>
      </c>
      <c r="CM19">
        <f>IF(P19=0,0,COUNTIF('Transect 3_imgsummary'!E19:I19,"Bood")*100/P19)</f>
        <v>0</v>
      </c>
      <c r="CN19">
        <f>IF(P19=0,0,COUNTIF('Transect 3_imgsummary'!E19:I19,"BRYP")*100/P19)</f>
        <v>0</v>
      </c>
      <c r="CO19">
        <f>IF(P19=0,0,COUNTIF('Transect 3_imgsummary'!E19:I19,"CLP")*100/P19)</f>
        <v>0</v>
      </c>
      <c r="CP19">
        <f>IF(P19=0,0,COUNTIF('Transect 3_imgsummary'!E19:I19,"CHLDES")*100/P19)</f>
        <v>0</v>
      </c>
      <c r="CQ19">
        <f>IF(P19=0,0,COUNTIF('Transect 3_imgsummary'!E19:I19,"DYCTY")*100/P19)</f>
        <v>0</v>
      </c>
      <c r="CR19">
        <f>IF(P19=0,0,COUNTIF('Transect 3_imgsummary'!E19:I19,"DICT")*100/P19)</f>
        <v>0</v>
      </c>
      <c r="CS19">
        <f>IF(P19=0,0,COUNTIF('Transect 3_imgsummary'!E19:I19,"GLXU")*100/P19)</f>
        <v>0</v>
      </c>
      <c r="CT19">
        <f>IF(P19=0,0,COUNTIF('Transect 3_imgsummary'!E19:I19,"HALI")*100/P19)</f>
        <v>0</v>
      </c>
      <c r="CU19">
        <f>IF(P19=0,0,COUNTIF('Transect 3_imgsummary'!E19:I19,"LIAG")*100/P19)</f>
        <v>0</v>
      </c>
      <c r="CV19">
        <f>IF(P19=0,0,COUNTIF('Transect 3_imgsummary'!E19:I19,"LOBO")*100/P19)</f>
        <v>0</v>
      </c>
      <c r="CW19">
        <f>IF(P19=0,0,COUNTIF('Transect 3_imgsummary'!E19:I19,"MAST")*100/P19)</f>
        <v>0</v>
      </c>
      <c r="CX19">
        <f>IF(P19=0,0,COUNTIF('Transect 3_imgsummary'!E19:I19,"MICDTY")*100/P19)</f>
        <v>0</v>
      </c>
      <c r="CY19">
        <f>IF(P19=0,0,COUNTIF('Transect 3_imgsummary'!E19:I19,"NEOM")*100/P19)</f>
        <v>0</v>
      </c>
      <c r="CZ19">
        <f>IF(P19=0,0,COUNTIF('Transect 3_imgsummary'!E19:I19,"NOIDMAC")*100/P19)</f>
        <v>0</v>
      </c>
      <c r="DA19">
        <f>IF(P19=0,0,COUNTIF('Transect 3_imgsummary'!E19:I19,"PAD")*100/P19)</f>
        <v>0</v>
      </c>
      <c r="DB19">
        <f>IF(P19=0,0,COUNTIF('Transect 3_imgsummary'!E19:I19,"SARG")*100/P19)</f>
        <v>0</v>
      </c>
      <c r="DC19">
        <f>IF(P19=0,0,COUNTIF('Transect 3_imgsummary'!E19:I19,"SCHIZ")*100/P19)</f>
        <v>0</v>
      </c>
      <c r="DD19">
        <f>IF(P19=0,0,COUNTIF('Transect 3_imgsummary'!E19:I19,"TURB")*100/P19)</f>
        <v>0</v>
      </c>
      <c r="DE19">
        <f>IF(P19=0,0,COUNTIF('Transect 3_imgsummary'!E19:I19,"TYDM")*100/P19)</f>
        <v>0</v>
      </c>
      <c r="DG19">
        <f>IF(P19=0,0,COUNTIF('Transect 3_imgsummary'!E19:I19,"AMP")*100/P19)</f>
        <v>0</v>
      </c>
      <c r="DH19">
        <f>IF(P19=0,0,COUNTIF('Transect 3_imgsummary'!E19:I19,"BCA1")*100/P19)</f>
        <v>0</v>
      </c>
      <c r="DI19">
        <f>IF(P19=0,0,COUNTIF('Transect 3_imgsummary'!E19:I19,"JAN")*100/P19)</f>
        <v>0</v>
      </c>
      <c r="DK19" s="29">
        <f>IF(P19=0,0,COUNTIF('Transect 3_imgsummary'!E19:I19,"CCA1")*100/P19)</f>
        <v>20</v>
      </c>
      <c r="DM19">
        <f>IF(P19=0,0,COUNTIF('Transect 3_imgsummary'!E19:I19,"Sand")*100/P19)</f>
        <v>0</v>
      </c>
      <c r="DO19">
        <f>IF(P19=0,0,COUNTIF('Transect 3_imgsummary'!E19:I19,"FCA1")*100/P19)</f>
        <v>0</v>
      </c>
      <c r="DQ19">
        <f>IF(P19=0,0,COUNTIF('Transect 3_imgsummary'!E19:I19,"CHRYOBRN")*100/P19)</f>
        <v>0</v>
      </c>
      <c r="DS19" s="29">
        <f>IF(P19=0,0,COUNTIF('Transect 3_imgsummary'!E19:I19,"TURF")*100/P19)</f>
        <v>40</v>
      </c>
      <c r="DU19">
        <f>COUNTIF('Transect 3_imgsummary'!E19:I19,"Shadow")*100/5</f>
        <v>0</v>
      </c>
      <c r="DV19">
        <f>COUNTIF('Transect 3_imgsummary'!E19:I19,"Tape")*100/5</f>
        <v>0</v>
      </c>
      <c r="DW19">
        <f>COUNTIF('Transect 3_imgsummary'!E19:I19,"Wand")*100/5</f>
        <v>0</v>
      </c>
      <c r="DY19">
        <f>IF(P19=0,0,COUNTIF('Transect 3_imgsummary'!O19:S19,"BC")*100/P19)</f>
        <v>0</v>
      </c>
    </row>
    <row r="20" spans="1:129">
      <c r="A20">
        <v>18</v>
      </c>
      <c r="B20" t="s">
        <v>507</v>
      </c>
      <c r="F20" s="29">
        <f>IF(P20=0,0,COUNTIF('Transect 3_imgsummary'!J20:N20,"C")*100/P20)</f>
        <v>100</v>
      </c>
      <c r="G20">
        <f>IF(P20=0,0,COUNTIF('Transect 3_imgsummary'!J20:N20,"OI")*100/P20)</f>
        <v>0</v>
      </c>
      <c r="H20">
        <f>IF(P20=0,0,COUNTIF('Transect 3_imgsummary'!J20:N20,"MA")*100/P20)</f>
        <v>0</v>
      </c>
      <c r="I20">
        <f>IF(P20=0,0,COUNTIF('Transect 3_imgsummary'!J20:N20,"BCA")*100/P20)</f>
        <v>0</v>
      </c>
      <c r="J20">
        <f>IF(P20=0,0,COUNTIF('Transect 3_imgsummary'!J20:N20,"CCA")*100/P20)</f>
        <v>0</v>
      </c>
      <c r="K20">
        <f>IF(P20=0,0,COUNTIF('Transect 3_imgsummary'!J20:N20,"SD")*100/P20)</f>
        <v>0</v>
      </c>
      <c r="L20">
        <f>IF(P20=0,0,COUNTIF('Transect 3_imgsummary'!J20:N20,"FCA")*100/P20)</f>
        <v>0</v>
      </c>
      <c r="M20">
        <f>IF(P20=0,0,COUNTIF('Transect 3_imgsummary'!J20:N20,"CHRYS")*100/P20)</f>
        <v>0</v>
      </c>
      <c r="N20">
        <f>IF(P20=0,0,COUNTIF('Transect 3_imgsummary'!J20:N20,"T")*100/P20)</f>
        <v>0</v>
      </c>
      <c r="O20">
        <f>IF(P20=0,0,COUNTIF('Transect 3_imgsummary'!J20:N20,"TWS")*100/P20)</f>
        <v>0</v>
      </c>
      <c r="P20">
        <f>5-COUNTIF('Transect 3_imgsummary'!J20:N20,"TWS")</f>
        <v>5</v>
      </c>
      <c r="S20">
        <f>IF(P20=0,0,COUNTIF('Transect 3_imgsummary'!E20:I20,"ACAN")*100/P20)</f>
        <v>0</v>
      </c>
      <c r="T20">
        <f>IF(P20=0,0,COUNTIF('Transect 3_imgsummary'!E20:I20,"ACROP")*100/P20)</f>
        <v>0</v>
      </c>
      <c r="U20">
        <f>IF(P20=0,0,COUNTIF('Transect 3_imgsummary'!E20:I20,"ACROPARB")*100/P20)</f>
        <v>0</v>
      </c>
      <c r="V20">
        <f>IF(P20=0,0,COUNTIF('Transect 3_imgsummary'!E20:I20,"ACROST")*100/P20)</f>
        <v>0</v>
      </c>
      <c r="W20" s="29">
        <f>IF(P20=0,0,COUNTIF('Transect 3_imgsummary'!E20:I20,"ACROTBL")*100/P20)</f>
        <v>100</v>
      </c>
      <c r="X20">
        <f>IF(P20=0,0,COUNTIF('Transect 3_imgsummary'!E20:I20,"ASTRP")*100/P20)</f>
        <v>0</v>
      </c>
      <c r="Y20">
        <f>IF(P20=0,0,COUNTIF('Transect 3_imgsummary'!E20:I20,"CAUL")*100/P20)</f>
        <v>0</v>
      </c>
      <c r="Z20">
        <f>IF(P20=0,0,COUNTIF('Transect 3_imgsummary'!E20:I20,"COSC")*100/P20)</f>
        <v>0</v>
      </c>
      <c r="AA20">
        <f>IF(P20=0,0,COUNTIF('Transect 3_imgsummary'!E20:I20,"CTEN")*100/P20)</f>
        <v>0</v>
      </c>
      <c r="AB20">
        <f>IF(P20=0,0,COUNTIF('Transect 3_imgsummary'!E20:I20,"CYPH")*100/P20)</f>
        <v>0</v>
      </c>
      <c r="AC20">
        <f>IF(P20=0,0,COUNTIF('Transect 3_imgsummary'!E20:I20,"DIPLO")*100/P20)</f>
        <v>0</v>
      </c>
      <c r="AD20">
        <f>IF(P20=0,0,COUNTIF('Transect 3_imgsummary'!E20:I20,"ECHPO")*100/P20)</f>
        <v>0</v>
      </c>
      <c r="AE20">
        <f>IF(P20=0,0,COUNTIF('Transect 3_imgsummary'!E20:I20,"ECHPHY")*100/P20)</f>
        <v>0</v>
      </c>
      <c r="AF20">
        <f>IF(P20=0,0,COUNTIF('Transect 3_imgsummary'!E20:I20,"EUPH")*100/P20)</f>
        <v>0</v>
      </c>
      <c r="AG20">
        <f>IF(P20=0,0,COUNTIF('Transect 3_imgsummary'!E20:I20,"FAV")*100/P20)</f>
        <v>0</v>
      </c>
      <c r="AH20">
        <f>IF(P20=0,0,COUNTIF('Transect 3_imgsummary'!E20:I20,"FAVT")*100/P20)</f>
        <v>0</v>
      </c>
      <c r="AI20">
        <f>IF(P20=0,0,COUNTIF('Transect 3_imgsummary'!E20:I20,"FUNG")*100/P20)</f>
        <v>0</v>
      </c>
      <c r="AJ20">
        <f>IF(P20=0,0,COUNTIF('Transect 3_imgsummary'!E20:I20,"GAL")*100/P20)</f>
        <v>0</v>
      </c>
      <c r="AK20">
        <f>IF(P20=0,0,COUNTIF('Transect 3_imgsummary'!E20:I20,"GARD")*100/P20)</f>
        <v>0</v>
      </c>
      <c r="AL20">
        <f>IF(P20=0,0,COUNTIF('Transect 3_imgsummary'!E20:I20,"GON")*100/P20)</f>
        <v>0</v>
      </c>
      <c r="AM20">
        <f>IF(P20=0,0,COUNTIF('Transect 3_imgsummary'!E20:I20,"GONIO")*100/P20)</f>
        <v>0</v>
      </c>
      <c r="AN20">
        <f>IF(P20=0,0,COUNTIF('Transect 3_imgsummary'!E20:I20,"HELIO")*100/P20)</f>
        <v>0</v>
      </c>
      <c r="AO20">
        <f>IF(P20=0,0,COUNTIF('Transect 3_imgsummary'!E20:I20,"HERP")*100/P20)</f>
        <v>0</v>
      </c>
      <c r="AP20">
        <f>IF(P20=0,0,COUNTIF('Transect 3_imgsummary'!E20:I20,"HYD")*100/P20)</f>
        <v>0</v>
      </c>
      <c r="AQ20">
        <f>IF(P20=0,0,COUNTIF('Transect 3_imgsummary'!E20:I20,"ISOP")*100/P20)</f>
        <v>0</v>
      </c>
      <c r="AR20">
        <f>IF(P20=0,0,COUNTIF('Transect 3_imgsummary'!E20:I20,"LEPT")*100/P20)</f>
        <v>0</v>
      </c>
      <c r="AS20">
        <f>IF(P20=0,0,COUNTIF('Transect 3_imgsummary'!E20:I20,"LEPTOR")*100/P20)</f>
        <v>0</v>
      </c>
      <c r="AT20">
        <f>IF(P20=0,0,COUNTIF('Transect 3_imgsummary'!E20:I20,"LEPTOS")*100/P20)</f>
        <v>0</v>
      </c>
      <c r="AU20">
        <f>IF(P20=0,0,COUNTIF('Transect 3_imgsummary'!E20:I20,"LOBOPH")*100/P20)</f>
        <v>0</v>
      </c>
      <c r="AV20">
        <f>IF(P20=0,0,COUNTIF('Transect 3_imgsummary'!E20:I20,"MERU")*100/P20)</f>
        <v>0</v>
      </c>
      <c r="AW20">
        <f>IF(P20=0,0,COUNTIF('Transect 3_imgsummary'!E20:I20,"MILL")*100/P20)</f>
        <v>0</v>
      </c>
      <c r="AX20">
        <f>IF(P20=0,0,COUNTIF('Transect 3_imgsummary'!E20:I20,"MONT")*100/P20)</f>
        <v>0</v>
      </c>
      <c r="AY20">
        <f>IF(P20=0,0,COUNTIF('Transect 3_imgsummary'!E20:I20,"MONTI")*100/P20)</f>
        <v>0</v>
      </c>
      <c r="AZ20">
        <f>IF(P20=0,0,COUNTIF('Transect 3_imgsummary'!E20:I20,"MYCED")*100/P20)</f>
        <v>0</v>
      </c>
      <c r="BA20">
        <f>IF(P20=0,0,COUNTIF('Transect 3_imgsummary'!E20:I20,"OULO")*100/P20)</f>
        <v>0</v>
      </c>
      <c r="BB20">
        <f>IF(P20=0,0,COUNTIF('Transect 3_imgsummary'!E20:I20,"OXYP")*100/P20)</f>
        <v>0</v>
      </c>
      <c r="BC20">
        <f>IF(P20=0,0,COUNTIF('Transect 3_imgsummary'!E20:I20,"PLSIA")*100/P20)</f>
        <v>0</v>
      </c>
      <c r="BD20">
        <f>IF(P20=0,0,COUNTIF('Transect 3_imgsummary'!E20:I20,"PACHY")*100/P20)</f>
        <v>0</v>
      </c>
      <c r="BE20">
        <f>IF(P20=0,0,COUNTIF('Transect 3_imgsummary'!E20:I20,"PAV")*100/P20)</f>
        <v>0</v>
      </c>
      <c r="BF20">
        <f>IF(P20=0,0,COUNTIF('Transect 3_imgsummary'!E20:I20,"PECT")*100/P20)</f>
        <v>0</v>
      </c>
      <c r="BG20">
        <f>IF(P20=0,0,COUNTIF('Transect 3_imgsummary'!E20:I20,"PHYSO")*100/P20)</f>
        <v>0</v>
      </c>
      <c r="BH20">
        <f>IF(P20=0,0,COUNTIF('Transect 3_imgsummary'!E20:I20,"PLAT")*100/P20)</f>
        <v>0</v>
      </c>
      <c r="BI20">
        <f>IF(P20=0,0,COUNTIF('Transect 3_imgsummary'!E20:I20,"PLERO")*100/P20)</f>
        <v>0</v>
      </c>
      <c r="BJ20">
        <f>IF(P20=0,0,COUNTIF('Transect 3_imgsummary'!E20:I20,"POC")*100/P20)</f>
        <v>0</v>
      </c>
      <c r="BK20">
        <f>IF(P20=0,0,COUNTIF('Transect 3_imgsummary'!E20:I20,"POR")*100/P20)</f>
        <v>0</v>
      </c>
      <c r="BL20">
        <f>IF(P20=0,0,COUNTIF('Transect 3_imgsummary'!E20:I20,"PORCYL")*100/P20)</f>
        <v>0</v>
      </c>
      <c r="BM20">
        <f>IF(P20=0,0,COUNTIF('Transect 3_imgsummary'!E20:I20,"PORMAS")*100/P20)</f>
        <v>0</v>
      </c>
      <c r="BN20">
        <f>IF(P20=0,0,COUNTIF('Transect 3_imgsummary'!E20:I20,"PORRUS")*100/P20)</f>
        <v>0</v>
      </c>
      <c r="BO20">
        <f>IF(P20=0,0,COUNTIF('Transect 3_imgsummary'!E20:I20,"PSAM")*100/P20)</f>
        <v>0</v>
      </c>
      <c r="BP20">
        <f>IF(P20=0,0,COUNTIF('Transect 3_imgsummary'!E20:I20,"SANDO")*100/P20)</f>
        <v>0</v>
      </c>
      <c r="BQ20">
        <f>IF(P20=0,0,COUNTIF('Transect 3_imgsummary'!E20:I20,"SCAP")*100/P20)</f>
        <v>0</v>
      </c>
      <c r="BR20">
        <f>IF(P20=0,0,COUNTIF('Transect 3_imgsummary'!E20:I20,"SERIA")*100/P20)</f>
        <v>0</v>
      </c>
      <c r="BS20">
        <f>IF(P20=0,0,COUNTIF('Transect 3_imgsummary'!E20:I20,"STYLC")*100/P20)</f>
        <v>0</v>
      </c>
      <c r="BT20">
        <f>IF(P20=0,0,COUNTIF('Transect 3_imgsummary'!E20:I20,"STYLO")*100/P20)</f>
        <v>0</v>
      </c>
      <c r="BU20">
        <f>IF(P20=0,0,COUNTIF('Transect 3_imgsummary'!E20:I20,"SYMP")*100/P20)</f>
        <v>0</v>
      </c>
      <c r="BV20">
        <f>IF(P20=0,0,COUNTIF('Transect 3_imgsummary'!E20:I20,"TURBIN")*100/P20)</f>
        <v>0</v>
      </c>
      <c r="BX20">
        <f>IF(P20=0,0,COUNTIF('Transect 3_imgsummary'!E20:I20,"ANEM")*100/P20)</f>
        <v>0</v>
      </c>
      <c r="BY20">
        <f>IF(P20=0,0,COUNTIF('Transect 3_imgsummary'!E20:I20,"ASC")*100/P20)</f>
        <v>0</v>
      </c>
      <c r="BZ20">
        <f>IF(P20=0,0,COUNTIF('Transect 3_imgsummary'!E20:I20,"CUPS")*100/P20)</f>
        <v>0</v>
      </c>
      <c r="CA20">
        <f>IF(P20=0,0,COUNTIF('Transect 3_imgsummary'!E20:I20,"DISCO")*100/P20)</f>
        <v>0</v>
      </c>
      <c r="CB20">
        <f>IF(P20=0,0,COUNTIF('Transect 3_imgsummary'!E20:I20,"DYS")*100/P20)</f>
        <v>0</v>
      </c>
      <c r="CC20">
        <f>IF(P20=0,0,COUNTIF('Transect 3_imgsummary'!E20:I20,"G")*100/P20)</f>
        <v>0</v>
      </c>
      <c r="CD20">
        <f>IF(P20=0,0,COUNTIF('Transect 3_imgsummary'!E20:I20,"NoIDINV")*100/P20)</f>
        <v>0</v>
      </c>
      <c r="CE20">
        <f>IF(P20=0,0,COUNTIF('Transect 3_imgsummary'!E20:I20,"OLV")*100/P20)</f>
        <v>0</v>
      </c>
      <c r="CF20">
        <f>IF(P20=0,0,COUNTIF('Transect 3_imgsummary'!E20:I20,"SC")*100/P20)</f>
        <v>0</v>
      </c>
      <c r="CG20">
        <f>IF(P20=0,0,COUNTIF('Transect 3_imgsummary'!E20:I20,"S")*100/P20)</f>
        <v>0</v>
      </c>
      <c r="CH20">
        <f>IF(P20=0,0,COUNTIF('Transect 3_imgsummary'!E20:I20,"TERPS")*100/P20)</f>
        <v>0</v>
      </c>
      <c r="CI20">
        <f>IF(P20=0,0,COUNTIF('Transect 3_imgsummary'!E20:I20,"Z")*100/P20)</f>
        <v>0</v>
      </c>
      <c r="CK20">
        <f>IF(P20=0,0,COUNTIF('Transect 3_imgsummary'!E20:I20,"ASP")*100/P20)</f>
        <v>0</v>
      </c>
      <c r="CL20">
        <f>IF(P20=0,0,COUNTIF('Transect 3_imgsummary'!E20:I20,"BG")*100/P20)</f>
        <v>0</v>
      </c>
      <c r="CM20">
        <f>IF(P20=0,0,COUNTIF('Transect 3_imgsummary'!E20:I20,"Bood")*100/P20)</f>
        <v>0</v>
      </c>
      <c r="CN20">
        <f>IF(P20=0,0,COUNTIF('Transect 3_imgsummary'!E20:I20,"BRYP")*100/P20)</f>
        <v>0</v>
      </c>
      <c r="CO20">
        <f>IF(P20=0,0,COUNTIF('Transect 3_imgsummary'!E20:I20,"CLP")*100/P20)</f>
        <v>0</v>
      </c>
      <c r="CP20">
        <f>IF(P20=0,0,COUNTIF('Transect 3_imgsummary'!E20:I20,"CHLDES")*100/P20)</f>
        <v>0</v>
      </c>
      <c r="CQ20">
        <f>IF(P20=0,0,COUNTIF('Transect 3_imgsummary'!E20:I20,"DYCTY")*100/P20)</f>
        <v>0</v>
      </c>
      <c r="CR20">
        <f>IF(P20=0,0,COUNTIF('Transect 3_imgsummary'!E20:I20,"DICT")*100/P20)</f>
        <v>0</v>
      </c>
      <c r="CS20">
        <f>IF(P20=0,0,COUNTIF('Transect 3_imgsummary'!E20:I20,"GLXU")*100/P20)</f>
        <v>0</v>
      </c>
      <c r="CT20">
        <f>IF(P20=0,0,COUNTIF('Transect 3_imgsummary'!E20:I20,"HALI")*100/P20)</f>
        <v>0</v>
      </c>
      <c r="CU20">
        <f>IF(P20=0,0,COUNTIF('Transect 3_imgsummary'!E20:I20,"LIAG")*100/P20)</f>
        <v>0</v>
      </c>
      <c r="CV20">
        <f>IF(P20=0,0,COUNTIF('Transect 3_imgsummary'!E20:I20,"LOBO")*100/P20)</f>
        <v>0</v>
      </c>
      <c r="CW20">
        <f>IF(P20=0,0,COUNTIF('Transect 3_imgsummary'!E20:I20,"MAST")*100/P20)</f>
        <v>0</v>
      </c>
      <c r="CX20">
        <f>IF(P20=0,0,COUNTIF('Transect 3_imgsummary'!E20:I20,"MICDTY")*100/P20)</f>
        <v>0</v>
      </c>
      <c r="CY20">
        <f>IF(P20=0,0,COUNTIF('Transect 3_imgsummary'!E20:I20,"NEOM")*100/P20)</f>
        <v>0</v>
      </c>
      <c r="CZ20">
        <f>IF(P20=0,0,COUNTIF('Transect 3_imgsummary'!E20:I20,"NOIDMAC")*100/P20)</f>
        <v>0</v>
      </c>
      <c r="DA20">
        <f>IF(P20=0,0,COUNTIF('Transect 3_imgsummary'!E20:I20,"PAD")*100/P20)</f>
        <v>0</v>
      </c>
      <c r="DB20">
        <f>IF(P20=0,0,COUNTIF('Transect 3_imgsummary'!E20:I20,"SARG")*100/P20)</f>
        <v>0</v>
      </c>
      <c r="DC20">
        <f>IF(P20=0,0,COUNTIF('Transect 3_imgsummary'!E20:I20,"SCHIZ")*100/P20)</f>
        <v>0</v>
      </c>
      <c r="DD20">
        <f>IF(P20=0,0,COUNTIF('Transect 3_imgsummary'!E20:I20,"TURB")*100/P20)</f>
        <v>0</v>
      </c>
      <c r="DE20">
        <f>IF(P20=0,0,COUNTIF('Transect 3_imgsummary'!E20:I20,"TYDM")*100/P20)</f>
        <v>0</v>
      </c>
      <c r="DG20">
        <f>IF(P20=0,0,COUNTIF('Transect 3_imgsummary'!E20:I20,"AMP")*100/P20)</f>
        <v>0</v>
      </c>
      <c r="DH20">
        <f>IF(P20=0,0,COUNTIF('Transect 3_imgsummary'!E20:I20,"BCA1")*100/P20)</f>
        <v>0</v>
      </c>
      <c r="DI20">
        <f>IF(P20=0,0,COUNTIF('Transect 3_imgsummary'!E20:I20,"JAN")*100/P20)</f>
        <v>0</v>
      </c>
      <c r="DK20">
        <f>IF(P20=0,0,COUNTIF('Transect 3_imgsummary'!E20:I20,"CCA1")*100/P20)</f>
        <v>0</v>
      </c>
      <c r="DM20">
        <f>IF(P20=0,0,COUNTIF('Transect 3_imgsummary'!E20:I20,"Sand")*100/P20)</f>
        <v>0</v>
      </c>
      <c r="DO20">
        <f>IF(P20=0,0,COUNTIF('Transect 3_imgsummary'!E20:I20,"FCA1")*100/P20)</f>
        <v>0</v>
      </c>
      <c r="DQ20">
        <f>IF(P20=0,0,COUNTIF('Transect 3_imgsummary'!E20:I20,"CHRYOBRN")*100/P20)</f>
        <v>0</v>
      </c>
      <c r="DS20">
        <f>IF(P20=0,0,COUNTIF('Transect 3_imgsummary'!E20:I20,"TURF")*100/P20)</f>
        <v>0</v>
      </c>
      <c r="DU20">
        <f>COUNTIF('Transect 3_imgsummary'!E20:I20,"Shadow")*100/5</f>
        <v>0</v>
      </c>
      <c r="DV20">
        <f>COUNTIF('Transect 3_imgsummary'!E20:I20,"Tape")*100/5</f>
        <v>0</v>
      </c>
      <c r="DW20">
        <f>COUNTIF('Transect 3_imgsummary'!E20:I20,"Wand")*100/5</f>
        <v>0</v>
      </c>
      <c r="DY20">
        <f>IF(P20=0,0,COUNTIF('Transect 3_imgsummary'!O20:S20,"BC")*100/P20)</f>
        <v>0</v>
      </c>
    </row>
    <row r="21" spans="1:129">
      <c r="A21">
        <v>19</v>
      </c>
      <c r="B21" t="s">
        <v>508</v>
      </c>
      <c r="F21" s="29">
        <f>IF(P21=0,0,COUNTIF('Transect 3_imgsummary'!J21:N21,"C")*100/P21)</f>
        <v>60</v>
      </c>
      <c r="G21">
        <f>IF(P21=0,0,COUNTIF('Transect 3_imgsummary'!J21:N21,"OI")*100/P21)</f>
        <v>0</v>
      </c>
      <c r="H21">
        <f>IF(P21=0,0,COUNTIF('Transect 3_imgsummary'!J21:N21,"MA")*100/P21)</f>
        <v>0</v>
      </c>
      <c r="I21">
        <f>IF(P21=0,0,COUNTIF('Transect 3_imgsummary'!J21:N21,"BCA")*100/P21)</f>
        <v>0</v>
      </c>
      <c r="J21">
        <f>IF(P21=0,0,COUNTIF('Transect 3_imgsummary'!J21:N21,"CCA")*100/P21)</f>
        <v>0</v>
      </c>
      <c r="K21">
        <f>IF(P21=0,0,COUNTIF('Transect 3_imgsummary'!J21:N21,"SD")*100/P21)</f>
        <v>0</v>
      </c>
      <c r="L21" s="29">
        <f>IF(P21=0,0,COUNTIF('Transect 3_imgsummary'!J21:N21,"FCA")*100/P21)</f>
        <v>20</v>
      </c>
      <c r="M21">
        <f>IF(P21=0,0,COUNTIF('Transect 3_imgsummary'!J21:N21,"CHRYS")*100/P21)</f>
        <v>0</v>
      </c>
      <c r="N21" s="29">
        <f>IF(P21=0,0,COUNTIF('Transect 3_imgsummary'!J21:N21,"T")*100/P21)</f>
        <v>20</v>
      </c>
      <c r="O21">
        <f>IF(P21=0,0,COUNTIF('Transect 3_imgsummary'!J21:N21,"TWS")*100/P21)</f>
        <v>0</v>
      </c>
      <c r="P21">
        <f>5-COUNTIF('Transect 3_imgsummary'!J21:N21,"TWS")</f>
        <v>5</v>
      </c>
      <c r="S21">
        <f>IF(P21=0,0,COUNTIF('Transect 3_imgsummary'!E21:I21,"ACAN")*100/P21)</f>
        <v>0</v>
      </c>
      <c r="T21">
        <f>IF(P21=0,0,COUNTIF('Transect 3_imgsummary'!E21:I21,"ACROP")*100/P21)</f>
        <v>0</v>
      </c>
      <c r="U21">
        <f>IF(P21=0,0,COUNTIF('Transect 3_imgsummary'!E21:I21,"ACROPARB")*100/P21)</f>
        <v>0</v>
      </c>
      <c r="V21">
        <f>IF(P21=0,0,COUNTIF('Transect 3_imgsummary'!E21:I21,"ACROST")*100/P21)</f>
        <v>0</v>
      </c>
      <c r="W21">
        <f>IF(P21=0,0,COUNTIF('Transect 3_imgsummary'!E21:I21,"ACROTBL")*100/P21)</f>
        <v>0</v>
      </c>
      <c r="X21">
        <f>IF(P21=0,0,COUNTIF('Transect 3_imgsummary'!E21:I21,"ASTRP")*100/P21)</f>
        <v>0</v>
      </c>
      <c r="Y21">
        <f>IF(P21=0,0,COUNTIF('Transect 3_imgsummary'!E21:I21,"CAUL")*100/P21)</f>
        <v>0</v>
      </c>
      <c r="Z21">
        <f>IF(P21=0,0,COUNTIF('Transect 3_imgsummary'!E21:I21,"COSC")*100/P21)</f>
        <v>0</v>
      </c>
      <c r="AA21">
        <f>IF(P21=0,0,COUNTIF('Transect 3_imgsummary'!E21:I21,"CTEN")*100/P21)</f>
        <v>0</v>
      </c>
      <c r="AB21">
        <f>IF(P21=0,0,COUNTIF('Transect 3_imgsummary'!E21:I21,"CYPH")*100/P21)</f>
        <v>0</v>
      </c>
      <c r="AC21">
        <f>IF(P21=0,0,COUNTIF('Transect 3_imgsummary'!E21:I21,"DIPLO")*100/P21)</f>
        <v>0</v>
      </c>
      <c r="AD21">
        <f>IF(P21=0,0,COUNTIF('Transect 3_imgsummary'!E21:I21,"ECHPO")*100/P21)</f>
        <v>0</v>
      </c>
      <c r="AE21">
        <f>IF(P21=0,0,COUNTIF('Transect 3_imgsummary'!E21:I21,"ECHPHY")*100/P21)</f>
        <v>0</v>
      </c>
      <c r="AF21">
        <f>IF(P21=0,0,COUNTIF('Transect 3_imgsummary'!E21:I21,"EUPH")*100/P21)</f>
        <v>0</v>
      </c>
      <c r="AG21">
        <f>IF(P21=0,0,COUNTIF('Transect 3_imgsummary'!E21:I21,"FAV")*100/P21)</f>
        <v>0</v>
      </c>
      <c r="AH21">
        <f>IF(P21=0,0,COUNTIF('Transect 3_imgsummary'!E21:I21,"FAVT")*100/P21)</f>
        <v>0</v>
      </c>
      <c r="AI21">
        <f>IF(P21=0,0,COUNTIF('Transect 3_imgsummary'!E21:I21,"FUNG")*100/P21)</f>
        <v>0</v>
      </c>
      <c r="AJ21">
        <f>IF(P21=0,0,COUNTIF('Transect 3_imgsummary'!E21:I21,"GAL")*100/P21)</f>
        <v>0</v>
      </c>
      <c r="AK21">
        <f>IF(P21=0,0,COUNTIF('Transect 3_imgsummary'!E21:I21,"GARD")*100/P21)</f>
        <v>0</v>
      </c>
      <c r="AL21">
        <f>IF(P21=0,0,COUNTIF('Transect 3_imgsummary'!E21:I21,"GON")*100/P21)</f>
        <v>0</v>
      </c>
      <c r="AM21">
        <f>IF(P21=0,0,COUNTIF('Transect 3_imgsummary'!E21:I21,"GONIO")*100/P21)</f>
        <v>0</v>
      </c>
      <c r="AN21">
        <f>IF(P21=0,0,COUNTIF('Transect 3_imgsummary'!E21:I21,"HELIO")*100/P21)</f>
        <v>0</v>
      </c>
      <c r="AO21">
        <f>IF(P21=0,0,COUNTIF('Transect 3_imgsummary'!E21:I21,"HERP")*100/P21)</f>
        <v>0</v>
      </c>
      <c r="AP21">
        <f>IF(P21=0,0,COUNTIF('Transect 3_imgsummary'!E21:I21,"HYD")*100/P21)</f>
        <v>0</v>
      </c>
      <c r="AQ21">
        <f>IF(P21=0,0,COUNTIF('Transect 3_imgsummary'!E21:I21,"ISOP")*100/P21)</f>
        <v>0</v>
      </c>
      <c r="AR21">
        <f>IF(P21=0,0,COUNTIF('Transect 3_imgsummary'!E21:I21,"LEPT")*100/P21)</f>
        <v>0</v>
      </c>
      <c r="AS21" s="29">
        <f>IF(P21=0,0,COUNTIF('Transect 3_imgsummary'!E21:I21,"LEPTOR")*100/P21)</f>
        <v>60</v>
      </c>
      <c r="AT21">
        <f>IF(P21=0,0,COUNTIF('Transect 3_imgsummary'!E21:I21,"LEPTOS")*100/P21)</f>
        <v>0</v>
      </c>
      <c r="AU21">
        <f>IF(P21=0,0,COUNTIF('Transect 3_imgsummary'!E21:I21,"LOBOPH")*100/P21)</f>
        <v>0</v>
      </c>
      <c r="AV21">
        <f>IF(P21=0,0,COUNTIF('Transect 3_imgsummary'!E21:I21,"MERU")*100/P21)</f>
        <v>0</v>
      </c>
      <c r="AW21">
        <f>IF(P21=0,0,COUNTIF('Transect 3_imgsummary'!E21:I21,"MILL")*100/P21)</f>
        <v>0</v>
      </c>
      <c r="AX21">
        <f>IF(P21=0,0,COUNTIF('Transect 3_imgsummary'!E21:I21,"MONT")*100/P21)</f>
        <v>0</v>
      </c>
      <c r="AY21">
        <f>IF(P21=0,0,COUNTIF('Transect 3_imgsummary'!E21:I21,"MONTI")*100/P21)</f>
        <v>0</v>
      </c>
      <c r="AZ21">
        <f>IF(P21=0,0,COUNTIF('Transect 3_imgsummary'!E21:I21,"MYCED")*100/P21)</f>
        <v>0</v>
      </c>
      <c r="BA21">
        <f>IF(P21=0,0,COUNTIF('Transect 3_imgsummary'!E21:I21,"OULO")*100/P21)</f>
        <v>0</v>
      </c>
      <c r="BB21">
        <f>IF(P21=0,0,COUNTIF('Transect 3_imgsummary'!E21:I21,"OXYP")*100/P21)</f>
        <v>0</v>
      </c>
      <c r="BC21">
        <f>IF(P21=0,0,COUNTIF('Transect 3_imgsummary'!E21:I21,"PLSIA")*100/P21)</f>
        <v>0</v>
      </c>
      <c r="BD21">
        <f>IF(P21=0,0,COUNTIF('Transect 3_imgsummary'!E21:I21,"PACHY")*100/P21)</f>
        <v>0</v>
      </c>
      <c r="BE21">
        <f>IF(P21=0,0,COUNTIF('Transect 3_imgsummary'!E21:I21,"PAV")*100/P21)</f>
        <v>0</v>
      </c>
      <c r="BF21">
        <f>IF(P21=0,0,COUNTIF('Transect 3_imgsummary'!E21:I21,"PECT")*100/P21)</f>
        <v>0</v>
      </c>
      <c r="BG21">
        <f>IF(P21=0,0,COUNTIF('Transect 3_imgsummary'!E21:I21,"PHYSO")*100/P21)</f>
        <v>0</v>
      </c>
      <c r="BH21">
        <f>IF(P21=0,0,COUNTIF('Transect 3_imgsummary'!E21:I21,"PLAT")*100/P21)</f>
        <v>0</v>
      </c>
      <c r="BI21">
        <f>IF(P21=0,0,COUNTIF('Transect 3_imgsummary'!E21:I21,"PLERO")*100/P21)</f>
        <v>0</v>
      </c>
      <c r="BJ21">
        <f>IF(P21=0,0,COUNTIF('Transect 3_imgsummary'!E21:I21,"POC")*100/P21)</f>
        <v>0</v>
      </c>
      <c r="BK21">
        <f>IF(P21=0,0,COUNTIF('Transect 3_imgsummary'!E21:I21,"POR")*100/P21)</f>
        <v>0</v>
      </c>
      <c r="BL21">
        <f>IF(P21=0,0,COUNTIF('Transect 3_imgsummary'!E21:I21,"PORCYL")*100/P21)</f>
        <v>0</v>
      </c>
      <c r="BM21">
        <f>IF(P21=0,0,COUNTIF('Transect 3_imgsummary'!E21:I21,"PORMAS")*100/P21)</f>
        <v>0</v>
      </c>
      <c r="BN21">
        <f>IF(P21=0,0,COUNTIF('Transect 3_imgsummary'!E21:I21,"PORRUS")*100/P21)</f>
        <v>0</v>
      </c>
      <c r="BO21">
        <f>IF(P21=0,0,COUNTIF('Transect 3_imgsummary'!E21:I21,"PSAM")*100/P21)</f>
        <v>0</v>
      </c>
      <c r="BP21">
        <f>IF(P21=0,0,COUNTIF('Transect 3_imgsummary'!E21:I21,"SANDO")*100/P21)</f>
        <v>0</v>
      </c>
      <c r="BQ21">
        <f>IF(P21=0,0,COUNTIF('Transect 3_imgsummary'!E21:I21,"SCAP")*100/P21)</f>
        <v>0</v>
      </c>
      <c r="BR21">
        <f>IF(P21=0,0,COUNTIF('Transect 3_imgsummary'!E21:I21,"SERIA")*100/P21)</f>
        <v>0</v>
      </c>
      <c r="BS21">
        <f>IF(P21=0,0,COUNTIF('Transect 3_imgsummary'!E21:I21,"STYLC")*100/P21)</f>
        <v>0</v>
      </c>
      <c r="BT21">
        <f>IF(P21=0,0,COUNTIF('Transect 3_imgsummary'!E21:I21,"STYLO")*100/P21)</f>
        <v>0</v>
      </c>
      <c r="BU21">
        <f>IF(P21=0,0,COUNTIF('Transect 3_imgsummary'!E21:I21,"SYMP")*100/P21)</f>
        <v>0</v>
      </c>
      <c r="BV21">
        <f>IF(P21=0,0,COUNTIF('Transect 3_imgsummary'!E21:I21,"TURBIN")*100/P21)</f>
        <v>0</v>
      </c>
      <c r="BX21">
        <f>IF(P21=0,0,COUNTIF('Transect 3_imgsummary'!E21:I21,"ANEM")*100/P21)</f>
        <v>0</v>
      </c>
      <c r="BY21">
        <f>IF(P21=0,0,COUNTIF('Transect 3_imgsummary'!E21:I21,"ASC")*100/P21)</f>
        <v>0</v>
      </c>
      <c r="BZ21">
        <f>IF(P21=0,0,COUNTIF('Transect 3_imgsummary'!E21:I21,"CUPS")*100/P21)</f>
        <v>0</v>
      </c>
      <c r="CA21">
        <f>IF(P21=0,0,COUNTIF('Transect 3_imgsummary'!E21:I21,"DISCO")*100/P21)</f>
        <v>0</v>
      </c>
      <c r="CB21">
        <f>IF(P21=0,0,COUNTIF('Transect 3_imgsummary'!E21:I21,"DYS")*100/P21)</f>
        <v>0</v>
      </c>
      <c r="CC21">
        <f>IF(P21=0,0,COUNTIF('Transect 3_imgsummary'!E21:I21,"G")*100/P21)</f>
        <v>0</v>
      </c>
      <c r="CD21">
        <f>IF(P21=0,0,COUNTIF('Transect 3_imgsummary'!E21:I21,"NoIDINV")*100/P21)</f>
        <v>0</v>
      </c>
      <c r="CE21">
        <f>IF(P21=0,0,COUNTIF('Transect 3_imgsummary'!E21:I21,"OLV")*100/P21)</f>
        <v>0</v>
      </c>
      <c r="CF21">
        <f>IF(P21=0,0,COUNTIF('Transect 3_imgsummary'!E21:I21,"SC")*100/P21)</f>
        <v>0</v>
      </c>
      <c r="CG21">
        <f>IF(P21=0,0,COUNTIF('Transect 3_imgsummary'!E21:I21,"S")*100/P21)</f>
        <v>0</v>
      </c>
      <c r="CH21">
        <f>IF(P21=0,0,COUNTIF('Transect 3_imgsummary'!E21:I21,"TERPS")*100/P21)</f>
        <v>0</v>
      </c>
      <c r="CI21">
        <f>IF(P21=0,0,COUNTIF('Transect 3_imgsummary'!E21:I21,"Z")*100/P21)</f>
        <v>0</v>
      </c>
      <c r="CK21">
        <f>IF(P21=0,0,COUNTIF('Transect 3_imgsummary'!E21:I21,"ASP")*100/P21)</f>
        <v>0</v>
      </c>
      <c r="CL21">
        <f>IF(P21=0,0,COUNTIF('Transect 3_imgsummary'!E21:I21,"BG")*100/P21)</f>
        <v>0</v>
      </c>
      <c r="CM21">
        <f>IF(P21=0,0,COUNTIF('Transect 3_imgsummary'!E21:I21,"Bood")*100/P21)</f>
        <v>0</v>
      </c>
      <c r="CN21">
        <f>IF(P21=0,0,COUNTIF('Transect 3_imgsummary'!E21:I21,"BRYP")*100/P21)</f>
        <v>0</v>
      </c>
      <c r="CO21">
        <f>IF(P21=0,0,COUNTIF('Transect 3_imgsummary'!E21:I21,"CLP")*100/P21)</f>
        <v>0</v>
      </c>
      <c r="CP21">
        <f>IF(P21=0,0,COUNTIF('Transect 3_imgsummary'!E21:I21,"CHLDES")*100/P21)</f>
        <v>0</v>
      </c>
      <c r="CQ21">
        <f>IF(P21=0,0,COUNTIF('Transect 3_imgsummary'!E21:I21,"DYCTY")*100/P21)</f>
        <v>0</v>
      </c>
      <c r="CR21">
        <f>IF(P21=0,0,COUNTIF('Transect 3_imgsummary'!E21:I21,"DICT")*100/P21)</f>
        <v>0</v>
      </c>
      <c r="CS21">
        <f>IF(P21=0,0,COUNTIF('Transect 3_imgsummary'!E21:I21,"GLXU")*100/P21)</f>
        <v>0</v>
      </c>
      <c r="CT21">
        <f>IF(P21=0,0,COUNTIF('Transect 3_imgsummary'!E21:I21,"HALI")*100/P21)</f>
        <v>0</v>
      </c>
      <c r="CU21">
        <f>IF(P21=0,0,COUNTIF('Transect 3_imgsummary'!E21:I21,"LIAG")*100/P21)</f>
        <v>0</v>
      </c>
      <c r="CV21">
        <f>IF(P21=0,0,COUNTIF('Transect 3_imgsummary'!E21:I21,"LOBO")*100/P21)</f>
        <v>0</v>
      </c>
      <c r="CW21">
        <f>IF(P21=0,0,COUNTIF('Transect 3_imgsummary'!E21:I21,"MAST")*100/P21)</f>
        <v>0</v>
      </c>
      <c r="CX21">
        <f>IF(P21=0,0,COUNTIF('Transect 3_imgsummary'!E21:I21,"MICDTY")*100/P21)</f>
        <v>0</v>
      </c>
      <c r="CY21">
        <f>IF(P21=0,0,COUNTIF('Transect 3_imgsummary'!E21:I21,"NEOM")*100/P21)</f>
        <v>0</v>
      </c>
      <c r="CZ21">
        <f>IF(P21=0,0,COUNTIF('Transect 3_imgsummary'!E21:I21,"NOIDMAC")*100/P21)</f>
        <v>0</v>
      </c>
      <c r="DA21">
        <f>IF(P21=0,0,COUNTIF('Transect 3_imgsummary'!E21:I21,"PAD")*100/P21)</f>
        <v>0</v>
      </c>
      <c r="DB21">
        <f>IF(P21=0,0,COUNTIF('Transect 3_imgsummary'!E21:I21,"SARG")*100/P21)</f>
        <v>0</v>
      </c>
      <c r="DC21">
        <f>IF(P21=0,0,COUNTIF('Transect 3_imgsummary'!E21:I21,"SCHIZ")*100/P21)</f>
        <v>0</v>
      </c>
      <c r="DD21">
        <f>IF(P21=0,0,COUNTIF('Transect 3_imgsummary'!E21:I21,"TURB")*100/P21)</f>
        <v>0</v>
      </c>
      <c r="DE21">
        <f>IF(P21=0,0,COUNTIF('Transect 3_imgsummary'!E21:I21,"TYDM")*100/P21)</f>
        <v>0</v>
      </c>
      <c r="DG21">
        <f>IF(P21=0,0,COUNTIF('Transect 3_imgsummary'!E21:I21,"AMP")*100/P21)</f>
        <v>0</v>
      </c>
      <c r="DH21">
        <f>IF(P21=0,0,COUNTIF('Transect 3_imgsummary'!E21:I21,"BCA1")*100/P21)</f>
        <v>0</v>
      </c>
      <c r="DI21">
        <f>IF(P21=0,0,COUNTIF('Transect 3_imgsummary'!E21:I21,"JAN")*100/P21)</f>
        <v>0</v>
      </c>
      <c r="DK21">
        <f>IF(P21=0,0,COUNTIF('Transect 3_imgsummary'!E21:I21,"CCA1")*100/P21)</f>
        <v>0</v>
      </c>
      <c r="DM21">
        <f>IF(P21=0,0,COUNTIF('Transect 3_imgsummary'!E21:I21,"Sand")*100/P21)</f>
        <v>0</v>
      </c>
      <c r="DO21" s="29">
        <f>IF(P21=0,0,COUNTIF('Transect 3_imgsummary'!E21:I21,"FCA1")*100/P21)</f>
        <v>20</v>
      </c>
      <c r="DQ21">
        <f>IF(P21=0,0,COUNTIF('Transect 3_imgsummary'!E21:I21,"CHRYOBRN")*100/P21)</f>
        <v>0</v>
      </c>
      <c r="DS21" s="29">
        <f>IF(P21=0,0,COUNTIF('Transect 3_imgsummary'!E21:I21,"TURF")*100/P21)</f>
        <v>20</v>
      </c>
      <c r="DU21">
        <f>COUNTIF('Transect 3_imgsummary'!E21:I21,"Shadow")*100/5</f>
        <v>0</v>
      </c>
      <c r="DV21">
        <f>COUNTIF('Transect 3_imgsummary'!E21:I21,"Tape")*100/5</f>
        <v>0</v>
      </c>
      <c r="DW21">
        <f>COUNTIF('Transect 3_imgsummary'!E21:I21,"Wand")*100/5</f>
        <v>0</v>
      </c>
      <c r="DY21">
        <f>IF(P21=0,0,COUNTIF('Transect 3_imgsummary'!O21:S21,"BC")*100/P21)</f>
        <v>0</v>
      </c>
    </row>
    <row r="22" spans="1:129">
      <c r="A22">
        <v>20</v>
      </c>
      <c r="B22" t="s">
        <v>509</v>
      </c>
      <c r="F22" s="29">
        <f>IF(P22=0,0,COUNTIF('Transect 3_imgsummary'!J22:N22,"C")*100/P22)</f>
        <v>20</v>
      </c>
      <c r="G22">
        <f>IF(P22=0,0,COUNTIF('Transect 3_imgsummary'!J22:N22,"OI")*100/P22)</f>
        <v>0</v>
      </c>
      <c r="H22">
        <f>IF(P22=0,0,COUNTIF('Transect 3_imgsummary'!J22:N22,"MA")*100/P22)</f>
        <v>0</v>
      </c>
      <c r="I22">
        <f>IF(P22=0,0,COUNTIF('Transect 3_imgsummary'!J22:N22,"BCA")*100/P22)</f>
        <v>0</v>
      </c>
      <c r="J22" s="29">
        <f>IF(P22=0,0,COUNTIF('Transect 3_imgsummary'!J22:N22,"CCA")*100/P22)</f>
        <v>40</v>
      </c>
      <c r="K22">
        <f>IF(P22=0,0,COUNTIF('Transect 3_imgsummary'!J22:N22,"SD")*100/P22)</f>
        <v>0</v>
      </c>
      <c r="L22">
        <f>IF(P22=0,0,COUNTIF('Transect 3_imgsummary'!J22:N22,"FCA")*100/P22)</f>
        <v>0</v>
      </c>
      <c r="M22">
        <f>IF(P22=0,0,COUNTIF('Transect 3_imgsummary'!J22:N22,"CHRYS")*100/P22)</f>
        <v>0</v>
      </c>
      <c r="N22" s="29">
        <f>IF(P22=0,0,COUNTIF('Transect 3_imgsummary'!J22:N22,"T")*100/P22)</f>
        <v>40</v>
      </c>
      <c r="O22">
        <f>IF(P22=0,0,COUNTIF('Transect 3_imgsummary'!J22:N22,"TWS")*100/P22)</f>
        <v>0</v>
      </c>
      <c r="P22">
        <f>5-COUNTIF('Transect 3_imgsummary'!J22:N22,"TWS")</f>
        <v>5</v>
      </c>
      <c r="S22">
        <f>IF(P22=0,0,COUNTIF('Transect 3_imgsummary'!E22:I22,"ACAN")*100/P22)</f>
        <v>0</v>
      </c>
      <c r="T22">
        <f>IF(P22=0,0,COUNTIF('Transect 3_imgsummary'!E22:I22,"ACROP")*100/P22)</f>
        <v>0</v>
      </c>
      <c r="U22">
        <f>IF(P22=0,0,COUNTIF('Transect 3_imgsummary'!E22:I22,"ACROPARB")*100/P22)</f>
        <v>0</v>
      </c>
      <c r="V22">
        <f>IF(P22=0,0,COUNTIF('Transect 3_imgsummary'!E22:I22,"ACROST")*100/P22)</f>
        <v>0</v>
      </c>
      <c r="W22">
        <f>IF(P22=0,0,COUNTIF('Transect 3_imgsummary'!E22:I22,"ACROTBL")*100/P22)</f>
        <v>0</v>
      </c>
      <c r="X22">
        <f>IF(P22=0,0,COUNTIF('Transect 3_imgsummary'!E22:I22,"ASTRP")*100/P22)</f>
        <v>0</v>
      </c>
      <c r="Y22">
        <f>IF(P22=0,0,COUNTIF('Transect 3_imgsummary'!E22:I22,"CAUL")*100/P22)</f>
        <v>0</v>
      </c>
      <c r="Z22">
        <f>IF(P22=0,0,COUNTIF('Transect 3_imgsummary'!E22:I22,"COSC")*100/P22)</f>
        <v>0</v>
      </c>
      <c r="AA22">
        <f>IF(P22=0,0,COUNTIF('Transect 3_imgsummary'!E22:I22,"CTEN")*100/P22)</f>
        <v>0</v>
      </c>
      <c r="AB22">
        <f>IF(P22=0,0,COUNTIF('Transect 3_imgsummary'!E22:I22,"CYPH")*100/P22)</f>
        <v>0</v>
      </c>
      <c r="AC22">
        <f>IF(P22=0,0,COUNTIF('Transect 3_imgsummary'!E22:I22,"DIPLO")*100/P22)</f>
        <v>0</v>
      </c>
      <c r="AD22">
        <f>IF(P22=0,0,COUNTIF('Transect 3_imgsummary'!E22:I22,"ECHPO")*100/P22)</f>
        <v>0</v>
      </c>
      <c r="AE22">
        <f>IF(P22=0,0,COUNTIF('Transect 3_imgsummary'!E22:I22,"ECHPHY")*100/P22)</f>
        <v>0</v>
      </c>
      <c r="AF22">
        <f>IF(P22=0,0,COUNTIF('Transect 3_imgsummary'!E22:I22,"EUPH")*100/P22)</f>
        <v>0</v>
      </c>
      <c r="AG22">
        <f>IF(P22=0,0,COUNTIF('Transect 3_imgsummary'!E22:I22,"FAV")*100/P22)</f>
        <v>0</v>
      </c>
      <c r="AH22">
        <f>IF(P22=0,0,COUNTIF('Transect 3_imgsummary'!E22:I22,"FAVT")*100/P22)</f>
        <v>0</v>
      </c>
      <c r="AI22">
        <f>IF(P22=0,0,COUNTIF('Transect 3_imgsummary'!E22:I22,"FUNG")*100/P22)</f>
        <v>0</v>
      </c>
      <c r="AJ22" s="29">
        <f>IF(P22=0,0,COUNTIF('Transect 3_imgsummary'!E22:I22,"GAL")*100/P22)</f>
        <v>20</v>
      </c>
      <c r="AK22">
        <f>IF(P22=0,0,COUNTIF('Transect 3_imgsummary'!E22:I22,"GARD")*100/P22)</f>
        <v>0</v>
      </c>
      <c r="AL22">
        <f>IF(P22=0,0,COUNTIF('Transect 3_imgsummary'!E22:I22,"GON")*100/P22)</f>
        <v>0</v>
      </c>
      <c r="AM22">
        <f>IF(P22=0,0,COUNTIF('Transect 3_imgsummary'!E22:I22,"GONIO")*100/P22)</f>
        <v>0</v>
      </c>
      <c r="AN22">
        <f>IF(P22=0,0,COUNTIF('Transect 3_imgsummary'!E22:I22,"HELIO")*100/P22)</f>
        <v>0</v>
      </c>
      <c r="AO22">
        <f>IF(P22=0,0,COUNTIF('Transect 3_imgsummary'!E22:I22,"HERP")*100/P22)</f>
        <v>0</v>
      </c>
      <c r="AP22">
        <f>IF(P22=0,0,COUNTIF('Transect 3_imgsummary'!E22:I22,"HYD")*100/P22)</f>
        <v>0</v>
      </c>
      <c r="AQ22">
        <f>IF(P22=0,0,COUNTIF('Transect 3_imgsummary'!E22:I22,"ISOP")*100/P22)</f>
        <v>0</v>
      </c>
      <c r="AR22">
        <f>IF(P22=0,0,COUNTIF('Transect 3_imgsummary'!E22:I22,"LEPT")*100/P22)</f>
        <v>0</v>
      </c>
      <c r="AS22">
        <f>IF(P22=0,0,COUNTIF('Transect 3_imgsummary'!E22:I22,"LEPTOR")*100/P22)</f>
        <v>0</v>
      </c>
      <c r="AT22">
        <f>IF(P22=0,0,COUNTIF('Transect 3_imgsummary'!E22:I22,"LEPTOS")*100/P22)</f>
        <v>0</v>
      </c>
      <c r="AU22">
        <f>IF(P22=0,0,COUNTIF('Transect 3_imgsummary'!E22:I22,"LOBOPH")*100/P22)</f>
        <v>0</v>
      </c>
      <c r="AV22">
        <f>IF(P22=0,0,COUNTIF('Transect 3_imgsummary'!E22:I22,"MERU")*100/P22)</f>
        <v>0</v>
      </c>
      <c r="AW22">
        <f>IF(P22=0,0,COUNTIF('Transect 3_imgsummary'!E22:I22,"MILL")*100/P22)</f>
        <v>0</v>
      </c>
      <c r="AX22">
        <f>IF(P22=0,0,COUNTIF('Transect 3_imgsummary'!E22:I22,"MONT")*100/P22)</f>
        <v>0</v>
      </c>
      <c r="AY22">
        <f>IF(P22=0,0,COUNTIF('Transect 3_imgsummary'!E22:I22,"MONTI")*100/P22)</f>
        <v>0</v>
      </c>
      <c r="AZ22">
        <f>IF(P22=0,0,COUNTIF('Transect 3_imgsummary'!E22:I22,"MYCED")*100/P22)</f>
        <v>0</v>
      </c>
      <c r="BA22">
        <f>IF(P22=0,0,COUNTIF('Transect 3_imgsummary'!E22:I22,"OULO")*100/P22)</f>
        <v>0</v>
      </c>
      <c r="BB22">
        <f>IF(P22=0,0,COUNTIF('Transect 3_imgsummary'!E22:I22,"OXYP")*100/P22)</f>
        <v>0</v>
      </c>
      <c r="BC22">
        <f>IF(P22=0,0,COUNTIF('Transect 3_imgsummary'!E22:I22,"PLSIA")*100/P22)</f>
        <v>0</v>
      </c>
      <c r="BD22">
        <f>IF(P22=0,0,COUNTIF('Transect 3_imgsummary'!E22:I22,"PACHY")*100/P22)</f>
        <v>0</v>
      </c>
      <c r="BE22">
        <f>IF(P22=0,0,COUNTIF('Transect 3_imgsummary'!E22:I22,"PAV")*100/P22)</f>
        <v>0</v>
      </c>
      <c r="BF22">
        <f>IF(P22=0,0,COUNTIF('Transect 3_imgsummary'!E22:I22,"PECT")*100/P22)</f>
        <v>0</v>
      </c>
      <c r="BG22">
        <f>IF(P22=0,0,COUNTIF('Transect 3_imgsummary'!E22:I22,"PHYSO")*100/P22)</f>
        <v>0</v>
      </c>
      <c r="BH22">
        <f>IF(P22=0,0,COUNTIF('Transect 3_imgsummary'!E22:I22,"PLAT")*100/P22)</f>
        <v>0</v>
      </c>
      <c r="BI22">
        <f>IF(P22=0,0,COUNTIF('Transect 3_imgsummary'!E22:I22,"PLERO")*100/P22)</f>
        <v>0</v>
      </c>
      <c r="BJ22">
        <f>IF(P22=0,0,COUNTIF('Transect 3_imgsummary'!E22:I22,"POC")*100/P22)</f>
        <v>0</v>
      </c>
      <c r="BK22">
        <f>IF(P22=0,0,COUNTIF('Transect 3_imgsummary'!E22:I22,"POR")*100/P22)</f>
        <v>0</v>
      </c>
      <c r="BL22">
        <f>IF(P22=0,0,COUNTIF('Transect 3_imgsummary'!E22:I22,"PORCYL")*100/P22)</f>
        <v>0</v>
      </c>
      <c r="BM22">
        <f>IF(P22=0,0,COUNTIF('Transect 3_imgsummary'!E22:I22,"PORMAS")*100/P22)</f>
        <v>0</v>
      </c>
      <c r="BN22">
        <f>IF(P22=0,0,COUNTIF('Transect 3_imgsummary'!E22:I22,"PORRUS")*100/P22)</f>
        <v>0</v>
      </c>
      <c r="BO22">
        <f>IF(P22=0,0,COUNTIF('Transect 3_imgsummary'!E22:I22,"PSAM")*100/P22)</f>
        <v>0</v>
      </c>
      <c r="BP22">
        <f>IF(P22=0,0,COUNTIF('Transect 3_imgsummary'!E22:I22,"SANDO")*100/P22)</f>
        <v>0</v>
      </c>
      <c r="BQ22">
        <f>IF(P22=0,0,COUNTIF('Transect 3_imgsummary'!E22:I22,"SCAP")*100/P22)</f>
        <v>0</v>
      </c>
      <c r="BR22">
        <f>IF(P22=0,0,COUNTIF('Transect 3_imgsummary'!E22:I22,"SERIA")*100/P22)</f>
        <v>0</v>
      </c>
      <c r="BS22">
        <f>IF(P22=0,0,COUNTIF('Transect 3_imgsummary'!E22:I22,"STYLC")*100/P22)</f>
        <v>0</v>
      </c>
      <c r="BT22">
        <f>IF(P22=0,0,COUNTIF('Transect 3_imgsummary'!E22:I22,"STYLO")*100/P22)</f>
        <v>0</v>
      </c>
      <c r="BU22">
        <f>IF(P22=0,0,COUNTIF('Transect 3_imgsummary'!E22:I22,"SYMP")*100/P22)</f>
        <v>0</v>
      </c>
      <c r="BV22">
        <f>IF(P22=0,0,COUNTIF('Transect 3_imgsummary'!E22:I22,"TURBIN")*100/P22)</f>
        <v>0</v>
      </c>
      <c r="BX22">
        <f>IF(P22=0,0,COUNTIF('Transect 3_imgsummary'!E22:I22,"ANEM")*100/P22)</f>
        <v>0</v>
      </c>
      <c r="BY22">
        <f>IF(P22=0,0,COUNTIF('Transect 3_imgsummary'!E22:I22,"ASC")*100/P22)</f>
        <v>0</v>
      </c>
      <c r="BZ22">
        <f>IF(P22=0,0,COUNTIF('Transect 3_imgsummary'!E22:I22,"CUPS")*100/P22)</f>
        <v>0</v>
      </c>
      <c r="CA22">
        <f>IF(P22=0,0,COUNTIF('Transect 3_imgsummary'!E22:I22,"DISCO")*100/P22)</f>
        <v>0</v>
      </c>
      <c r="CB22">
        <f>IF(P22=0,0,COUNTIF('Transect 3_imgsummary'!E22:I22,"DYS")*100/P22)</f>
        <v>0</v>
      </c>
      <c r="CC22">
        <f>IF(P22=0,0,COUNTIF('Transect 3_imgsummary'!E22:I22,"G")*100/P22)</f>
        <v>0</v>
      </c>
      <c r="CD22">
        <f>IF(P22=0,0,COUNTIF('Transect 3_imgsummary'!E22:I22,"NoIDINV")*100/P22)</f>
        <v>0</v>
      </c>
      <c r="CE22">
        <f>IF(P22=0,0,COUNTIF('Transect 3_imgsummary'!E22:I22,"OLV")*100/P22)</f>
        <v>0</v>
      </c>
      <c r="CF22">
        <f>IF(P22=0,0,COUNTIF('Transect 3_imgsummary'!E22:I22,"SC")*100/P22)</f>
        <v>0</v>
      </c>
      <c r="CG22">
        <f>IF(P22=0,0,COUNTIF('Transect 3_imgsummary'!E22:I22,"S")*100/P22)</f>
        <v>0</v>
      </c>
      <c r="CH22">
        <f>IF(P22=0,0,COUNTIF('Transect 3_imgsummary'!E22:I22,"TERPS")*100/P22)</f>
        <v>0</v>
      </c>
      <c r="CI22">
        <f>IF(P22=0,0,COUNTIF('Transect 3_imgsummary'!E22:I22,"Z")*100/P22)</f>
        <v>0</v>
      </c>
      <c r="CK22">
        <f>IF(P22=0,0,COUNTIF('Transect 3_imgsummary'!E22:I22,"ASP")*100/P22)</f>
        <v>0</v>
      </c>
      <c r="CL22">
        <f>IF(P22=0,0,COUNTIF('Transect 3_imgsummary'!E22:I22,"BG")*100/P22)</f>
        <v>0</v>
      </c>
      <c r="CM22">
        <f>IF(P22=0,0,COUNTIF('Transect 3_imgsummary'!E22:I22,"Bood")*100/P22)</f>
        <v>0</v>
      </c>
      <c r="CN22">
        <f>IF(P22=0,0,COUNTIF('Transect 3_imgsummary'!E22:I22,"BRYP")*100/P22)</f>
        <v>0</v>
      </c>
      <c r="CO22">
        <f>IF(P22=0,0,COUNTIF('Transect 3_imgsummary'!E22:I22,"CLP")*100/P22)</f>
        <v>0</v>
      </c>
      <c r="CP22">
        <f>IF(P22=0,0,COUNTIF('Transect 3_imgsummary'!E22:I22,"CHLDES")*100/P22)</f>
        <v>0</v>
      </c>
      <c r="CQ22">
        <f>IF(P22=0,0,COUNTIF('Transect 3_imgsummary'!E22:I22,"DYCTY")*100/P22)</f>
        <v>0</v>
      </c>
      <c r="CR22">
        <f>IF(P22=0,0,COUNTIF('Transect 3_imgsummary'!E22:I22,"DICT")*100/P22)</f>
        <v>0</v>
      </c>
      <c r="CS22">
        <f>IF(P22=0,0,COUNTIF('Transect 3_imgsummary'!E22:I22,"GLXU")*100/P22)</f>
        <v>0</v>
      </c>
      <c r="CT22">
        <f>IF(P22=0,0,COUNTIF('Transect 3_imgsummary'!E22:I22,"HALI")*100/P22)</f>
        <v>0</v>
      </c>
      <c r="CU22">
        <f>IF(P22=0,0,COUNTIF('Transect 3_imgsummary'!E22:I22,"LIAG")*100/P22)</f>
        <v>0</v>
      </c>
      <c r="CV22">
        <f>IF(P22=0,0,COUNTIF('Transect 3_imgsummary'!E22:I22,"LOBO")*100/P22)</f>
        <v>0</v>
      </c>
      <c r="CW22">
        <f>IF(P22=0,0,COUNTIF('Transect 3_imgsummary'!E22:I22,"MAST")*100/P22)</f>
        <v>0</v>
      </c>
      <c r="CX22">
        <f>IF(P22=0,0,COUNTIF('Transect 3_imgsummary'!E22:I22,"MICDTY")*100/P22)</f>
        <v>0</v>
      </c>
      <c r="CY22">
        <f>IF(P22=0,0,COUNTIF('Transect 3_imgsummary'!E22:I22,"NEOM")*100/P22)</f>
        <v>0</v>
      </c>
      <c r="CZ22">
        <f>IF(P22=0,0,COUNTIF('Transect 3_imgsummary'!E22:I22,"NOIDMAC")*100/P22)</f>
        <v>0</v>
      </c>
      <c r="DA22">
        <f>IF(P22=0,0,COUNTIF('Transect 3_imgsummary'!E22:I22,"PAD")*100/P22)</f>
        <v>0</v>
      </c>
      <c r="DB22">
        <f>IF(P22=0,0,COUNTIF('Transect 3_imgsummary'!E22:I22,"SARG")*100/P22)</f>
        <v>0</v>
      </c>
      <c r="DC22">
        <f>IF(P22=0,0,COUNTIF('Transect 3_imgsummary'!E22:I22,"SCHIZ")*100/P22)</f>
        <v>0</v>
      </c>
      <c r="DD22">
        <f>IF(P22=0,0,COUNTIF('Transect 3_imgsummary'!E22:I22,"TURB")*100/P22)</f>
        <v>0</v>
      </c>
      <c r="DE22">
        <f>IF(P22=0,0,COUNTIF('Transect 3_imgsummary'!E22:I22,"TYDM")*100/P22)</f>
        <v>0</v>
      </c>
      <c r="DG22">
        <f>IF(P22=0,0,COUNTIF('Transect 3_imgsummary'!E22:I22,"AMP")*100/P22)</f>
        <v>0</v>
      </c>
      <c r="DH22">
        <f>IF(P22=0,0,COUNTIF('Transect 3_imgsummary'!E22:I22,"BCA1")*100/P22)</f>
        <v>0</v>
      </c>
      <c r="DI22">
        <f>IF(P22=0,0,COUNTIF('Transect 3_imgsummary'!E22:I22,"JAN")*100/P22)</f>
        <v>0</v>
      </c>
      <c r="DK22" s="29">
        <f>IF(P22=0,0,COUNTIF('Transect 3_imgsummary'!E22:I22,"CCA1")*100/P22)</f>
        <v>40</v>
      </c>
      <c r="DM22">
        <f>IF(P22=0,0,COUNTIF('Transect 3_imgsummary'!E22:I22,"Sand")*100/P22)</f>
        <v>0</v>
      </c>
      <c r="DO22">
        <f>IF(P22=0,0,COUNTIF('Transect 3_imgsummary'!E22:I22,"FCA1")*100/P22)</f>
        <v>0</v>
      </c>
      <c r="DQ22">
        <f>IF(P22=0,0,COUNTIF('Transect 3_imgsummary'!E22:I22,"CHRYOBRN")*100/P22)</f>
        <v>0</v>
      </c>
      <c r="DS22" s="29">
        <f>IF(P22=0,0,COUNTIF('Transect 3_imgsummary'!E22:I22,"TURF")*100/P22)</f>
        <v>40</v>
      </c>
      <c r="DU22">
        <f>COUNTIF('Transect 3_imgsummary'!E22:I22,"Shadow")*100/5</f>
        <v>0</v>
      </c>
      <c r="DV22">
        <f>COUNTIF('Transect 3_imgsummary'!E22:I22,"Tape")*100/5</f>
        <v>0</v>
      </c>
      <c r="DW22">
        <f>COUNTIF('Transect 3_imgsummary'!E22:I22,"Wand")*100/5</f>
        <v>0</v>
      </c>
      <c r="DY22">
        <f>IF(P22=0,0,COUNTIF('Transect 3_imgsummary'!O22:S22,"BC")*100/P22)</f>
        <v>0</v>
      </c>
    </row>
    <row r="23" spans="1:129">
      <c r="A23">
        <v>21</v>
      </c>
      <c r="B23" t="s">
        <v>510</v>
      </c>
      <c r="F23" s="29">
        <f>IF(P23=0,0,COUNTIF('Transect 3_imgsummary'!J23:N23,"C")*100/P23)</f>
        <v>60</v>
      </c>
      <c r="G23">
        <f>IF(P23=0,0,COUNTIF('Transect 3_imgsummary'!J23:N23,"OI")*100/P23)</f>
        <v>0</v>
      </c>
      <c r="H23">
        <f>IF(P23=0,0,COUNTIF('Transect 3_imgsummary'!J23:N23,"MA")*100/P23)</f>
        <v>0</v>
      </c>
      <c r="I23">
        <f>IF(P23=0,0,COUNTIF('Transect 3_imgsummary'!J23:N23,"BCA")*100/P23)</f>
        <v>0</v>
      </c>
      <c r="J23">
        <f>IF(P23=0,0,COUNTIF('Transect 3_imgsummary'!J23:N23,"CCA")*100/P23)</f>
        <v>0</v>
      </c>
      <c r="K23">
        <f>IF(P23=0,0,COUNTIF('Transect 3_imgsummary'!J23:N23,"SD")*100/P23)</f>
        <v>0</v>
      </c>
      <c r="L23">
        <f>IF(P23=0,0,COUNTIF('Transect 3_imgsummary'!J23:N23,"FCA")*100/P23)</f>
        <v>0</v>
      </c>
      <c r="M23">
        <f>IF(P23=0,0,COUNTIF('Transect 3_imgsummary'!J23:N23,"CHRYS")*100/P23)</f>
        <v>0</v>
      </c>
      <c r="N23" s="29">
        <f>IF(P23=0,0,COUNTIF('Transect 3_imgsummary'!J23:N23,"T")*100/P23)</f>
        <v>40</v>
      </c>
      <c r="O23">
        <f>IF(P23=0,0,COUNTIF('Transect 3_imgsummary'!J23:N23,"TWS")*100/P23)</f>
        <v>0</v>
      </c>
      <c r="P23">
        <f>5-COUNTIF('Transect 3_imgsummary'!J23:N23,"TWS")</f>
        <v>5</v>
      </c>
      <c r="S23">
        <f>IF(P23=0,0,COUNTIF('Transect 3_imgsummary'!E23:I23,"ACAN")*100/P23)</f>
        <v>0</v>
      </c>
      <c r="T23">
        <f>IF(P23=0,0,COUNTIF('Transect 3_imgsummary'!E23:I23,"ACROP")*100/P23)</f>
        <v>0</v>
      </c>
      <c r="U23">
        <f>IF(P23=0,0,COUNTIF('Transect 3_imgsummary'!E23:I23,"ACROPARB")*100/P23)</f>
        <v>0</v>
      </c>
      <c r="V23">
        <f>IF(P23=0,0,COUNTIF('Transect 3_imgsummary'!E23:I23,"ACROST")*100/P23)</f>
        <v>0</v>
      </c>
      <c r="W23">
        <f>IF(P23=0,0,COUNTIF('Transect 3_imgsummary'!E23:I23,"ACROTBL")*100/P23)</f>
        <v>0</v>
      </c>
      <c r="X23">
        <f>IF(P23=0,0,COUNTIF('Transect 3_imgsummary'!E23:I23,"ASTRP")*100/P23)</f>
        <v>0</v>
      </c>
      <c r="Y23">
        <f>IF(P23=0,0,COUNTIF('Transect 3_imgsummary'!E23:I23,"CAUL")*100/P23)</f>
        <v>0</v>
      </c>
      <c r="Z23">
        <f>IF(P23=0,0,COUNTIF('Transect 3_imgsummary'!E23:I23,"COSC")*100/P23)</f>
        <v>0</v>
      </c>
      <c r="AA23">
        <f>IF(P23=0,0,COUNTIF('Transect 3_imgsummary'!E23:I23,"CTEN")*100/P23)</f>
        <v>0</v>
      </c>
      <c r="AB23">
        <f>IF(P23=0,0,COUNTIF('Transect 3_imgsummary'!E23:I23,"CYPH")*100/P23)</f>
        <v>0</v>
      </c>
      <c r="AC23">
        <f>IF(P23=0,0,COUNTIF('Transect 3_imgsummary'!E23:I23,"DIPLO")*100/P23)</f>
        <v>0</v>
      </c>
      <c r="AD23">
        <f>IF(P23=0,0,COUNTIF('Transect 3_imgsummary'!E23:I23,"ECHPO")*100/P23)</f>
        <v>0</v>
      </c>
      <c r="AE23">
        <f>IF(P23=0,0,COUNTIF('Transect 3_imgsummary'!E23:I23,"ECHPHY")*100/P23)</f>
        <v>0</v>
      </c>
      <c r="AF23">
        <f>IF(P23=0,0,COUNTIF('Transect 3_imgsummary'!E23:I23,"EUPH")*100/P23)</f>
        <v>0</v>
      </c>
      <c r="AG23">
        <f>IF(P23=0,0,COUNTIF('Transect 3_imgsummary'!E23:I23,"FAV")*100/P23)</f>
        <v>0</v>
      </c>
      <c r="AH23">
        <f>IF(P23=0,0,COUNTIF('Transect 3_imgsummary'!E23:I23,"FAVT")*100/P23)</f>
        <v>0</v>
      </c>
      <c r="AI23">
        <f>IF(P23=0,0,COUNTIF('Transect 3_imgsummary'!E23:I23,"FUNG")*100/P23)</f>
        <v>0</v>
      </c>
      <c r="AJ23">
        <f>IF(P23=0,0,COUNTIF('Transect 3_imgsummary'!E23:I23,"GAL")*100/P23)</f>
        <v>0</v>
      </c>
      <c r="AK23">
        <f>IF(P23=0,0,COUNTIF('Transect 3_imgsummary'!E23:I23,"GARD")*100/P23)</f>
        <v>0</v>
      </c>
      <c r="AL23">
        <f>IF(P23=0,0,COUNTIF('Transect 3_imgsummary'!E23:I23,"GON")*100/P23)</f>
        <v>0</v>
      </c>
      <c r="AM23">
        <f>IF(P23=0,0,COUNTIF('Transect 3_imgsummary'!E23:I23,"GONIO")*100/P23)</f>
        <v>0</v>
      </c>
      <c r="AN23">
        <f>IF(P23=0,0,COUNTIF('Transect 3_imgsummary'!E23:I23,"HELIO")*100/P23)</f>
        <v>0</v>
      </c>
      <c r="AO23">
        <f>IF(P23=0,0,COUNTIF('Transect 3_imgsummary'!E23:I23,"HERP")*100/P23)</f>
        <v>0</v>
      </c>
      <c r="AP23">
        <f>IF(P23=0,0,COUNTIF('Transect 3_imgsummary'!E23:I23,"HYD")*100/P23)</f>
        <v>0</v>
      </c>
      <c r="AQ23">
        <f>IF(P23=0,0,COUNTIF('Transect 3_imgsummary'!E23:I23,"ISOP")*100/P23)</f>
        <v>0</v>
      </c>
      <c r="AR23">
        <f>IF(P23=0,0,COUNTIF('Transect 3_imgsummary'!E23:I23,"LEPT")*100/P23)</f>
        <v>0</v>
      </c>
      <c r="AS23">
        <f>IF(P23=0,0,COUNTIF('Transect 3_imgsummary'!E23:I23,"LEPTOR")*100/P23)</f>
        <v>0</v>
      </c>
      <c r="AT23">
        <f>IF(P23=0,0,COUNTIF('Transect 3_imgsummary'!E23:I23,"LEPTOS")*100/P23)</f>
        <v>0</v>
      </c>
      <c r="AU23">
        <f>IF(P23=0,0,COUNTIF('Transect 3_imgsummary'!E23:I23,"LOBOPH")*100/P23)</f>
        <v>0</v>
      </c>
      <c r="AV23">
        <f>IF(P23=0,0,COUNTIF('Transect 3_imgsummary'!E23:I23,"MERU")*100/P23)</f>
        <v>0</v>
      </c>
      <c r="AW23">
        <f>IF(P23=0,0,COUNTIF('Transect 3_imgsummary'!E23:I23,"MILL")*100/P23)</f>
        <v>0</v>
      </c>
      <c r="AX23">
        <f>IF(P23=0,0,COUNTIF('Transect 3_imgsummary'!E23:I23,"MONT")*100/P23)</f>
        <v>0</v>
      </c>
      <c r="AY23">
        <f>IF(P23=0,0,COUNTIF('Transect 3_imgsummary'!E23:I23,"MONTI")*100/P23)</f>
        <v>0</v>
      </c>
      <c r="AZ23">
        <f>IF(P23=0,0,COUNTIF('Transect 3_imgsummary'!E23:I23,"MYCED")*100/P23)</f>
        <v>0</v>
      </c>
      <c r="BA23">
        <f>IF(P23=0,0,COUNTIF('Transect 3_imgsummary'!E23:I23,"OULO")*100/P23)</f>
        <v>0</v>
      </c>
      <c r="BB23">
        <f>IF(P23=0,0,COUNTIF('Transect 3_imgsummary'!E23:I23,"OXYP")*100/P23)</f>
        <v>0</v>
      </c>
      <c r="BC23">
        <f>IF(P23=0,0,COUNTIF('Transect 3_imgsummary'!E23:I23,"PLSIA")*100/P23)</f>
        <v>0</v>
      </c>
      <c r="BD23">
        <f>IF(P23=0,0,COUNTIF('Transect 3_imgsummary'!E23:I23,"PACHY")*100/P23)</f>
        <v>0</v>
      </c>
      <c r="BE23">
        <f>IF(P23=0,0,COUNTIF('Transect 3_imgsummary'!E23:I23,"PAV")*100/P23)</f>
        <v>0</v>
      </c>
      <c r="BF23">
        <f>IF(P23=0,0,COUNTIF('Transect 3_imgsummary'!E23:I23,"PECT")*100/P23)</f>
        <v>0</v>
      </c>
      <c r="BG23">
        <f>IF(P23=0,0,COUNTIF('Transect 3_imgsummary'!E23:I23,"PHYSO")*100/P23)</f>
        <v>0</v>
      </c>
      <c r="BH23" s="29">
        <f>IF(P23=0,0,COUNTIF('Transect 3_imgsummary'!E23:I23,"PLAT")*100/P23)</f>
        <v>40</v>
      </c>
      <c r="BI23">
        <f>IF(P23=0,0,COUNTIF('Transect 3_imgsummary'!E23:I23,"PLERO")*100/P23)</f>
        <v>0</v>
      </c>
      <c r="BJ23" s="29">
        <f>IF(P23=0,0,COUNTIF('Transect 3_imgsummary'!E23:I23,"POC")*100/P23)</f>
        <v>20</v>
      </c>
      <c r="BK23">
        <f>IF(P23=0,0,COUNTIF('Transect 3_imgsummary'!E23:I23,"POR")*100/P23)</f>
        <v>0</v>
      </c>
      <c r="BL23">
        <f>IF(P23=0,0,COUNTIF('Transect 3_imgsummary'!E23:I23,"PORCYL")*100/P23)</f>
        <v>0</v>
      </c>
      <c r="BM23">
        <f>IF(P23=0,0,COUNTIF('Transect 3_imgsummary'!E23:I23,"PORMAS")*100/P23)</f>
        <v>0</v>
      </c>
      <c r="BN23">
        <f>IF(P23=0,0,COUNTIF('Transect 3_imgsummary'!E23:I23,"PORRUS")*100/P23)</f>
        <v>0</v>
      </c>
      <c r="BO23">
        <f>IF(P23=0,0,COUNTIF('Transect 3_imgsummary'!E23:I23,"PSAM")*100/P23)</f>
        <v>0</v>
      </c>
      <c r="BP23">
        <f>IF(P23=0,0,COUNTIF('Transect 3_imgsummary'!E23:I23,"SANDO")*100/P23)</f>
        <v>0</v>
      </c>
      <c r="BQ23">
        <f>IF(P23=0,0,COUNTIF('Transect 3_imgsummary'!E23:I23,"SCAP")*100/P23)</f>
        <v>0</v>
      </c>
      <c r="BR23">
        <f>IF(P23=0,0,COUNTIF('Transect 3_imgsummary'!E23:I23,"SERIA")*100/P23)</f>
        <v>0</v>
      </c>
      <c r="BS23">
        <f>IF(P23=0,0,COUNTIF('Transect 3_imgsummary'!E23:I23,"STYLC")*100/P23)</f>
        <v>0</v>
      </c>
      <c r="BT23">
        <f>IF(P23=0,0,COUNTIF('Transect 3_imgsummary'!E23:I23,"STYLO")*100/P23)</f>
        <v>0</v>
      </c>
      <c r="BU23">
        <f>IF(P23=0,0,COUNTIF('Transect 3_imgsummary'!E23:I23,"SYMP")*100/P23)</f>
        <v>0</v>
      </c>
      <c r="BV23">
        <f>IF(P23=0,0,COUNTIF('Transect 3_imgsummary'!E23:I23,"TURBIN")*100/P23)</f>
        <v>0</v>
      </c>
      <c r="BX23">
        <f>IF(P23=0,0,COUNTIF('Transect 3_imgsummary'!E23:I23,"ANEM")*100/P23)</f>
        <v>0</v>
      </c>
      <c r="BY23">
        <f>IF(P23=0,0,COUNTIF('Transect 3_imgsummary'!E23:I23,"ASC")*100/P23)</f>
        <v>0</v>
      </c>
      <c r="BZ23">
        <f>IF(P23=0,0,COUNTIF('Transect 3_imgsummary'!E23:I23,"CUPS")*100/P23)</f>
        <v>0</v>
      </c>
      <c r="CA23">
        <f>IF(P23=0,0,COUNTIF('Transect 3_imgsummary'!E23:I23,"DISCO")*100/P23)</f>
        <v>0</v>
      </c>
      <c r="CB23">
        <f>IF(P23=0,0,COUNTIF('Transect 3_imgsummary'!E23:I23,"DYS")*100/P23)</f>
        <v>0</v>
      </c>
      <c r="CC23">
        <f>IF(P23=0,0,COUNTIF('Transect 3_imgsummary'!E23:I23,"G")*100/P23)</f>
        <v>0</v>
      </c>
      <c r="CD23">
        <f>IF(P23=0,0,COUNTIF('Transect 3_imgsummary'!E23:I23,"NoIDINV")*100/P23)</f>
        <v>0</v>
      </c>
      <c r="CE23">
        <f>IF(P23=0,0,COUNTIF('Transect 3_imgsummary'!E23:I23,"OLV")*100/P23)</f>
        <v>0</v>
      </c>
      <c r="CF23">
        <f>IF(P23=0,0,COUNTIF('Transect 3_imgsummary'!E23:I23,"SC")*100/P23)</f>
        <v>0</v>
      </c>
      <c r="CG23">
        <f>IF(P23=0,0,COUNTIF('Transect 3_imgsummary'!E23:I23,"S")*100/P23)</f>
        <v>0</v>
      </c>
      <c r="CH23">
        <f>IF(P23=0,0,COUNTIF('Transect 3_imgsummary'!E23:I23,"TERPS")*100/P23)</f>
        <v>0</v>
      </c>
      <c r="CI23">
        <f>IF(P23=0,0,COUNTIF('Transect 3_imgsummary'!E23:I23,"Z")*100/P23)</f>
        <v>0</v>
      </c>
      <c r="CK23">
        <f>IF(P23=0,0,COUNTIF('Transect 3_imgsummary'!E23:I23,"ASP")*100/P23)</f>
        <v>0</v>
      </c>
      <c r="CL23">
        <f>IF(P23=0,0,COUNTIF('Transect 3_imgsummary'!E23:I23,"BG")*100/P23)</f>
        <v>0</v>
      </c>
      <c r="CM23">
        <f>IF(P23=0,0,COUNTIF('Transect 3_imgsummary'!E23:I23,"Bood")*100/P23)</f>
        <v>0</v>
      </c>
      <c r="CN23">
        <f>IF(P23=0,0,COUNTIF('Transect 3_imgsummary'!E23:I23,"BRYP")*100/P23)</f>
        <v>0</v>
      </c>
      <c r="CO23">
        <f>IF(P23=0,0,COUNTIF('Transect 3_imgsummary'!E23:I23,"CLP")*100/P23)</f>
        <v>0</v>
      </c>
      <c r="CP23">
        <f>IF(P23=0,0,COUNTIF('Transect 3_imgsummary'!E23:I23,"CHLDES")*100/P23)</f>
        <v>0</v>
      </c>
      <c r="CQ23">
        <f>IF(P23=0,0,COUNTIF('Transect 3_imgsummary'!E23:I23,"DYCTY")*100/P23)</f>
        <v>0</v>
      </c>
      <c r="CR23">
        <f>IF(P23=0,0,COUNTIF('Transect 3_imgsummary'!E23:I23,"DICT")*100/P23)</f>
        <v>0</v>
      </c>
      <c r="CS23">
        <f>IF(P23=0,0,COUNTIF('Transect 3_imgsummary'!E23:I23,"GLXU")*100/P23)</f>
        <v>0</v>
      </c>
      <c r="CT23">
        <f>IF(P23=0,0,COUNTIF('Transect 3_imgsummary'!E23:I23,"HALI")*100/P23)</f>
        <v>0</v>
      </c>
      <c r="CU23">
        <f>IF(P23=0,0,COUNTIF('Transect 3_imgsummary'!E23:I23,"LIAG")*100/P23)</f>
        <v>0</v>
      </c>
      <c r="CV23">
        <f>IF(P23=0,0,COUNTIF('Transect 3_imgsummary'!E23:I23,"LOBO")*100/P23)</f>
        <v>0</v>
      </c>
      <c r="CW23">
        <f>IF(P23=0,0,COUNTIF('Transect 3_imgsummary'!E23:I23,"MAST")*100/P23)</f>
        <v>0</v>
      </c>
      <c r="CX23">
        <f>IF(P23=0,0,COUNTIF('Transect 3_imgsummary'!E23:I23,"MICDTY")*100/P23)</f>
        <v>0</v>
      </c>
      <c r="CY23">
        <f>IF(P23=0,0,COUNTIF('Transect 3_imgsummary'!E23:I23,"NEOM")*100/P23)</f>
        <v>0</v>
      </c>
      <c r="CZ23">
        <f>IF(P23=0,0,COUNTIF('Transect 3_imgsummary'!E23:I23,"NOIDMAC")*100/P23)</f>
        <v>0</v>
      </c>
      <c r="DA23">
        <f>IF(P23=0,0,COUNTIF('Transect 3_imgsummary'!E23:I23,"PAD")*100/P23)</f>
        <v>0</v>
      </c>
      <c r="DB23">
        <f>IF(P23=0,0,COUNTIF('Transect 3_imgsummary'!E23:I23,"SARG")*100/P23)</f>
        <v>0</v>
      </c>
      <c r="DC23">
        <f>IF(P23=0,0,COUNTIF('Transect 3_imgsummary'!E23:I23,"SCHIZ")*100/P23)</f>
        <v>0</v>
      </c>
      <c r="DD23">
        <f>IF(P23=0,0,COUNTIF('Transect 3_imgsummary'!E23:I23,"TURB")*100/P23)</f>
        <v>0</v>
      </c>
      <c r="DE23">
        <f>IF(P23=0,0,COUNTIF('Transect 3_imgsummary'!E23:I23,"TYDM")*100/P23)</f>
        <v>0</v>
      </c>
      <c r="DG23">
        <f>IF(P23=0,0,COUNTIF('Transect 3_imgsummary'!E23:I23,"AMP")*100/P23)</f>
        <v>0</v>
      </c>
      <c r="DH23">
        <f>IF(P23=0,0,COUNTIF('Transect 3_imgsummary'!E23:I23,"BCA1")*100/P23)</f>
        <v>0</v>
      </c>
      <c r="DI23">
        <f>IF(P23=0,0,COUNTIF('Transect 3_imgsummary'!E23:I23,"JAN")*100/P23)</f>
        <v>0</v>
      </c>
      <c r="DK23">
        <f>IF(P23=0,0,COUNTIF('Transect 3_imgsummary'!E23:I23,"CCA1")*100/P23)</f>
        <v>0</v>
      </c>
      <c r="DM23">
        <f>IF(P23=0,0,COUNTIF('Transect 3_imgsummary'!E23:I23,"Sand")*100/P23)</f>
        <v>0</v>
      </c>
      <c r="DO23">
        <f>IF(P23=0,0,COUNTIF('Transect 3_imgsummary'!E23:I23,"FCA1")*100/P23)</f>
        <v>0</v>
      </c>
      <c r="DQ23">
        <f>IF(P23=0,0,COUNTIF('Transect 3_imgsummary'!E23:I23,"CHRYOBRN")*100/P23)</f>
        <v>0</v>
      </c>
      <c r="DS23" s="29">
        <f>IF(P23=0,0,COUNTIF('Transect 3_imgsummary'!E23:I23,"TURF")*100/P23)</f>
        <v>40</v>
      </c>
      <c r="DU23">
        <f>COUNTIF('Transect 3_imgsummary'!E23:I23,"Shadow")*100/5</f>
        <v>0</v>
      </c>
      <c r="DV23">
        <f>COUNTIF('Transect 3_imgsummary'!E23:I23,"Tape")*100/5</f>
        <v>0</v>
      </c>
      <c r="DW23">
        <f>COUNTIF('Transect 3_imgsummary'!E23:I23,"Wand")*100/5</f>
        <v>0</v>
      </c>
      <c r="DY23">
        <f>IF(P23=0,0,COUNTIF('Transect 3_imgsummary'!O23:S23,"BC")*100/P23)</f>
        <v>0</v>
      </c>
    </row>
    <row r="24" spans="1:129">
      <c r="A24">
        <v>22</v>
      </c>
      <c r="B24" t="s">
        <v>511</v>
      </c>
      <c r="F24" s="29">
        <f>IF(P24=0,0,COUNTIF('Transect 3_imgsummary'!J24:N24,"C")*100/P24)</f>
        <v>60</v>
      </c>
      <c r="G24">
        <f>IF(P24=0,0,COUNTIF('Transect 3_imgsummary'!J24:N24,"OI")*100/P24)</f>
        <v>0</v>
      </c>
      <c r="H24">
        <f>IF(P24=0,0,COUNTIF('Transect 3_imgsummary'!J24:N24,"MA")*100/P24)</f>
        <v>0</v>
      </c>
      <c r="I24">
        <f>IF(P24=0,0,COUNTIF('Transect 3_imgsummary'!J24:N24,"BCA")*100/P24)</f>
        <v>0</v>
      </c>
      <c r="J24" s="29">
        <f>IF(P24=0,0,COUNTIF('Transect 3_imgsummary'!J24:N24,"CCA")*100/P24)</f>
        <v>20</v>
      </c>
      <c r="K24">
        <f>IF(P24=0,0,COUNTIF('Transect 3_imgsummary'!J24:N24,"SD")*100/P24)</f>
        <v>0</v>
      </c>
      <c r="L24">
        <f>IF(P24=0,0,COUNTIF('Transect 3_imgsummary'!J24:N24,"FCA")*100/P24)</f>
        <v>0</v>
      </c>
      <c r="M24">
        <f>IF(P24=0,0,COUNTIF('Transect 3_imgsummary'!J24:N24,"CHRYS")*100/P24)</f>
        <v>0</v>
      </c>
      <c r="N24" s="29">
        <f>IF(P24=0,0,COUNTIF('Transect 3_imgsummary'!J24:N24,"T")*100/P24)</f>
        <v>20</v>
      </c>
      <c r="O24">
        <f>IF(P24=0,0,COUNTIF('Transect 3_imgsummary'!J24:N24,"TWS")*100/P24)</f>
        <v>0</v>
      </c>
      <c r="P24">
        <f>5-COUNTIF('Transect 3_imgsummary'!J24:N24,"TWS")</f>
        <v>5</v>
      </c>
      <c r="S24">
        <f>IF(P24=0,0,COUNTIF('Transect 3_imgsummary'!E24:I24,"ACAN")*100/P24)</f>
        <v>0</v>
      </c>
      <c r="T24" s="29">
        <f>IF(P24=0,0,COUNTIF('Transect 3_imgsummary'!E24:I24,"ACROP")*100/P24)</f>
        <v>40</v>
      </c>
      <c r="U24">
        <f>IF(P24=0,0,COUNTIF('Transect 3_imgsummary'!E24:I24,"ACROPARB")*100/P24)</f>
        <v>0</v>
      </c>
      <c r="V24">
        <f>IF(P24=0,0,COUNTIF('Transect 3_imgsummary'!E24:I24,"ACROST")*100/P24)</f>
        <v>0</v>
      </c>
      <c r="W24">
        <f>IF(P24=0,0,COUNTIF('Transect 3_imgsummary'!E24:I24,"ACROTBL")*100/P24)</f>
        <v>0</v>
      </c>
      <c r="X24">
        <f>IF(P24=0,0,COUNTIF('Transect 3_imgsummary'!E24:I24,"ASTRP")*100/P24)</f>
        <v>0</v>
      </c>
      <c r="Y24">
        <f>IF(P24=0,0,COUNTIF('Transect 3_imgsummary'!E24:I24,"CAUL")*100/P24)</f>
        <v>0</v>
      </c>
      <c r="Z24">
        <f>IF(P24=0,0,COUNTIF('Transect 3_imgsummary'!E24:I24,"COSC")*100/P24)</f>
        <v>0</v>
      </c>
      <c r="AA24">
        <f>IF(P24=0,0,COUNTIF('Transect 3_imgsummary'!E24:I24,"CTEN")*100/P24)</f>
        <v>0</v>
      </c>
      <c r="AB24">
        <f>IF(P24=0,0,COUNTIF('Transect 3_imgsummary'!E24:I24,"CYPH")*100/P24)</f>
        <v>0</v>
      </c>
      <c r="AC24">
        <f>IF(P24=0,0,COUNTIF('Transect 3_imgsummary'!E24:I24,"DIPLO")*100/P24)</f>
        <v>0</v>
      </c>
      <c r="AD24">
        <f>IF(P24=0,0,COUNTIF('Transect 3_imgsummary'!E24:I24,"ECHPO")*100/P24)</f>
        <v>0</v>
      </c>
      <c r="AE24">
        <f>IF(P24=0,0,COUNTIF('Transect 3_imgsummary'!E24:I24,"ECHPHY")*100/P24)</f>
        <v>0</v>
      </c>
      <c r="AF24">
        <f>IF(P24=0,0,COUNTIF('Transect 3_imgsummary'!E24:I24,"EUPH")*100/P24)</f>
        <v>0</v>
      </c>
      <c r="AG24">
        <f>IF(P24=0,0,COUNTIF('Transect 3_imgsummary'!E24:I24,"FAV")*100/P24)</f>
        <v>0</v>
      </c>
      <c r="AH24">
        <f>IF(P24=0,0,COUNTIF('Transect 3_imgsummary'!E24:I24,"FAVT")*100/P24)</f>
        <v>0</v>
      </c>
      <c r="AI24">
        <f>IF(P24=0,0,COUNTIF('Transect 3_imgsummary'!E24:I24,"FUNG")*100/P24)</f>
        <v>0</v>
      </c>
      <c r="AJ24">
        <f>IF(P24=0,0,COUNTIF('Transect 3_imgsummary'!E24:I24,"GAL")*100/P24)</f>
        <v>0</v>
      </c>
      <c r="AK24">
        <f>IF(P24=0,0,COUNTIF('Transect 3_imgsummary'!E24:I24,"GARD")*100/P24)</f>
        <v>0</v>
      </c>
      <c r="AL24">
        <f>IF(P24=0,0,COUNTIF('Transect 3_imgsummary'!E24:I24,"GON")*100/P24)</f>
        <v>0</v>
      </c>
      <c r="AM24">
        <f>IF(P24=0,0,COUNTIF('Transect 3_imgsummary'!E24:I24,"GONIO")*100/P24)</f>
        <v>0</v>
      </c>
      <c r="AN24">
        <f>IF(P24=0,0,COUNTIF('Transect 3_imgsummary'!E24:I24,"HELIO")*100/P24)</f>
        <v>0</v>
      </c>
      <c r="AO24">
        <f>IF(P24=0,0,COUNTIF('Transect 3_imgsummary'!E24:I24,"HERP")*100/P24)</f>
        <v>0</v>
      </c>
      <c r="AP24">
        <f>IF(P24=0,0,COUNTIF('Transect 3_imgsummary'!E24:I24,"HYD")*100/P24)</f>
        <v>0</v>
      </c>
      <c r="AQ24">
        <f>IF(P24=0,0,COUNTIF('Transect 3_imgsummary'!E24:I24,"ISOP")*100/P24)</f>
        <v>0</v>
      </c>
      <c r="AR24">
        <f>IF(P24=0,0,COUNTIF('Transect 3_imgsummary'!E24:I24,"LEPT")*100/P24)</f>
        <v>0</v>
      </c>
      <c r="AS24">
        <f>IF(P24=0,0,COUNTIF('Transect 3_imgsummary'!E24:I24,"LEPTOR")*100/P24)</f>
        <v>0</v>
      </c>
      <c r="AT24">
        <f>IF(P24=0,0,COUNTIF('Transect 3_imgsummary'!E24:I24,"LEPTOS")*100/P24)</f>
        <v>0</v>
      </c>
      <c r="AU24">
        <f>IF(P24=0,0,COUNTIF('Transect 3_imgsummary'!E24:I24,"LOBOPH")*100/P24)</f>
        <v>0</v>
      </c>
      <c r="AV24">
        <f>IF(P24=0,0,COUNTIF('Transect 3_imgsummary'!E24:I24,"MERU")*100/P24)</f>
        <v>0</v>
      </c>
      <c r="AW24">
        <f>IF(P24=0,0,COUNTIF('Transect 3_imgsummary'!E24:I24,"MILL")*100/P24)</f>
        <v>0</v>
      </c>
      <c r="AX24">
        <f>IF(P24=0,0,COUNTIF('Transect 3_imgsummary'!E24:I24,"MONT")*100/P24)</f>
        <v>0</v>
      </c>
      <c r="AY24">
        <f>IF(P24=0,0,COUNTIF('Transect 3_imgsummary'!E24:I24,"MONTI")*100/P24)</f>
        <v>0</v>
      </c>
      <c r="AZ24">
        <f>IF(P24=0,0,COUNTIF('Transect 3_imgsummary'!E24:I24,"MYCED")*100/P24)</f>
        <v>0</v>
      </c>
      <c r="BA24">
        <f>IF(P24=0,0,COUNTIF('Transect 3_imgsummary'!E24:I24,"OULO")*100/P24)</f>
        <v>0</v>
      </c>
      <c r="BB24">
        <f>IF(P24=0,0,COUNTIF('Transect 3_imgsummary'!E24:I24,"OXYP")*100/P24)</f>
        <v>0</v>
      </c>
      <c r="BC24">
        <f>IF(P24=0,0,COUNTIF('Transect 3_imgsummary'!E24:I24,"PLSIA")*100/P24)</f>
        <v>0</v>
      </c>
      <c r="BD24">
        <f>IF(P24=0,0,COUNTIF('Transect 3_imgsummary'!E24:I24,"PACHY")*100/P24)</f>
        <v>0</v>
      </c>
      <c r="BE24">
        <f>IF(P24=0,0,COUNTIF('Transect 3_imgsummary'!E24:I24,"PAV")*100/P24)</f>
        <v>0</v>
      </c>
      <c r="BF24">
        <f>IF(P24=0,0,COUNTIF('Transect 3_imgsummary'!E24:I24,"PECT")*100/P24)</f>
        <v>0</v>
      </c>
      <c r="BG24">
        <f>IF(P24=0,0,COUNTIF('Transect 3_imgsummary'!E24:I24,"PHYSO")*100/P24)</f>
        <v>0</v>
      </c>
      <c r="BH24">
        <f>IF(P24=0,0,COUNTIF('Transect 3_imgsummary'!E24:I24,"PLAT")*100/P24)</f>
        <v>0</v>
      </c>
      <c r="BI24">
        <f>IF(P24=0,0,COUNTIF('Transect 3_imgsummary'!E24:I24,"PLERO")*100/P24)</f>
        <v>0</v>
      </c>
      <c r="BJ24" s="29">
        <f>IF(P24=0,0,COUNTIF('Transect 3_imgsummary'!E24:I24,"POC")*100/P24)</f>
        <v>20</v>
      </c>
      <c r="BK24">
        <f>IF(P24=0,0,COUNTIF('Transect 3_imgsummary'!E24:I24,"POR")*100/P24)</f>
        <v>0</v>
      </c>
      <c r="BL24">
        <f>IF(P24=0,0,COUNTIF('Transect 3_imgsummary'!E24:I24,"PORCYL")*100/P24)</f>
        <v>0</v>
      </c>
      <c r="BM24">
        <f>IF(P24=0,0,COUNTIF('Transect 3_imgsummary'!E24:I24,"PORMAS")*100/P24)</f>
        <v>0</v>
      </c>
      <c r="BN24">
        <f>IF(P24=0,0,COUNTIF('Transect 3_imgsummary'!E24:I24,"PORRUS")*100/P24)</f>
        <v>0</v>
      </c>
      <c r="BO24">
        <f>IF(P24=0,0,COUNTIF('Transect 3_imgsummary'!E24:I24,"PSAM")*100/P24)</f>
        <v>0</v>
      </c>
      <c r="BP24">
        <f>IF(P24=0,0,COUNTIF('Transect 3_imgsummary'!E24:I24,"SANDO")*100/P24)</f>
        <v>0</v>
      </c>
      <c r="BQ24">
        <f>IF(P24=0,0,COUNTIF('Transect 3_imgsummary'!E24:I24,"SCAP")*100/P24)</f>
        <v>0</v>
      </c>
      <c r="BR24">
        <f>IF(P24=0,0,COUNTIF('Transect 3_imgsummary'!E24:I24,"SERIA")*100/P24)</f>
        <v>0</v>
      </c>
      <c r="BS24">
        <f>IF(P24=0,0,COUNTIF('Transect 3_imgsummary'!E24:I24,"STYLC")*100/P24)</f>
        <v>0</v>
      </c>
      <c r="BT24">
        <f>IF(P24=0,0,COUNTIF('Transect 3_imgsummary'!E24:I24,"STYLO")*100/P24)</f>
        <v>0</v>
      </c>
      <c r="BU24">
        <f>IF(P24=0,0,COUNTIF('Transect 3_imgsummary'!E24:I24,"SYMP")*100/P24)</f>
        <v>0</v>
      </c>
      <c r="BV24">
        <f>IF(P24=0,0,COUNTIF('Transect 3_imgsummary'!E24:I24,"TURBIN")*100/P24)</f>
        <v>0</v>
      </c>
      <c r="BX24">
        <f>IF(P24=0,0,COUNTIF('Transect 3_imgsummary'!E24:I24,"ANEM")*100/P24)</f>
        <v>0</v>
      </c>
      <c r="BY24">
        <f>IF(P24=0,0,COUNTIF('Transect 3_imgsummary'!E24:I24,"ASC")*100/P24)</f>
        <v>0</v>
      </c>
      <c r="BZ24">
        <f>IF(P24=0,0,COUNTIF('Transect 3_imgsummary'!E24:I24,"CUPS")*100/P24)</f>
        <v>0</v>
      </c>
      <c r="CA24">
        <f>IF(P24=0,0,COUNTIF('Transect 3_imgsummary'!E24:I24,"DISCO")*100/P24)</f>
        <v>0</v>
      </c>
      <c r="CB24">
        <f>IF(P24=0,0,COUNTIF('Transect 3_imgsummary'!E24:I24,"DYS")*100/P24)</f>
        <v>0</v>
      </c>
      <c r="CC24">
        <f>IF(P24=0,0,COUNTIF('Transect 3_imgsummary'!E24:I24,"G")*100/P24)</f>
        <v>0</v>
      </c>
      <c r="CD24">
        <f>IF(P24=0,0,COUNTIF('Transect 3_imgsummary'!E24:I24,"NoIDINV")*100/P24)</f>
        <v>0</v>
      </c>
      <c r="CE24">
        <f>IF(P24=0,0,COUNTIF('Transect 3_imgsummary'!E24:I24,"OLV")*100/P24)</f>
        <v>0</v>
      </c>
      <c r="CF24">
        <f>IF(P24=0,0,COUNTIF('Transect 3_imgsummary'!E24:I24,"SC")*100/P24)</f>
        <v>0</v>
      </c>
      <c r="CG24">
        <f>IF(P24=0,0,COUNTIF('Transect 3_imgsummary'!E24:I24,"S")*100/P24)</f>
        <v>0</v>
      </c>
      <c r="CH24">
        <f>IF(P24=0,0,COUNTIF('Transect 3_imgsummary'!E24:I24,"TERPS")*100/P24)</f>
        <v>0</v>
      </c>
      <c r="CI24">
        <f>IF(P24=0,0,COUNTIF('Transect 3_imgsummary'!E24:I24,"Z")*100/P24)</f>
        <v>0</v>
      </c>
      <c r="CK24">
        <f>IF(P24=0,0,COUNTIF('Transect 3_imgsummary'!E24:I24,"ASP")*100/P24)</f>
        <v>0</v>
      </c>
      <c r="CL24">
        <f>IF(P24=0,0,COUNTIF('Transect 3_imgsummary'!E24:I24,"BG")*100/P24)</f>
        <v>0</v>
      </c>
      <c r="CM24">
        <f>IF(P24=0,0,COUNTIF('Transect 3_imgsummary'!E24:I24,"Bood")*100/P24)</f>
        <v>0</v>
      </c>
      <c r="CN24">
        <f>IF(P24=0,0,COUNTIF('Transect 3_imgsummary'!E24:I24,"BRYP")*100/P24)</f>
        <v>0</v>
      </c>
      <c r="CO24">
        <f>IF(P24=0,0,COUNTIF('Transect 3_imgsummary'!E24:I24,"CLP")*100/P24)</f>
        <v>0</v>
      </c>
      <c r="CP24">
        <f>IF(P24=0,0,COUNTIF('Transect 3_imgsummary'!E24:I24,"CHLDES")*100/P24)</f>
        <v>0</v>
      </c>
      <c r="CQ24">
        <f>IF(P24=0,0,COUNTIF('Transect 3_imgsummary'!E24:I24,"DYCTY")*100/P24)</f>
        <v>0</v>
      </c>
      <c r="CR24">
        <f>IF(P24=0,0,COUNTIF('Transect 3_imgsummary'!E24:I24,"DICT")*100/P24)</f>
        <v>0</v>
      </c>
      <c r="CS24">
        <f>IF(P24=0,0,COUNTIF('Transect 3_imgsummary'!E24:I24,"GLXU")*100/P24)</f>
        <v>0</v>
      </c>
      <c r="CT24">
        <f>IF(P24=0,0,COUNTIF('Transect 3_imgsummary'!E24:I24,"HALI")*100/P24)</f>
        <v>0</v>
      </c>
      <c r="CU24">
        <f>IF(P24=0,0,COUNTIF('Transect 3_imgsummary'!E24:I24,"LIAG")*100/P24)</f>
        <v>0</v>
      </c>
      <c r="CV24">
        <f>IF(P24=0,0,COUNTIF('Transect 3_imgsummary'!E24:I24,"LOBO")*100/P24)</f>
        <v>0</v>
      </c>
      <c r="CW24">
        <f>IF(P24=0,0,COUNTIF('Transect 3_imgsummary'!E24:I24,"MAST")*100/P24)</f>
        <v>0</v>
      </c>
      <c r="CX24">
        <f>IF(P24=0,0,COUNTIF('Transect 3_imgsummary'!E24:I24,"MICDTY")*100/P24)</f>
        <v>0</v>
      </c>
      <c r="CY24">
        <f>IF(P24=0,0,COUNTIF('Transect 3_imgsummary'!E24:I24,"NEOM")*100/P24)</f>
        <v>0</v>
      </c>
      <c r="CZ24">
        <f>IF(P24=0,0,COUNTIF('Transect 3_imgsummary'!E24:I24,"NOIDMAC")*100/P24)</f>
        <v>0</v>
      </c>
      <c r="DA24">
        <f>IF(P24=0,0,COUNTIF('Transect 3_imgsummary'!E24:I24,"PAD")*100/P24)</f>
        <v>0</v>
      </c>
      <c r="DB24">
        <f>IF(P24=0,0,COUNTIF('Transect 3_imgsummary'!E24:I24,"SARG")*100/P24)</f>
        <v>0</v>
      </c>
      <c r="DC24">
        <f>IF(P24=0,0,COUNTIF('Transect 3_imgsummary'!E24:I24,"SCHIZ")*100/P24)</f>
        <v>0</v>
      </c>
      <c r="DD24">
        <f>IF(P24=0,0,COUNTIF('Transect 3_imgsummary'!E24:I24,"TURB")*100/P24)</f>
        <v>0</v>
      </c>
      <c r="DE24">
        <f>IF(P24=0,0,COUNTIF('Transect 3_imgsummary'!E24:I24,"TYDM")*100/P24)</f>
        <v>0</v>
      </c>
      <c r="DG24">
        <f>IF(P24=0,0,COUNTIF('Transect 3_imgsummary'!E24:I24,"AMP")*100/P24)</f>
        <v>0</v>
      </c>
      <c r="DH24">
        <f>IF(P24=0,0,COUNTIF('Transect 3_imgsummary'!E24:I24,"BCA1")*100/P24)</f>
        <v>0</v>
      </c>
      <c r="DI24">
        <f>IF(P24=0,0,COUNTIF('Transect 3_imgsummary'!E24:I24,"JAN")*100/P24)</f>
        <v>0</v>
      </c>
      <c r="DK24" s="29">
        <f>IF(P24=0,0,COUNTIF('Transect 3_imgsummary'!E24:I24,"CCA1")*100/P24)</f>
        <v>20</v>
      </c>
      <c r="DM24">
        <f>IF(P24=0,0,COUNTIF('Transect 3_imgsummary'!E24:I24,"Sand")*100/P24)</f>
        <v>0</v>
      </c>
      <c r="DO24">
        <f>IF(P24=0,0,COUNTIF('Transect 3_imgsummary'!E24:I24,"FCA1")*100/P24)</f>
        <v>0</v>
      </c>
      <c r="DQ24">
        <f>IF(P24=0,0,COUNTIF('Transect 3_imgsummary'!E24:I24,"CHRYOBRN")*100/P24)</f>
        <v>0</v>
      </c>
      <c r="DS24" s="29">
        <f>IF(P24=0,0,COUNTIF('Transect 3_imgsummary'!E24:I24,"TURF")*100/P24)</f>
        <v>20</v>
      </c>
      <c r="DU24">
        <f>COUNTIF('Transect 3_imgsummary'!E24:I24,"Shadow")*100/5</f>
        <v>0</v>
      </c>
      <c r="DV24">
        <f>COUNTIF('Transect 3_imgsummary'!E24:I24,"Tape")*100/5</f>
        <v>0</v>
      </c>
      <c r="DW24">
        <f>COUNTIF('Transect 3_imgsummary'!E24:I24,"Wand")*100/5</f>
        <v>0</v>
      </c>
      <c r="DY24">
        <f>IF(P24=0,0,COUNTIF('Transect 3_imgsummary'!O24:S24,"BC")*100/P24)</f>
        <v>0</v>
      </c>
    </row>
    <row r="25" spans="1:129">
      <c r="A25">
        <v>23</v>
      </c>
      <c r="B25" t="s">
        <v>512</v>
      </c>
      <c r="F25" s="29">
        <f>IF(P25=0,0,COUNTIF('Transect 3_imgsummary'!J25:N25,"C")*100/P25)</f>
        <v>40</v>
      </c>
      <c r="G25">
        <f>IF(P25=0,0,COUNTIF('Transect 3_imgsummary'!J25:N25,"OI")*100/P25)</f>
        <v>0</v>
      </c>
      <c r="H25">
        <f>IF(P25=0,0,COUNTIF('Transect 3_imgsummary'!J25:N25,"MA")*100/P25)</f>
        <v>0</v>
      </c>
      <c r="I25">
        <f>IF(P25=0,0,COUNTIF('Transect 3_imgsummary'!J25:N25,"BCA")*100/P25)</f>
        <v>0</v>
      </c>
      <c r="J25" s="29">
        <f>IF(P25=0,0,COUNTIF('Transect 3_imgsummary'!J25:N25,"CCA")*100/P25)</f>
        <v>20</v>
      </c>
      <c r="K25">
        <f>IF(P25=0,0,COUNTIF('Transect 3_imgsummary'!J25:N25,"SD")*100/P25)</f>
        <v>0</v>
      </c>
      <c r="L25">
        <f>IF(P25=0,0,COUNTIF('Transect 3_imgsummary'!J25:N25,"FCA")*100/P25)</f>
        <v>0</v>
      </c>
      <c r="M25">
        <f>IF(P25=0,0,COUNTIF('Transect 3_imgsummary'!J25:N25,"CHRYS")*100/P25)</f>
        <v>0</v>
      </c>
      <c r="N25" s="29">
        <f>IF(P25=0,0,COUNTIF('Transect 3_imgsummary'!J25:N25,"T")*100/P25)</f>
        <v>40</v>
      </c>
      <c r="O25">
        <f>IF(P25=0,0,COUNTIF('Transect 3_imgsummary'!J25:N25,"TWS")*100/P25)</f>
        <v>0</v>
      </c>
      <c r="P25">
        <f>5-COUNTIF('Transect 3_imgsummary'!J25:N25,"TWS")</f>
        <v>5</v>
      </c>
      <c r="S25">
        <f>IF(P25=0,0,COUNTIF('Transect 3_imgsummary'!E25:I25,"ACAN")*100/P25)</f>
        <v>0</v>
      </c>
      <c r="T25">
        <f>IF(P25=0,0,COUNTIF('Transect 3_imgsummary'!E25:I25,"ACROP")*100/P25)</f>
        <v>0</v>
      </c>
      <c r="U25">
        <f>IF(P25=0,0,COUNTIF('Transect 3_imgsummary'!E25:I25,"ACROPARB")*100/P25)</f>
        <v>0</v>
      </c>
      <c r="V25">
        <f>IF(P25=0,0,COUNTIF('Transect 3_imgsummary'!E25:I25,"ACROST")*100/P25)</f>
        <v>0</v>
      </c>
      <c r="W25">
        <f>IF(P25=0,0,COUNTIF('Transect 3_imgsummary'!E25:I25,"ACROTBL")*100/P25)</f>
        <v>0</v>
      </c>
      <c r="X25">
        <f>IF(P25=0,0,COUNTIF('Transect 3_imgsummary'!E25:I25,"ASTRP")*100/P25)</f>
        <v>0</v>
      </c>
      <c r="Y25">
        <f>IF(P25=0,0,COUNTIF('Transect 3_imgsummary'!E25:I25,"CAUL")*100/P25)</f>
        <v>0</v>
      </c>
      <c r="Z25">
        <f>IF(P25=0,0,COUNTIF('Transect 3_imgsummary'!E25:I25,"COSC")*100/P25)</f>
        <v>0</v>
      </c>
      <c r="AA25">
        <f>IF(P25=0,0,COUNTIF('Transect 3_imgsummary'!E25:I25,"CTEN")*100/P25)</f>
        <v>0</v>
      </c>
      <c r="AB25">
        <f>IF(P25=0,0,COUNTIF('Transect 3_imgsummary'!E25:I25,"CYPH")*100/P25)</f>
        <v>0</v>
      </c>
      <c r="AC25">
        <f>IF(P25=0,0,COUNTIF('Transect 3_imgsummary'!E25:I25,"DIPLO")*100/P25)</f>
        <v>0</v>
      </c>
      <c r="AD25">
        <f>IF(P25=0,0,COUNTIF('Transect 3_imgsummary'!E25:I25,"ECHPO")*100/P25)</f>
        <v>0</v>
      </c>
      <c r="AE25">
        <f>IF(P25=0,0,COUNTIF('Transect 3_imgsummary'!E25:I25,"ECHPHY")*100/P25)</f>
        <v>0</v>
      </c>
      <c r="AF25">
        <f>IF(P25=0,0,COUNTIF('Transect 3_imgsummary'!E25:I25,"EUPH")*100/P25)</f>
        <v>0</v>
      </c>
      <c r="AG25">
        <f>IF(P25=0,0,COUNTIF('Transect 3_imgsummary'!E25:I25,"FAV")*100/P25)</f>
        <v>0</v>
      </c>
      <c r="AH25" s="29">
        <f>IF(P25=0,0,COUNTIF('Transect 3_imgsummary'!E25:I25,"FAVT")*100/P25)</f>
        <v>20</v>
      </c>
      <c r="AI25">
        <f>IF(P25=0,0,COUNTIF('Transect 3_imgsummary'!E25:I25,"FUNG")*100/P25)</f>
        <v>0</v>
      </c>
      <c r="AJ25">
        <f>IF(P25=0,0,COUNTIF('Transect 3_imgsummary'!E25:I25,"GAL")*100/P25)</f>
        <v>0</v>
      </c>
      <c r="AK25">
        <f>IF(P25=0,0,COUNTIF('Transect 3_imgsummary'!E25:I25,"GARD")*100/P25)</f>
        <v>0</v>
      </c>
      <c r="AL25">
        <f>IF(P25=0,0,COUNTIF('Transect 3_imgsummary'!E25:I25,"GON")*100/P25)</f>
        <v>0</v>
      </c>
      <c r="AM25">
        <f>IF(P25=0,0,COUNTIF('Transect 3_imgsummary'!E25:I25,"GONIO")*100/P25)</f>
        <v>0</v>
      </c>
      <c r="AN25">
        <f>IF(P25=0,0,COUNTIF('Transect 3_imgsummary'!E25:I25,"HELIO")*100/P25)</f>
        <v>0</v>
      </c>
      <c r="AO25">
        <f>IF(P25=0,0,COUNTIF('Transect 3_imgsummary'!E25:I25,"HERP")*100/P25)</f>
        <v>0</v>
      </c>
      <c r="AP25">
        <f>IF(P25=0,0,COUNTIF('Transect 3_imgsummary'!E25:I25,"HYD")*100/P25)</f>
        <v>0</v>
      </c>
      <c r="AQ25">
        <f>IF(P25=0,0,COUNTIF('Transect 3_imgsummary'!E25:I25,"ISOP")*100/P25)</f>
        <v>0</v>
      </c>
      <c r="AR25">
        <f>IF(P25=0,0,COUNTIF('Transect 3_imgsummary'!E25:I25,"LEPT")*100/P25)</f>
        <v>0</v>
      </c>
      <c r="AS25">
        <f>IF(P25=0,0,COUNTIF('Transect 3_imgsummary'!E25:I25,"LEPTOR")*100/P25)</f>
        <v>0</v>
      </c>
      <c r="AT25">
        <f>IF(P25=0,0,COUNTIF('Transect 3_imgsummary'!E25:I25,"LEPTOS")*100/P25)</f>
        <v>0</v>
      </c>
      <c r="AU25">
        <f>IF(P25=0,0,COUNTIF('Transect 3_imgsummary'!E25:I25,"LOBOPH")*100/P25)</f>
        <v>0</v>
      </c>
      <c r="AV25">
        <f>IF(P25=0,0,COUNTIF('Transect 3_imgsummary'!E25:I25,"MERU")*100/P25)</f>
        <v>0</v>
      </c>
      <c r="AW25">
        <f>IF(P25=0,0,COUNTIF('Transect 3_imgsummary'!E25:I25,"MILL")*100/P25)</f>
        <v>0</v>
      </c>
      <c r="AX25">
        <f>IF(P25=0,0,COUNTIF('Transect 3_imgsummary'!E25:I25,"MONT")*100/P25)</f>
        <v>0</v>
      </c>
      <c r="AY25">
        <f>IF(P25=0,0,COUNTIF('Transect 3_imgsummary'!E25:I25,"MONTI")*100/P25)</f>
        <v>0</v>
      </c>
      <c r="AZ25">
        <f>IF(P25=0,0,COUNTIF('Transect 3_imgsummary'!E25:I25,"MYCED")*100/P25)</f>
        <v>0</v>
      </c>
      <c r="BA25">
        <f>IF(P25=0,0,COUNTIF('Transect 3_imgsummary'!E25:I25,"OULO")*100/P25)</f>
        <v>0</v>
      </c>
      <c r="BB25">
        <f>IF(P25=0,0,COUNTIF('Transect 3_imgsummary'!E25:I25,"OXYP")*100/P25)</f>
        <v>0</v>
      </c>
      <c r="BC25">
        <f>IF(P25=0,0,COUNTIF('Transect 3_imgsummary'!E25:I25,"PLSIA")*100/P25)</f>
        <v>0</v>
      </c>
      <c r="BD25">
        <f>IF(P25=0,0,COUNTIF('Transect 3_imgsummary'!E25:I25,"PACHY")*100/P25)</f>
        <v>0</v>
      </c>
      <c r="BE25">
        <f>IF(P25=0,0,COUNTIF('Transect 3_imgsummary'!E25:I25,"PAV")*100/P25)</f>
        <v>0</v>
      </c>
      <c r="BF25">
        <f>IF(P25=0,0,COUNTIF('Transect 3_imgsummary'!E25:I25,"PECT")*100/P25)</f>
        <v>0</v>
      </c>
      <c r="BG25">
        <f>IF(P25=0,0,COUNTIF('Transect 3_imgsummary'!E25:I25,"PHYSO")*100/P25)</f>
        <v>0</v>
      </c>
      <c r="BH25">
        <f>IF(P25=0,0,COUNTIF('Transect 3_imgsummary'!E25:I25,"PLAT")*100/P25)</f>
        <v>0</v>
      </c>
      <c r="BI25">
        <f>IF(P25=0,0,COUNTIF('Transect 3_imgsummary'!E25:I25,"PLERO")*100/P25)</f>
        <v>0</v>
      </c>
      <c r="BJ25">
        <f>IF(P25=0,0,COUNTIF('Transect 3_imgsummary'!E25:I25,"POC")*100/P25)</f>
        <v>0</v>
      </c>
      <c r="BK25">
        <f>IF(P25=0,0,COUNTIF('Transect 3_imgsummary'!E25:I25,"POR")*100/P25)</f>
        <v>0</v>
      </c>
      <c r="BL25">
        <f>IF(P25=0,0,COUNTIF('Transect 3_imgsummary'!E25:I25,"PORCYL")*100/P25)</f>
        <v>0</v>
      </c>
      <c r="BM25">
        <f>IF(P25=0,0,COUNTIF('Transect 3_imgsummary'!E25:I25,"PORMAS")*100/P25)</f>
        <v>0</v>
      </c>
      <c r="BN25">
        <f>IF(P25=0,0,COUNTIF('Transect 3_imgsummary'!E25:I25,"PORRUS")*100/P25)</f>
        <v>0</v>
      </c>
      <c r="BO25">
        <f>IF(P25=0,0,COUNTIF('Transect 3_imgsummary'!E25:I25,"PSAM")*100/P25)</f>
        <v>0</v>
      </c>
      <c r="BP25">
        <f>IF(P25=0,0,COUNTIF('Transect 3_imgsummary'!E25:I25,"SANDO")*100/P25)</f>
        <v>0</v>
      </c>
      <c r="BQ25">
        <f>IF(P25=0,0,COUNTIF('Transect 3_imgsummary'!E25:I25,"SCAP")*100/P25)</f>
        <v>0</v>
      </c>
      <c r="BR25">
        <f>IF(P25=0,0,COUNTIF('Transect 3_imgsummary'!E25:I25,"SERIA")*100/P25)</f>
        <v>0</v>
      </c>
      <c r="BS25">
        <f>IF(P25=0,0,COUNTIF('Transect 3_imgsummary'!E25:I25,"STYLC")*100/P25)</f>
        <v>0</v>
      </c>
      <c r="BT25" s="29">
        <f>IF(P25=0,0,COUNTIF('Transect 3_imgsummary'!E25:I25,"STYLO")*100/P25)</f>
        <v>20</v>
      </c>
      <c r="BU25">
        <f>IF(P25=0,0,COUNTIF('Transect 3_imgsummary'!E25:I25,"SYMP")*100/P25)</f>
        <v>0</v>
      </c>
      <c r="BV25">
        <f>IF(P25=0,0,COUNTIF('Transect 3_imgsummary'!E25:I25,"TURBIN")*100/P25)</f>
        <v>0</v>
      </c>
      <c r="BX25">
        <f>IF(P25=0,0,COUNTIF('Transect 3_imgsummary'!E25:I25,"ANEM")*100/P25)</f>
        <v>0</v>
      </c>
      <c r="BY25">
        <f>IF(P25=0,0,COUNTIF('Transect 3_imgsummary'!E25:I25,"ASC")*100/P25)</f>
        <v>0</v>
      </c>
      <c r="BZ25">
        <f>IF(P25=0,0,COUNTIF('Transect 3_imgsummary'!E25:I25,"CUPS")*100/P25)</f>
        <v>0</v>
      </c>
      <c r="CA25">
        <f>IF(P25=0,0,COUNTIF('Transect 3_imgsummary'!E25:I25,"DISCO")*100/P25)</f>
        <v>0</v>
      </c>
      <c r="CB25">
        <f>IF(P25=0,0,COUNTIF('Transect 3_imgsummary'!E25:I25,"DYS")*100/P25)</f>
        <v>0</v>
      </c>
      <c r="CC25">
        <f>IF(P25=0,0,COUNTIF('Transect 3_imgsummary'!E25:I25,"G")*100/P25)</f>
        <v>0</v>
      </c>
      <c r="CD25">
        <f>IF(P25=0,0,COUNTIF('Transect 3_imgsummary'!E25:I25,"NoIDINV")*100/P25)</f>
        <v>0</v>
      </c>
      <c r="CE25">
        <f>IF(P25=0,0,COUNTIF('Transect 3_imgsummary'!E25:I25,"OLV")*100/P25)</f>
        <v>0</v>
      </c>
      <c r="CF25">
        <f>IF(P25=0,0,COUNTIF('Transect 3_imgsummary'!E25:I25,"SC")*100/P25)</f>
        <v>0</v>
      </c>
      <c r="CG25">
        <f>IF(P25=0,0,COUNTIF('Transect 3_imgsummary'!E25:I25,"S")*100/P25)</f>
        <v>0</v>
      </c>
      <c r="CH25">
        <f>IF(P25=0,0,COUNTIF('Transect 3_imgsummary'!E25:I25,"TERPS")*100/P25)</f>
        <v>0</v>
      </c>
      <c r="CI25">
        <f>IF(P25=0,0,COUNTIF('Transect 3_imgsummary'!E25:I25,"Z")*100/P25)</f>
        <v>0</v>
      </c>
      <c r="CK25">
        <f>IF(P25=0,0,COUNTIF('Transect 3_imgsummary'!E25:I25,"ASP")*100/P25)</f>
        <v>0</v>
      </c>
      <c r="CL25">
        <f>IF(P25=0,0,COUNTIF('Transect 3_imgsummary'!E25:I25,"BG")*100/P25)</f>
        <v>0</v>
      </c>
      <c r="CM25">
        <f>IF(P25=0,0,COUNTIF('Transect 3_imgsummary'!E25:I25,"Bood")*100/P25)</f>
        <v>0</v>
      </c>
      <c r="CN25">
        <f>IF(P25=0,0,COUNTIF('Transect 3_imgsummary'!E25:I25,"BRYP")*100/P25)</f>
        <v>0</v>
      </c>
      <c r="CO25">
        <f>IF(P25=0,0,COUNTIF('Transect 3_imgsummary'!E25:I25,"CLP")*100/P25)</f>
        <v>0</v>
      </c>
      <c r="CP25">
        <f>IF(P25=0,0,COUNTIF('Transect 3_imgsummary'!E25:I25,"CHLDES")*100/P25)</f>
        <v>0</v>
      </c>
      <c r="CQ25">
        <f>IF(P25=0,0,COUNTIF('Transect 3_imgsummary'!E25:I25,"DYCTY")*100/P25)</f>
        <v>0</v>
      </c>
      <c r="CR25">
        <f>IF(P25=0,0,COUNTIF('Transect 3_imgsummary'!E25:I25,"DICT")*100/P25)</f>
        <v>0</v>
      </c>
      <c r="CS25">
        <f>IF(P25=0,0,COUNTIF('Transect 3_imgsummary'!E25:I25,"GLXU")*100/P25)</f>
        <v>0</v>
      </c>
      <c r="CT25">
        <f>IF(P25=0,0,COUNTIF('Transect 3_imgsummary'!E25:I25,"HALI")*100/P25)</f>
        <v>0</v>
      </c>
      <c r="CU25">
        <f>IF(P25=0,0,COUNTIF('Transect 3_imgsummary'!E25:I25,"LIAG")*100/P25)</f>
        <v>0</v>
      </c>
      <c r="CV25">
        <f>IF(P25=0,0,COUNTIF('Transect 3_imgsummary'!E25:I25,"LOBO")*100/P25)</f>
        <v>0</v>
      </c>
      <c r="CW25">
        <f>IF(P25=0,0,COUNTIF('Transect 3_imgsummary'!E25:I25,"MAST")*100/P25)</f>
        <v>0</v>
      </c>
      <c r="CX25">
        <f>IF(P25=0,0,COUNTIF('Transect 3_imgsummary'!E25:I25,"MICDTY")*100/P25)</f>
        <v>0</v>
      </c>
      <c r="CY25">
        <f>IF(P25=0,0,COUNTIF('Transect 3_imgsummary'!E25:I25,"NEOM")*100/P25)</f>
        <v>0</v>
      </c>
      <c r="CZ25">
        <f>IF(P25=0,0,COUNTIF('Transect 3_imgsummary'!E25:I25,"NOIDMAC")*100/P25)</f>
        <v>0</v>
      </c>
      <c r="DA25">
        <f>IF(P25=0,0,COUNTIF('Transect 3_imgsummary'!E25:I25,"PAD")*100/P25)</f>
        <v>0</v>
      </c>
      <c r="DB25">
        <f>IF(P25=0,0,COUNTIF('Transect 3_imgsummary'!E25:I25,"SARG")*100/P25)</f>
        <v>0</v>
      </c>
      <c r="DC25">
        <f>IF(P25=0,0,COUNTIF('Transect 3_imgsummary'!E25:I25,"SCHIZ")*100/P25)</f>
        <v>0</v>
      </c>
      <c r="DD25">
        <f>IF(P25=0,0,COUNTIF('Transect 3_imgsummary'!E25:I25,"TURB")*100/P25)</f>
        <v>0</v>
      </c>
      <c r="DE25">
        <f>IF(P25=0,0,COUNTIF('Transect 3_imgsummary'!E25:I25,"TYDM")*100/P25)</f>
        <v>0</v>
      </c>
      <c r="DG25">
        <f>IF(P25=0,0,COUNTIF('Transect 3_imgsummary'!E25:I25,"AMP")*100/P25)</f>
        <v>0</v>
      </c>
      <c r="DH25">
        <f>IF(P25=0,0,COUNTIF('Transect 3_imgsummary'!E25:I25,"BCA1")*100/P25)</f>
        <v>0</v>
      </c>
      <c r="DI25">
        <f>IF(P25=0,0,COUNTIF('Transect 3_imgsummary'!E25:I25,"JAN")*100/P25)</f>
        <v>0</v>
      </c>
      <c r="DK25" s="29">
        <f>IF(P25=0,0,COUNTIF('Transect 3_imgsummary'!E25:I25,"CCA1")*100/P25)</f>
        <v>20</v>
      </c>
      <c r="DM25">
        <f>IF(P25=0,0,COUNTIF('Transect 3_imgsummary'!E25:I25,"Sand")*100/P25)</f>
        <v>0</v>
      </c>
      <c r="DO25">
        <f>IF(P25=0,0,COUNTIF('Transect 3_imgsummary'!E25:I25,"FCA1")*100/P25)</f>
        <v>0</v>
      </c>
      <c r="DQ25">
        <f>IF(P25=0,0,COUNTIF('Transect 3_imgsummary'!E25:I25,"CHRYOBRN")*100/P25)</f>
        <v>0</v>
      </c>
      <c r="DS25" s="29">
        <f>IF(P25=0,0,COUNTIF('Transect 3_imgsummary'!E25:I25,"TURF")*100/P25)</f>
        <v>40</v>
      </c>
      <c r="DU25">
        <f>COUNTIF('Transect 3_imgsummary'!E25:I25,"Shadow")*100/5</f>
        <v>0</v>
      </c>
      <c r="DV25">
        <f>COUNTIF('Transect 3_imgsummary'!E25:I25,"Tape")*100/5</f>
        <v>0</v>
      </c>
      <c r="DW25">
        <f>COUNTIF('Transect 3_imgsummary'!E25:I25,"Wand")*100/5</f>
        <v>0</v>
      </c>
      <c r="DY25">
        <f>IF(P25=0,0,COUNTIF('Transect 3_imgsummary'!O25:S25,"BC")*100/P25)</f>
        <v>0</v>
      </c>
    </row>
    <row r="26" spans="1:129">
      <c r="A26">
        <v>24</v>
      </c>
      <c r="B26" t="s">
        <v>513</v>
      </c>
      <c r="F26">
        <f>IF(P26=0,0,COUNTIF('Transect 3_imgsummary'!J26:N26,"C")*100/P26)</f>
        <v>0</v>
      </c>
      <c r="G26">
        <f>IF(P26=0,0,COUNTIF('Transect 3_imgsummary'!J26:N26,"OI")*100/P26)</f>
        <v>0</v>
      </c>
      <c r="H26">
        <f>IF(P26=0,0,COUNTIF('Transect 3_imgsummary'!J26:N26,"MA")*100/P26)</f>
        <v>0</v>
      </c>
      <c r="I26">
        <f>IF(P26=0,0,COUNTIF('Transect 3_imgsummary'!J26:N26,"BCA")*100/P26)</f>
        <v>0</v>
      </c>
      <c r="J26" s="29">
        <f>IF(P26=0,0,COUNTIF('Transect 3_imgsummary'!J26:N26,"CCA")*100/P26)</f>
        <v>60</v>
      </c>
      <c r="K26">
        <f>IF(P26=0,0,COUNTIF('Transect 3_imgsummary'!J26:N26,"SD")*100/P26)</f>
        <v>0</v>
      </c>
      <c r="L26" s="29">
        <f>IF(P26=0,0,COUNTIF('Transect 3_imgsummary'!J26:N26,"FCA")*100/P26)</f>
        <v>20</v>
      </c>
      <c r="M26">
        <f>IF(P26=0,0,COUNTIF('Transect 3_imgsummary'!J26:N26,"CHRYS")*100/P26)</f>
        <v>0</v>
      </c>
      <c r="N26" s="29">
        <f>IF(P26=0,0,COUNTIF('Transect 3_imgsummary'!J26:N26,"T")*100/P26)</f>
        <v>20</v>
      </c>
      <c r="O26">
        <f>IF(P26=0,0,COUNTIF('Transect 3_imgsummary'!J26:N26,"TWS")*100/P26)</f>
        <v>0</v>
      </c>
      <c r="P26">
        <f>5-COUNTIF('Transect 3_imgsummary'!J26:N26,"TWS")</f>
        <v>5</v>
      </c>
      <c r="S26">
        <f>IF(P26=0,0,COUNTIF('Transect 3_imgsummary'!E26:I26,"ACAN")*100/P26)</f>
        <v>0</v>
      </c>
      <c r="T26">
        <f>IF(P26=0,0,COUNTIF('Transect 3_imgsummary'!E26:I26,"ACROP")*100/P26)</f>
        <v>0</v>
      </c>
      <c r="U26">
        <f>IF(P26=0,0,COUNTIF('Transect 3_imgsummary'!E26:I26,"ACROPARB")*100/P26)</f>
        <v>0</v>
      </c>
      <c r="V26">
        <f>IF(P26=0,0,COUNTIF('Transect 3_imgsummary'!E26:I26,"ACROST")*100/P26)</f>
        <v>0</v>
      </c>
      <c r="W26">
        <f>IF(P26=0,0,COUNTIF('Transect 3_imgsummary'!E26:I26,"ACROTBL")*100/P26)</f>
        <v>0</v>
      </c>
      <c r="X26">
        <f>IF(P26=0,0,COUNTIF('Transect 3_imgsummary'!E26:I26,"ASTRP")*100/P26)</f>
        <v>0</v>
      </c>
      <c r="Y26">
        <f>IF(P26=0,0,COUNTIF('Transect 3_imgsummary'!E26:I26,"CAUL")*100/P26)</f>
        <v>0</v>
      </c>
      <c r="Z26">
        <f>IF(P26=0,0,COUNTIF('Transect 3_imgsummary'!E26:I26,"COSC")*100/P26)</f>
        <v>0</v>
      </c>
      <c r="AA26">
        <f>IF(P26=0,0,COUNTIF('Transect 3_imgsummary'!E26:I26,"CTEN")*100/P26)</f>
        <v>0</v>
      </c>
      <c r="AB26">
        <f>IF(P26=0,0,COUNTIF('Transect 3_imgsummary'!E26:I26,"CYPH")*100/P26)</f>
        <v>0</v>
      </c>
      <c r="AC26">
        <f>IF(P26=0,0,COUNTIF('Transect 3_imgsummary'!E26:I26,"DIPLO")*100/P26)</f>
        <v>0</v>
      </c>
      <c r="AD26">
        <f>IF(P26=0,0,COUNTIF('Transect 3_imgsummary'!E26:I26,"ECHPO")*100/P26)</f>
        <v>0</v>
      </c>
      <c r="AE26">
        <f>IF(P26=0,0,COUNTIF('Transect 3_imgsummary'!E26:I26,"ECHPHY")*100/P26)</f>
        <v>0</v>
      </c>
      <c r="AF26">
        <f>IF(P26=0,0,COUNTIF('Transect 3_imgsummary'!E26:I26,"EUPH")*100/P26)</f>
        <v>0</v>
      </c>
      <c r="AG26">
        <f>IF(P26=0,0,COUNTIF('Transect 3_imgsummary'!E26:I26,"FAV")*100/P26)</f>
        <v>0</v>
      </c>
      <c r="AH26">
        <f>IF(P26=0,0,COUNTIF('Transect 3_imgsummary'!E26:I26,"FAVT")*100/P26)</f>
        <v>0</v>
      </c>
      <c r="AI26">
        <f>IF(P26=0,0,COUNTIF('Transect 3_imgsummary'!E26:I26,"FUNG")*100/P26)</f>
        <v>0</v>
      </c>
      <c r="AJ26">
        <f>IF(P26=0,0,COUNTIF('Transect 3_imgsummary'!E26:I26,"GAL")*100/P26)</f>
        <v>0</v>
      </c>
      <c r="AK26">
        <f>IF(P26=0,0,COUNTIF('Transect 3_imgsummary'!E26:I26,"GARD")*100/P26)</f>
        <v>0</v>
      </c>
      <c r="AL26">
        <f>IF(P26=0,0,COUNTIF('Transect 3_imgsummary'!E26:I26,"GON")*100/P26)</f>
        <v>0</v>
      </c>
      <c r="AM26">
        <f>IF(P26=0,0,COUNTIF('Transect 3_imgsummary'!E26:I26,"GONIO")*100/P26)</f>
        <v>0</v>
      </c>
      <c r="AN26">
        <f>IF(P26=0,0,COUNTIF('Transect 3_imgsummary'!E26:I26,"HELIO")*100/P26)</f>
        <v>0</v>
      </c>
      <c r="AO26">
        <f>IF(P26=0,0,COUNTIF('Transect 3_imgsummary'!E26:I26,"HERP")*100/P26)</f>
        <v>0</v>
      </c>
      <c r="AP26">
        <f>IF(P26=0,0,COUNTIF('Transect 3_imgsummary'!E26:I26,"HYD")*100/P26)</f>
        <v>0</v>
      </c>
      <c r="AQ26">
        <f>IF(P26=0,0,COUNTIF('Transect 3_imgsummary'!E26:I26,"ISOP")*100/P26)</f>
        <v>0</v>
      </c>
      <c r="AR26">
        <f>IF(P26=0,0,COUNTIF('Transect 3_imgsummary'!E26:I26,"LEPT")*100/P26)</f>
        <v>0</v>
      </c>
      <c r="AS26">
        <f>IF(P26=0,0,COUNTIF('Transect 3_imgsummary'!E26:I26,"LEPTOR")*100/P26)</f>
        <v>0</v>
      </c>
      <c r="AT26">
        <f>IF(P26=0,0,COUNTIF('Transect 3_imgsummary'!E26:I26,"LEPTOS")*100/P26)</f>
        <v>0</v>
      </c>
      <c r="AU26">
        <f>IF(P26=0,0,COUNTIF('Transect 3_imgsummary'!E26:I26,"LOBOPH")*100/P26)</f>
        <v>0</v>
      </c>
      <c r="AV26">
        <f>IF(P26=0,0,COUNTIF('Transect 3_imgsummary'!E26:I26,"MERU")*100/P26)</f>
        <v>0</v>
      </c>
      <c r="AW26">
        <f>IF(P26=0,0,COUNTIF('Transect 3_imgsummary'!E26:I26,"MILL")*100/P26)</f>
        <v>0</v>
      </c>
      <c r="AX26">
        <f>IF(P26=0,0,COUNTIF('Transect 3_imgsummary'!E26:I26,"MONT")*100/P26)</f>
        <v>0</v>
      </c>
      <c r="AY26">
        <f>IF(P26=0,0,COUNTIF('Transect 3_imgsummary'!E26:I26,"MONTI")*100/P26)</f>
        <v>0</v>
      </c>
      <c r="AZ26">
        <f>IF(P26=0,0,COUNTIF('Transect 3_imgsummary'!E26:I26,"MYCED")*100/P26)</f>
        <v>0</v>
      </c>
      <c r="BA26">
        <f>IF(P26=0,0,COUNTIF('Transect 3_imgsummary'!E26:I26,"OULO")*100/P26)</f>
        <v>0</v>
      </c>
      <c r="BB26">
        <f>IF(P26=0,0,COUNTIF('Transect 3_imgsummary'!E26:I26,"OXYP")*100/P26)</f>
        <v>0</v>
      </c>
      <c r="BC26">
        <f>IF(P26=0,0,COUNTIF('Transect 3_imgsummary'!E26:I26,"PLSIA")*100/P26)</f>
        <v>0</v>
      </c>
      <c r="BD26">
        <f>IF(P26=0,0,COUNTIF('Transect 3_imgsummary'!E26:I26,"PACHY")*100/P26)</f>
        <v>0</v>
      </c>
      <c r="BE26">
        <f>IF(P26=0,0,COUNTIF('Transect 3_imgsummary'!E26:I26,"PAV")*100/P26)</f>
        <v>0</v>
      </c>
      <c r="BF26">
        <f>IF(P26=0,0,COUNTIF('Transect 3_imgsummary'!E26:I26,"PECT")*100/P26)</f>
        <v>0</v>
      </c>
      <c r="BG26">
        <f>IF(P26=0,0,COUNTIF('Transect 3_imgsummary'!E26:I26,"PHYSO")*100/P26)</f>
        <v>0</v>
      </c>
      <c r="BH26">
        <f>IF(P26=0,0,COUNTIF('Transect 3_imgsummary'!E26:I26,"PLAT")*100/P26)</f>
        <v>0</v>
      </c>
      <c r="BI26">
        <f>IF(P26=0,0,COUNTIF('Transect 3_imgsummary'!E26:I26,"PLERO")*100/P26)</f>
        <v>0</v>
      </c>
      <c r="BJ26">
        <f>IF(P26=0,0,COUNTIF('Transect 3_imgsummary'!E26:I26,"POC")*100/P26)</f>
        <v>0</v>
      </c>
      <c r="BK26">
        <f>IF(P26=0,0,COUNTIF('Transect 3_imgsummary'!E26:I26,"POR")*100/P26)</f>
        <v>0</v>
      </c>
      <c r="BL26">
        <f>IF(P26=0,0,COUNTIF('Transect 3_imgsummary'!E26:I26,"PORCYL")*100/P26)</f>
        <v>0</v>
      </c>
      <c r="BM26">
        <f>IF(P26=0,0,COUNTIF('Transect 3_imgsummary'!E26:I26,"PORMAS")*100/P26)</f>
        <v>0</v>
      </c>
      <c r="BN26">
        <f>IF(P26=0,0,COUNTIF('Transect 3_imgsummary'!E26:I26,"PORRUS")*100/P26)</f>
        <v>0</v>
      </c>
      <c r="BO26">
        <f>IF(P26=0,0,COUNTIF('Transect 3_imgsummary'!E26:I26,"PSAM")*100/P26)</f>
        <v>0</v>
      </c>
      <c r="BP26">
        <f>IF(P26=0,0,COUNTIF('Transect 3_imgsummary'!E26:I26,"SANDO")*100/P26)</f>
        <v>0</v>
      </c>
      <c r="BQ26">
        <f>IF(P26=0,0,COUNTIF('Transect 3_imgsummary'!E26:I26,"SCAP")*100/P26)</f>
        <v>0</v>
      </c>
      <c r="BR26">
        <f>IF(P26=0,0,COUNTIF('Transect 3_imgsummary'!E26:I26,"SERIA")*100/P26)</f>
        <v>0</v>
      </c>
      <c r="BS26">
        <f>IF(P26=0,0,COUNTIF('Transect 3_imgsummary'!E26:I26,"STYLC")*100/P26)</f>
        <v>0</v>
      </c>
      <c r="BT26">
        <f>IF(P26=0,0,COUNTIF('Transect 3_imgsummary'!E26:I26,"STYLO")*100/P26)</f>
        <v>0</v>
      </c>
      <c r="BU26">
        <f>IF(P26=0,0,COUNTIF('Transect 3_imgsummary'!E26:I26,"SYMP")*100/P26)</f>
        <v>0</v>
      </c>
      <c r="BV26">
        <f>IF(P26=0,0,COUNTIF('Transect 3_imgsummary'!E26:I26,"TURBIN")*100/P26)</f>
        <v>0</v>
      </c>
      <c r="BX26">
        <f>IF(P26=0,0,COUNTIF('Transect 3_imgsummary'!E26:I26,"ANEM")*100/P26)</f>
        <v>0</v>
      </c>
      <c r="BY26">
        <f>IF(P26=0,0,COUNTIF('Transect 3_imgsummary'!E26:I26,"ASC")*100/P26)</f>
        <v>0</v>
      </c>
      <c r="BZ26">
        <f>IF(P26=0,0,COUNTIF('Transect 3_imgsummary'!E26:I26,"CUPS")*100/P26)</f>
        <v>0</v>
      </c>
      <c r="CA26">
        <f>IF(P26=0,0,COUNTIF('Transect 3_imgsummary'!E26:I26,"DISCO")*100/P26)</f>
        <v>0</v>
      </c>
      <c r="CB26">
        <f>IF(P26=0,0,COUNTIF('Transect 3_imgsummary'!E26:I26,"DYS")*100/P26)</f>
        <v>0</v>
      </c>
      <c r="CC26">
        <f>IF(P26=0,0,COUNTIF('Transect 3_imgsummary'!E26:I26,"G")*100/P26)</f>
        <v>0</v>
      </c>
      <c r="CD26">
        <f>IF(P26=0,0,COUNTIF('Transect 3_imgsummary'!E26:I26,"NoIDINV")*100/P26)</f>
        <v>0</v>
      </c>
      <c r="CE26">
        <f>IF(P26=0,0,COUNTIF('Transect 3_imgsummary'!E26:I26,"OLV")*100/P26)</f>
        <v>0</v>
      </c>
      <c r="CF26">
        <f>IF(P26=0,0,COUNTIF('Transect 3_imgsummary'!E26:I26,"SC")*100/P26)</f>
        <v>0</v>
      </c>
      <c r="CG26">
        <f>IF(P26=0,0,COUNTIF('Transect 3_imgsummary'!E26:I26,"S")*100/P26)</f>
        <v>0</v>
      </c>
      <c r="CH26">
        <f>IF(P26=0,0,COUNTIF('Transect 3_imgsummary'!E26:I26,"TERPS")*100/P26)</f>
        <v>0</v>
      </c>
      <c r="CI26">
        <f>IF(P26=0,0,COUNTIF('Transect 3_imgsummary'!E26:I26,"Z")*100/P26)</f>
        <v>0</v>
      </c>
      <c r="CK26">
        <f>IF(P26=0,0,COUNTIF('Transect 3_imgsummary'!E26:I26,"ASP")*100/P26)</f>
        <v>0</v>
      </c>
      <c r="CL26">
        <f>IF(P26=0,0,COUNTIF('Transect 3_imgsummary'!E26:I26,"BG")*100/P26)</f>
        <v>0</v>
      </c>
      <c r="CM26">
        <f>IF(P26=0,0,COUNTIF('Transect 3_imgsummary'!E26:I26,"Bood")*100/P26)</f>
        <v>0</v>
      </c>
      <c r="CN26">
        <f>IF(P26=0,0,COUNTIF('Transect 3_imgsummary'!E26:I26,"BRYP")*100/P26)</f>
        <v>0</v>
      </c>
      <c r="CO26">
        <f>IF(P26=0,0,COUNTIF('Transect 3_imgsummary'!E26:I26,"CLP")*100/P26)</f>
        <v>0</v>
      </c>
      <c r="CP26">
        <f>IF(P26=0,0,COUNTIF('Transect 3_imgsummary'!E26:I26,"CHLDES")*100/P26)</f>
        <v>0</v>
      </c>
      <c r="CQ26">
        <f>IF(P26=0,0,COUNTIF('Transect 3_imgsummary'!E26:I26,"DYCTY")*100/P26)</f>
        <v>0</v>
      </c>
      <c r="CR26">
        <f>IF(P26=0,0,COUNTIF('Transect 3_imgsummary'!E26:I26,"DICT")*100/P26)</f>
        <v>0</v>
      </c>
      <c r="CS26">
        <f>IF(P26=0,0,COUNTIF('Transect 3_imgsummary'!E26:I26,"GLXU")*100/P26)</f>
        <v>0</v>
      </c>
      <c r="CT26">
        <f>IF(P26=0,0,COUNTIF('Transect 3_imgsummary'!E26:I26,"HALI")*100/P26)</f>
        <v>0</v>
      </c>
      <c r="CU26">
        <f>IF(P26=0,0,COUNTIF('Transect 3_imgsummary'!E26:I26,"LIAG")*100/P26)</f>
        <v>0</v>
      </c>
      <c r="CV26">
        <f>IF(P26=0,0,COUNTIF('Transect 3_imgsummary'!E26:I26,"LOBO")*100/P26)</f>
        <v>0</v>
      </c>
      <c r="CW26">
        <f>IF(P26=0,0,COUNTIF('Transect 3_imgsummary'!E26:I26,"MAST")*100/P26)</f>
        <v>0</v>
      </c>
      <c r="CX26">
        <f>IF(P26=0,0,COUNTIF('Transect 3_imgsummary'!E26:I26,"MICDTY")*100/P26)</f>
        <v>0</v>
      </c>
      <c r="CY26">
        <f>IF(P26=0,0,COUNTIF('Transect 3_imgsummary'!E26:I26,"NEOM")*100/P26)</f>
        <v>0</v>
      </c>
      <c r="CZ26">
        <f>IF(P26=0,0,COUNTIF('Transect 3_imgsummary'!E26:I26,"NOIDMAC")*100/P26)</f>
        <v>0</v>
      </c>
      <c r="DA26">
        <f>IF(P26=0,0,COUNTIF('Transect 3_imgsummary'!E26:I26,"PAD")*100/P26)</f>
        <v>0</v>
      </c>
      <c r="DB26">
        <f>IF(P26=0,0,COUNTIF('Transect 3_imgsummary'!E26:I26,"SARG")*100/P26)</f>
        <v>0</v>
      </c>
      <c r="DC26">
        <f>IF(P26=0,0,COUNTIF('Transect 3_imgsummary'!E26:I26,"SCHIZ")*100/P26)</f>
        <v>0</v>
      </c>
      <c r="DD26">
        <f>IF(P26=0,0,COUNTIF('Transect 3_imgsummary'!E26:I26,"TURB")*100/P26)</f>
        <v>0</v>
      </c>
      <c r="DE26">
        <f>IF(P26=0,0,COUNTIF('Transect 3_imgsummary'!E26:I26,"TYDM")*100/P26)</f>
        <v>0</v>
      </c>
      <c r="DG26">
        <f>IF(P26=0,0,COUNTIF('Transect 3_imgsummary'!E26:I26,"AMP")*100/P26)</f>
        <v>0</v>
      </c>
      <c r="DH26">
        <f>IF(P26=0,0,COUNTIF('Transect 3_imgsummary'!E26:I26,"BCA1")*100/P26)</f>
        <v>0</v>
      </c>
      <c r="DI26">
        <f>IF(P26=0,0,COUNTIF('Transect 3_imgsummary'!E26:I26,"JAN")*100/P26)</f>
        <v>0</v>
      </c>
      <c r="DK26" s="29">
        <f>IF(P26=0,0,COUNTIF('Transect 3_imgsummary'!E26:I26,"CCA1")*100/P26)</f>
        <v>60</v>
      </c>
      <c r="DM26">
        <f>IF(P26=0,0,COUNTIF('Transect 3_imgsummary'!E26:I26,"Sand")*100/P26)</f>
        <v>0</v>
      </c>
      <c r="DO26" s="29">
        <f>IF(P26=0,0,COUNTIF('Transect 3_imgsummary'!E26:I26,"FCA1")*100/P26)</f>
        <v>20</v>
      </c>
      <c r="DQ26">
        <f>IF(P26=0,0,COUNTIF('Transect 3_imgsummary'!E26:I26,"CHRYOBRN")*100/P26)</f>
        <v>0</v>
      </c>
      <c r="DS26" s="29">
        <f>IF(P26=0,0,COUNTIF('Transect 3_imgsummary'!E26:I26,"TURF")*100/P26)</f>
        <v>20</v>
      </c>
      <c r="DU26">
        <f>COUNTIF('Transect 3_imgsummary'!E26:I26,"Shadow")*100/5</f>
        <v>0</v>
      </c>
      <c r="DV26">
        <f>COUNTIF('Transect 3_imgsummary'!E26:I26,"Tape")*100/5</f>
        <v>0</v>
      </c>
      <c r="DW26">
        <f>COUNTIF('Transect 3_imgsummary'!E26:I26,"Wand")*100/5</f>
        <v>0</v>
      </c>
      <c r="DY26">
        <f>IF(P26=0,0,COUNTIF('Transect 3_imgsummary'!O26:S26,"BC")*100/P26)</f>
        <v>0</v>
      </c>
    </row>
    <row r="27" spans="1:129">
      <c r="A27">
        <v>25</v>
      </c>
      <c r="B27" t="s">
        <v>514</v>
      </c>
      <c r="F27" s="29">
        <f>IF(P27=0,0,COUNTIF('Transect 3_imgsummary'!J27:N27,"C")*100/P27)</f>
        <v>80</v>
      </c>
      <c r="G27">
        <f>IF(P27=0,0,COUNTIF('Transect 3_imgsummary'!J27:N27,"OI")*100/P27)</f>
        <v>0</v>
      </c>
      <c r="H27">
        <f>IF(P27=0,0,COUNTIF('Transect 3_imgsummary'!J27:N27,"MA")*100/P27)</f>
        <v>0</v>
      </c>
      <c r="I27">
        <f>IF(P27=0,0,COUNTIF('Transect 3_imgsummary'!J27:N27,"BCA")*100/P27)</f>
        <v>0</v>
      </c>
      <c r="J27" s="29">
        <f>IF(P27=0,0,COUNTIF('Transect 3_imgsummary'!J27:N27,"CCA")*100/P27)</f>
        <v>20</v>
      </c>
      <c r="K27">
        <f>IF(P27=0,0,COUNTIF('Transect 3_imgsummary'!J27:N27,"SD")*100/P27)</f>
        <v>0</v>
      </c>
      <c r="L27">
        <f>IF(P27=0,0,COUNTIF('Transect 3_imgsummary'!J27:N27,"FCA")*100/P27)</f>
        <v>0</v>
      </c>
      <c r="M27">
        <f>IF(P27=0,0,COUNTIF('Transect 3_imgsummary'!J27:N27,"CHRYS")*100/P27)</f>
        <v>0</v>
      </c>
      <c r="N27">
        <f>IF(P27=0,0,COUNTIF('Transect 3_imgsummary'!J27:N27,"T")*100/P27)</f>
        <v>0</v>
      </c>
      <c r="O27">
        <f>IF(P27=0,0,COUNTIF('Transect 3_imgsummary'!J27:N27,"TWS")*100/P27)</f>
        <v>0</v>
      </c>
      <c r="P27">
        <f>5-COUNTIF('Transect 3_imgsummary'!J27:N27,"TWS")</f>
        <v>5</v>
      </c>
      <c r="S27">
        <f>IF(P27=0,0,COUNTIF('Transect 3_imgsummary'!E27:I27,"ACAN")*100/P27)</f>
        <v>0</v>
      </c>
      <c r="T27">
        <f>IF(P27=0,0,COUNTIF('Transect 3_imgsummary'!E27:I27,"ACROP")*100/P27)</f>
        <v>0</v>
      </c>
      <c r="U27">
        <f>IF(P27=0,0,COUNTIF('Transect 3_imgsummary'!E27:I27,"ACROPARB")*100/P27)</f>
        <v>0</v>
      </c>
      <c r="V27">
        <f>IF(P27=0,0,COUNTIF('Transect 3_imgsummary'!E27:I27,"ACROST")*100/P27)</f>
        <v>0</v>
      </c>
      <c r="W27">
        <f>IF(P27=0,0,COUNTIF('Transect 3_imgsummary'!E27:I27,"ACROTBL")*100/P27)</f>
        <v>0</v>
      </c>
      <c r="X27">
        <f>IF(P27=0,0,COUNTIF('Transect 3_imgsummary'!E27:I27,"ASTRP")*100/P27)</f>
        <v>0</v>
      </c>
      <c r="Y27">
        <f>IF(P27=0,0,COUNTIF('Transect 3_imgsummary'!E27:I27,"CAUL")*100/P27)</f>
        <v>0</v>
      </c>
      <c r="Z27">
        <f>IF(P27=0,0,COUNTIF('Transect 3_imgsummary'!E27:I27,"COSC")*100/P27)</f>
        <v>0</v>
      </c>
      <c r="AA27">
        <f>IF(P27=0,0,COUNTIF('Transect 3_imgsummary'!E27:I27,"CTEN")*100/P27)</f>
        <v>0</v>
      </c>
      <c r="AB27">
        <f>IF(P27=0,0,COUNTIF('Transect 3_imgsummary'!E27:I27,"CYPH")*100/P27)</f>
        <v>0</v>
      </c>
      <c r="AC27">
        <f>IF(P27=0,0,COUNTIF('Transect 3_imgsummary'!E27:I27,"DIPLO")*100/P27)</f>
        <v>0</v>
      </c>
      <c r="AD27" s="29">
        <f>IF(P27=0,0,COUNTIF('Transect 3_imgsummary'!E27:I27,"ECHPO")*100/P27)</f>
        <v>80</v>
      </c>
      <c r="AE27">
        <f>IF(P27=0,0,COUNTIF('Transect 3_imgsummary'!E27:I27,"ECHPHY")*100/P27)</f>
        <v>0</v>
      </c>
      <c r="AF27">
        <f>IF(P27=0,0,COUNTIF('Transect 3_imgsummary'!E27:I27,"EUPH")*100/P27)</f>
        <v>0</v>
      </c>
      <c r="AG27">
        <f>IF(P27=0,0,COUNTIF('Transect 3_imgsummary'!E27:I27,"FAV")*100/P27)</f>
        <v>0</v>
      </c>
      <c r="AH27">
        <f>IF(P27=0,0,COUNTIF('Transect 3_imgsummary'!E27:I27,"FAVT")*100/P27)</f>
        <v>0</v>
      </c>
      <c r="AI27">
        <f>IF(P27=0,0,COUNTIF('Transect 3_imgsummary'!E27:I27,"FUNG")*100/P27)</f>
        <v>0</v>
      </c>
      <c r="AJ27">
        <f>IF(P27=0,0,COUNTIF('Transect 3_imgsummary'!E27:I27,"GAL")*100/P27)</f>
        <v>0</v>
      </c>
      <c r="AK27">
        <f>IF(P27=0,0,COUNTIF('Transect 3_imgsummary'!E27:I27,"GARD")*100/P27)</f>
        <v>0</v>
      </c>
      <c r="AL27">
        <f>IF(P27=0,0,COUNTIF('Transect 3_imgsummary'!E27:I27,"GON")*100/P27)</f>
        <v>0</v>
      </c>
      <c r="AM27">
        <f>IF(P27=0,0,COUNTIF('Transect 3_imgsummary'!E27:I27,"GONIO")*100/P27)</f>
        <v>0</v>
      </c>
      <c r="AN27">
        <f>IF(P27=0,0,COUNTIF('Transect 3_imgsummary'!E27:I27,"HELIO")*100/P27)</f>
        <v>0</v>
      </c>
      <c r="AO27">
        <f>IF(P27=0,0,COUNTIF('Transect 3_imgsummary'!E27:I27,"HERP")*100/P27)</f>
        <v>0</v>
      </c>
      <c r="AP27">
        <f>IF(P27=0,0,COUNTIF('Transect 3_imgsummary'!E27:I27,"HYD")*100/P27)</f>
        <v>0</v>
      </c>
      <c r="AQ27">
        <f>IF(P27=0,0,COUNTIF('Transect 3_imgsummary'!E27:I27,"ISOP")*100/P27)</f>
        <v>0</v>
      </c>
      <c r="AR27">
        <f>IF(P27=0,0,COUNTIF('Transect 3_imgsummary'!E27:I27,"LEPT")*100/P27)</f>
        <v>0</v>
      </c>
      <c r="AS27">
        <f>IF(P27=0,0,COUNTIF('Transect 3_imgsummary'!E27:I27,"LEPTOR")*100/P27)</f>
        <v>0</v>
      </c>
      <c r="AT27">
        <f>IF(P27=0,0,COUNTIF('Transect 3_imgsummary'!E27:I27,"LEPTOS")*100/P27)</f>
        <v>0</v>
      </c>
      <c r="AU27">
        <f>IF(P27=0,0,COUNTIF('Transect 3_imgsummary'!E27:I27,"LOBOPH")*100/P27)</f>
        <v>0</v>
      </c>
      <c r="AV27">
        <f>IF(P27=0,0,COUNTIF('Transect 3_imgsummary'!E27:I27,"MERU")*100/P27)</f>
        <v>0</v>
      </c>
      <c r="AW27">
        <f>IF(P27=0,0,COUNTIF('Transect 3_imgsummary'!E27:I27,"MILL")*100/P27)</f>
        <v>0</v>
      </c>
      <c r="AX27">
        <f>IF(P27=0,0,COUNTIF('Transect 3_imgsummary'!E27:I27,"MONT")*100/P27)</f>
        <v>0</v>
      </c>
      <c r="AY27">
        <f>IF(P27=0,0,COUNTIF('Transect 3_imgsummary'!E27:I27,"MONTI")*100/P27)</f>
        <v>0</v>
      </c>
      <c r="AZ27">
        <f>IF(P27=0,0,COUNTIF('Transect 3_imgsummary'!E27:I27,"MYCED")*100/P27)</f>
        <v>0</v>
      </c>
      <c r="BA27">
        <f>IF(P27=0,0,COUNTIF('Transect 3_imgsummary'!E27:I27,"OULO")*100/P27)</f>
        <v>0</v>
      </c>
      <c r="BB27">
        <f>IF(P27=0,0,COUNTIF('Transect 3_imgsummary'!E27:I27,"OXYP")*100/P27)</f>
        <v>0</v>
      </c>
      <c r="BC27">
        <f>IF(P27=0,0,COUNTIF('Transect 3_imgsummary'!E27:I27,"PLSIA")*100/P27)</f>
        <v>0</v>
      </c>
      <c r="BD27">
        <f>IF(P27=0,0,COUNTIF('Transect 3_imgsummary'!E27:I27,"PACHY")*100/P27)</f>
        <v>0</v>
      </c>
      <c r="BE27">
        <f>IF(P27=0,0,COUNTIF('Transect 3_imgsummary'!E27:I27,"PAV")*100/P27)</f>
        <v>0</v>
      </c>
      <c r="BF27">
        <f>IF(P27=0,0,COUNTIF('Transect 3_imgsummary'!E27:I27,"PECT")*100/P27)</f>
        <v>0</v>
      </c>
      <c r="BG27">
        <f>IF(P27=0,0,COUNTIF('Transect 3_imgsummary'!E27:I27,"PHYSO")*100/P27)</f>
        <v>0</v>
      </c>
      <c r="BH27">
        <f>IF(P27=0,0,COUNTIF('Transect 3_imgsummary'!E27:I27,"PLAT")*100/P27)</f>
        <v>0</v>
      </c>
      <c r="BI27">
        <f>IF(P27=0,0,COUNTIF('Transect 3_imgsummary'!E27:I27,"PLERO")*100/P27)</f>
        <v>0</v>
      </c>
      <c r="BJ27">
        <f>IF(P27=0,0,COUNTIF('Transect 3_imgsummary'!E27:I27,"POC")*100/P27)</f>
        <v>0</v>
      </c>
      <c r="BK27">
        <f>IF(P27=0,0,COUNTIF('Transect 3_imgsummary'!E27:I27,"POR")*100/P27)</f>
        <v>0</v>
      </c>
      <c r="BL27">
        <f>IF(P27=0,0,COUNTIF('Transect 3_imgsummary'!E27:I27,"PORCYL")*100/P27)</f>
        <v>0</v>
      </c>
      <c r="BM27">
        <f>IF(P27=0,0,COUNTIF('Transect 3_imgsummary'!E27:I27,"PORMAS")*100/P27)</f>
        <v>0</v>
      </c>
      <c r="BN27">
        <f>IF(P27=0,0,COUNTIF('Transect 3_imgsummary'!E27:I27,"PORRUS")*100/P27)</f>
        <v>0</v>
      </c>
      <c r="BO27">
        <f>IF(P27=0,0,COUNTIF('Transect 3_imgsummary'!E27:I27,"PSAM")*100/P27)</f>
        <v>0</v>
      </c>
      <c r="BP27">
        <f>IF(P27=0,0,COUNTIF('Transect 3_imgsummary'!E27:I27,"SANDO")*100/P27)</f>
        <v>0</v>
      </c>
      <c r="BQ27">
        <f>IF(P27=0,0,COUNTIF('Transect 3_imgsummary'!E27:I27,"SCAP")*100/P27)</f>
        <v>0</v>
      </c>
      <c r="BR27">
        <f>IF(P27=0,0,COUNTIF('Transect 3_imgsummary'!E27:I27,"SERIA")*100/P27)</f>
        <v>0</v>
      </c>
      <c r="BS27">
        <f>IF(P27=0,0,COUNTIF('Transect 3_imgsummary'!E27:I27,"STYLC")*100/P27)</f>
        <v>0</v>
      </c>
      <c r="BT27">
        <f>IF(P27=0,0,COUNTIF('Transect 3_imgsummary'!E27:I27,"STYLO")*100/P27)</f>
        <v>0</v>
      </c>
      <c r="BU27">
        <f>IF(P27=0,0,COUNTIF('Transect 3_imgsummary'!E27:I27,"SYMP")*100/P27)</f>
        <v>0</v>
      </c>
      <c r="BV27">
        <f>IF(P27=0,0,COUNTIF('Transect 3_imgsummary'!E27:I27,"TURBIN")*100/P27)</f>
        <v>0</v>
      </c>
      <c r="BX27">
        <f>IF(P27=0,0,COUNTIF('Transect 3_imgsummary'!E27:I27,"ANEM")*100/P27)</f>
        <v>0</v>
      </c>
      <c r="BY27">
        <f>IF(P27=0,0,COUNTIF('Transect 3_imgsummary'!E27:I27,"ASC")*100/P27)</f>
        <v>0</v>
      </c>
      <c r="BZ27">
        <f>IF(P27=0,0,COUNTIF('Transect 3_imgsummary'!E27:I27,"CUPS")*100/P27)</f>
        <v>0</v>
      </c>
      <c r="CA27">
        <f>IF(P27=0,0,COUNTIF('Transect 3_imgsummary'!E27:I27,"DISCO")*100/P27)</f>
        <v>0</v>
      </c>
      <c r="CB27">
        <f>IF(P27=0,0,COUNTIF('Transect 3_imgsummary'!E27:I27,"DYS")*100/P27)</f>
        <v>0</v>
      </c>
      <c r="CC27">
        <f>IF(P27=0,0,COUNTIF('Transect 3_imgsummary'!E27:I27,"G")*100/P27)</f>
        <v>0</v>
      </c>
      <c r="CD27">
        <f>IF(P27=0,0,COUNTIF('Transect 3_imgsummary'!E27:I27,"NoIDINV")*100/P27)</f>
        <v>0</v>
      </c>
      <c r="CE27">
        <f>IF(P27=0,0,COUNTIF('Transect 3_imgsummary'!E27:I27,"OLV")*100/P27)</f>
        <v>0</v>
      </c>
      <c r="CF27">
        <f>IF(P27=0,0,COUNTIF('Transect 3_imgsummary'!E27:I27,"SC")*100/P27)</f>
        <v>0</v>
      </c>
      <c r="CG27">
        <f>IF(P27=0,0,COUNTIF('Transect 3_imgsummary'!E27:I27,"S")*100/P27)</f>
        <v>0</v>
      </c>
      <c r="CH27">
        <f>IF(P27=0,0,COUNTIF('Transect 3_imgsummary'!E27:I27,"TERPS")*100/P27)</f>
        <v>0</v>
      </c>
      <c r="CI27">
        <f>IF(P27=0,0,COUNTIF('Transect 3_imgsummary'!E27:I27,"Z")*100/P27)</f>
        <v>0</v>
      </c>
      <c r="CK27">
        <f>IF(P27=0,0,COUNTIF('Transect 3_imgsummary'!E27:I27,"ASP")*100/P27)</f>
        <v>0</v>
      </c>
      <c r="CL27">
        <f>IF(P27=0,0,COUNTIF('Transect 3_imgsummary'!E27:I27,"BG")*100/P27)</f>
        <v>0</v>
      </c>
      <c r="CM27">
        <f>IF(P27=0,0,COUNTIF('Transect 3_imgsummary'!E27:I27,"Bood")*100/P27)</f>
        <v>0</v>
      </c>
      <c r="CN27">
        <f>IF(P27=0,0,COUNTIF('Transect 3_imgsummary'!E27:I27,"BRYP")*100/P27)</f>
        <v>0</v>
      </c>
      <c r="CO27">
        <f>IF(P27=0,0,COUNTIF('Transect 3_imgsummary'!E27:I27,"CLP")*100/P27)</f>
        <v>0</v>
      </c>
      <c r="CP27">
        <f>IF(P27=0,0,COUNTIF('Transect 3_imgsummary'!E27:I27,"CHLDES")*100/P27)</f>
        <v>0</v>
      </c>
      <c r="CQ27">
        <f>IF(P27=0,0,COUNTIF('Transect 3_imgsummary'!E27:I27,"DYCTY")*100/P27)</f>
        <v>0</v>
      </c>
      <c r="CR27">
        <f>IF(P27=0,0,COUNTIF('Transect 3_imgsummary'!E27:I27,"DICT")*100/P27)</f>
        <v>0</v>
      </c>
      <c r="CS27">
        <f>IF(P27=0,0,COUNTIF('Transect 3_imgsummary'!E27:I27,"GLXU")*100/P27)</f>
        <v>0</v>
      </c>
      <c r="CT27">
        <f>IF(P27=0,0,COUNTIF('Transect 3_imgsummary'!E27:I27,"HALI")*100/P27)</f>
        <v>0</v>
      </c>
      <c r="CU27">
        <f>IF(P27=0,0,COUNTIF('Transect 3_imgsummary'!E27:I27,"LIAG")*100/P27)</f>
        <v>0</v>
      </c>
      <c r="CV27">
        <f>IF(P27=0,0,COUNTIF('Transect 3_imgsummary'!E27:I27,"LOBO")*100/P27)</f>
        <v>0</v>
      </c>
      <c r="CW27">
        <f>IF(P27=0,0,COUNTIF('Transect 3_imgsummary'!E27:I27,"MAST")*100/P27)</f>
        <v>0</v>
      </c>
      <c r="CX27">
        <f>IF(P27=0,0,COUNTIF('Transect 3_imgsummary'!E27:I27,"MICDTY")*100/P27)</f>
        <v>0</v>
      </c>
      <c r="CY27">
        <f>IF(P27=0,0,COUNTIF('Transect 3_imgsummary'!E27:I27,"NEOM")*100/P27)</f>
        <v>0</v>
      </c>
      <c r="CZ27">
        <f>IF(P27=0,0,COUNTIF('Transect 3_imgsummary'!E27:I27,"NOIDMAC")*100/P27)</f>
        <v>0</v>
      </c>
      <c r="DA27">
        <f>IF(P27=0,0,COUNTIF('Transect 3_imgsummary'!E27:I27,"PAD")*100/P27)</f>
        <v>0</v>
      </c>
      <c r="DB27">
        <f>IF(P27=0,0,COUNTIF('Transect 3_imgsummary'!E27:I27,"SARG")*100/P27)</f>
        <v>0</v>
      </c>
      <c r="DC27">
        <f>IF(P27=0,0,COUNTIF('Transect 3_imgsummary'!E27:I27,"SCHIZ")*100/P27)</f>
        <v>0</v>
      </c>
      <c r="DD27">
        <f>IF(P27=0,0,COUNTIF('Transect 3_imgsummary'!E27:I27,"TURB")*100/P27)</f>
        <v>0</v>
      </c>
      <c r="DE27">
        <f>IF(P27=0,0,COUNTIF('Transect 3_imgsummary'!E27:I27,"TYDM")*100/P27)</f>
        <v>0</v>
      </c>
      <c r="DG27">
        <f>IF(P27=0,0,COUNTIF('Transect 3_imgsummary'!E27:I27,"AMP")*100/P27)</f>
        <v>0</v>
      </c>
      <c r="DH27">
        <f>IF(P27=0,0,COUNTIF('Transect 3_imgsummary'!E27:I27,"BCA1")*100/P27)</f>
        <v>0</v>
      </c>
      <c r="DI27">
        <f>IF(P27=0,0,COUNTIF('Transect 3_imgsummary'!E27:I27,"JAN")*100/P27)</f>
        <v>0</v>
      </c>
      <c r="DK27" s="29">
        <f>IF(P27=0,0,COUNTIF('Transect 3_imgsummary'!E27:I27,"CCA1")*100/P27)</f>
        <v>20</v>
      </c>
      <c r="DM27">
        <f>IF(P27=0,0,COUNTIF('Transect 3_imgsummary'!E27:I27,"Sand")*100/P27)</f>
        <v>0</v>
      </c>
      <c r="DO27">
        <f>IF(P27=0,0,COUNTIF('Transect 3_imgsummary'!E27:I27,"FCA1")*100/P27)</f>
        <v>0</v>
      </c>
      <c r="DQ27">
        <f>IF(P27=0,0,COUNTIF('Transect 3_imgsummary'!E27:I27,"CHRYOBRN")*100/P27)</f>
        <v>0</v>
      </c>
      <c r="DS27">
        <f>IF(P27=0,0,COUNTIF('Transect 3_imgsummary'!E27:I27,"TURF")*100/P27)</f>
        <v>0</v>
      </c>
      <c r="DU27">
        <f>COUNTIF('Transect 3_imgsummary'!E27:I27,"Shadow")*100/5</f>
        <v>0</v>
      </c>
      <c r="DV27">
        <f>COUNTIF('Transect 3_imgsummary'!E27:I27,"Tape")*100/5</f>
        <v>0</v>
      </c>
      <c r="DW27">
        <f>COUNTIF('Transect 3_imgsummary'!E27:I27,"Wand")*100/5</f>
        <v>0</v>
      </c>
      <c r="DY27">
        <f>IF(P27=0,0,COUNTIF('Transect 3_imgsummary'!O27:S27,"BC")*100/P27)</f>
        <v>0</v>
      </c>
    </row>
    <row r="28" spans="1:129">
      <c r="A28">
        <v>26</v>
      </c>
      <c r="B28" t="s">
        <v>515</v>
      </c>
      <c r="F28" s="29">
        <f>IF(P28=0,0,COUNTIF('Transect 3_imgsummary'!J28:N28,"C")*100/P28)</f>
        <v>80</v>
      </c>
      <c r="G28">
        <f>IF(P28=0,0,COUNTIF('Transect 3_imgsummary'!J28:N28,"OI")*100/P28)</f>
        <v>0</v>
      </c>
      <c r="H28">
        <f>IF(P28=0,0,COUNTIF('Transect 3_imgsummary'!J28:N28,"MA")*100/P28)</f>
        <v>0</v>
      </c>
      <c r="I28">
        <f>IF(P28=0,0,COUNTIF('Transect 3_imgsummary'!J28:N28,"BCA")*100/P28)</f>
        <v>0</v>
      </c>
      <c r="J28" s="29">
        <f>IF(P28=0,0,COUNTIF('Transect 3_imgsummary'!J28:N28,"CCA")*100/P28)</f>
        <v>20</v>
      </c>
      <c r="K28">
        <f>IF(P28=0,0,COUNTIF('Transect 3_imgsummary'!J28:N28,"SD")*100/P28)</f>
        <v>0</v>
      </c>
      <c r="L28">
        <f>IF(P28=0,0,COUNTIF('Transect 3_imgsummary'!J28:N28,"FCA")*100/P28)</f>
        <v>0</v>
      </c>
      <c r="M28">
        <f>IF(P28=0,0,COUNTIF('Transect 3_imgsummary'!J28:N28,"CHRYS")*100/P28)</f>
        <v>0</v>
      </c>
      <c r="N28">
        <f>IF(P28=0,0,COUNTIF('Transect 3_imgsummary'!J28:N28,"T")*100/P28)</f>
        <v>0</v>
      </c>
      <c r="O28">
        <f>IF(P28=0,0,COUNTIF('Transect 3_imgsummary'!J28:N28,"TWS")*100/P28)</f>
        <v>0</v>
      </c>
      <c r="P28">
        <f>5-COUNTIF('Transect 3_imgsummary'!J28:N28,"TWS")</f>
        <v>5</v>
      </c>
      <c r="S28">
        <f>IF(P28=0,0,COUNTIF('Transect 3_imgsummary'!E28:I28,"ACAN")*100/P28)</f>
        <v>0</v>
      </c>
      <c r="T28">
        <f>IF(P28=0,0,COUNTIF('Transect 3_imgsummary'!E28:I28,"ACROP")*100/P28)</f>
        <v>0</v>
      </c>
      <c r="U28">
        <f>IF(P28=0,0,COUNTIF('Transect 3_imgsummary'!E28:I28,"ACROPARB")*100/P28)</f>
        <v>0</v>
      </c>
      <c r="V28">
        <f>IF(P28=0,0,COUNTIF('Transect 3_imgsummary'!E28:I28,"ACROST")*100/P28)</f>
        <v>0</v>
      </c>
      <c r="W28">
        <f>IF(P28=0,0,COUNTIF('Transect 3_imgsummary'!E28:I28,"ACROTBL")*100/P28)</f>
        <v>0</v>
      </c>
      <c r="X28">
        <f>IF(P28=0,0,COUNTIF('Transect 3_imgsummary'!E28:I28,"ASTRP")*100/P28)</f>
        <v>0</v>
      </c>
      <c r="Y28">
        <f>IF(P28=0,0,COUNTIF('Transect 3_imgsummary'!E28:I28,"CAUL")*100/P28)</f>
        <v>0</v>
      </c>
      <c r="Z28">
        <f>IF(P28=0,0,COUNTIF('Transect 3_imgsummary'!E28:I28,"COSC")*100/P28)</f>
        <v>0</v>
      </c>
      <c r="AA28">
        <f>IF(P28=0,0,COUNTIF('Transect 3_imgsummary'!E28:I28,"CTEN")*100/P28)</f>
        <v>0</v>
      </c>
      <c r="AB28">
        <f>IF(P28=0,0,COUNTIF('Transect 3_imgsummary'!E28:I28,"CYPH")*100/P28)</f>
        <v>0</v>
      </c>
      <c r="AC28">
        <f>IF(P28=0,0,COUNTIF('Transect 3_imgsummary'!E28:I28,"DIPLO")*100/P28)</f>
        <v>0</v>
      </c>
      <c r="AD28" s="29">
        <f>IF(P28=0,0,COUNTIF('Transect 3_imgsummary'!E28:I28,"ECHPO")*100/P28)</f>
        <v>80</v>
      </c>
      <c r="AE28">
        <f>IF(P28=0,0,COUNTIF('Transect 3_imgsummary'!E28:I28,"ECHPHY")*100/P28)</f>
        <v>0</v>
      </c>
      <c r="AF28">
        <f>IF(P28=0,0,COUNTIF('Transect 3_imgsummary'!E28:I28,"EUPH")*100/P28)</f>
        <v>0</v>
      </c>
      <c r="AG28">
        <f>IF(P28=0,0,COUNTIF('Transect 3_imgsummary'!E28:I28,"FAV")*100/P28)</f>
        <v>0</v>
      </c>
      <c r="AH28">
        <f>IF(P28=0,0,COUNTIF('Transect 3_imgsummary'!E28:I28,"FAVT")*100/P28)</f>
        <v>0</v>
      </c>
      <c r="AI28">
        <f>IF(P28=0,0,COUNTIF('Transect 3_imgsummary'!E28:I28,"FUNG")*100/P28)</f>
        <v>0</v>
      </c>
      <c r="AJ28">
        <f>IF(P28=0,0,COUNTIF('Transect 3_imgsummary'!E28:I28,"GAL")*100/P28)</f>
        <v>0</v>
      </c>
      <c r="AK28">
        <f>IF(P28=0,0,COUNTIF('Transect 3_imgsummary'!E28:I28,"GARD")*100/P28)</f>
        <v>0</v>
      </c>
      <c r="AL28">
        <f>IF(P28=0,0,COUNTIF('Transect 3_imgsummary'!E28:I28,"GON")*100/P28)</f>
        <v>0</v>
      </c>
      <c r="AM28">
        <f>IF(P28=0,0,COUNTIF('Transect 3_imgsummary'!E28:I28,"GONIO")*100/P28)</f>
        <v>0</v>
      </c>
      <c r="AN28">
        <f>IF(P28=0,0,COUNTIF('Transect 3_imgsummary'!E28:I28,"HELIO")*100/P28)</f>
        <v>0</v>
      </c>
      <c r="AO28">
        <f>IF(P28=0,0,COUNTIF('Transect 3_imgsummary'!E28:I28,"HERP")*100/P28)</f>
        <v>0</v>
      </c>
      <c r="AP28">
        <f>IF(P28=0,0,COUNTIF('Transect 3_imgsummary'!E28:I28,"HYD")*100/P28)</f>
        <v>0</v>
      </c>
      <c r="AQ28">
        <f>IF(P28=0,0,COUNTIF('Transect 3_imgsummary'!E28:I28,"ISOP")*100/P28)</f>
        <v>0</v>
      </c>
      <c r="AR28">
        <f>IF(P28=0,0,COUNTIF('Transect 3_imgsummary'!E28:I28,"LEPT")*100/P28)</f>
        <v>0</v>
      </c>
      <c r="AS28">
        <f>IF(P28=0,0,COUNTIF('Transect 3_imgsummary'!E28:I28,"LEPTOR")*100/P28)</f>
        <v>0</v>
      </c>
      <c r="AT28">
        <f>IF(P28=0,0,COUNTIF('Transect 3_imgsummary'!E28:I28,"LEPTOS")*100/P28)</f>
        <v>0</v>
      </c>
      <c r="AU28">
        <f>IF(P28=0,0,COUNTIF('Transect 3_imgsummary'!E28:I28,"LOBOPH")*100/P28)</f>
        <v>0</v>
      </c>
      <c r="AV28">
        <f>IF(P28=0,0,COUNTIF('Transect 3_imgsummary'!E28:I28,"MERU")*100/P28)</f>
        <v>0</v>
      </c>
      <c r="AW28">
        <f>IF(P28=0,0,COUNTIF('Transect 3_imgsummary'!E28:I28,"MILL")*100/P28)</f>
        <v>0</v>
      </c>
      <c r="AX28">
        <f>IF(P28=0,0,COUNTIF('Transect 3_imgsummary'!E28:I28,"MONT")*100/P28)</f>
        <v>0</v>
      </c>
      <c r="AY28">
        <f>IF(P28=0,0,COUNTIF('Transect 3_imgsummary'!E28:I28,"MONTI")*100/P28)</f>
        <v>0</v>
      </c>
      <c r="AZ28">
        <f>IF(P28=0,0,COUNTIF('Transect 3_imgsummary'!E28:I28,"MYCED")*100/P28)</f>
        <v>0</v>
      </c>
      <c r="BA28">
        <f>IF(P28=0,0,COUNTIF('Transect 3_imgsummary'!E28:I28,"OULO")*100/P28)</f>
        <v>0</v>
      </c>
      <c r="BB28">
        <f>IF(P28=0,0,COUNTIF('Transect 3_imgsummary'!E28:I28,"OXYP")*100/P28)</f>
        <v>0</v>
      </c>
      <c r="BC28">
        <f>IF(P28=0,0,COUNTIF('Transect 3_imgsummary'!E28:I28,"PLSIA")*100/P28)</f>
        <v>0</v>
      </c>
      <c r="BD28">
        <f>IF(P28=0,0,COUNTIF('Transect 3_imgsummary'!E28:I28,"PACHY")*100/P28)</f>
        <v>0</v>
      </c>
      <c r="BE28">
        <f>IF(P28=0,0,COUNTIF('Transect 3_imgsummary'!E28:I28,"PAV")*100/P28)</f>
        <v>0</v>
      </c>
      <c r="BF28">
        <f>IF(P28=0,0,COUNTIF('Transect 3_imgsummary'!E28:I28,"PECT")*100/P28)</f>
        <v>0</v>
      </c>
      <c r="BG28">
        <f>IF(P28=0,0,COUNTIF('Transect 3_imgsummary'!E28:I28,"PHYSO")*100/P28)</f>
        <v>0</v>
      </c>
      <c r="BH28">
        <f>IF(P28=0,0,COUNTIF('Transect 3_imgsummary'!E28:I28,"PLAT")*100/P28)</f>
        <v>0</v>
      </c>
      <c r="BI28">
        <f>IF(P28=0,0,COUNTIF('Transect 3_imgsummary'!E28:I28,"PLERO")*100/P28)</f>
        <v>0</v>
      </c>
      <c r="BJ28">
        <f>IF(P28=0,0,COUNTIF('Transect 3_imgsummary'!E28:I28,"POC")*100/P28)</f>
        <v>0</v>
      </c>
      <c r="BK28">
        <f>IF(P28=0,0,COUNTIF('Transect 3_imgsummary'!E28:I28,"POR")*100/P28)</f>
        <v>0</v>
      </c>
      <c r="BL28">
        <f>IF(P28=0,0,COUNTIF('Transect 3_imgsummary'!E28:I28,"PORCYL")*100/P28)</f>
        <v>0</v>
      </c>
      <c r="BM28">
        <f>IF(P28=0,0,COUNTIF('Transect 3_imgsummary'!E28:I28,"PORMAS")*100/P28)</f>
        <v>0</v>
      </c>
      <c r="BN28">
        <f>IF(P28=0,0,COUNTIF('Transect 3_imgsummary'!E28:I28,"PORRUS")*100/P28)</f>
        <v>0</v>
      </c>
      <c r="BO28">
        <f>IF(P28=0,0,COUNTIF('Transect 3_imgsummary'!E28:I28,"PSAM")*100/P28)</f>
        <v>0</v>
      </c>
      <c r="BP28">
        <f>IF(P28=0,0,COUNTIF('Transect 3_imgsummary'!E28:I28,"SANDO")*100/P28)</f>
        <v>0</v>
      </c>
      <c r="BQ28">
        <f>IF(P28=0,0,COUNTIF('Transect 3_imgsummary'!E28:I28,"SCAP")*100/P28)</f>
        <v>0</v>
      </c>
      <c r="BR28">
        <f>IF(P28=0,0,COUNTIF('Transect 3_imgsummary'!E28:I28,"SERIA")*100/P28)</f>
        <v>0</v>
      </c>
      <c r="BS28">
        <f>IF(P28=0,0,COUNTIF('Transect 3_imgsummary'!E28:I28,"STYLC")*100/P28)</f>
        <v>0</v>
      </c>
      <c r="BT28">
        <f>IF(P28=0,0,COUNTIF('Transect 3_imgsummary'!E28:I28,"STYLO")*100/P28)</f>
        <v>0</v>
      </c>
      <c r="BU28">
        <f>IF(P28=0,0,COUNTIF('Transect 3_imgsummary'!E28:I28,"SYMP")*100/P28)</f>
        <v>0</v>
      </c>
      <c r="BV28">
        <f>IF(P28=0,0,COUNTIF('Transect 3_imgsummary'!E28:I28,"TURBIN")*100/P28)</f>
        <v>0</v>
      </c>
      <c r="BX28">
        <f>IF(P28=0,0,COUNTIF('Transect 3_imgsummary'!E28:I28,"ANEM")*100/P28)</f>
        <v>0</v>
      </c>
      <c r="BY28">
        <f>IF(P28=0,0,COUNTIF('Transect 3_imgsummary'!E28:I28,"ASC")*100/P28)</f>
        <v>0</v>
      </c>
      <c r="BZ28">
        <f>IF(P28=0,0,COUNTIF('Transect 3_imgsummary'!E28:I28,"CUPS")*100/P28)</f>
        <v>0</v>
      </c>
      <c r="CA28">
        <f>IF(P28=0,0,COUNTIF('Transect 3_imgsummary'!E28:I28,"DISCO")*100/P28)</f>
        <v>0</v>
      </c>
      <c r="CB28">
        <f>IF(P28=0,0,COUNTIF('Transect 3_imgsummary'!E28:I28,"DYS")*100/P28)</f>
        <v>0</v>
      </c>
      <c r="CC28">
        <f>IF(P28=0,0,COUNTIF('Transect 3_imgsummary'!E28:I28,"G")*100/P28)</f>
        <v>0</v>
      </c>
      <c r="CD28">
        <f>IF(P28=0,0,COUNTIF('Transect 3_imgsummary'!E28:I28,"NoIDINV")*100/P28)</f>
        <v>0</v>
      </c>
      <c r="CE28">
        <f>IF(P28=0,0,COUNTIF('Transect 3_imgsummary'!E28:I28,"OLV")*100/P28)</f>
        <v>0</v>
      </c>
      <c r="CF28">
        <f>IF(P28=0,0,COUNTIF('Transect 3_imgsummary'!E28:I28,"SC")*100/P28)</f>
        <v>0</v>
      </c>
      <c r="CG28">
        <f>IF(P28=0,0,COUNTIF('Transect 3_imgsummary'!E28:I28,"S")*100/P28)</f>
        <v>0</v>
      </c>
      <c r="CH28">
        <f>IF(P28=0,0,COUNTIF('Transect 3_imgsummary'!E28:I28,"TERPS")*100/P28)</f>
        <v>0</v>
      </c>
      <c r="CI28">
        <f>IF(P28=0,0,COUNTIF('Transect 3_imgsummary'!E28:I28,"Z")*100/P28)</f>
        <v>0</v>
      </c>
      <c r="CK28">
        <f>IF(P28=0,0,COUNTIF('Transect 3_imgsummary'!E28:I28,"ASP")*100/P28)</f>
        <v>0</v>
      </c>
      <c r="CL28">
        <f>IF(P28=0,0,COUNTIF('Transect 3_imgsummary'!E28:I28,"BG")*100/P28)</f>
        <v>0</v>
      </c>
      <c r="CM28">
        <f>IF(P28=0,0,COUNTIF('Transect 3_imgsummary'!E28:I28,"Bood")*100/P28)</f>
        <v>0</v>
      </c>
      <c r="CN28">
        <f>IF(P28=0,0,COUNTIF('Transect 3_imgsummary'!E28:I28,"BRYP")*100/P28)</f>
        <v>0</v>
      </c>
      <c r="CO28">
        <f>IF(P28=0,0,COUNTIF('Transect 3_imgsummary'!E28:I28,"CLP")*100/P28)</f>
        <v>0</v>
      </c>
      <c r="CP28">
        <f>IF(P28=0,0,COUNTIF('Transect 3_imgsummary'!E28:I28,"CHLDES")*100/P28)</f>
        <v>0</v>
      </c>
      <c r="CQ28">
        <f>IF(P28=0,0,COUNTIF('Transect 3_imgsummary'!E28:I28,"DYCTY")*100/P28)</f>
        <v>0</v>
      </c>
      <c r="CR28">
        <f>IF(P28=0,0,COUNTIF('Transect 3_imgsummary'!E28:I28,"DICT")*100/P28)</f>
        <v>0</v>
      </c>
      <c r="CS28">
        <f>IF(P28=0,0,COUNTIF('Transect 3_imgsummary'!E28:I28,"GLXU")*100/P28)</f>
        <v>0</v>
      </c>
      <c r="CT28">
        <f>IF(P28=0,0,COUNTIF('Transect 3_imgsummary'!E28:I28,"HALI")*100/P28)</f>
        <v>0</v>
      </c>
      <c r="CU28">
        <f>IF(P28=0,0,COUNTIF('Transect 3_imgsummary'!E28:I28,"LIAG")*100/P28)</f>
        <v>0</v>
      </c>
      <c r="CV28">
        <f>IF(P28=0,0,COUNTIF('Transect 3_imgsummary'!E28:I28,"LOBO")*100/P28)</f>
        <v>0</v>
      </c>
      <c r="CW28">
        <f>IF(P28=0,0,COUNTIF('Transect 3_imgsummary'!E28:I28,"MAST")*100/P28)</f>
        <v>0</v>
      </c>
      <c r="CX28">
        <f>IF(P28=0,0,COUNTIF('Transect 3_imgsummary'!E28:I28,"MICDTY")*100/P28)</f>
        <v>0</v>
      </c>
      <c r="CY28">
        <f>IF(P28=0,0,COUNTIF('Transect 3_imgsummary'!E28:I28,"NEOM")*100/P28)</f>
        <v>0</v>
      </c>
      <c r="CZ28">
        <f>IF(P28=0,0,COUNTIF('Transect 3_imgsummary'!E28:I28,"NOIDMAC")*100/P28)</f>
        <v>0</v>
      </c>
      <c r="DA28">
        <f>IF(P28=0,0,COUNTIF('Transect 3_imgsummary'!E28:I28,"PAD")*100/P28)</f>
        <v>0</v>
      </c>
      <c r="DB28">
        <f>IF(P28=0,0,COUNTIF('Transect 3_imgsummary'!E28:I28,"SARG")*100/P28)</f>
        <v>0</v>
      </c>
      <c r="DC28">
        <f>IF(P28=0,0,COUNTIF('Transect 3_imgsummary'!E28:I28,"SCHIZ")*100/P28)</f>
        <v>0</v>
      </c>
      <c r="DD28">
        <f>IF(P28=0,0,COUNTIF('Transect 3_imgsummary'!E28:I28,"TURB")*100/P28)</f>
        <v>0</v>
      </c>
      <c r="DE28">
        <f>IF(P28=0,0,COUNTIF('Transect 3_imgsummary'!E28:I28,"TYDM")*100/P28)</f>
        <v>0</v>
      </c>
      <c r="DG28">
        <f>IF(P28=0,0,COUNTIF('Transect 3_imgsummary'!E28:I28,"AMP")*100/P28)</f>
        <v>0</v>
      </c>
      <c r="DH28">
        <f>IF(P28=0,0,COUNTIF('Transect 3_imgsummary'!E28:I28,"BCA1")*100/P28)</f>
        <v>0</v>
      </c>
      <c r="DI28">
        <f>IF(P28=0,0,COUNTIF('Transect 3_imgsummary'!E28:I28,"JAN")*100/P28)</f>
        <v>0</v>
      </c>
      <c r="DK28" s="29">
        <f>IF(P28=0,0,COUNTIF('Transect 3_imgsummary'!E28:I28,"CCA1")*100/P28)</f>
        <v>20</v>
      </c>
      <c r="DM28">
        <f>IF(P28=0,0,COUNTIF('Transect 3_imgsummary'!E28:I28,"Sand")*100/P28)</f>
        <v>0</v>
      </c>
      <c r="DO28">
        <f>IF(P28=0,0,COUNTIF('Transect 3_imgsummary'!E28:I28,"FCA1")*100/P28)</f>
        <v>0</v>
      </c>
      <c r="DQ28">
        <f>IF(P28=0,0,COUNTIF('Transect 3_imgsummary'!E28:I28,"CHRYOBRN")*100/P28)</f>
        <v>0</v>
      </c>
      <c r="DS28">
        <f>IF(P28=0,0,COUNTIF('Transect 3_imgsummary'!E28:I28,"TURF")*100/P28)</f>
        <v>0</v>
      </c>
      <c r="DU28">
        <f>COUNTIF('Transect 3_imgsummary'!E28:I28,"Shadow")*100/5</f>
        <v>0</v>
      </c>
      <c r="DV28">
        <f>COUNTIF('Transect 3_imgsummary'!E28:I28,"Tape")*100/5</f>
        <v>0</v>
      </c>
      <c r="DW28">
        <f>COUNTIF('Transect 3_imgsummary'!E28:I28,"Wand")*100/5</f>
        <v>0</v>
      </c>
      <c r="DY28">
        <f>IF(P28=0,0,COUNTIF('Transect 3_imgsummary'!O28:S28,"BC")*100/P28)</f>
        <v>0</v>
      </c>
    </row>
    <row r="29" spans="1:129">
      <c r="A29">
        <v>27</v>
      </c>
      <c r="B29" t="s">
        <v>516</v>
      </c>
      <c r="F29" s="29">
        <f>IF(P29=0,0,COUNTIF('Transect 3_imgsummary'!J29:N29,"C")*100/P29)</f>
        <v>20</v>
      </c>
      <c r="G29">
        <f>IF(P29=0,0,COUNTIF('Transect 3_imgsummary'!J29:N29,"OI")*100/P29)</f>
        <v>0</v>
      </c>
      <c r="H29">
        <f>IF(P29=0,0,COUNTIF('Transect 3_imgsummary'!J29:N29,"MA")*100/P29)</f>
        <v>0</v>
      </c>
      <c r="I29">
        <f>IF(P29=0,0,COUNTIF('Transect 3_imgsummary'!J29:N29,"BCA")*100/P29)</f>
        <v>0</v>
      </c>
      <c r="J29" s="29">
        <f>IF(P29=0,0,COUNTIF('Transect 3_imgsummary'!J29:N29,"CCA")*100/P29)</f>
        <v>60</v>
      </c>
      <c r="K29">
        <f>IF(P29=0,0,COUNTIF('Transect 3_imgsummary'!J29:N29,"SD")*100/P29)</f>
        <v>0</v>
      </c>
      <c r="L29">
        <f>IF(P29=0,0,COUNTIF('Transect 3_imgsummary'!J29:N29,"FCA")*100/P29)</f>
        <v>0</v>
      </c>
      <c r="M29">
        <f>IF(P29=0,0,COUNTIF('Transect 3_imgsummary'!J29:N29,"CHRYS")*100/P29)</f>
        <v>0</v>
      </c>
      <c r="N29" s="29">
        <f>IF(P29=0,0,COUNTIF('Transect 3_imgsummary'!J29:N29,"T")*100/P29)</f>
        <v>20</v>
      </c>
      <c r="O29">
        <f>IF(P29=0,0,COUNTIF('Transect 3_imgsummary'!J29:N29,"TWS")*100/P29)</f>
        <v>0</v>
      </c>
      <c r="P29">
        <f>5-COUNTIF('Transect 3_imgsummary'!J29:N29,"TWS")</f>
        <v>5</v>
      </c>
      <c r="S29">
        <f>IF(P29=0,0,COUNTIF('Transect 3_imgsummary'!E29:I29,"ACAN")*100/P29)</f>
        <v>0</v>
      </c>
      <c r="T29">
        <f>IF(P29=0,0,COUNTIF('Transect 3_imgsummary'!E29:I29,"ACROP")*100/P29)</f>
        <v>0</v>
      </c>
      <c r="U29">
        <f>IF(P29=0,0,COUNTIF('Transect 3_imgsummary'!E29:I29,"ACROPARB")*100/P29)</f>
        <v>0</v>
      </c>
      <c r="V29">
        <f>IF(P29=0,0,COUNTIF('Transect 3_imgsummary'!E29:I29,"ACROST")*100/P29)</f>
        <v>0</v>
      </c>
      <c r="W29">
        <f>IF(P29=0,0,COUNTIF('Transect 3_imgsummary'!E29:I29,"ACROTBL")*100/P29)</f>
        <v>0</v>
      </c>
      <c r="X29">
        <f>IF(P29=0,0,COUNTIF('Transect 3_imgsummary'!E29:I29,"ASTRP")*100/P29)</f>
        <v>0</v>
      </c>
      <c r="Y29">
        <f>IF(P29=0,0,COUNTIF('Transect 3_imgsummary'!E29:I29,"CAUL")*100/P29)</f>
        <v>0</v>
      </c>
      <c r="Z29">
        <f>IF(P29=0,0,COUNTIF('Transect 3_imgsummary'!E29:I29,"COSC")*100/P29)</f>
        <v>0</v>
      </c>
      <c r="AA29">
        <f>IF(P29=0,0,COUNTIF('Transect 3_imgsummary'!E29:I29,"CTEN")*100/P29)</f>
        <v>0</v>
      </c>
      <c r="AB29">
        <f>IF(P29=0,0,COUNTIF('Transect 3_imgsummary'!E29:I29,"CYPH")*100/P29)</f>
        <v>0</v>
      </c>
      <c r="AC29">
        <f>IF(P29=0,0,COUNTIF('Transect 3_imgsummary'!E29:I29,"DIPLO")*100/P29)</f>
        <v>0</v>
      </c>
      <c r="AD29">
        <f>IF(P29=0,0,COUNTIF('Transect 3_imgsummary'!E29:I29,"ECHPO")*100/P29)</f>
        <v>0</v>
      </c>
      <c r="AE29">
        <f>IF(P29=0,0,COUNTIF('Transect 3_imgsummary'!E29:I29,"ECHPHY")*100/P29)</f>
        <v>0</v>
      </c>
      <c r="AF29">
        <f>IF(P29=0,0,COUNTIF('Transect 3_imgsummary'!E29:I29,"EUPH")*100/P29)</f>
        <v>0</v>
      </c>
      <c r="AG29">
        <f>IF(P29=0,0,COUNTIF('Transect 3_imgsummary'!E29:I29,"FAV")*100/P29)</f>
        <v>0</v>
      </c>
      <c r="AH29">
        <f>IF(P29=0,0,COUNTIF('Transect 3_imgsummary'!E29:I29,"FAVT")*100/P29)</f>
        <v>0</v>
      </c>
      <c r="AI29">
        <f>IF(P29=0,0,COUNTIF('Transect 3_imgsummary'!E29:I29,"FUNG")*100/P29)</f>
        <v>0</v>
      </c>
      <c r="AJ29">
        <f>IF(P29=0,0,COUNTIF('Transect 3_imgsummary'!E29:I29,"GAL")*100/P29)</f>
        <v>0</v>
      </c>
      <c r="AK29">
        <f>IF(P29=0,0,COUNTIF('Transect 3_imgsummary'!E29:I29,"GARD")*100/P29)</f>
        <v>0</v>
      </c>
      <c r="AL29">
        <f>IF(P29=0,0,COUNTIF('Transect 3_imgsummary'!E29:I29,"GON")*100/P29)</f>
        <v>0</v>
      </c>
      <c r="AM29">
        <f>IF(P29=0,0,COUNTIF('Transect 3_imgsummary'!E29:I29,"GONIO")*100/P29)</f>
        <v>0</v>
      </c>
      <c r="AN29">
        <f>IF(P29=0,0,COUNTIF('Transect 3_imgsummary'!E29:I29,"HELIO")*100/P29)</f>
        <v>0</v>
      </c>
      <c r="AO29">
        <f>IF(P29=0,0,COUNTIF('Transect 3_imgsummary'!E29:I29,"HERP")*100/P29)</f>
        <v>0</v>
      </c>
      <c r="AP29">
        <f>IF(P29=0,0,COUNTIF('Transect 3_imgsummary'!E29:I29,"HYD")*100/P29)</f>
        <v>0</v>
      </c>
      <c r="AQ29">
        <f>IF(P29=0,0,COUNTIF('Transect 3_imgsummary'!E29:I29,"ISOP")*100/P29)</f>
        <v>0</v>
      </c>
      <c r="AR29">
        <f>IF(P29=0,0,COUNTIF('Transect 3_imgsummary'!E29:I29,"LEPT")*100/P29)</f>
        <v>0</v>
      </c>
      <c r="AS29" s="29">
        <f>IF(P29=0,0,COUNTIF('Transect 3_imgsummary'!E29:I29,"LEPTOR")*100/P29)</f>
        <v>20</v>
      </c>
      <c r="AT29">
        <f>IF(P29=0,0,COUNTIF('Transect 3_imgsummary'!E29:I29,"LEPTOS")*100/P29)</f>
        <v>0</v>
      </c>
      <c r="AU29">
        <f>IF(P29=0,0,COUNTIF('Transect 3_imgsummary'!E29:I29,"LOBOPH")*100/P29)</f>
        <v>0</v>
      </c>
      <c r="AV29">
        <f>IF(P29=0,0,COUNTIF('Transect 3_imgsummary'!E29:I29,"MERU")*100/P29)</f>
        <v>0</v>
      </c>
      <c r="AW29">
        <f>IF(P29=0,0,COUNTIF('Transect 3_imgsummary'!E29:I29,"MILL")*100/P29)</f>
        <v>0</v>
      </c>
      <c r="AX29">
        <f>IF(P29=0,0,COUNTIF('Transect 3_imgsummary'!E29:I29,"MONT")*100/P29)</f>
        <v>0</v>
      </c>
      <c r="AY29">
        <f>IF(P29=0,0,COUNTIF('Transect 3_imgsummary'!E29:I29,"MONTI")*100/P29)</f>
        <v>0</v>
      </c>
      <c r="AZ29">
        <f>IF(P29=0,0,COUNTIF('Transect 3_imgsummary'!E29:I29,"MYCED")*100/P29)</f>
        <v>0</v>
      </c>
      <c r="BA29">
        <f>IF(P29=0,0,COUNTIF('Transect 3_imgsummary'!E29:I29,"OULO")*100/P29)</f>
        <v>0</v>
      </c>
      <c r="BB29">
        <f>IF(P29=0,0,COUNTIF('Transect 3_imgsummary'!E29:I29,"OXYP")*100/P29)</f>
        <v>0</v>
      </c>
      <c r="BC29">
        <f>IF(P29=0,0,COUNTIF('Transect 3_imgsummary'!E29:I29,"PLSIA")*100/P29)</f>
        <v>0</v>
      </c>
      <c r="BD29">
        <f>IF(P29=0,0,COUNTIF('Transect 3_imgsummary'!E29:I29,"PACHY")*100/P29)</f>
        <v>0</v>
      </c>
      <c r="BE29">
        <f>IF(P29=0,0,COUNTIF('Transect 3_imgsummary'!E29:I29,"PAV")*100/P29)</f>
        <v>0</v>
      </c>
      <c r="BF29">
        <f>IF(P29=0,0,COUNTIF('Transect 3_imgsummary'!E29:I29,"PECT")*100/P29)</f>
        <v>0</v>
      </c>
      <c r="BG29">
        <f>IF(P29=0,0,COUNTIF('Transect 3_imgsummary'!E29:I29,"PHYSO")*100/P29)</f>
        <v>0</v>
      </c>
      <c r="BH29">
        <f>IF(P29=0,0,COUNTIF('Transect 3_imgsummary'!E29:I29,"PLAT")*100/P29)</f>
        <v>0</v>
      </c>
      <c r="BI29">
        <f>IF(P29=0,0,COUNTIF('Transect 3_imgsummary'!E29:I29,"PLERO")*100/P29)</f>
        <v>0</v>
      </c>
      <c r="BJ29">
        <f>IF(P29=0,0,COUNTIF('Transect 3_imgsummary'!E29:I29,"POC")*100/P29)</f>
        <v>0</v>
      </c>
      <c r="BK29">
        <f>IF(P29=0,0,COUNTIF('Transect 3_imgsummary'!E29:I29,"POR")*100/P29)</f>
        <v>0</v>
      </c>
      <c r="BL29">
        <f>IF(P29=0,0,COUNTIF('Transect 3_imgsummary'!E29:I29,"PORCYL")*100/P29)</f>
        <v>0</v>
      </c>
      <c r="BM29">
        <f>IF(P29=0,0,COUNTIF('Transect 3_imgsummary'!E29:I29,"PORMAS")*100/P29)</f>
        <v>0</v>
      </c>
      <c r="BN29">
        <f>IF(P29=0,0,COUNTIF('Transect 3_imgsummary'!E29:I29,"PORRUS")*100/P29)</f>
        <v>0</v>
      </c>
      <c r="BO29">
        <f>IF(P29=0,0,COUNTIF('Transect 3_imgsummary'!E29:I29,"PSAM")*100/P29)</f>
        <v>0</v>
      </c>
      <c r="BP29">
        <f>IF(P29=0,0,COUNTIF('Transect 3_imgsummary'!E29:I29,"SANDO")*100/P29)</f>
        <v>0</v>
      </c>
      <c r="BQ29">
        <f>IF(P29=0,0,COUNTIF('Transect 3_imgsummary'!E29:I29,"SCAP")*100/P29)</f>
        <v>0</v>
      </c>
      <c r="BR29">
        <f>IF(P29=0,0,COUNTIF('Transect 3_imgsummary'!E29:I29,"SERIA")*100/P29)</f>
        <v>0</v>
      </c>
      <c r="BS29">
        <f>IF(P29=0,0,COUNTIF('Transect 3_imgsummary'!E29:I29,"STYLC")*100/P29)</f>
        <v>0</v>
      </c>
      <c r="BT29">
        <f>IF(P29=0,0,COUNTIF('Transect 3_imgsummary'!E29:I29,"STYLO")*100/P29)</f>
        <v>0</v>
      </c>
      <c r="BU29">
        <f>IF(P29=0,0,COUNTIF('Transect 3_imgsummary'!E29:I29,"SYMP")*100/P29)</f>
        <v>0</v>
      </c>
      <c r="BV29">
        <f>IF(P29=0,0,COUNTIF('Transect 3_imgsummary'!E29:I29,"TURBIN")*100/P29)</f>
        <v>0</v>
      </c>
      <c r="BX29">
        <f>IF(P29=0,0,COUNTIF('Transect 3_imgsummary'!E29:I29,"ANEM")*100/P29)</f>
        <v>0</v>
      </c>
      <c r="BY29">
        <f>IF(P29=0,0,COUNTIF('Transect 3_imgsummary'!E29:I29,"ASC")*100/P29)</f>
        <v>0</v>
      </c>
      <c r="BZ29">
        <f>IF(P29=0,0,COUNTIF('Transect 3_imgsummary'!E29:I29,"CUPS")*100/P29)</f>
        <v>0</v>
      </c>
      <c r="CA29">
        <f>IF(P29=0,0,COUNTIF('Transect 3_imgsummary'!E29:I29,"DISCO")*100/P29)</f>
        <v>0</v>
      </c>
      <c r="CB29">
        <f>IF(P29=0,0,COUNTIF('Transect 3_imgsummary'!E29:I29,"DYS")*100/P29)</f>
        <v>0</v>
      </c>
      <c r="CC29">
        <f>IF(P29=0,0,COUNTIF('Transect 3_imgsummary'!E29:I29,"G")*100/P29)</f>
        <v>0</v>
      </c>
      <c r="CD29">
        <f>IF(P29=0,0,COUNTIF('Transect 3_imgsummary'!E29:I29,"NoIDINV")*100/P29)</f>
        <v>0</v>
      </c>
      <c r="CE29">
        <f>IF(P29=0,0,COUNTIF('Transect 3_imgsummary'!E29:I29,"OLV")*100/P29)</f>
        <v>0</v>
      </c>
      <c r="CF29">
        <f>IF(P29=0,0,COUNTIF('Transect 3_imgsummary'!E29:I29,"SC")*100/P29)</f>
        <v>0</v>
      </c>
      <c r="CG29">
        <f>IF(P29=0,0,COUNTIF('Transect 3_imgsummary'!E29:I29,"S")*100/P29)</f>
        <v>0</v>
      </c>
      <c r="CH29">
        <f>IF(P29=0,0,COUNTIF('Transect 3_imgsummary'!E29:I29,"TERPS")*100/P29)</f>
        <v>0</v>
      </c>
      <c r="CI29">
        <f>IF(P29=0,0,COUNTIF('Transect 3_imgsummary'!E29:I29,"Z")*100/P29)</f>
        <v>0</v>
      </c>
      <c r="CK29">
        <f>IF(P29=0,0,COUNTIF('Transect 3_imgsummary'!E29:I29,"ASP")*100/P29)</f>
        <v>0</v>
      </c>
      <c r="CL29">
        <f>IF(P29=0,0,COUNTIF('Transect 3_imgsummary'!E29:I29,"BG")*100/P29)</f>
        <v>0</v>
      </c>
      <c r="CM29">
        <f>IF(P29=0,0,COUNTIF('Transect 3_imgsummary'!E29:I29,"Bood")*100/P29)</f>
        <v>0</v>
      </c>
      <c r="CN29">
        <f>IF(P29=0,0,COUNTIF('Transect 3_imgsummary'!E29:I29,"BRYP")*100/P29)</f>
        <v>0</v>
      </c>
      <c r="CO29">
        <f>IF(P29=0,0,COUNTIF('Transect 3_imgsummary'!E29:I29,"CLP")*100/P29)</f>
        <v>0</v>
      </c>
      <c r="CP29">
        <f>IF(P29=0,0,COUNTIF('Transect 3_imgsummary'!E29:I29,"CHLDES")*100/P29)</f>
        <v>0</v>
      </c>
      <c r="CQ29">
        <f>IF(P29=0,0,COUNTIF('Transect 3_imgsummary'!E29:I29,"DYCTY")*100/P29)</f>
        <v>0</v>
      </c>
      <c r="CR29">
        <f>IF(P29=0,0,COUNTIF('Transect 3_imgsummary'!E29:I29,"DICT")*100/P29)</f>
        <v>0</v>
      </c>
      <c r="CS29">
        <f>IF(P29=0,0,COUNTIF('Transect 3_imgsummary'!E29:I29,"GLXU")*100/P29)</f>
        <v>0</v>
      </c>
      <c r="CT29">
        <f>IF(P29=0,0,COUNTIF('Transect 3_imgsummary'!E29:I29,"HALI")*100/P29)</f>
        <v>0</v>
      </c>
      <c r="CU29">
        <f>IF(P29=0,0,COUNTIF('Transect 3_imgsummary'!E29:I29,"LIAG")*100/P29)</f>
        <v>0</v>
      </c>
      <c r="CV29">
        <f>IF(P29=0,0,COUNTIF('Transect 3_imgsummary'!E29:I29,"LOBO")*100/P29)</f>
        <v>0</v>
      </c>
      <c r="CW29">
        <f>IF(P29=0,0,COUNTIF('Transect 3_imgsummary'!E29:I29,"MAST")*100/P29)</f>
        <v>0</v>
      </c>
      <c r="CX29">
        <f>IF(P29=0,0,COUNTIF('Transect 3_imgsummary'!E29:I29,"MICDTY")*100/P29)</f>
        <v>0</v>
      </c>
      <c r="CY29">
        <f>IF(P29=0,0,COUNTIF('Transect 3_imgsummary'!E29:I29,"NEOM")*100/P29)</f>
        <v>0</v>
      </c>
      <c r="CZ29">
        <f>IF(P29=0,0,COUNTIF('Transect 3_imgsummary'!E29:I29,"NOIDMAC")*100/P29)</f>
        <v>0</v>
      </c>
      <c r="DA29">
        <f>IF(P29=0,0,COUNTIF('Transect 3_imgsummary'!E29:I29,"PAD")*100/P29)</f>
        <v>0</v>
      </c>
      <c r="DB29">
        <f>IF(P29=0,0,COUNTIF('Transect 3_imgsummary'!E29:I29,"SARG")*100/P29)</f>
        <v>0</v>
      </c>
      <c r="DC29">
        <f>IF(P29=0,0,COUNTIF('Transect 3_imgsummary'!E29:I29,"SCHIZ")*100/P29)</f>
        <v>0</v>
      </c>
      <c r="DD29">
        <f>IF(P29=0,0,COUNTIF('Transect 3_imgsummary'!E29:I29,"TURB")*100/P29)</f>
        <v>0</v>
      </c>
      <c r="DE29">
        <f>IF(P29=0,0,COUNTIF('Transect 3_imgsummary'!E29:I29,"TYDM")*100/P29)</f>
        <v>0</v>
      </c>
      <c r="DG29">
        <f>IF(P29=0,0,COUNTIF('Transect 3_imgsummary'!E29:I29,"AMP")*100/P29)</f>
        <v>0</v>
      </c>
      <c r="DH29">
        <f>IF(P29=0,0,COUNTIF('Transect 3_imgsummary'!E29:I29,"BCA1")*100/P29)</f>
        <v>0</v>
      </c>
      <c r="DI29">
        <f>IF(P29=0,0,COUNTIF('Transect 3_imgsummary'!E29:I29,"JAN")*100/P29)</f>
        <v>0</v>
      </c>
      <c r="DK29" s="29">
        <f>IF(P29=0,0,COUNTIF('Transect 3_imgsummary'!E29:I29,"CCA1")*100/P29)</f>
        <v>60</v>
      </c>
      <c r="DM29">
        <f>IF(P29=0,0,COUNTIF('Transect 3_imgsummary'!E29:I29,"Sand")*100/P29)</f>
        <v>0</v>
      </c>
      <c r="DO29">
        <f>IF(P29=0,0,COUNTIF('Transect 3_imgsummary'!E29:I29,"FCA1")*100/P29)</f>
        <v>0</v>
      </c>
      <c r="DQ29">
        <f>IF(P29=0,0,COUNTIF('Transect 3_imgsummary'!E29:I29,"CHRYOBRN")*100/P29)</f>
        <v>0</v>
      </c>
      <c r="DS29" s="29">
        <f>IF(P29=0,0,COUNTIF('Transect 3_imgsummary'!E29:I29,"TURF")*100/P29)</f>
        <v>20</v>
      </c>
      <c r="DU29">
        <f>COUNTIF('Transect 3_imgsummary'!E29:I29,"Shadow")*100/5</f>
        <v>0</v>
      </c>
      <c r="DV29">
        <f>COUNTIF('Transect 3_imgsummary'!E29:I29,"Tape")*100/5</f>
        <v>0</v>
      </c>
      <c r="DW29">
        <f>COUNTIF('Transect 3_imgsummary'!E29:I29,"Wand")*100/5</f>
        <v>0</v>
      </c>
      <c r="DY29">
        <f>IF(P29=0,0,COUNTIF('Transect 3_imgsummary'!O29:S29,"BC")*100/P29)</f>
        <v>0</v>
      </c>
    </row>
    <row r="30" spans="1:129">
      <c r="A30">
        <v>28</v>
      </c>
      <c r="B30" t="s">
        <v>517</v>
      </c>
      <c r="F30" s="29">
        <f>IF(P30=0,0,COUNTIF('Transect 3_imgsummary'!J30:N30,"C")*100/P30)</f>
        <v>80</v>
      </c>
      <c r="G30">
        <f>IF(P30=0,0,COUNTIF('Transect 3_imgsummary'!J30:N30,"OI")*100/P30)</f>
        <v>0</v>
      </c>
      <c r="H30">
        <f>IF(P30=0,0,COUNTIF('Transect 3_imgsummary'!J30:N30,"MA")*100/P30)</f>
        <v>0</v>
      </c>
      <c r="I30">
        <f>IF(P30=0,0,COUNTIF('Transect 3_imgsummary'!J30:N30,"BCA")*100/P30)</f>
        <v>0</v>
      </c>
      <c r="J30" s="29">
        <f>IF(P30=0,0,COUNTIF('Transect 3_imgsummary'!J30:N30,"CCA")*100/P30)</f>
        <v>20</v>
      </c>
      <c r="K30">
        <f>IF(P30=0,0,COUNTIF('Transect 3_imgsummary'!J30:N30,"SD")*100/P30)</f>
        <v>0</v>
      </c>
      <c r="L30">
        <f>IF(P30=0,0,COUNTIF('Transect 3_imgsummary'!J30:N30,"FCA")*100/P30)</f>
        <v>0</v>
      </c>
      <c r="M30">
        <f>IF(P30=0,0,COUNTIF('Transect 3_imgsummary'!J30:N30,"CHRYS")*100/P30)</f>
        <v>0</v>
      </c>
      <c r="N30">
        <f>IF(P30=0,0,COUNTIF('Transect 3_imgsummary'!J30:N30,"T")*100/P30)</f>
        <v>0</v>
      </c>
      <c r="O30">
        <f>IF(P30=0,0,COUNTIF('Transect 3_imgsummary'!J30:N30,"TWS")*100/P30)</f>
        <v>0</v>
      </c>
      <c r="P30">
        <f>5-COUNTIF('Transect 3_imgsummary'!J30:N30,"TWS")</f>
        <v>5</v>
      </c>
      <c r="S30">
        <f>IF(P30=0,0,COUNTIF('Transect 3_imgsummary'!E30:I30,"ACAN")*100/P30)</f>
        <v>0</v>
      </c>
      <c r="T30" s="29">
        <f>IF(P30=0,0,COUNTIF('Transect 3_imgsummary'!E30:I30,"ACROP")*100/P30)</f>
        <v>40</v>
      </c>
      <c r="U30">
        <f>IF(P30=0,0,COUNTIF('Transect 3_imgsummary'!E30:I30,"ACROPARB")*100/P30)</f>
        <v>0</v>
      </c>
      <c r="V30">
        <f>IF(P30=0,0,COUNTIF('Transect 3_imgsummary'!E30:I30,"ACROST")*100/P30)</f>
        <v>0</v>
      </c>
      <c r="W30">
        <f>IF(P30=0,0,COUNTIF('Transect 3_imgsummary'!E30:I30,"ACROTBL")*100/P30)</f>
        <v>0</v>
      </c>
      <c r="X30">
        <f>IF(P30=0,0,COUNTIF('Transect 3_imgsummary'!E30:I30,"ASTRP")*100/P30)</f>
        <v>0</v>
      </c>
      <c r="Y30">
        <f>IF(P30=0,0,COUNTIF('Transect 3_imgsummary'!E30:I30,"CAUL")*100/P30)</f>
        <v>0</v>
      </c>
      <c r="Z30">
        <f>IF(P30=0,0,COUNTIF('Transect 3_imgsummary'!E30:I30,"COSC")*100/P30)</f>
        <v>0</v>
      </c>
      <c r="AA30">
        <f>IF(P30=0,0,COUNTIF('Transect 3_imgsummary'!E30:I30,"CTEN")*100/P30)</f>
        <v>0</v>
      </c>
      <c r="AB30">
        <f>IF(P30=0,0,COUNTIF('Transect 3_imgsummary'!E30:I30,"CYPH")*100/P30)</f>
        <v>0</v>
      </c>
      <c r="AC30">
        <f>IF(P30=0,0,COUNTIF('Transect 3_imgsummary'!E30:I30,"DIPLO")*100/P30)</f>
        <v>0</v>
      </c>
      <c r="AD30">
        <f>IF(P30=0,0,COUNTIF('Transect 3_imgsummary'!E30:I30,"ECHPO")*100/P30)</f>
        <v>0</v>
      </c>
      <c r="AE30">
        <f>IF(P30=0,0,COUNTIF('Transect 3_imgsummary'!E30:I30,"ECHPHY")*100/P30)</f>
        <v>0</v>
      </c>
      <c r="AF30">
        <f>IF(P30=0,0,COUNTIF('Transect 3_imgsummary'!E30:I30,"EUPH")*100/P30)</f>
        <v>0</v>
      </c>
      <c r="AG30">
        <f>IF(P30=0,0,COUNTIF('Transect 3_imgsummary'!E30:I30,"FAV")*100/P30)</f>
        <v>0</v>
      </c>
      <c r="AH30">
        <f>IF(P30=0,0,COUNTIF('Transect 3_imgsummary'!E30:I30,"FAVT")*100/P30)</f>
        <v>0</v>
      </c>
      <c r="AI30">
        <f>IF(P30=0,0,COUNTIF('Transect 3_imgsummary'!E30:I30,"FUNG")*100/P30)</f>
        <v>0</v>
      </c>
      <c r="AJ30">
        <f>IF(P30=0,0,COUNTIF('Transect 3_imgsummary'!E30:I30,"GAL")*100/P30)</f>
        <v>0</v>
      </c>
      <c r="AK30">
        <f>IF(P30=0,0,COUNTIF('Transect 3_imgsummary'!E30:I30,"GARD")*100/P30)</f>
        <v>0</v>
      </c>
      <c r="AL30">
        <f>IF(P30=0,0,COUNTIF('Transect 3_imgsummary'!E30:I30,"GON")*100/P30)</f>
        <v>0</v>
      </c>
      <c r="AM30">
        <f>IF(P30=0,0,COUNTIF('Transect 3_imgsummary'!E30:I30,"GONIO")*100/P30)</f>
        <v>0</v>
      </c>
      <c r="AN30">
        <f>IF(P30=0,0,COUNTIF('Transect 3_imgsummary'!E30:I30,"HELIO")*100/P30)</f>
        <v>0</v>
      </c>
      <c r="AO30">
        <f>IF(P30=0,0,COUNTIF('Transect 3_imgsummary'!E30:I30,"HERP")*100/P30)</f>
        <v>0</v>
      </c>
      <c r="AP30">
        <f>IF(P30=0,0,COUNTIF('Transect 3_imgsummary'!E30:I30,"HYD")*100/P30)</f>
        <v>0</v>
      </c>
      <c r="AQ30">
        <f>IF(P30=0,0,COUNTIF('Transect 3_imgsummary'!E30:I30,"ISOP")*100/P30)</f>
        <v>0</v>
      </c>
      <c r="AR30">
        <f>IF(P30=0,0,COUNTIF('Transect 3_imgsummary'!E30:I30,"LEPT")*100/P30)</f>
        <v>0</v>
      </c>
      <c r="AS30">
        <f>IF(P30=0,0,COUNTIF('Transect 3_imgsummary'!E30:I30,"LEPTOR")*100/P30)</f>
        <v>0</v>
      </c>
      <c r="AT30">
        <f>IF(P30=0,0,COUNTIF('Transect 3_imgsummary'!E30:I30,"LEPTOS")*100/P30)</f>
        <v>0</v>
      </c>
      <c r="AU30">
        <f>IF(P30=0,0,COUNTIF('Transect 3_imgsummary'!E30:I30,"LOBOPH")*100/P30)</f>
        <v>0</v>
      </c>
      <c r="AV30">
        <f>IF(P30=0,0,COUNTIF('Transect 3_imgsummary'!E30:I30,"MERU")*100/P30)</f>
        <v>0</v>
      </c>
      <c r="AW30">
        <f>IF(P30=0,0,COUNTIF('Transect 3_imgsummary'!E30:I30,"MILL")*100/P30)</f>
        <v>0</v>
      </c>
      <c r="AX30">
        <f>IF(P30=0,0,COUNTIF('Transect 3_imgsummary'!E30:I30,"MONT")*100/P30)</f>
        <v>0</v>
      </c>
      <c r="AY30">
        <f>IF(P30=0,0,COUNTIF('Transect 3_imgsummary'!E30:I30,"MONTI")*100/P30)</f>
        <v>0</v>
      </c>
      <c r="AZ30">
        <f>IF(P30=0,0,COUNTIF('Transect 3_imgsummary'!E30:I30,"MYCED")*100/P30)</f>
        <v>0</v>
      </c>
      <c r="BA30">
        <f>IF(P30=0,0,COUNTIF('Transect 3_imgsummary'!E30:I30,"OULO")*100/P30)</f>
        <v>0</v>
      </c>
      <c r="BB30">
        <f>IF(P30=0,0,COUNTIF('Transect 3_imgsummary'!E30:I30,"OXYP")*100/P30)</f>
        <v>0</v>
      </c>
      <c r="BC30">
        <f>IF(P30=0,0,COUNTIF('Transect 3_imgsummary'!E30:I30,"PLSIA")*100/P30)</f>
        <v>0</v>
      </c>
      <c r="BD30">
        <f>IF(P30=0,0,COUNTIF('Transect 3_imgsummary'!E30:I30,"PACHY")*100/P30)</f>
        <v>0</v>
      </c>
      <c r="BE30">
        <f>IF(P30=0,0,COUNTIF('Transect 3_imgsummary'!E30:I30,"PAV")*100/P30)</f>
        <v>0</v>
      </c>
      <c r="BF30">
        <f>IF(P30=0,0,COUNTIF('Transect 3_imgsummary'!E30:I30,"PECT")*100/P30)</f>
        <v>0</v>
      </c>
      <c r="BG30">
        <f>IF(P30=0,0,COUNTIF('Transect 3_imgsummary'!E30:I30,"PHYSO")*100/P30)</f>
        <v>0</v>
      </c>
      <c r="BH30">
        <f>IF(P30=0,0,COUNTIF('Transect 3_imgsummary'!E30:I30,"PLAT")*100/P30)</f>
        <v>0</v>
      </c>
      <c r="BI30">
        <f>IF(P30=0,0,COUNTIF('Transect 3_imgsummary'!E30:I30,"PLERO")*100/P30)</f>
        <v>0</v>
      </c>
      <c r="BJ30">
        <f>IF(P30=0,0,COUNTIF('Transect 3_imgsummary'!E30:I30,"POC")*100/P30)</f>
        <v>0</v>
      </c>
      <c r="BK30">
        <f>IF(P30=0,0,COUNTIF('Transect 3_imgsummary'!E30:I30,"POR")*100/P30)</f>
        <v>0</v>
      </c>
      <c r="BL30">
        <f>IF(P30=0,0,COUNTIF('Transect 3_imgsummary'!E30:I30,"PORCYL")*100/P30)</f>
        <v>0</v>
      </c>
      <c r="BM30">
        <f>IF(P30=0,0,COUNTIF('Transect 3_imgsummary'!E30:I30,"PORMAS")*100/P30)</f>
        <v>0</v>
      </c>
      <c r="BN30">
        <f>IF(P30=0,0,COUNTIF('Transect 3_imgsummary'!E30:I30,"PORRUS")*100/P30)</f>
        <v>0</v>
      </c>
      <c r="BO30">
        <f>IF(P30=0,0,COUNTIF('Transect 3_imgsummary'!E30:I30,"PSAM")*100/P30)</f>
        <v>0</v>
      </c>
      <c r="BP30">
        <f>IF(P30=0,0,COUNTIF('Transect 3_imgsummary'!E30:I30,"SANDO")*100/P30)</f>
        <v>0</v>
      </c>
      <c r="BQ30">
        <f>IF(P30=0,0,COUNTIF('Transect 3_imgsummary'!E30:I30,"SCAP")*100/P30)</f>
        <v>0</v>
      </c>
      <c r="BR30">
        <f>IF(P30=0,0,COUNTIF('Transect 3_imgsummary'!E30:I30,"SERIA")*100/P30)</f>
        <v>0</v>
      </c>
      <c r="BS30">
        <f>IF(P30=0,0,COUNTIF('Transect 3_imgsummary'!E30:I30,"STYLC")*100/P30)</f>
        <v>0</v>
      </c>
      <c r="BT30" s="29">
        <f>IF(P30=0,0,COUNTIF('Transect 3_imgsummary'!E30:I30,"STYLO")*100/P30)</f>
        <v>40</v>
      </c>
      <c r="BU30">
        <f>IF(P30=0,0,COUNTIF('Transect 3_imgsummary'!E30:I30,"SYMP")*100/P30)</f>
        <v>0</v>
      </c>
      <c r="BV30">
        <f>IF(P30=0,0,COUNTIF('Transect 3_imgsummary'!E30:I30,"TURBIN")*100/P30)</f>
        <v>0</v>
      </c>
      <c r="BX30">
        <f>IF(P30=0,0,COUNTIF('Transect 3_imgsummary'!E30:I30,"ANEM")*100/P30)</f>
        <v>0</v>
      </c>
      <c r="BY30">
        <f>IF(P30=0,0,COUNTIF('Transect 3_imgsummary'!E30:I30,"ASC")*100/P30)</f>
        <v>0</v>
      </c>
      <c r="BZ30">
        <f>IF(P30=0,0,COUNTIF('Transect 3_imgsummary'!E30:I30,"CUPS")*100/P30)</f>
        <v>0</v>
      </c>
      <c r="CA30">
        <f>IF(P30=0,0,COUNTIF('Transect 3_imgsummary'!E30:I30,"DISCO")*100/P30)</f>
        <v>0</v>
      </c>
      <c r="CB30">
        <f>IF(P30=0,0,COUNTIF('Transect 3_imgsummary'!E30:I30,"DYS")*100/P30)</f>
        <v>0</v>
      </c>
      <c r="CC30">
        <f>IF(P30=0,0,COUNTIF('Transect 3_imgsummary'!E30:I30,"G")*100/P30)</f>
        <v>0</v>
      </c>
      <c r="CD30">
        <f>IF(P30=0,0,COUNTIF('Transect 3_imgsummary'!E30:I30,"NoIDINV")*100/P30)</f>
        <v>0</v>
      </c>
      <c r="CE30">
        <f>IF(P30=0,0,COUNTIF('Transect 3_imgsummary'!E30:I30,"OLV")*100/P30)</f>
        <v>0</v>
      </c>
      <c r="CF30">
        <f>IF(P30=0,0,COUNTIF('Transect 3_imgsummary'!E30:I30,"SC")*100/P30)</f>
        <v>0</v>
      </c>
      <c r="CG30">
        <f>IF(P30=0,0,COUNTIF('Transect 3_imgsummary'!E30:I30,"S")*100/P30)</f>
        <v>0</v>
      </c>
      <c r="CH30">
        <f>IF(P30=0,0,COUNTIF('Transect 3_imgsummary'!E30:I30,"TERPS")*100/P30)</f>
        <v>0</v>
      </c>
      <c r="CI30">
        <f>IF(P30=0,0,COUNTIF('Transect 3_imgsummary'!E30:I30,"Z")*100/P30)</f>
        <v>0</v>
      </c>
      <c r="CK30">
        <f>IF(P30=0,0,COUNTIF('Transect 3_imgsummary'!E30:I30,"ASP")*100/P30)</f>
        <v>0</v>
      </c>
      <c r="CL30">
        <f>IF(P30=0,0,COUNTIF('Transect 3_imgsummary'!E30:I30,"BG")*100/P30)</f>
        <v>0</v>
      </c>
      <c r="CM30">
        <f>IF(P30=0,0,COUNTIF('Transect 3_imgsummary'!E30:I30,"Bood")*100/P30)</f>
        <v>0</v>
      </c>
      <c r="CN30">
        <f>IF(P30=0,0,COUNTIF('Transect 3_imgsummary'!E30:I30,"BRYP")*100/P30)</f>
        <v>0</v>
      </c>
      <c r="CO30">
        <f>IF(P30=0,0,COUNTIF('Transect 3_imgsummary'!E30:I30,"CLP")*100/P30)</f>
        <v>0</v>
      </c>
      <c r="CP30">
        <f>IF(P30=0,0,COUNTIF('Transect 3_imgsummary'!E30:I30,"CHLDES")*100/P30)</f>
        <v>0</v>
      </c>
      <c r="CQ30">
        <f>IF(P30=0,0,COUNTIF('Transect 3_imgsummary'!E30:I30,"DYCTY")*100/P30)</f>
        <v>0</v>
      </c>
      <c r="CR30">
        <f>IF(P30=0,0,COUNTIF('Transect 3_imgsummary'!E30:I30,"DICT")*100/P30)</f>
        <v>0</v>
      </c>
      <c r="CS30">
        <f>IF(P30=0,0,COUNTIF('Transect 3_imgsummary'!E30:I30,"GLXU")*100/P30)</f>
        <v>0</v>
      </c>
      <c r="CT30">
        <f>IF(P30=0,0,COUNTIF('Transect 3_imgsummary'!E30:I30,"HALI")*100/P30)</f>
        <v>0</v>
      </c>
      <c r="CU30">
        <f>IF(P30=0,0,COUNTIF('Transect 3_imgsummary'!E30:I30,"LIAG")*100/P30)</f>
        <v>0</v>
      </c>
      <c r="CV30">
        <f>IF(P30=0,0,COUNTIF('Transect 3_imgsummary'!E30:I30,"LOBO")*100/P30)</f>
        <v>0</v>
      </c>
      <c r="CW30">
        <f>IF(P30=0,0,COUNTIF('Transect 3_imgsummary'!E30:I30,"MAST")*100/P30)</f>
        <v>0</v>
      </c>
      <c r="CX30">
        <f>IF(P30=0,0,COUNTIF('Transect 3_imgsummary'!E30:I30,"MICDTY")*100/P30)</f>
        <v>0</v>
      </c>
      <c r="CY30">
        <f>IF(P30=0,0,COUNTIF('Transect 3_imgsummary'!E30:I30,"NEOM")*100/P30)</f>
        <v>0</v>
      </c>
      <c r="CZ30">
        <f>IF(P30=0,0,COUNTIF('Transect 3_imgsummary'!E30:I30,"NOIDMAC")*100/P30)</f>
        <v>0</v>
      </c>
      <c r="DA30">
        <f>IF(P30=0,0,COUNTIF('Transect 3_imgsummary'!E30:I30,"PAD")*100/P30)</f>
        <v>0</v>
      </c>
      <c r="DB30">
        <f>IF(P30=0,0,COUNTIF('Transect 3_imgsummary'!E30:I30,"SARG")*100/P30)</f>
        <v>0</v>
      </c>
      <c r="DC30">
        <f>IF(P30=0,0,COUNTIF('Transect 3_imgsummary'!E30:I30,"SCHIZ")*100/P30)</f>
        <v>0</v>
      </c>
      <c r="DD30">
        <f>IF(P30=0,0,COUNTIF('Transect 3_imgsummary'!E30:I30,"TURB")*100/P30)</f>
        <v>0</v>
      </c>
      <c r="DE30">
        <f>IF(P30=0,0,COUNTIF('Transect 3_imgsummary'!E30:I30,"TYDM")*100/P30)</f>
        <v>0</v>
      </c>
      <c r="DG30">
        <f>IF(P30=0,0,COUNTIF('Transect 3_imgsummary'!E30:I30,"AMP")*100/P30)</f>
        <v>0</v>
      </c>
      <c r="DH30">
        <f>IF(P30=0,0,COUNTIF('Transect 3_imgsummary'!E30:I30,"BCA1")*100/P30)</f>
        <v>0</v>
      </c>
      <c r="DI30">
        <f>IF(P30=0,0,COUNTIF('Transect 3_imgsummary'!E30:I30,"JAN")*100/P30)</f>
        <v>0</v>
      </c>
      <c r="DK30" s="29">
        <f>IF(P30=0,0,COUNTIF('Transect 3_imgsummary'!E30:I30,"CCA1")*100/P30)</f>
        <v>20</v>
      </c>
      <c r="DM30">
        <f>IF(P30=0,0,COUNTIF('Transect 3_imgsummary'!E30:I30,"Sand")*100/P30)</f>
        <v>0</v>
      </c>
      <c r="DO30">
        <f>IF(P30=0,0,COUNTIF('Transect 3_imgsummary'!E30:I30,"FCA1")*100/P30)</f>
        <v>0</v>
      </c>
      <c r="DQ30">
        <f>IF(P30=0,0,COUNTIF('Transect 3_imgsummary'!E30:I30,"CHRYOBRN")*100/P30)</f>
        <v>0</v>
      </c>
      <c r="DS30">
        <f>IF(P30=0,0,COUNTIF('Transect 3_imgsummary'!E30:I30,"TURF")*100/P30)</f>
        <v>0</v>
      </c>
      <c r="DU30">
        <f>COUNTIF('Transect 3_imgsummary'!E30:I30,"Shadow")*100/5</f>
        <v>0</v>
      </c>
      <c r="DV30">
        <f>COUNTIF('Transect 3_imgsummary'!E30:I30,"Tape")*100/5</f>
        <v>0</v>
      </c>
      <c r="DW30">
        <f>COUNTIF('Transect 3_imgsummary'!E30:I30,"Wand")*100/5</f>
        <v>0</v>
      </c>
      <c r="DY30">
        <f>IF(P30=0,0,COUNTIF('Transect 3_imgsummary'!O30:S30,"BC")*100/P30)</f>
        <v>0</v>
      </c>
    </row>
    <row r="31" spans="1:129">
      <c r="A31">
        <v>29</v>
      </c>
      <c r="B31" t="s">
        <v>518</v>
      </c>
      <c r="F31" s="29">
        <f>IF(P31=0,0,COUNTIF('Transect 3_imgsummary'!J31:N31,"C")*100/P31)</f>
        <v>20</v>
      </c>
      <c r="G31">
        <f>IF(P31=0,0,COUNTIF('Transect 3_imgsummary'!J31:N31,"OI")*100/P31)</f>
        <v>0</v>
      </c>
      <c r="H31">
        <f>IF(P31=0,0,COUNTIF('Transect 3_imgsummary'!J31:N31,"MA")*100/P31)</f>
        <v>0</v>
      </c>
      <c r="I31">
        <f>IF(P31=0,0,COUNTIF('Transect 3_imgsummary'!J31:N31,"BCA")*100/P31)</f>
        <v>0</v>
      </c>
      <c r="J31" s="29">
        <f>IF(P31=0,0,COUNTIF('Transect 3_imgsummary'!J31:N31,"CCA")*100/P31)</f>
        <v>60</v>
      </c>
      <c r="K31">
        <f>IF(P31=0,0,COUNTIF('Transect 3_imgsummary'!J31:N31,"SD")*100/P31)</f>
        <v>0</v>
      </c>
      <c r="L31">
        <f>IF(P31=0,0,COUNTIF('Transect 3_imgsummary'!J31:N31,"FCA")*100/P31)</f>
        <v>0</v>
      </c>
      <c r="M31">
        <f>IF(P31=0,0,COUNTIF('Transect 3_imgsummary'!J31:N31,"CHRYS")*100/P31)</f>
        <v>0</v>
      </c>
      <c r="N31" s="29">
        <f>IF(P31=0,0,COUNTIF('Transect 3_imgsummary'!J31:N31,"T")*100/P31)</f>
        <v>20</v>
      </c>
      <c r="O31">
        <f>IF(P31=0,0,COUNTIF('Transect 3_imgsummary'!J31:N31,"TWS")*100/P31)</f>
        <v>0</v>
      </c>
      <c r="P31">
        <f>5-COUNTIF('Transect 3_imgsummary'!J31:N31,"TWS")</f>
        <v>5</v>
      </c>
      <c r="S31">
        <f>IF(P31=0,0,COUNTIF('Transect 3_imgsummary'!E31:I31,"ACAN")*100/P31)</f>
        <v>0</v>
      </c>
      <c r="T31">
        <f>IF(P31=0,0,COUNTIF('Transect 3_imgsummary'!E31:I31,"ACROP")*100/P31)</f>
        <v>0</v>
      </c>
      <c r="U31">
        <f>IF(P31=0,0,COUNTIF('Transect 3_imgsummary'!E31:I31,"ACROPARB")*100/P31)</f>
        <v>0</v>
      </c>
      <c r="V31">
        <f>IF(P31=0,0,COUNTIF('Transect 3_imgsummary'!E31:I31,"ACROST")*100/P31)</f>
        <v>0</v>
      </c>
      <c r="W31">
        <f>IF(P31=0,0,COUNTIF('Transect 3_imgsummary'!E31:I31,"ACROTBL")*100/P31)</f>
        <v>0</v>
      </c>
      <c r="X31">
        <f>IF(P31=0,0,COUNTIF('Transect 3_imgsummary'!E31:I31,"ASTRP")*100/P31)</f>
        <v>0</v>
      </c>
      <c r="Y31">
        <f>IF(P31=0,0,COUNTIF('Transect 3_imgsummary'!E31:I31,"CAUL")*100/P31)</f>
        <v>0</v>
      </c>
      <c r="Z31">
        <f>IF(P31=0,0,COUNTIF('Transect 3_imgsummary'!E31:I31,"COSC")*100/P31)</f>
        <v>0</v>
      </c>
      <c r="AA31">
        <f>IF(P31=0,0,COUNTIF('Transect 3_imgsummary'!E31:I31,"CTEN")*100/P31)</f>
        <v>0</v>
      </c>
      <c r="AB31">
        <f>IF(P31=0,0,COUNTIF('Transect 3_imgsummary'!E31:I31,"CYPH")*100/P31)</f>
        <v>0</v>
      </c>
      <c r="AC31">
        <f>IF(P31=0,0,COUNTIF('Transect 3_imgsummary'!E31:I31,"DIPLO")*100/P31)</f>
        <v>0</v>
      </c>
      <c r="AD31">
        <f>IF(P31=0,0,COUNTIF('Transect 3_imgsummary'!E31:I31,"ECHPO")*100/P31)</f>
        <v>0</v>
      </c>
      <c r="AE31">
        <f>IF(P31=0,0,COUNTIF('Transect 3_imgsummary'!E31:I31,"ECHPHY")*100/P31)</f>
        <v>0</v>
      </c>
      <c r="AF31">
        <f>IF(P31=0,0,COUNTIF('Transect 3_imgsummary'!E31:I31,"EUPH")*100/P31)</f>
        <v>0</v>
      </c>
      <c r="AG31">
        <f>IF(P31=0,0,COUNTIF('Transect 3_imgsummary'!E31:I31,"FAV")*100/P31)</f>
        <v>0</v>
      </c>
      <c r="AH31">
        <f>IF(P31=0,0,COUNTIF('Transect 3_imgsummary'!E31:I31,"FAVT")*100/P31)</f>
        <v>0</v>
      </c>
      <c r="AI31">
        <f>IF(P31=0,0,COUNTIF('Transect 3_imgsummary'!E31:I31,"FUNG")*100/P31)</f>
        <v>0</v>
      </c>
      <c r="AJ31">
        <f>IF(P31=0,0,COUNTIF('Transect 3_imgsummary'!E31:I31,"GAL")*100/P31)</f>
        <v>0</v>
      </c>
      <c r="AK31">
        <f>IF(P31=0,0,COUNTIF('Transect 3_imgsummary'!E31:I31,"GARD")*100/P31)</f>
        <v>0</v>
      </c>
      <c r="AL31">
        <f>IF(P31=0,0,COUNTIF('Transect 3_imgsummary'!E31:I31,"GON")*100/P31)</f>
        <v>0</v>
      </c>
      <c r="AM31">
        <f>IF(P31=0,0,COUNTIF('Transect 3_imgsummary'!E31:I31,"GONIO")*100/P31)</f>
        <v>0</v>
      </c>
      <c r="AN31">
        <f>IF(P31=0,0,COUNTIF('Transect 3_imgsummary'!E31:I31,"HELIO")*100/P31)</f>
        <v>0</v>
      </c>
      <c r="AO31">
        <f>IF(P31=0,0,COUNTIF('Transect 3_imgsummary'!E31:I31,"HERP")*100/P31)</f>
        <v>0</v>
      </c>
      <c r="AP31">
        <f>IF(P31=0,0,COUNTIF('Transect 3_imgsummary'!E31:I31,"HYD")*100/P31)</f>
        <v>0</v>
      </c>
      <c r="AQ31">
        <f>IF(P31=0,0,COUNTIF('Transect 3_imgsummary'!E31:I31,"ISOP")*100/P31)</f>
        <v>0</v>
      </c>
      <c r="AR31">
        <f>IF(P31=0,0,COUNTIF('Transect 3_imgsummary'!E31:I31,"LEPT")*100/P31)</f>
        <v>0</v>
      </c>
      <c r="AS31" s="29">
        <f>IF(P31=0,0,COUNTIF('Transect 3_imgsummary'!E31:I31,"LEPTOR")*100/P31)</f>
        <v>20</v>
      </c>
      <c r="AT31">
        <f>IF(P31=0,0,COUNTIF('Transect 3_imgsummary'!E31:I31,"LEPTOS")*100/P31)</f>
        <v>0</v>
      </c>
      <c r="AU31">
        <f>IF(P31=0,0,COUNTIF('Transect 3_imgsummary'!E31:I31,"LOBOPH")*100/P31)</f>
        <v>0</v>
      </c>
      <c r="AV31">
        <f>IF(P31=0,0,COUNTIF('Transect 3_imgsummary'!E31:I31,"MERU")*100/P31)</f>
        <v>0</v>
      </c>
      <c r="AW31">
        <f>IF(P31=0,0,COUNTIF('Transect 3_imgsummary'!E31:I31,"MILL")*100/P31)</f>
        <v>0</v>
      </c>
      <c r="AX31">
        <f>IF(P31=0,0,COUNTIF('Transect 3_imgsummary'!E31:I31,"MONT")*100/P31)</f>
        <v>0</v>
      </c>
      <c r="AY31">
        <f>IF(P31=0,0,COUNTIF('Transect 3_imgsummary'!E31:I31,"MONTI")*100/P31)</f>
        <v>0</v>
      </c>
      <c r="AZ31">
        <f>IF(P31=0,0,COUNTIF('Transect 3_imgsummary'!E31:I31,"MYCED")*100/P31)</f>
        <v>0</v>
      </c>
      <c r="BA31">
        <f>IF(P31=0,0,COUNTIF('Transect 3_imgsummary'!E31:I31,"OULO")*100/P31)</f>
        <v>0</v>
      </c>
      <c r="BB31">
        <f>IF(P31=0,0,COUNTIF('Transect 3_imgsummary'!E31:I31,"OXYP")*100/P31)</f>
        <v>0</v>
      </c>
      <c r="BC31">
        <f>IF(P31=0,0,COUNTIF('Transect 3_imgsummary'!E31:I31,"PLSIA")*100/P31)</f>
        <v>0</v>
      </c>
      <c r="BD31">
        <f>IF(P31=0,0,COUNTIF('Transect 3_imgsummary'!E31:I31,"PACHY")*100/P31)</f>
        <v>0</v>
      </c>
      <c r="BE31">
        <f>IF(P31=0,0,COUNTIF('Transect 3_imgsummary'!E31:I31,"PAV")*100/P31)</f>
        <v>0</v>
      </c>
      <c r="BF31">
        <f>IF(P31=0,0,COUNTIF('Transect 3_imgsummary'!E31:I31,"PECT")*100/P31)</f>
        <v>0</v>
      </c>
      <c r="BG31">
        <f>IF(P31=0,0,COUNTIF('Transect 3_imgsummary'!E31:I31,"PHYSO")*100/P31)</f>
        <v>0</v>
      </c>
      <c r="BH31">
        <f>IF(P31=0,0,COUNTIF('Transect 3_imgsummary'!E31:I31,"PLAT")*100/P31)</f>
        <v>0</v>
      </c>
      <c r="BI31">
        <f>IF(P31=0,0,COUNTIF('Transect 3_imgsummary'!E31:I31,"PLERO")*100/P31)</f>
        <v>0</v>
      </c>
      <c r="BJ31">
        <f>IF(P31=0,0,COUNTIF('Transect 3_imgsummary'!E31:I31,"POC")*100/P31)</f>
        <v>0</v>
      </c>
      <c r="BK31">
        <f>IF(P31=0,0,COUNTIF('Transect 3_imgsummary'!E31:I31,"POR")*100/P31)</f>
        <v>0</v>
      </c>
      <c r="BL31">
        <f>IF(P31=0,0,COUNTIF('Transect 3_imgsummary'!E31:I31,"PORCYL")*100/P31)</f>
        <v>0</v>
      </c>
      <c r="BM31">
        <f>IF(P31=0,0,COUNTIF('Transect 3_imgsummary'!E31:I31,"PORMAS")*100/P31)</f>
        <v>0</v>
      </c>
      <c r="BN31">
        <f>IF(P31=0,0,COUNTIF('Transect 3_imgsummary'!E31:I31,"PORRUS")*100/P31)</f>
        <v>0</v>
      </c>
      <c r="BO31">
        <f>IF(P31=0,0,COUNTIF('Transect 3_imgsummary'!E31:I31,"PSAM")*100/P31)</f>
        <v>0</v>
      </c>
      <c r="BP31">
        <f>IF(P31=0,0,COUNTIF('Transect 3_imgsummary'!E31:I31,"SANDO")*100/P31)</f>
        <v>0</v>
      </c>
      <c r="BQ31">
        <f>IF(P31=0,0,COUNTIF('Transect 3_imgsummary'!E31:I31,"SCAP")*100/P31)</f>
        <v>0</v>
      </c>
      <c r="BR31">
        <f>IF(P31=0,0,COUNTIF('Transect 3_imgsummary'!E31:I31,"SERIA")*100/P31)</f>
        <v>0</v>
      </c>
      <c r="BS31">
        <f>IF(P31=0,0,COUNTIF('Transect 3_imgsummary'!E31:I31,"STYLC")*100/P31)</f>
        <v>0</v>
      </c>
      <c r="BT31">
        <f>IF(P31=0,0,COUNTIF('Transect 3_imgsummary'!E31:I31,"STYLO")*100/P31)</f>
        <v>0</v>
      </c>
      <c r="BU31">
        <f>IF(P31=0,0,COUNTIF('Transect 3_imgsummary'!E31:I31,"SYMP")*100/P31)</f>
        <v>0</v>
      </c>
      <c r="BV31">
        <f>IF(P31=0,0,COUNTIF('Transect 3_imgsummary'!E31:I31,"TURBIN")*100/P31)</f>
        <v>0</v>
      </c>
      <c r="BX31">
        <f>IF(P31=0,0,COUNTIF('Transect 3_imgsummary'!E31:I31,"ANEM")*100/P31)</f>
        <v>0</v>
      </c>
      <c r="BY31">
        <f>IF(P31=0,0,COUNTIF('Transect 3_imgsummary'!E31:I31,"ASC")*100/P31)</f>
        <v>0</v>
      </c>
      <c r="BZ31">
        <f>IF(P31=0,0,COUNTIF('Transect 3_imgsummary'!E31:I31,"CUPS")*100/P31)</f>
        <v>0</v>
      </c>
      <c r="CA31">
        <f>IF(P31=0,0,COUNTIF('Transect 3_imgsummary'!E31:I31,"DISCO")*100/P31)</f>
        <v>0</v>
      </c>
      <c r="CB31">
        <f>IF(P31=0,0,COUNTIF('Transect 3_imgsummary'!E31:I31,"DYS")*100/P31)</f>
        <v>0</v>
      </c>
      <c r="CC31">
        <f>IF(P31=0,0,COUNTIF('Transect 3_imgsummary'!E31:I31,"G")*100/P31)</f>
        <v>0</v>
      </c>
      <c r="CD31">
        <f>IF(P31=0,0,COUNTIF('Transect 3_imgsummary'!E31:I31,"NoIDINV")*100/P31)</f>
        <v>0</v>
      </c>
      <c r="CE31">
        <f>IF(P31=0,0,COUNTIF('Transect 3_imgsummary'!E31:I31,"OLV")*100/P31)</f>
        <v>0</v>
      </c>
      <c r="CF31">
        <f>IF(P31=0,0,COUNTIF('Transect 3_imgsummary'!E31:I31,"SC")*100/P31)</f>
        <v>0</v>
      </c>
      <c r="CG31">
        <f>IF(P31=0,0,COUNTIF('Transect 3_imgsummary'!E31:I31,"S")*100/P31)</f>
        <v>0</v>
      </c>
      <c r="CH31">
        <f>IF(P31=0,0,COUNTIF('Transect 3_imgsummary'!E31:I31,"TERPS")*100/P31)</f>
        <v>0</v>
      </c>
      <c r="CI31">
        <f>IF(P31=0,0,COUNTIF('Transect 3_imgsummary'!E31:I31,"Z")*100/P31)</f>
        <v>0</v>
      </c>
      <c r="CK31">
        <f>IF(P31=0,0,COUNTIF('Transect 3_imgsummary'!E31:I31,"ASP")*100/P31)</f>
        <v>0</v>
      </c>
      <c r="CL31">
        <f>IF(P31=0,0,COUNTIF('Transect 3_imgsummary'!E31:I31,"BG")*100/P31)</f>
        <v>0</v>
      </c>
      <c r="CM31">
        <f>IF(P31=0,0,COUNTIF('Transect 3_imgsummary'!E31:I31,"Bood")*100/P31)</f>
        <v>0</v>
      </c>
      <c r="CN31">
        <f>IF(P31=0,0,COUNTIF('Transect 3_imgsummary'!E31:I31,"BRYP")*100/P31)</f>
        <v>0</v>
      </c>
      <c r="CO31">
        <f>IF(P31=0,0,COUNTIF('Transect 3_imgsummary'!E31:I31,"CLP")*100/P31)</f>
        <v>0</v>
      </c>
      <c r="CP31">
        <f>IF(P31=0,0,COUNTIF('Transect 3_imgsummary'!E31:I31,"CHLDES")*100/P31)</f>
        <v>0</v>
      </c>
      <c r="CQ31">
        <f>IF(P31=0,0,COUNTIF('Transect 3_imgsummary'!E31:I31,"DYCTY")*100/P31)</f>
        <v>0</v>
      </c>
      <c r="CR31">
        <f>IF(P31=0,0,COUNTIF('Transect 3_imgsummary'!E31:I31,"DICT")*100/P31)</f>
        <v>0</v>
      </c>
      <c r="CS31">
        <f>IF(P31=0,0,COUNTIF('Transect 3_imgsummary'!E31:I31,"GLXU")*100/P31)</f>
        <v>0</v>
      </c>
      <c r="CT31">
        <f>IF(P31=0,0,COUNTIF('Transect 3_imgsummary'!E31:I31,"HALI")*100/P31)</f>
        <v>0</v>
      </c>
      <c r="CU31">
        <f>IF(P31=0,0,COUNTIF('Transect 3_imgsummary'!E31:I31,"LIAG")*100/P31)</f>
        <v>0</v>
      </c>
      <c r="CV31">
        <f>IF(P31=0,0,COUNTIF('Transect 3_imgsummary'!E31:I31,"LOBO")*100/P31)</f>
        <v>0</v>
      </c>
      <c r="CW31">
        <f>IF(P31=0,0,COUNTIF('Transect 3_imgsummary'!E31:I31,"MAST")*100/P31)</f>
        <v>0</v>
      </c>
      <c r="CX31">
        <f>IF(P31=0,0,COUNTIF('Transect 3_imgsummary'!E31:I31,"MICDTY")*100/P31)</f>
        <v>0</v>
      </c>
      <c r="CY31">
        <f>IF(P31=0,0,COUNTIF('Transect 3_imgsummary'!E31:I31,"NEOM")*100/P31)</f>
        <v>0</v>
      </c>
      <c r="CZ31">
        <f>IF(P31=0,0,COUNTIF('Transect 3_imgsummary'!E31:I31,"NOIDMAC")*100/P31)</f>
        <v>0</v>
      </c>
      <c r="DA31">
        <f>IF(P31=0,0,COUNTIF('Transect 3_imgsummary'!E31:I31,"PAD")*100/P31)</f>
        <v>0</v>
      </c>
      <c r="DB31">
        <f>IF(P31=0,0,COUNTIF('Transect 3_imgsummary'!E31:I31,"SARG")*100/P31)</f>
        <v>0</v>
      </c>
      <c r="DC31">
        <f>IF(P31=0,0,COUNTIF('Transect 3_imgsummary'!E31:I31,"SCHIZ")*100/P31)</f>
        <v>0</v>
      </c>
      <c r="DD31">
        <f>IF(P31=0,0,COUNTIF('Transect 3_imgsummary'!E31:I31,"TURB")*100/P31)</f>
        <v>0</v>
      </c>
      <c r="DE31">
        <f>IF(P31=0,0,COUNTIF('Transect 3_imgsummary'!E31:I31,"TYDM")*100/P31)</f>
        <v>0</v>
      </c>
      <c r="DG31">
        <f>IF(P31=0,0,COUNTIF('Transect 3_imgsummary'!E31:I31,"AMP")*100/P31)</f>
        <v>0</v>
      </c>
      <c r="DH31">
        <f>IF(P31=0,0,COUNTIF('Transect 3_imgsummary'!E31:I31,"BCA1")*100/P31)</f>
        <v>0</v>
      </c>
      <c r="DI31">
        <f>IF(P31=0,0,COUNTIF('Transect 3_imgsummary'!E31:I31,"JAN")*100/P31)</f>
        <v>0</v>
      </c>
      <c r="DK31" s="29">
        <f>IF(P31=0,0,COUNTIF('Transect 3_imgsummary'!E31:I31,"CCA1")*100/P31)</f>
        <v>60</v>
      </c>
      <c r="DM31">
        <f>IF(P31=0,0,COUNTIF('Transect 3_imgsummary'!E31:I31,"Sand")*100/P31)</f>
        <v>0</v>
      </c>
      <c r="DO31">
        <f>IF(P31=0,0,COUNTIF('Transect 3_imgsummary'!E31:I31,"FCA1")*100/P31)</f>
        <v>0</v>
      </c>
      <c r="DQ31">
        <f>IF(P31=0,0,COUNTIF('Transect 3_imgsummary'!E31:I31,"CHRYOBRN")*100/P31)</f>
        <v>0</v>
      </c>
      <c r="DS31" s="29">
        <f>IF(P31=0,0,COUNTIF('Transect 3_imgsummary'!E31:I31,"TURF")*100/P31)</f>
        <v>20</v>
      </c>
      <c r="DU31">
        <f>COUNTIF('Transect 3_imgsummary'!E31:I31,"Shadow")*100/5</f>
        <v>0</v>
      </c>
      <c r="DV31">
        <f>COUNTIF('Transect 3_imgsummary'!E31:I31,"Tape")*100/5</f>
        <v>0</v>
      </c>
      <c r="DW31">
        <f>COUNTIF('Transect 3_imgsummary'!E31:I31,"Wand")*100/5</f>
        <v>0</v>
      </c>
      <c r="DY31">
        <f>IF(P31=0,0,COUNTIF('Transect 3_imgsummary'!O31:S31,"BC")*100/P31)</f>
        <v>0</v>
      </c>
    </row>
    <row r="32" spans="1:129">
      <c r="A32">
        <v>30</v>
      </c>
      <c r="B32" t="s">
        <v>519</v>
      </c>
      <c r="F32" s="29">
        <f>IF(P32=0,0,COUNTIF('Transect 3_imgsummary'!J32:N32,"C")*100/P32)</f>
        <v>40</v>
      </c>
      <c r="G32">
        <f>IF(P32=0,0,COUNTIF('Transect 3_imgsummary'!J32:N32,"OI")*100/P32)</f>
        <v>0</v>
      </c>
      <c r="H32">
        <f>IF(P32=0,0,COUNTIF('Transect 3_imgsummary'!J32:N32,"MA")*100/P32)</f>
        <v>0</v>
      </c>
      <c r="I32">
        <f>IF(P32=0,0,COUNTIF('Transect 3_imgsummary'!J32:N32,"BCA")*100/P32)</f>
        <v>0</v>
      </c>
      <c r="J32">
        <f>IF(P32=0,0,COUNTIF('Transect 3_imgsummary'!J32:N32,"CCA")*100/P32)</f>
        <v>0</v>
      </c>
      <c r="K32">
        <f>IF(P32=0,0,COUNTIF('Transect 3_imgsummary'!J32:N32,"SD")*100/P32)</f>
        <v>0</v>
      </c>
      <c r="L32" s="29">
        <f>IF(P32=0,0,COUNTIF('Transect 3_imgsummary'!J32:N32,"FCA")*100/P32)</f>
        <v>20</v>
      </c>
      <c r="M32">
        <f>IF(P32=0,0,COUNTIF('Transect 3_imgsummary'!J32:N32,"CHRYS")*100/P32)</f>
        <v>0</v>
      </c>
      <c r="N32" s="29">
        <f>IF(P32=0,0,COUNTIF('Transect 3_imgsummary'!J32:N32,"T")*100/P32)</f>
        <v>40</v>
      </c>
      <c r="O32">
        <f>IF(P32=0,0,COUNTIF('Transect 3_imgsummary'!J32:N32,"TWS")*100/P32)</f>
        <v>0</v>
      </c>
      <c r="P32">
        <f>5-COUNTIF('Transect 3_imgsummary'!J32:N32,"TWS")</f>
        <v>5</v>
      </c>
      <c r="S32">
        <f>IF(P32=0,0,COUNTIF('Transect 3_imgsummary'!E32:I32,"ACAN")*100/P32)</f>
        <v>0</v>
      </c>
      <c r="T32">
        <f>IF(P32=0,0,COUNTIF('Transect 3_imgsummary'!E32:I32,"ACROP")*100/P32)</f>
        <v>0</v>
      </c>
      <c r="U32">
        <f>IF(P32=0,0,COUNTIF('Transect 3_imgsummary'!E32:I32,"ACROPARB")*100/P32)</f>
        <v>0</v>
      </c>
      <c r="V32">
        <f>IF(P32=0,0,COUNTIF('Transect 3_imgsummary'!E32:I32,"ACROST")*100/P32)</f>
        <v>0</v>
      </c>
      <c r="W32">
        <f>IF(P32=0,0,COUNTIF('Transect 3_imgsummary'!E32:I32,"ACROTBL")*100/P32)</f>
        <v>0</v>
      </c>
      <c r="X32">
        <f>IF(P32=0,0,COUNTIF('Transect 3_imgsummary'!E32:I32,"ASTRP")*100/P32)</f>
        <v>0</v>
      </c>
      <c r="Y32">
        <f>IF(P32=0,0,COUNTIF('Transect 3_imgsummary'!E32:I32,"CAUL")*100/P32)</f>
        <v>0</v>
      </c>
      <c r="Z32">
        <f>IF(P32=0,0,COUNTIF('Transect 3_imgsummary'!E32:I32,"COSC")*100/P32)</f>
        <v>0</v>
      </c>
      <c r="AA32">
        <f>IF(P32=0,0,COUNTIF('Transect 3_imgsummary'!E32:I32,"CTEN")*100/P32)</f>
        <v>0</v>
      </c>
      <c r="AB32">
        <f>IF(P32=0,0,COUNTIF('Transect 3_imgsummary'!E32:I32,"CYPH")*100/P32)</f>
        <v>0</v>
      </c>
      <c r="AC32">
        <f>IF(P32=0,0,COUNTIF('Transect 3_imgsummary'!E32:I32,"DIPLO")*100/P32)</f>
        <v>0</v>
      </c>
      <c r="AD32">
        <f>IF(P32=0,0,COUNTIF('Transect 3_imgsummary'!E32:I32,"ECHPO")*100/P32)</f>
        <v>0</v>
      </c>
      <c r="AE32">
        <f>IF(P32=0,0,COUNTIF('Transect 3_imgsummary'!E32:I32,"ECHPHY")*100/P32)</f>
        <v>0</v>
      </c>
      <c r="AF32">
        <f>IF(P32=0,0,COUNTIF('Transect 3_imgsummary'!E32:I32,"EUPH")*100/P32)</f>
        <v>0</v>
      </c>
      <c r="AG32">
        <f>IF(P32=0,0,COUNTIF('Transect 3_imgsummary'!E32:I32,"FAV")*100/P32)</f>
        <v>0</v>
      </c>
      <c r="AH32">
        <f>IF(P32=0,0,COUNTIF('Transect 3_imgsummary'!E32:I32,"FAVT")*100/P32)</f>
        <v>0</v>
      </c>
      <c r="AI32">
        <f>IF(P32=0,0,COUNTIF('Transect 3_imgsummary'!E32:I32,"FUNG")*100/P32)</f>
        <v>0</v>
      </c>
      <c r="AJ32">
        <f>IF(P32=0,0,COUNTIF('Transect 3_imgsummary'!E32:I32,"GAL")*100/P32)</f>
        <v>0</v>
      </c>
      <c r="AK32">
        <f>IF(P32=0,0,COUNTIF('Transect 3_imgsummary'!E32:I32,"GARD")*100/P32)</f>
        <v>0</v>
      </c>
      <c r="AL32">
        <f>IF(P32=0,0,COUNTIF('Transect 3_imgsummary'!E32:I32,"GON")*100/P32)</f>
        <v>0</v>
      </c>
      <c r="AM32">
        <f>IF(P32=0,0,COUNTIF('Transect 3_imgsummary'!E32:I32,"GONIO")*100/P32)</f>
        <v>0</v>
      </c>
      <c r="AN32">
        <f>IF(P32=0,0,COUNTIF('Transect 3_imgsummary'!E32:I32,"HELIO")*100/P32)</f>
        <v>0</v>
      </c>
      <c r="AO32">
        <f>IF(P32=0,0,COUNTIF('Transect 3_imgsummary'!E32:I32,"HERP")*100/P32)</f>
        <v>0</v>
      </c>
      <c r="AP32">
        <f>IF(P32=0,0,COUNTIF('Transect 3_imgsummary'!E32:I32,"HYD")*100/P32)</f>
        <v>0</v>
      </c>
      <c r="AQ32">
        <f>IF(P32=0,0,COUNTIF('Transect 3_imgsummary'!E32:I32,"ISOP")*100/P32)</f>
        <v>0</v>
      </c>
      <c r="AR32">
        <f>IF(P32=0,0,COUNTIF('Transect 3_imgsummary'!E32:I32,"LEPT")*100/P32)</f>
        <v>0</v>
      </c>
      <c r="AS32">
        <f>IF(P32=0,0,COUNTIF('Transect 3_imgsummary'!E32:I32,"LEPTOR")*100/P32)</f>
        <v>0</v>
      </c>
      <c r="AT32">
        <f>IF(P32=0,0,COUNTIF('Transect 3_imgsummary'!E32:I32,"LEPTOS")*100/P32)</f>
        <v>0</v>
      </c>
      <c r="AU32">
        <f>IF(P32=0,0,COUNTIF('Transect 3_imgsummary'!E32:I32,"LOBOPH")*100/P32)</f>
        <v>0</v>
      </c>
      <c r="AV32">
        <f>IF(P32=0,0,COUNTIF('Transect 3_imgsummary'!E32:I32,"MERU")*100/P32)</f>
        <v>0</v>
      </c>
      <c r="AW32">
        <f>IF(P32=0,0,COUNTIF('Transect 3_imgsummary'!E32:I32,"MILL")*100/P32)</f>
        <v>0</v>
      </c>
      <c r="AX32">
        <f>IF(P32=0,0,COUNTIF('Transect 3_imgsummary'!E32:I32,"MONT")*100/P32)</f>
        <v>0</v>
      </c>
      <c r="AY32">
        <f>IF(P32=0,0,COUNTIF('Transect 3_imgsummary'!E32:I32,"MONTI")*100/P32)</f>
        <v>0</v>
      </c>
      <c r="AZ32">
        <f>IF(P32=0,0,COUNTIF('Transect 3_imgsummary'!E32:I32,"MYCED")*100/P32)</f>
        <v>0</v>
      </c>
      <c r="BA32">
        <f>IF(P32=0,0,COUNTIF('Transect 3_imgsummary'!E32:I32,"OULO")*100/P32)</f>
        <v>0</v>
      </c>
      <c r="BB32">
        <f>IF(P32=0,0,COUNTIF('Transect 3_imgsummary'!E32:I32,"OXYP")*100/P32)</f>
        <v>0</v>
      </c>
      <c r="BC32">
        <f>IF(P32=0,0,COUNTIF('Transect 3_imgsummary'!E32:I32,"PLSIA")*100/P32)</f>
        <v>0</v>
      </c>
      <c r="BD32">
        <f>IF(P32=0,0,COUNTIF('Transect 3_imgsummary'!E32:I32,"PACHY")*100/P32)</f>
        <v>0</v>
      </c>
      <c r="BE32">
        <f>IF(P32=0,0,COUNTIF('Transect 3_imgsummary'!E32:I32,"PAV")*100/P32)</f>
        <v>0</v>
      </c>
      <c r="BF32">
        <f>IF(P32=0,0,COUNTIF('Transect 3_imgsummary'!E32:I32,"PECT")*100/P32)</f>
        <v>0</v>
      </c>
      <c r="BG32">
        <f>IF(P32=0,0,COUNTIF('Transect 3_imgsummary'!E32:I32,"PHYSO")*100/P32)</f>
        <v>0</v>
      </c>
      <c r="BH32" s="29">
        <f>IF(P32=0,0,COUNTIF('Transect 3_imgsummary'!E32:I32,"PLAT")*100/P32)</f>
        <v>40</v>
      </c>
      <c r="BI32">
        <f>IF(P32=0,0,COUNTIF('Transect 3_imgsummary'!E32:I32,"PLERO")*100/P32)</f>
        <v>0</v>
      </c>
      <c r="BJ32">
        <f>IF(P32=0,0,COUNTIF('Transect 3_imgsummary'!E32:I32,"POC")*100/P32)</f>
        <v>0</v>
      </c>
      <c r="BK32">
        <f>IF(P32=0,0,COUNTIF('Transect 3_imgsummary'!E32:I32,"POR")*100/P32)</f>
        <v>0</v>
      </c>
      <c r="BL32">
        <f>IF(P32=0,0,COUNTIF('Transect 3_imgsummary'!E32:I32,"PORCYL")*100/P32)</f>
        <v>0</v>
      </c>
      <c r="BM32">
        <f>IF(P32=0,0,COUNTIF('Transect 3_imgsummary'!E32:I32,"PORMAS")*100/P32)</f>
        <v>0</v>
      </c>
      <c r="BN32">
        <f>IF(P32=0,0,COUNTIF('Transect 3_imgsummary'!E32:I32,"PORRUS")*100/P32)</f>
        <v>0</v>
      </c>
      <c r="BO32">
        <f>IF(P32=0,0,COUNTIF('Transect 3_imgsummary'!E32:I32,"PSAM")*100/P32)</f>
        <v>0</v>
      </c>
      <c r="BP32">
        <f>IF(P32=0,0,COUNTIF('Transect 3_imgsummary'!E32:I32,"SANDO")*100/P32)</f>
        <v>0</v>
      </c>
      <c r="BQ32">
        <f>IF(P32=0,0,COUNTIF('Transect 3_imgsummary'!E32:I32,"SCAP")*100/P32)</f>
        <v>0</v>
      </c>
      <c r="BR32">
        <f>IF(P32=0,0,COUNTIF('Transect 3_imgsummary'!E32:I32,"SERIA")*100/P32)</f>
        <v>0</v>
      </c>
      <c r="BS32">
        <f>IF(P32=0,0,COUNTIF('Transect 3_imgsummary'!E32:I32,"STYLC")*100/P32)</f>
        <v>0</v>
      </c>
      <c r="BT32">
        <f>IF(P32=0,0,COUNTIF('Transect 3_imgsummary'!E32:I32,"STYLO")*100/P32)</f>
        <v>0</v>
      </c>
      <c r="BU32">
        <f>IF(P32=0,0,COUNTIF('Transect 3_imgsummary'!E32:I32,"SYMP")*100/P32)</f>
        <v>0</v>
      </c>
      <c r="BV32">
        <f>IF(P32=0,0,COUNTIF('Transect 3_imgsummary'!E32:I32,"TURBIN")*100/P32)</f>
        <v>0</v>
      </c>
      <c r="BX32">
        <f>IF(P32=0,0,COUNTIF('Transect 3_imgsummary'!E32:I32,"ANEM")*100/P32)</f>
        <v>0</v>
      </c>
      <c r="BY32">
        <f>IF(P32=0,0,COUNTIF('Transect 3_imgsummary'!E32:I32,"ASC")*100/P32)</f>
        <v>0</v>
      </c>
      <c r="BZ32">
        <f>IF(P32=0,0,COUNTIF('Transect 3_imgsummary'!E32:I32,"CUPS")*100/P32)</f>
        <v>0</v>
      </c>
      <c r="CA32">
        <f>IF(P32=0,0,COUNTIF('Transect 3_imgsummary'!E32:I32,"DISCO")*100/P32)</f>
        <v>0</v>
      </c>
      <c r="CB32">
        <f>IF(P32=0,0,COUNTIF('Transect 3_imgsummary'!E32:I32,"DYS")*100/P32)</f>
        <v>0</v>
      </c>
      <c r="CC32">
        <f>IF(P32=0,0,COUNTIF('Transect 3_imgsummary'!E32:I32,"G")*100/P32)</f>
        <v>0</v>
      </c>
      <c r="CD32">
        <f>IF(P32=0,0,COUNTIF('Transect 3_imgsummary'!E32:I32,"NoIDINV")*100/P32)</f>
        <v>0</v>
      </c>
      <c r="CE32">
        <f>IF(P32=0,0,COUNTIF('Transect 3_imgsummary'!E32:I32,"OLV")*100/P32)</f>
        <v>0</v>
      </c>
      <c r="CF32">
        <f>IF(P32=0,0,COUNTIF('Transect 3_imgsummary'!E32:I32,"SC")*100/P32)</f>
        <v>0</v>
      </c>
      <c r="CG32">
        <f>IF(P32=0,0,COUNTIF('Transect 3_imgsummary'!E32:I32,"S")*100/P32)</f>
        <v>0</v>
      </c>
      <c r="CH32">
        <f>IF(P32=0,0,COUNTIF('Transect 3_imgsummary'!E32:I32,"TERPS")*100/P32)</f>
        <v>0</v>
      </c>
      <c r="CI32">
        <f>IF(P32=0,0,COUNTIF('Transect 3_imgsummary'!E32:I32,"Z")*100/P32)</f>
        <v>0</v>
      </c>
      <c r="CK32">
        <f>IF(P32=0,0,COUNTIF('Transect 3_imgsummary'!E32:I32,"ASP")*100/P32)</f>
        <v>0</v>
      </c>
      <c r="CL32">
        <f>IF(P32=0,0,COUNTIF('Transect 3_imgsummary'!E32:I32,"BG")*100/P32)</f>
        <v>0</v>
      </c>
      <c r="CM32">
        <f>IF(P32=0,0,COUNTIF('Transect 3_imgsummary'!E32:I32,"Bood")*100/P32)</f>
        <v>0</v>
      </c>
      <c r="CN32">
        <f>IF(P32=0,0,COUNTIF('Transect 3_imgsummary'!E32:I32,"BRYP")*100/P32)</f>
        <v>0</v>
      </c>
      <c r="CO32">
        <f>IF(P32=0,0,COUNTIF('Transect 3_imgsummary'!E32:I32,"CLP")*100/P32)</f>
        <v>0</v>
      </c>
      <c r="CP32">
        <f>IF(P32=0,0,COUNTIF('Transect 3_imgsummary'!E32:I32,"CHLDES")*100/P32)</f>
        <v>0</v>
      </c>
      <c r="CQ32">
        <f>IF(P32=0,0,COUNTIF('Transect 3_imgsummary'!E32:I32,"DYCTY")*100/P32)</f>
        <v>0</v>
      </c>
      <c r="CR32">
        <f>IF(P32=0,0,COUNTIF('Transect 3_imgsummary'!E32:I32,"DICT")*100/P32)</f>
        <v>0</v>
      </c>
      <c r="CS32">
        <f>IF(P32=0,0,COUNTIF('Transect 3_imgsummary'!E32:I32,"GLXU")*100/P32)</f>
        <v>0</v>
      </c>
      <c r="CT32">
        <f>IF(P32=0,0,COUNTIF('Transect 3_imgsummary'!E32:I32,"HALI")*100/P32)</f>
        <v>0</v>
      </c>
      <c r="CU32">
        <f>IF(P32=0,0,COUNTIF('Transect 3_imgsummary'!E32:I32,"LIAG")*100/P32)</f>
        <v>0</v>
      </c>
      <c r="CV32">
        <f>IF(P32=0,0,COUNTIF('Transect 3_imgsummary'!E32:I32,"LOBO")*100/P32)</f>
        <v>0</v>
      </c>
      <c r="CW32">
        <f>IF(P32=0,0,COUNTIF('Transect 3_imgsummary'!E32:I32,"MAST")*100/P32)</f>
        <v>0</v>
      </c>
      <c r="CX32">
        <f>IF(P32=0,0,COUNTIF('Transect 3_imgsummary'!E32:I32,"MICDTY")*100/P32)</f>
        <v>0</v>
      </c>
      <c r="CY32">
        <f>IF(P32=0,0,COUNTIF('Transect 3_imgsummary'!E32:I32,"NEOM")*100/P32)</f>
        <v>0</v>
      </c>
      <c r="CZ32">
        <f>IF(P32=0,0,COUNTIF('Transect 3_imgsummary'!E32:I32,"NOIDMAC")*100/P32)</f>
        <v>0</v>
      </c>
      <c r="DA32">
        <f>IF(P32=0,0,COUNTIF('Transect 3_imgsummary'!E32:I32,"PAD")*100/P32)</f>
        <v>0</v>
      </c>
      <c r="DB32">
        <f>IF(P32=0,0,COUNTIF('Transect 3_imgsummary'!E32:I32,"SARG")*100/P32)</f>
        <v>0</v>
      </c>
      <c r="DC32">
        <f>IF(P32=0,0,COUNTIF('Transect 3_imgsummary'!E32:I32,"SCHIZ")*100/P32)</f>
        <v>0</v>
      </c>
      <c r="DD32">
        <f>IF(P32=0,0,COUNTIF('Transect 3_imgsummary'!E32:I32,"TURB")*100/P32)</f>
        <v>0</v>
      </c>
      <c r="DE32">
        <f>IF(P32=0,0,COUNTIF('Transect 3_imgsummary'!E32:I32,"TYDM")*100/P32)</f>
        <v>0</v>
      </c>
      <c r="DG32">
        <f>IF(P32=0,0,COUNTIF('Transect 3_imgsummary'!E32:I32,"AMP")*100/P32)</f>
        <v>0</v>
      </c>
      <c r="DH32">
        <f>IF(P32=0,0,COUNTIF('Transect 3_imgsummary'!E32:I32,"BCA1")*100/P32)</f>
        <v>0</v>
      </c>
      <c r="DI32">
        <f>IF(P32=0,0,COUNTIF('Transect 3_imgsummary'!E32:I32,"JAN")*100/P32)</f>
        <v>0</v>
      </c>
      <c r="DK32">
        <f>IF(P32=0,0,COUNTIF('Transect 3_imgsummary'!E32:I32,"CCA1")*100/P32)</f>
        <v>0</v>
      </c>
      <c r="DM32">
        <f>IF(P32=0,0,COUNTIF('Transect 3_imgsummary'!E32:I32,"Sand")*100/P32)</f>
        <v>0</v>
      </c>
      <c r="DO32" s="29">
        <f>IF(P32=0,0,COUNTIF('Transect 3_imgsummary'!E32:I32,"FCA1")*100/P32)</f>
        <v>20</v>
      </c>
      <c r="DQ32">
        <f>IF(P32=0,0,COUNTIF('Transect 3_imgsummary'!E32:I32,"CHRYOBRN")*100/P32)</f>
        <v>0</v>
      </c>
      <c r="DS32" s="29">
        <f>IF(P32=0,0,COUNTIF('Transect 3_imgsummary'!E32:I32,"TURF")*100/P32)</f>
        <v>40</v>
      </c>
      <c r="DU32">
        <f>COUNTIF('Transect 3_imgsummary'!E32:I32,"Shadow")*100/5</f>
        <v>0</v>
      </c>
      <c r="DV32">
        <f>COUNTIF('Transect 3_imgsummary'!E32:I32,"Tape")*100/5</f>
        <v>0</v>
      </c>
      <c r="DW32">
        <f>COUNTIF('Transect 3_imgsummary'!E32:I32,"Wand")*100/5</f>
        <v>0</v>
      </c>
      <c r="DY32">
        <f>IF(P32=0,0,COUNTIF('Transect 3_imgsummary'!O32:S32,"BC")*100/P32)</f>
        <v>0</v>
      </c>
    </row>
    <row r="33" spans="1:129">
      <c r="A33">
        <v>31</v>
      </c>
      <c r="B33" t="s">
        <v>520</v>
      </c>
      <c r="F33" s="29">
        <f>IF(P33=0,0,COUNTIF('Transect 3_imgsummary'!J33:N33,"C")*100/P33)</f>
        <v>80</v>
      </c>
      <c r="G33">
        <f>IF(P33=0,0,COUNTIF('Transect 3_imgsummary'!J33:N33,"OI")*100/P33)</f>
        <v>0</v>
      </c>
      <c r="H33">
        <f>IF(P33=0,0,COUNTIF('Transect 3_imgsummary'!J33:N33,"MA")*100/P33)</f>
        <v>0</v>
      </c>
      <c r="I33">
        <f>IF(P33=0,0,COUNTIF('Transect 3_imgsummary'!J33:N33,"BCA")*100/P33)</f>
        <v>0</v>
      </c>
      <c r="J33" s="29">
        <f>IF(P33=0,0,COUNTIF('Transect 3_imgsummary'!J33:N33,"CCA")*100/P33)</f>
        <v>20</v>
      </c>
      <c r="K33">
        <f>IF(P33=0,0,COUNTIF('Transect 3_imgsummary'!J33:N33,"SD")*100/P33)</f>
        <v>0</v>
      </c>
      <c r="L33">
        <f>IF(P33=0,0,COUNTIF('Transect 3_imgsummary'!J33:N33,"FCA")*100/P33)</f>
        <v>0</v>
      </c>
      <c r="M33">
        <f>IF(P33=0,0,COUNTIF('Transect 3_imgsummary'!J33:N33,"CHRYS")*100/P33)</f>
        <v>0</v>
      </c>
      <c r="N33">
        <f>IF(P33=0,0,COUNTIF('Transect 3_imgsummary'!J33:N33,"T")*100/P33)</f>
        <v>0</v>
      </c>
      <c r="O33">
        <f>IF(P33=0,0,COUNTIF('Transect 3_imgsummary'!J33:N33,"TWS")*100/P33)</f>
        <v>0</v>
      </c>
      <c r="P33">
        <f>5-COUNTIF('Transect 3_imgsummary'!J33:N33,"TWS")</f>
        <v>5</v>
      </c>
      <c r="S33">
        <f>IF(P33=0,0,COUNTIF('Transect 3_imgsummary'!E33:I33,"ACAN")*100/P33)</f>
        <v>0</v>
      </c>
      <c r="T33">
        <f>IF(P33=0,0,COUNTIF('Transect 3_imgsummary'!E33:I33,"ACROP")*100/P33)</f>
        <v>0</v>
      </c>
      <c r="U33">
        <f>IF(P33=0,0,COUNTIF('Transect 3_imgsummary'!E33:I33,"ACROPARB")*100/P33)</f>
        <v>0</v>
      </c>
      <c r="V33">
        <f>IF(P33=0,0,COUNTIF('Transect 3_imgsummary'!E33:I33,"ACROST")*100/P33)</f>
        <v>0</v>
      </c>
      <c r="W33">
        <f>IF(P33=0,0,COUNTIF('Transect 3_imgsummary'!E33:I33,"ACROTBL")*100/P33)</f>
        <v>0</v>
      </c>
      <c r="X33">
        <f>IF(P33=0,0,COUNTIF('Transect 3_imgsummary'!E33:I33,"ASTRP")*100/P33)</f>
        <v>0</v>
      </c>
      <c r="Y33">
        <f>IF(P33=0,0,COUNTIF('Transect 3_imgsummary'!E33:I33,"CAUL")*100/P33)</f>
        <v>0</v>
      </c>
      <c r="Z33">
        <f>IF(P33=0,0,COUNTIF('Transect 3_imgsummary'!E33:I33,"COSC")*100/P33)</f>
        <v>0</v>
      </c>
      <c r="AA33">
        <f>IF(P33=0,0,COUNTIF('Transect 3_imgsummary'!E33:I33,"CTEN")*100/P33)</f>
        <v>0</v>
      </c>
      <c r="AB33">
        <f>IF(P33=0,0,COUNTIF('Transect 3_imgsummary'!E33:I33,"CYPH")*100/P33)</f>
        <v>0</v>
      </c>
      <c r="AC33">
        <f>IF(P33=0,0,COUNTIF('Transect 3_imgsummary'!E33:I33,"DIPLO")*100/P33)</f>
        <v>0</v>
      </c>
      <c r="AD33" s="29">
        <f>IF(P33=0,0,COUNTIF('Transect 3_imgsummary'!E33:I33,"ECHPO")*100/P33)</f>
        <v>80</v>
      </c>
      <c r="AE33">
        <f>IF(P33=0,0,COUNTIF('Transect 3_imgsummary'!E33:I33,"ECHPHY")*100/P33)</f>
        <v>0</v>
      </c>
      <c r="AF33">
        <f>IF(P33=0,0,COUNTIF('Transect 3_imgsummary'!E33:I33,"EUPH")*100/P33)</f>
        <v>0</v>
      </c>
      <c r="AG33">
        <f>IF(P33=0,0,COUNTIF('Transect 3_imgsummary'!E33:I33,"FAV")*100/P33)</f>
        <v>0</v>
      </c>
      <c r="AH33">
        <f>IF(P33=0,0,COUNTIF('Transect 3_imgsummary'!E33:I33,"FAVT")*100/P33)</f>
        <v>0</v>
      </c>
      <c r="AI33">
        <f>IF(P33=0,0,COUNTIF('Transect 3_imgsummary'!E33:I33,"FUNG")*100/P33)</f>
        <v>0</v>
      </c>
      <c r="AJ33">
        <f>IF(P33=0,0,COUNTIF('Transect 3_imgsummary'!E33:I33,"GAL")*100/P33)</f>
        <v>0</v>
      </c>
      <c r="AK33">
        <f>IF(P33=0,0,COUNTIF('Transect 3_imgsummary'!E33:I33,"GARD")*100/P33)</f>
        <v>0</v>
      </c>
      <c r="AL33">
        <f>IF(P33=0,0,COUNTIF('Transect 3_imgsummary'!E33:I33,"GON")*100/P33)</f>
        <v>0</v>
      </c>
      <c r="AM33">
        <f>IF(P33=0,0,COUNTIF('Transect 3_imgsummary'!E33:I33,"GONIO")*100/P33)</f>
        <v>0</v>
      </c>
      <c r="AN33">
        <f>IF(P33=0,0,COUNTIF('Transect 3_imgsummary'!E33:I33,"HELIO")*100/P33)</f>
        <v>0</v>
      </c>
      <c r="AO33">
        <f>IF(P33=0,0,COUNTIF('Transect 3_imgsummary'!E33:I33,"HERP")*100/P33)</f>
        <v>0</v>
      </c>
      <c r="AP33">
        <f>IF(P33=0,0,COUNTIF('Transect 3_imgsummary'!E33:I33,"HYD")*100/P33)</f>
        <v>0</v>
      </c>
      <c r="AQ33">
        <f>IF(P33=0,0,COUNTIF('Transect 3_imgsummary'!E33:I33,"ISOP")*100/P33)</f>
        <v>0</v>
      </c>
      <c r="AR33">
        <f>IF(P33=0,0,COUNTIF('Transect 3_imgsummary'!E33:I33,"LEPT")*100/P33)</f>
        <v>0</v>
      </c>
      <c r="AS33">
        <f>IF(P33=0,0,COUNTIF('Transect 3_imgsummary'!E33:I33,"LEPTOR")*100/P33)</f>
        <v>0</v>
      </c>
      <c r="AT33">
        <f>IF(P33=0,0,COUNTIF('Transect 3_imgsummary'!E33:I33,"LEPTOS")*100/P33)</f>
        <v>0</v>
      </c>
      <c r="AU33">
        <f>IF(P33=0,0,COUNTIF('Transect 3_imgsummary'!E33:I33,"LOBOPH")*100/P33)</f>
        <v>0</v>
      </c>
      <c r="AV33">
        <f>IF(P33=0,0,COUNTIF('Transect 3_imgsummary'!E33:I33,"MERU")*100/P33)</f>
        <v>0</v>
      </c>
      <c r="AW33">
        <f>IF(P33=0,0,COUNTIF('Transect 3_imgsummary'!E33:I33,"MILL")*100/P33)</f>
        <v>0</v>
      </c>
      <c r="AX33">
        <f>IF(P33=0,0,COUNTIF('Transect 3_imgsummary'!E33:I33,"MONT")*100/P33)</f>
        <v>0</v>
      </c>
      <c r="AY33">
        <f>IF(P33=0,0,COUNTIF('Transect 3_imgsummary'!E33:I33,"MONTI")*100/P33)</f>
        <v>0</v>
      </c>
      <c r="AZ33">
        <f>IF(P33=0,0,COUNTIF('Transect 3_imgsummary'!E33:I33,"MYCED")*100/P33)</f>
        <v>0</v>
      </c>
      <c r="BA33">
        <f>IF(P33=0,0,COUNTIF('Transect 3_imgsummary'!E33:I33,"OULO")*100/P33)</f>
        <v>0</v>
      </c>
      <c r="BB33">
        <f>IF(P33=0,0,COUNTIF('Transect 3_imgsummary'!E33:I33,"OXYP")*100/P33)</f>
        <v>0</v>
      </c>
      <c r="BC33">
        <f>IF(P33=0,0,COUNTIF('Transect 3_imgsummary'!E33:I33,"PLSIA")*100/P33)</f>
        <v>0</v>
      </c>
      <c r="BD33">
        <f>IF(P33=0,0,COUNTIF('Transect 3_imgsummary'!E33:I33,"PACHY")*100/P33)</f>
        <v>0</v>
      </c>
      <c r="BE33">
        <f>IF(P33=0,0,COUNTIF('Transect 3_imgsummary'!E33:I33,"PAV")*100/P33)</f>
        <v>0</v>
      </c>
      <c r="BF33">
        <f>IF(P33=0,0,COUNTIF('Transect 3_imgsummary'!E33:I33,"PECT")*100/P33)</f>
        <v>0</v>
      </c>
      <c r="BG33">
        <f>IF(P33=0,0,COUNTIF('Transect 3_imgsummary'!E33:I33,"PHYSO")*100/P33)</f>
        <v>0</v>
      </c>
      <c r="BH33">
        <f>IF(P33=0,0,COUNTIF('Transect 3_imgsummary'!E33:I33,"PLAT")*100/P33)</f>
        <v>0</v>
      </c>
      <c r="BI33">
        <f>IF(P33=0,0,COUNTIF('Transect 3_imgsummary'!E33:I33,"PLERO")*100/P33)</f>
        <v>0</v>
      </c>
      <c r="BJ33">
        <f>IF(P33=0,0,COUNTIF('Transect 3_imgsummary'!E33:I33,"POC")*100/P33)</f>
        <v>0</v>
      </c>
      <c r="BK33">
        <f>IF(P33=0,0,COUNTIF('Transect 3_imgsummary'!E33:I33,"POR")*100/P33)</f>
        <v>0</v>
      </c>
      <c r="BL33">
        <f>IF(P33=0,0,COUNTIF('Transect 3_imgsummary'!E33:I33,"PORCYL")*100/P33)</f>
        <v>0</v>
      </c>
      <c r="BM33">
        <f>IF(P33=0,0,COUNTIF('Transect 3_imgsummary'!E33:I33,"PORMAS")*100/P33)</f>
        <v>0</v>
      </c>
      <c r="BN33">
        <f>IF(P33=0,0,COUNTIF('Transect 3_imgsummary'!E33:I33,"PORRUS")*100/P33)</f>
        <v>0</v>
      </c>
      <c r="BO33">
        <f>IF(P33=0,0,COUNTIF('Transect 3_imgsummary'!E33:I33,"PSAM")*100/P33)</f>
        <v>0</v>
      </c>
      <c r="BP33">
        <f>IF(P33=0,0,COUNTIF('Transect 3_imgsummary'!E33:I33,"SANDO")*100/P33)</f>
        <v>0</v>
      </c>
      <c r="BQ33">
        <f>IF(P33=0,0,COUNTIF('Transect 3_imgsummary'!E33:I33,"SCAP")*100/P33)</f>
        <v>0</v>
      </c>
      <c r="BR33">
        <f>IF(P33=0,0,COUNTIF('Transect 3_imgsummary'!E33:I33,"SERIA")*100/P33)</f>
        <v>0</v>
      </c>
      <c r="BS33">
        <f>IF(P33=0,0,COUNTIF('Transect 3_imgsummary'!E33:I33,"STYLC")*100/P33)</f>
        <v>0</v>
      </c>
      <c r="BT33">
        <f>IF(P33=0,0,COUNTIF('Transect 3_imgsummary'!E33:I33,"STYLO")*100/P33)</f>
        <v>0</v>
      </c>
      <c r="BU33">
        <f>IF(P33=0,0,COUNTIF('Transect 3_imgsummary'!E33:I33,"SYMP")*100/P33)</f>
        <v>0</v>
      </c>
      <c r="BV33">
        <f>IF(P33=0,0,COUNTIF('Transect 3_imgsummary'!E33:I33,"TURBIN")*100/P33)</f>
        <v>0</v>
      </c>
      <c r="BX33">
        <f>IF(P33=0,0,COUNTIF('Transect 3_imgsummary'!E33:I33,"ANEM")*100/P33)</f>
        <v>0</v>
      </c>
      <c r="BY33">
        <f>IF(P33=0,0,COUNTIF('Transect 3_imgsummary'!E33:I33,"ASC")*100/P33)</f>
        <v>0</v>
      </c>
      <c r="BZ33">
        <f>IF(P33=0,0,COUNTIF('Transect 3_imgsummary'!E33:I33,"CUPS")*100/P33)</f>
        <v>0</v>
      </c>
      <c r="CA33">
        <f>IF(P33=0,0,COUNTIF('Transect 3_imgsummary'!E33:I33,"DISCO")*100/P33)</f>
        <v>0</v>
      </c>
      <c r="CB33">
        <f>IF(P33=0,0,COUNTIF('Transect 3_imgsummary'!E33:I33,"DYS")*100/P33)</f>
        <v>0</v>
      </c>
      <c r="CC33">
        <f>IF(P33=0,0,COUNTIF('Transect 3_imgsummary'!E33:I33,"G")*100/P33)</f>
        <v>0</v>
      </c>
      <c r="CD33">
        <f>IF(P33=0,0,COUNTIF('Transect 3_imgsummary'!E33:I33,"NoIDINV")*100/P33)</f>
        <v>0</v>
      </c>
      <c r="CE33">
        <f>IF(P33=0,0,COUNTIF('Transect 3_imgsummary'!E33:I33,"OLV")*100/P33)</f>
        <v>0</v>
      </c>
      <c r="CF33">
        <f>IF(P33=0,0,COUNTIF('Transect 3_imgsummary'!E33:I33,"SC")*100/P33)</f>
        <v>0</v>
      </c>
      <c r="CG33">
        <f>IF(P33=0,0,COUNTIF('Transect 3_imgsummary'!E33:I33,"S")*100/P33)</f>
        <v>0</v>
      </c>
      <c r="CH33">
        <f>IF(P33=0,0,COUNTIF('Transect 3_imgsummary'!E33:I33,"TERPS")*100/P33)</f>
        <v>0</v>
      </c>
      <c r="CI33">
        <f>IF(P33=0,0,COUNTIF('Transect 3_imgsummary'!E33:I33,"Z")*100/P33)</f>
        <v>0</v>
      </c>
      <c r="CK33">
        <f>IF(P33=0,0,COUNTIF('Transect 3_imgsummary'!E33:I33,"ASP")*100/P33)</f>
        <v>0</v>
      </c>
      <c r="CL33">
        <f>IF(P33=0,0,COUNTIF('Transect 3_imgsummary'!E33:I33,"BG")*100/P33)</f>
        <v>0</v>
      </c>
      <c r="CM33">
        <f>IF(P33=0,0,COUNTIF('Transect 3_imgsummary'!E33:I33,"Bood")*100/P33)</f>
        <v>0</v>
      </c>
      <c r="CN33">
        <f>IF(P33=0,0,COUNTIF('Transect 3_imgsummary'!E33:I33,"BRYP")*100/P33)</f>
        <v>0</v>
      </c>
      <c r="CO33">
        <f>IF(P33=0,0,COUNTIF('Transect 3_imgsummary'!E33:I33,"CLP")*100/P33)</f>
        <v>0</v>
      </c>
      <c r="CP33">
        <f>IF(P33=0,0,COUNTIF('Transect 3_imgsummary'!E33:I33,"CHLDES")*100/P33)</f>
        <v>0</v>
      </c>
      <c r="CQ33">
        <f>IF(P33=0,0,COUNTIF('Transect 3_imgsummary'!E33:I33,"DYCTY")*100/P33)</f>
        <v>0</v>
      </c>
      <c r="CR33">
        <f>IF(P33=0,0,COUNTIF('Transect 3_imgsummary'!E33:I33,"DICT")*100/P33)</f>
        <v>0</v>
      </c>
      <c r="CS33">
        <f>IF(P33=0,0,COUNTIF('Transect 3_imgsummary'!E33:I33,"GLXU")*100/P33)</f>
        <v>0</v>
      </c>
      <c r="CT33">
        <f>IF(P33=0,0,COUNTIF('Transect 3_imgsummary'!E33:I33,"HALI")*100/P33)</f>
        <v>0</v>
      </c>
      <c r="CU33">
        <f>IF(P33=0,0,COUNTIF('Transect 3_imgsummary'!E33:I33,"LIAG")*100/P33)</f>
        <v>0</v>
      </c>
      <c r="CV33">
        <f>IF(P33=0,0,COUNTIF('Transect 3_imgsummary'!E33:I33,"LOBO")*100/P33)</f>
        <v>0</v>
      </c>
      <c r="CW33">
        <f>IF(P33=0,0,COUNTIF('Transect 3_imgsummary'!E33:I33,"MAST")*100/P33)</f>
        <v>0</v>
      </c>
      <c r="CX33">
        <f>IF(P33=0,0,COUNTIF('Transect 3_imgsummary'!E33:I33,"MICDTY")*100/P33)</f>
        <v>0</v>
      </c>
      <c r="CY33">
        <f>IF(P33=0,0,COUNTIF('Transect 3_imgsummary'!E33:I33,"NEOM")*100/P33)</f>
        <v>0</v>
      </c>
      <c r="CZ33">
        <f>IF(P33=0,0,COUNTIF('Transect 3_imgsummary'!E33:I33,"NOIDMAC")*100/P33)</f>
        <v>0</v>
      </c>
      <c r="DA33">
        <f>IF(P33=0,0,COUNTIF('Transect 3_imgsummary'!E33:I33,"PAD")*100/P33)</f>
        <v>0</v>
      </c>
      <c r="DB33">
        <f>IF(P33=0,0,COUNTIF('Transect 3_imgsummary'!E33:I33,"SARG")*100/P33)</f>
        <v>0</v>
      </c>
      <c r="DC33">
        <f>IF(P33=0,0,COUNTIF('Transect 3_imgsummary'!E33:I33,"SCHIZ")*100/P33)</f>
        <v>0</v>
      </c>
      <c r="DD33">
        <f>IF(P33=0,0,COUNTIF('Transect 3_imgsummary'!E33:I33,"TURB")*100/P33)</f>
        <v>0</v>
      </c>
      <c r="DE33">
        <f>IF(P33=0,0,COUNTIF('Transect 3_imgsummary'!E33:I33,"TYDM")*100/P33)</f>
        <v>0</v>
      </c>
      <c r="DG33">
        <f>IF(P33=0,0,COUNTIF('Transect 3_imgsummary'!E33:I33,"AMP")*100/P33)</f>
        <v>0</v>
      </c>
      <c r="DH33">
        <f>IF(P33=0,0,COUNTIF('Transect 3_imgsummary'!E33:I33,"BCA1")*100/P33)</f>
        <v>0</v>
      </c>
      <c r="DI33">
        <f>IF(P33=0,0,COUNTIF('Transect 3_imgsummary'!E33:I33,"JAN")*100/P33)</f>
        <v>0</v>
      </c>
      <c r="DK33" s="29">
        <f>IF(P33=0,0,COUNTIF('Transect 3_imgsummary'!E33:I33,"CCA1")*100/P33)</f>
        <v>20</v>
      </c>
      <c r="DM33">
        <f>IF(P33=0,0,COUNTIF('Transect 3_imgsummary'!E33:I33,"Sand")*100/P33)</f>
        <v>0</v>
      </c>
      <c r="DO33">
        <f>IF(P33=0,0,COUNTIF('Transect 3_imgsummary'!E33:I33,"FCA1")*100/P33)</f>
        <v>0</v>
      </c>
      <c r="DQ33">
        <f>IF(P33=0,0,COUNTIF('Transect 3_imgsummary'!E33:I33,"CHRYOBRN")*100/P33)</f>
        <v>0</v>
      </c>
      <c r="DS33">
        <f>IF(P33=0,0,COUNTIF('Transect 3_imgsummary'!E33:I33,"TURF")*100/P33)</f>
        <v>0</v>
      </c>
      <c r="DU33">
        <f>COUNTIF('Transect 3_imgsummary'!E33:I33,"Shadow")*100/5</f>
        <v>0</v>
      </c>
      <c r="DV33">
        <f>COUNTIF('Transect 3_imgsummary'!E33:I33,"Tape")*100/5</f>
        <v>0</v>
      </c>
      <c r="DW33">
        <f>COUNTIF('Transect 3_imgsummary'!E33:I33,"Wand")*100/5</f>
        <v>0</v>
      </c>
      <c r="DY33">
        <f>IF(P33=0,0,COUNTIF('Transect 3_imgsummary'!O33:S33,"BC")*100/P33)</f>
        <v>0</v>
      </c>
    </row>
    <row r="34" spans="1:129">
      <c r="A34">
        <v>32</v>
      </c>
      <c r="B34" t="s">
        <v>521</v>
      </c>
      <c r="F34" s="29">
        <f>IF(P34=0,0,COUNTIF('Transect 3_imgsummary'!J34:N34,"C")*100/P34)</f>
        <v>100</v>
      </c>
      <c r="G34">
        <f>IF(P34=0,0,COUNTIF('Transect 3_imgsummary'!J34:N34,"OI")*100/P34)</f>
        <v>0</v>
      </c>
      <c r="H34">
        <f>IF(P34=0,0,COUNTIF('Transect 3_imgsummary'!J34:N34,"MA")*100/P34)</f>
        <v>0</v>
      </c>
      <c r="I34">
        <f>IF(P34=0,0,COUNTIF('Transect 3_imgsummary'!J34:N34,"BCA")*100/P34)</f>
        <v>0</v>
      </c>
      <c r="J34">
        <f>IF(P34=0,0,COUNTIF('Transect 3_imgsummary'!J34:N34,"CCA")*100/P34)</f>
        <v>0</v>
      </c>
      <c r="K34">
        <f>IF(P34=0,0,COUNTIF('Transect 3_imgsummary'!J34:N34,"SD")*100/P34)</f>
        <v>0</v>
      </c>
      <c r="L34">
        <f>IF(P34=0,0,COUNTIF('Transect 3_imgsummary'!J34:N34,"FCA")*100/P34)</f>
        <v>0</v>
      </c>
      <c r="M34">
        <f>IF(P34=0,0,COUNTIF('Transect 3_imgsummary'!J34:N34,"CHRYS")*100/P34)</f>
        <v>0</v>
      </c>
      <c r="N34">
        <f>IF(P34=0,0,COUNTIF('Transect 3_imgsummary'!J34:N34,"T")*100/P34)</f>
        <v>0</v>
      </c>
      <c r="O34">
        <f>IF(P34=0,0,COUNTIF('Transect 3_imgsummary'!J34:N34,"TWS")*100/P34)</f>
        <v>0</v>
      </c>
      <c r="P34">
        <f>5-COUNTIF('Transect 3_imgsummary'!J34:N34,"TWS")</f>
        <v>5</v>
      </c>
      <c r="S34">
        <f>IF(P34=0,0,COUNTIF('Transect 3_imgsummary'!E34:I34,"ACAN")*100/P34)</f>
        <v>0</v>
      </c>
      <c r="T34">
        <f>IF(P34=0,0,COUNTIF('Transect 3_imgsummary'!E34:I34,"ACROP")*100/P34)</f>
        <v>0</v>
      </c>
      <c r="U34">
        <f>IF(P34=0,0,COUNTIF('Transect 3_imgsummary'!E34:I34,"ACROPARB")*100/P34)</f>
        <v>0</v>
      </c>
      <c r="V34">
        <f>IF(P34=0,0,COUNTIF('Transect 3_imgsummary'!E34:I34,"ACROST")*100/P34)</f>
        <v>0</v>
      </c>
      <c r="W34" s="29">
        <f>IF(P34=0,0,COUNTIF('Transect 3_imgsummary'!E34:I34,"ACROTBL")*100/P34)</f>
        <v>100</v>
      </c>
      <c r="X34">
        <f>IF(P34=0,0,COUNTIF('Transect 3_imgsummary'!E34:I34,"ASTRP")*100/P34)</f>
        <v>0</v>
      </c>
      <c r="Y34">
        <f>IF(P34=0,0,COUNTIF('Transect 3_imgsummary'!E34:I34,"CAUL")*100/P34)</f>
        <v>0</v>
      </c>
      <c r="Z34">
        <f>IF(P34=0,0,COUNTIF('Transect 3_imgsummary'!E34:I34,"COSC")*100/P34)</f>
        <v>0</v>
      </c>
      <c r="AA34">
        <f>IF(P34=0,0,COUNTIF('Transect 3_imgsummary'!E34:I34,"CTEN")*100/P34)</f>
        <v>0</v>
      </c>
      <c r="AB34">
        <f>IF(P34=0,0,COUNTIF('Transect 3_imgsummary'!E34:I34,"CYPH")*100/P34)</f>
        <v>0</v>
      </c>
      <c r="AC34">
        <f>IF(P34=0,0,COUNTIF('Transect 3_imgsummary'!E34:I34,"DIPLO")*100/P34)</f>
        <v>0</v>
      </c>
      <c r="AD34">
        <f>IF(P34=0,0,COUNTIF('Transect 3_imgsummary'!E34:I34,"ECHPO")*100/P34)</f>
        <v>0</v>
      </c>
      <c r="AE34">
        <f>IF(P34=0,0,COUNTIF('Transect 3_imgsummary'!E34:I34,"ECHPHY")*100/P34)</f>
        <v>0</v>
      </c>
      <c r="AF34">
        <f>IF(P34=0,0,COUNTIF('Transect 3_imgsummary'!E34:I34,"EUPH")*100/P34)</f>
        <v>0</v>
      </c>
      <c r="AG34">
        <f>IF(P34=0,0,COUNTIF('Transect 3_imgsummary'!E34:I34,"FAV")*100/P34)</f>
        <v>0</v>
      </c>
      <c r="AH34">
        <f>IF(P34=0,0,COUNTIF('Transect 3_imgsummary'!E34:I34,"FAVT")*100/P34)</f>
        <v>0</v>
      </c>
      <c r="AI34">
        <f>IF(P34=0,0,COUNTIF('Transect 3_imgsummary'!E34:I34,"FUNG")*100/P34)</f>
        <v>0</v>
      </c>
      <c r="AJ34">
        <f>IF(P34=0,0,COUNTIF('Transect 3_imgsummary'!E34:I34,"GAL")*100/P34)</f>
        <v>0</v>
      </c>
      <c r="AK34">
        <f>IF(P34=0,0,COUNTIF('Transect 3_imgsummary'!E34:I34,"GARD")*100/P34)</f>
        <v>0</v>
      </c>
      <c r="AL34">
        <f>IF(P34=0,0,COUNTIF('Transect 3_imgsummary'!E34:I34,"GON")*100/P34)</f>
        <v>0</v>
      </c>
      <c r="AM34">
        <f>IF(P34=0,0,COUNTIF('Transect 3_imgsummary'!E34:I34,"GONIO")*100/P34)</f>
        <v>0</v>
      </c>
      <c r="AN34">
        <f>IF(P34=0,0,COUNTIF('Transect 3_imgsummary'!E34:I34,"HELIO")*100/P34)</f>
        <v>0</v>
      </c>
      <c r="AO34">
        <f>IF(P34=0,0,COUNTIF('Transect 3_imgsummary'!E34:I34,"HERP")*100/P34)</f>
        <v>0</v>
      </c>
      <c r="AP34">
        <f>IF(P34=0,0,COUNTIF('Transect 3_imgsummary'!E34:I34,"HYD")*100/P34)</f>
        <v>0</v>
      </c>
      <c r="AQ34">
        <f>IF(P34=0,0,COUNTIF('Transect 3_imgsummary'!E34:I34,"ISOP")*100/P34)</f>
        <v>0</v>
      </c>
      <c r="AR34">
        <f>IF(P34=0,0,COUNTIF('Transect 3_imgsummary'!E34:I34,"LEPT")*100/P34)</f>
        <v>0</v>
      </c>
      <c r="AS34">
        <f>IF(P34=0,0,COUNTIF('Transect 3_imgsummary'!E34:I34,"LEPTOR")*100/P34)</f>
        <v>0</v>
      </c>
      <c r="AT34">
        <f>IF(P34=0,0,COUNTIF('Transect 3_imgsummary'!E34:I34,"LEPTOS")*100/P34)</f>
        <v>0</v>
      </c>
      <c r="AU34">
        <f>IF(P34=0,0,COUNTIF('Transect 3_imgsummary'!E34:I34,"LOBOPH")*100/P34)</f>
        <v>0</v>
      </c>
      <c r="AV34">
        <f>IF(P34=0,0,COUNTIF('Transect 3_imgsummary'!E34:I34,"MERU")*100/P34)</f>
        <v>0</v>
      </c>
      <c r="AW34">
        <f>IF(P34=0,0,COUNTIF('Transect 3_imgsummary'!E34:I34,"MILL")*100/P34)</f>
        <v>0</v>
      </c>
      <c r="AX34">
        <f>IF(P34=0,0,COUNTIF('Transect 3_imgsummary'!E34:I34,"MONT")*100/P34)</f>
        <v>0</v>
      </c>
      <c r="AY34">
        <f>IF(P34=0,0,COUNTIF('Transect 3_imgsummary'!E34:I34,"MONTI")*100/P34)</f>
        <v>0</v>
      </c>
      <c r="AZ34">
        <f>IF(P34=0,0,COUNTIF('Transect 3_imgsummary'!E34:I34,"MYCED")*100/P34)</f>
        <v>0</v>
      </c>
      <c r="BA34">
        <f>IF(P34=0,0,COUNTIF('Transect 3_imgsummary'!E34:I34,"OULO")*100/P34)</f>
        <v>0</v>
      </c>
      <c r="BB34">
        <f>IF(P34=0,0,COUNTIF('Transect 3_imgsummary'!E34:I34,"OXYP")*100/P34)</f>
        <v>0</v>
      </c>
      <c r="BC34">
        <f>IF(P34=0,0,COUNTIF('Transect 3_imgsummary'!E34:I34,"PLSIA")*100/P34)</f>
        <v>0</v>
      </c>
      <c r="BD34">
        <f>IF(P34=0,0,COUNTIF('Transect 3_imgsummary'!E34:I34,"PACHY")*100/P34)</f>
        <v>0</v>
      </c>
      <c r="BE34">
        <f>IF(P34=0,0,COUNTIF('Transect 3_imgsummary'!E34:I34,"PAV")*100/P34)</f>
        <v>0</v>
      </c>
      <c r="BF34">
        <f>IF(P34=0,0,COUNTIF('Transect 3_imgsummary'!E34:I34,"PECT")*100/P34)</f>
        <v>0</v>
      </c>
      <c r="BG34">
        <f>IF(P34=0,0,COUNTIF('Transect 3_imgsummary'!E34:I34,"PHYSO")*100/P34)</f>
        <v>0</v>
      </c>
      <c r="BH34">
        <f>IF(P34=0,0,COUNTIF('Transect 3_imgsummary'!E34:I34,"PLAT")*100/P34)</f>
        <v>0</v>
      </c>
      <c r="BI34">
        <f>IF(P34=0,0,COUNTIF('Transect 3_imgsummary'!E34:I34,"PLERO")*100/P34)</f>
        <v>0</v>
      </c>
      <c r="BJ34">
        <f>IF(P34=0,0,COUNTIF('Transect 3_imgsummary'!E34:I34,"POC")*100/P34)</f>
        <v>0</v>
      </c>
      <c r="BK34">
        <f>IF(P34=0,0,COUNTIF('Transect 3_imgsummary'!E34:I34,"POR")*100/P34)</f>
        <v>0</v>
      </c>
      <c r="BL34">
        <f>IF(P34=0,0,COUNTIF('Transect 3_imgsummary'!E34:I34,"PORCYL")*100/P34)</f>
        <v>0</v>
      </c>
      <c r="BM34">
        <f>IF(P34=0,0,COUNTIF('Transect 3_imgsummary'!E34:I34,"PORMAS")*100/P34)</f>
        <v>0</v>
      </c>
      <c r="BN34">
        <f>IF(P34=0,0,COUNTIF('Transect 3_imgsummary'!E34:I34,"PORRUS")*100/P34)</f>
        <v>0</v>
      </c>
      <c r="BO34">
        <f>IF(P34=0,0,COUNTIF('Transect 3_imgsummary'!E34:I34,"PSAM")*100/P34)</f>
        <v>0</v>
      </c>
      <c r="BP34">
        <f>IF(P34=0,0,COUNTIF('Transect 3_imgsummary'!E34:I34,"SANDO")*100/P34)</f>
        <v>0</v>
      </c>
      <c r="BQ34">
        <f>IF(P34=0,0,COUNTIF('Transect 3_imgsummary'!E34:I34,"SCAP")*100/P34)</f>
        <v>0</v>
      </c>
      <c r="BR34">
        <f>IF(P34=0,0,COUNTIF('Transect 3_imgsummary'!E34:I34,"SERIA")*100/P34)</f>
        <v>0</v>
      </c>
      <c r="BS34">
        <f>IF(P34=0,0,COUNTIF('Transect 3_imgsummary'!E34:I34,"STYLC")*100/P34)</f>
        <v>0</v>
      </c>
      <c r="BT34">
        <f>IF(P34=0,0,COUNTIF('Transect 3_imgsummary'!E34:I34,"STYLO")*100/P34)</f>
        <v>0</v>
      </c>
      <c r="BU34">
        <f>IF(P34=0,0,COUNTIF('Transect 3_imgsummary'!E34:I34,"SYMP")*100/P34)</f>
        <v>0</v>
      </c>
      <c r="BV34">
        <f>IF(P34=0,0,COUNTIF('Transect 3_imgsummary'!E34:I34,"TURBIN")*100/P34)</f>
        <v>0</v>
      </c>
      <c r="BX34">
        <f>IF(P34=0,0,COUNTIF('Transect 3_imgsummary'!E34:I34,"ANEM")*100/P34)</f>
        <v>0</v>
      </c>
      <c r="BY34">
        <f>IF(P34=0,0,COUNTIF('Transect 3_imgsummary'!E34:I34,"ASC")*100/P34)</f>
        <v>0</v>
      </c>
      <c r="BZ34">
        <f>IF(P34=0,0,COUNTIF('Transect 3_imgsummary'!E34:I34,"CUPS")*100/P34)</f>
        <v>0</v>
      </c>
      <c r="CA34">
        <f>IF(P34=0,0,COUNTIF('Transect 3_imgsummary'!E34:I34,"DISCO")*100/P34)</f>
        <v>0</v>
      </c>
      <c r="CB34">
        <f>IF(P34=0,0,COUNTIF('Transect 3_imgsummary'!E34:I34,"DYS")*100/P34)</f>
        <v>0</v>
      </c>
      <c r="CC34">
        <f>IF(P34=0,0,COUNTIF('Transect 3_imgsummary'!E34:I34,"G")*100/P34)</f>
        <v>0</v>
      </c>
      <c r="CD34">
        <f>IF(P34=0,0,COUNTIF('Transect 3_imgsummary'!E34:I34,"NoIDINV")*100/P34)</f>
        <v>0</v>
      </c>
      <c r="CE34">
        <f>IF(P34=0,0,COUNTIF('Transect 3_imgsummary'!E34:I34,"OLV")*100/P34)</f>
        <v>0</v>
      </c>
      <c r="CF34">
        <f>IF(P34=0,0,COUNTIF('Transect 3_imgsummary'!E34:I34,"SC")*100/P34)</f>
        <v>0</v>
      </c>
      <c r="CG34">
        <f>IF(P34=0,0,COUNTIF('Transect 3_imgsummary'!E34:I34,"S")*100/P34)</f>
        <v>0</v>
      </c>
      <c r="CH34">
        <f>IF(P34=0,0,COUNTIF('Transect 3_imgsummary'!E34:I34,"TERPS")*100/P34)</f>
        <v>0</v>
      </c>
      <c r="CI34">
        <f>IF(P34=0,0,COUNTIF('Transect 3_imgsummary'!E34:I34,"Z")*100/P34)</f>
        <v>0</v>
      </c>
      <c r="CK34">
        <f>IF(P34=0,0,COUNTIF('Transect 3_imgsummary'!E34:I34,"ASP")*100/P34)</f>
        <v>0</v>
      </c>
      <c r="CL34">
        <f>IF(P34=0,0,COUNTIF('Transect 3_imgsummary'!E34:I34,"BG")*100/P34)</f>
        <v>0</v>
      </c>
      <c r="CM34">
        <f>IF(P34=0,0,COUNTIF('Transect 3_imgsummary'!E34:I34,"Bood")*100/P34)</f>
        <v>0</v>
      </c>
      <c r="CN34">
        <f>IF(P34=0,0,COUNTIF('Transect 3_imgsummary'!E34:I34,"BRYP")*100/P34)</f>
        <v>0</v>
      </c>
      <c r="CO34">
        <f>IF(P34=0,0,COUNTIF('Transect 3_imgsummary'!E34:I34,"CLP")*100/P34)</f>
        <v>0</v>
      </c>
      <c r="CP34">
        <f>IF(P34=0,0,COUNTIF('Transect 3_imgsummary'!E34:I34,"CHLDES")*100/P34)</f>
        <v>0</v>
      </c>
      <c r="CQ34">
        <f>IF(P34=0,0,COUNTIF('Transect 3_imgsummary'!E34:I34,"DYCTY")*100/P34)</f>
        <v>0</v>
      </c>
      <c r="CR34">
        <f>IF(P34=0,0,COUNTIF('Transect 3_imgsummary'!E34:I34,"DICT")*100/P34)</f>
        <v>0</v>
      </c>
      <c r="CS34">
        <f>IF(P34=0,0,COUNTIF('Transect 3_imgsummary'!E34:I34,"GLXU")*100/P34)</f>
        <v>0</v>
      </c>
      <c r="CT34">
        <f>IF(P34=0,0,COUNTIF('Transect 3_imgsummary'!E34:I34,"HALI")*100/P34)</f>
        <v>0</v>
      </c>
      <c r="CU34">
        <f>IF(P34=0,0,COUNTIF('Transect 3_imgsummary'!E34:I34,"LIAG")*100/P34)</f>
        <v>0</v>
      </c>
      <c r="CV34">
        <f>IF(P34=0,0,COUNTIF('Transect 3_imgsummary'!E34:I34,"LOBO")*100/P34)</f>
        <v>0</v>
      </c>
      <c r="CW34">
        <f>IF(P34=0,0,COUNTIF('Transect 3_imgsummary'!E34:I34,"MAST")*100/P34)</f>
        <v>0</v>
      </c>
      <c r="CX34">
        <f>IF(P34=0,0,COUNTIF('Transect 3_imgsummary'!E34:I34,"MICDTY")*100/P34)</f>
        <v>0</v>
      </c>
      <c r="CY34">
        <f>IF(P34=0,0,COUNTIF('Transect 3_imgsummary'!E34:I34,"NEOM")*100/P34)</f>
        <v>0</v>
      </c>
      <c r="CZ34">
        <f>IF(P34=0,0,COUNTIF('Transect 3_imgsummary'!E34:I34,"NOIDMAC")*100/P34)</f>
        <v>0</v>
      </c>
      <c r="DA34">
        <f>IF(P34=0,0,COUNTIF('Transect 3_imgsummary'!E34:I34,"PAD")*100/P34)</f>
        <v>0</v>
      </c>
      <c r="DB34">
        <f>IF(P34=0,0,COUNTIF('Transect 3_imgsummary'!E34:I34,"SARG")*100/P34)</f>
        <v>0</v>
      </c>
      <c r="DC34">
        <f>IF(P34=0,0,COUNTIF('Transect 3_imgsummary'!E34:I34,"SCHIZ")*100/P34)</f>
        <v>0</v>
      </c>
      <c r="DD34">
        <f>IF(P34=0,0,COUNTIF('Transect 3_imgsummary'!E34:I34,"TURB")*100/P34)</f>
        <v>0</v>
      </c>
      <c r="DE34">
        <f>IF(P34=0,0,COUNTIF('Transect 3_imgsummary'!E34:I34,"TYDM")*100/P34)</f>
        <v>0</v>
      </c>
      <c r="DG34">
        <f>IF(P34=0,0,COUNTIF('Transect 3_imgsummary'!E34:I34,"AMP")*100/P34)</f>
        <v>0</v>
      </c>
      <c r="DH34">
        <f>IF(P34=0,0,COUNTIF('Transect 3_imgsummary'!E34:I34,"BCA1")*100/P34)</f>
        <v>0</v>
      </c>
      <c r="DI34">
        <f>IF(P34=0,0,COUNTIF('Transect 3_imgsummary'!E34:I34,"JAN")*100/P34)</f>
        <v>0</v>
      </c>
      <c r="DK34">
        <f>IF(P34=0,0,COUNTIF('Transect 3_imgsummary'!E34:I34,"CCA1")*100/P34)</f>
        <v>0</v>
      </c>
      <c r="DM34">
        <f>IF(P34=0,0,COUNTIF('Transect 3_imgsummary'!E34:I34,"Sand")*100/P34)</f>
        <v>0</v>
      </c>
      <c r="DO34">
        <f>IF(P34=0,0,COUNTIF('Transect 3_imgsummary'!E34:I34,"FCA1")*100/P34)</f>
        <v>0</v>
      </c>
      <c r="DQ34">
        <f>IF(P34=0,0,COUNTIF('Transect 3_imgsummary'!E34:I34,"CHRYOBRN")*100/P34)</f>
        <v>0</v>
      </c>
      <c r="DS34">
        <f>IF(P34=0,0,COUNTIF('Transect 3_imgsummary'!E34:I34,"TURF")*100/P34)</f>
        <v>0</v>
      </c>
      <c r="DU34">
        <f>COUNTIF('Transect 3_imgsummary'!E34:I34,"Shadow")*100/5</f>
        <v>0</v>
      </c>
      <c r="DV34">
        <f>COUNTIF('Transect 3_imgsummary'!E34:I34,"Tape")*100/5</f>
        <v>0</v>
      </c>
      <c r="DW34">
        <f>COUNTIF('Transect 3_imgsummary'!E34:I34,"Wand")*100/5</f>
        <v>0</v>
      </c>
      <c r="DY34">
        <f>IF(P34=0,0,COUNTIF('Transect 3_imgsummary'!O34:S34,"BC")*100/P34)</f>
        <v>0</v>
      </c>
    </row>
    <row r="35" spans="1:129">
      <c r="A35">
        <v>33</v>
      </c>
      <c r="B35" t="s">
        <v>522</v>
      </c>
      <c r="F35" s="29">
        <f>IF(P35=0,0,COUNTIF('Transect 3_imgsummary'!J35:N35,"C")*100/P35)</f>
        <v>40</v>
      </c>
      <c r="G35">
        <f>IF(P35=0,0,COUNTIF('Transect 3_imgsummary'!J35:N35,"OI")*100/P35)</f>
        <v>0</v>
      </c>
      <c r="H35">
        <f>IF(P35=0,0,COUNTIF('Transect 3_imgsummary'!J35:N35,"MA")*100/P35)</f>
        <v>0</v>
      </c>
      <c r="I35">
        <f>IF(P35=0,0,COUNTIF('Transect 3_imgsummary'!J35:N35,"BCA")*100/P35)</f>
        <v>0</v>
      </c>
      <c r="J35" s="29">
        <f>IF(P35=0,0,COUNTIF('Transect 3_imgsummary'!J35:N35,"CCA")*100/P35)</f>
        <v>60</v>
      </c>
      <c r="K35">
        <f>IF(P35=0,0,COUNTIF('Transect 3_imgsummary'!J35:N35,"SD")*100/P35)</f>
        <v>0</v>
      </c>
      <c r="L35">
        <f>IF(P35=0,0,COUNTIF('Transect 3_imgsummary'!J35:N35,"FCA")*100/P35)</f>
        <v>0</v>
      </c>
      <c r="M35">
        <f>IF(P35=0,0,COUNTIF('Transect 3_imgsummary'!J35:N35,"CHRYS")*100/P35)</f>
        <v>0</v>
      </c>
      <c r="N35">
        <f>IF(P35=0,0,COUNTIF('Transect 3_imgsummary'!J35:N35,"T")*100/P35)</f>
        <v>0</v>
      </c>
      <c r="O35">
        <f>IF(P35=0,0,COUNTIF('Transect 3_imgsummary'!J35:N35,"TWS")*100/P35)</f>
        <v>0</v>
      </c>
      <c r="P35">
        <f>5-COUNTIF('Transect 3_imgsummary'!J35:N35,"TWS")</f>
        <v>5</v>
      </c>
      <c r="S35">
        <f>IF(P35=0,0,COUNTIF('Transect 3_imgsummary'!E35:I35,"ACAN")*100/P35)</f>
        <v>0</v>
      </c>
      <c r="T35">
        <f>IF(P35=0,0,COUNTIF('Transect 3_imgsummary'!E35:I35,"ACROP")*100/P35)</f>
        <v>0</v>
      </c>
      <c r="U35">
        <f>IF(P35=0,0,COUNTIF('Transect 3_imgsummary'!E35:I35,"ACROPARB")*100/P35)</f>
        <v>0</v>
      </c>
      <c r="V35">
        <f>IF(P35=0,0,COUNTIF('Transect 3_imgsummary'!E35:I35,"ACROST")*100/P35)</f>
        <v>0</v>
      </c>
      <c r="W35">
        <f>IF(P35=0,0,COUNTIF('Transect 3_imgsummary'!E35:I35,"ACROTBL")*100/P35)</f>
        <v>0</v>
      </c>
      <c r="X35">
        <f>IF(P35=0,0,COUNTIF('Transect 3_imgsummary'!E35:I35,"ASTRP")*100/P35)</f>
        <v>0</v>
      </c>
      <c r="Y35">
        <f>IF(P35=0,0,COUNTIF('Transect 3_imgsummary'!E35:I35,"CAUL")*100/P35)</f>
        <v>0</v>
      </c>
      <c r="Z35">
        <f>IF(P35=0,0,COUNTIF('Transect 3_imgsummary'!E35:I35,"COSC")*100/P35)</f>
        <v>0</v>
      </c>
      <c r="AA35">
        <f>IF(P35=0,0,COUNTIF('Transect 3_imgsummary'!E35:I35,"CTEN")*100/P35)</f>
        <v>0</v>
      </c>
      <c r="AB35">
        <f>IF(P35=0,0,COUNTIF('Transect 3_imgsummary'!E35:I35,"CYPH")*100/P35)</f>
        <v>0</v>
      </c>
      <c r="AC35">
        <f>IF(P35=0,0,COUNTIF('Transect 3_imgsummary'!E35:I35,"DIPLO")*100/P35)</f>
        <v>0</v>
      </c>
      <c r="AD35">
        <f>IF(P35=0,0,COUNTIF('Transect 3_imgsummary'!E35:I35,"ECHPO")*100/P35)</f>
        <v>0</v>
      </c>
      <c r="AE35">
        <f>IF(P35=0,0,COUNTIF('Transect 3_imgsummary'!E35:I35,"ECHPHY")*100/P35)</f>
        <v>0</v>
      </c>
      <c r="AF35">
        <f>IF(P35=0,0,COUNTIF('Transect 3_imgsummary'!E35:I35,"EUPH")*100/P35)</f>
        <v>0</v>
      </c>
      <c r="AG35">
        <f>IF(P35=0,0,COUNTIF('Transect 3_imgsummary'!E35:I35,"FAV")*100/P35)</f>
        <v>0</v>
      </c>
      <c r="AH35" s="29">
        <f>IF(P35=0,0,COUNTIF('Transect 3_imgsummary'!E35:I35,"FAVT")*100/P35)</f>
        <v>40</v>
      </c>
      <c r="AI35">
        <f>IF(P35=0,0,COUNTIF('Transect 3_imgsummary'!E35:I35,"FUNG")*100/P35)</f>
        <v>0</v>
      </c>
      <c r="AJ35">
        <f>IF(P35=0,0,COUNTIF('Transect 3_imgsummary'!E35:I35,"GAL")*100/P35)</f>
        <v>0</v>
      </c>
      <c r="AK35">
        <f>IF(P35=0,0,COUNTIF('Transect 3_imgsummary'!E35:I35,"GARD")*100/P35)</f>
        <v>0</v>
      </c>
      <c r="AL35">
        <f>IF(P35=0,0,COUNTIF('Transect 3_imgsummary'!E35:I35,"GON")*100/P35)</f>
        <v>0</v>
      </c>
      <c r="AM35">
        <f>IF(P35=0,0,COUNTIF('Transect 3_imgsummary'!E35:I35,"GONIO")*100/P35)</f>
        <v>0</v>
      </c>
      <c r="AN35">
        <f>IF(P35=0,0,COUNTIF('Transect 3_imgsummary'!E35:I35,"HELIO")*100/P35)</f>
        <v>0</v>
      </c>
      <c r="AO35">
        <f>IF(P35=0,0,COUNTIF('Transect 3_imgsummary'!E35:I35,"HERP")*100/P35)</f>
        <v>0</v>
      </c>
      <c r="AP35">
        <f>IF(P35=0,0,COUNTIF('Transect 3_imgsummary'!E35:I35,"HYD")*100/P35)</f>
        <v>0</v>
      </c>
      <c r="AQ35">
        <f>IF(P35=0,0,COUNTIF('Transect 3_imgsummary'!E35:I35,"ISOP")*100/P35)</f>
        <v>0</v>
      </c>
      <c r="AR35">
        <f>IF(P35=0,0,COUNTIF('Transect 3_imgsummary'!E35:I35,"LEPT")*100/P35)</f>
        <v>0</v>
      </c>
      <c r="AS35">
        <f>IF(P35=0,0,COUNTIF('Transect 3_imgsummary'!E35:I35,"LEPTOR")*100/P35)</f>
        <v>0</v>
      </c>
      <c r="AT35">
        <f>IF(P35=0,0,COUNTIF('Transect 3_imgsummary'!E35:I35,"LEPTOS")*100/P35)</f>
        <v>0</v>
      </c>
      <c r="AU35">
        <f>IF(P35=0,0,COUNTIF('Transect 3_imgsummary'!E35:I35,"LOBOPH")*100/P35)</f>
        <v>0</v>
      </c>
      <c r="AV35">
        <f>IF(P35=0,0,COUNTIF('Transect 3_imgsummary'!E35:I35,"MERU")*100/P35)</f>
        <v>0</v>
      </c>
      <c r="AW35">
        <f>IF(P35=0,0,COUNTIF('Transect 3_imgsummary'!E35:I35,"MILL")*100/P35)</f>
        <v>0</v>
      </c>
      <c r="AX35">
        <f>IF(P35=0,0,COUNTIF('Transect 3_imgsummary'!E35:I35,"MONT")*100/P35)</f>
        <v>0</v>
      </c>
      <c r="AY35">
        <f>IF(P35=0,0,COUNTIF('Transect 3_imgsummary'!E35:I35,"MONTI")*100/P35)</f>
        <v>0</v>
      </c>
      <c r="AZ35">
        <f>IF(P35=0,0,COUNTIF('Transect 3_imgsummary'!E35:I35,"MYCED")*100/P35)</f>
        <v>0</v>
      </c>
      <c r="BA35">
        <f>IF(P35=0,0,COUNTIF('Transect 3_imgsummary'!E35:I35,"OULO")*100/P35)</f>
        <v>0</v>
      </c>
      <c r="BB35">
        <f>IF(P35=0,0,COUNTIF('Transect 3_imgsummary'!E35:I35,"OXYP")*100/P35)</f>
        <v>0</v>
      </c>
      <c r="BC35">
        <f>IF(P35=0,0,COUNTIF('Transect 3_imgsummary'!E35:I35,"PLSIA")*100/P35)</f>
        <v>0</v>
      </c>
      <c r="BD35">
        <f>IF(P35=0,0,COUNTIF('Transect 3_imgsummary'!E35:I35,"PACHY")*100/P35)</f>
        <v>0</v>
      </c>
      <c r="BE35">
        <f>IF(P35=0,0,COUNTIF('Transect 3_imgsummary'!E35:I35,"PAV")*100/P35)</f>
        <v>0</v>
      </c>
      <c r="BF35">
        <f>IF(P35=0,0,COUNTIF('Transect 3_imgsummary'!E35:I35,"PECT")*100/P35)</f>
        <v>0</v>
      </c>
      <c r="BG35">
        <f>IF(P35=0,0,COUNTIF('Transect 3_imgsummary'!E35:I35,"PHYSO")*100/P35)</f>
        <v>0</v>
      </c>
      <c r="BH35">
        <f>IF(P35=0,0,COUNTIF('Transect 3_imgsummary'!E35:I35,"PLAT")*100/P35)</f>
        <v>0</v>
      </c>
      <c r="BI35">
        <f>IF(P35=0,0,COUNTIF('Transect 3_imgsummary'!E35:I35,"PLERO")*100/P35)</f>
        <v>0</v>
      </c>
      <c r="BJ35">
        <f>IF(P35=0,0,COUNTIF('Transect 3_imgsummary'!E35:I35,"POC")*100/P35)</f>
        <v>0</v>
      </c>
      <c r="BK35">
        <f>IF(P35=0,0,COUNTIF('Transect 3_imgsummary'!E35:I35,"POR")*100/P35)</f>
        <v>0</v>
      </c>
      <c r="BL35">
        <f>IF(P35=0,0,COUNTIF('Transect 3_imgsummary'!E35:I35,"PORCYL")*100/P35)</f>
        <v>0</v>
      </c>
      <c r="BM35">
        <f>IF(P35=0,0,COUNTIF('Transect 3_imgsummary'!E35:I35,"PORMAS")*100/P35)</f>
        <v>0</v>
      </c>
      <c r="BN35">
        <f>IF(P35=0,0,COUNTIF('Transect 3_imgsummary'!E35:I35,"PORRUS")*100/P35)</f>
        <v>0</v>
      </c>
      <c r="BO35">
        <f>IF(P35=0,0,COUNTIF('Transect 3_imgsummary'!E35:I35,"PSAM")*100/P35)</f>
        <v>0</v>
      </c>
      <c r="BP35">
        <f>IF(P35=0,0,COUNTIF('Transect 3_imgsummary'!E35:I35,"SANDO")*100/P35)</f>
        <v>0</v>
      </c>
      <c r="BQ35">
        <f>IF(P35=0,0,COUNTIF('Transect 3_imgsummary'!E35:I35,"SCAP")*100/P35)</f>
        <v>0</v>
      </c>
      <c r="BR35">
        <f>IF(P35=0,0,COUNTIF('Transect 3_imgsummary'!E35:I35,"SERIA")*100/P35)</f>
        <v>0</v>
      </c>
      <c r="BS35">
        <f>IF(P35=0,0,COUNTIF('Transect 3_imgsummary'!E35:I35,"STYLC")*100/P35)</f>
        <v>0</v>
      </c>
      <c r="BT35">
        <f>IF(P35=0,0,COUNTIF('Transect 3_imgsummary'!E35:I35,"STYLO")*100/P35)</f>
        <v>0</v>
      </c>
      <c r="BU35">
        <f>IF(P35=0,0,COUNTIF('Transect 3_imgsummary'!E35:I35,"SYMP")*100/P35)</f>
        <v>0</v>
      </c>
      <c r="BV35">
        <f>IF(P35=0,0,COUNTIF('Transect 3_imgsummary'!E35:I35,"TURBIN")*100/P35)</f>
        <v>0</v>
      </c>
      <c r="BX35">
        <f>IF(P35=0,0,COUNTIF('Transect 3_imgsummary'!E35:I35,"ANEM")*100/P35)</f>
        <v>0</v>
      </c>
      <c r="BY35">
        <f>IF(P35=0,0,COUNTIF('Transect 3_imgsummary'!E35:I35,"ASC")*100/P35)</f>
        <v>0</v>
      </c>
      <c r="BZ35">
        <f>IF(P35=0,0,COUNTIF('Transect 3_imgsummary'!E35:I35,"CUPS")*100/P35)</f>
        <v>0</v>
      </c>
      <c r="CA35">
        <f>IF(P35=0,0,COUNTIF('Transect 3_imgsummary'!E35:I35,"DISCO")*100/P35)</f>
        <v>0</v>
      </c>
      <c r="CB35">
        <f>IF(P35=0,0,COUNTIF('Transect 3_imgsummary'!E35:I35,"DYS")*100/P35)</f>
        <v>0</v>
      </c>
      <c r="CC35">
        <f>IF(P35=0,0,COUNTIF('Transect 3_imgsummary'!E35:I35,"G")*100/P35)</f>
        <v>0</v>
      </c>
      <c r="CD35">
        <f>IF(P35=0,0,COUNTIF('Transect 3_imgsummary'!E35:I35,"NoIDINV")*100/P35)</f>
        <v>0</v>
      </c>
      <c r="CE35">
        <f>IF(P35=0,0,COUNTIF('Transect 3_imgsummary'!E35:I35,"OLV")*100/P35)</f>
        <v>0</v>
      </c>
      <c r="CF35">
        <f>IF(P35=0,0,COUNTIF('Transect 3_imgsummary'!E35:I35,"SC")*100/P35)</f>
        <v>0</v>
      </c>
      <c r="CG35">
        <f>IF(P35=0,0,COUNTIF('Transect 3_imgsummary'!E35:I35,"S")*100/P35)</f>
        <v>0</v>
      </c>
      <c r="CH35">
        <f>IF(P35=0,0,COUNTIF('Transect 3_imgsummary'!E35:I35,"TERPS")*100/P35)</f>
        <v>0</v>
      </c>
      <c r="CI35">
        <f>IF(P35=0,0,COUNTIF('Transect 3_imgsummary'!E35:I35,"Z")*100/P35)</f>
        <v>0</v>
      </c>
      <c r="CK35">
        <f>IF(P35=0,0,COUNTIF('Transect 3_imgsummary'!E35:I35,"ASP")*100/P35)</f>
        <v>0</v>
      </c>
      <c r="CL35">
        <f>IF(P35=0,0,COUNTIF('Transect 3_imgsummary'!E35:I35,"BG")*100/P35)</f>
        <v>0</v>
      </c>
      <c r="CM35">
        <f>IF(P35=0,0,COUNTIF('Transect 3_imgsummary'!E35:I35,"Bood")*100/P35)</f>
        <v>0</v>
      </c>
      <c r="CN35">
        <f>IF(P35=0,0,COUNTIF('Transect 3_imgsummary'!E35:I35,"BRYP")*100/P35)</f>
        <v>0</v>
      </c>
      <c r="CO35">
        <f>IF(P35=0,0,COUNTIF('Transect 3_imgsummary'!E35:I35,"CLP")*100/P35)</f>
        <v>0</v>
      </c>
      <c r="CP35">
        <f>IF(P35=0,0,COUNTIF('Transect 3_imgsummary'!E35:I35,"CHLDES")*100/P35)</f>
        <v>0</v>
      </c>
      <c r="CQ35">
        <f>IF(P35=0,0,COUNTIF('Transect 3_imgsummary'!E35:I35,"DYCTY")*100/P35)</f>
        <v>0</v>
      </c>
      <c r="CR35">
        <f>IF(P35=0,0,COUNTIF('Transect 3_imgsummary'!E35:I35,"DICT")*100/P35)</f>
        <v>0</v>
      </c>
      <c r="CS35">
        <f>IF(P35=0,0,COUNTIF('Transect 3_imgsummary'!E35:I35,"GLXU")*100/P35)</f>
        <v>0</v>
      </c>
      <c r="CT35">
        <f>IF(P35=0,0,COUNTIF('Transect 3_imgsummary'!E35:I35,"HALI")*100/P35)</f>
        <v>0</v>
      </c>
      <c r="CU35">
        <f>IF(P35=0,0,COUNTIF('Transect 3_imgsummary'!E35:I35,"LIAG")*100/P35)</f>
        <v>0</v>
      </c>
      <c r="CV35">
        <f>IF(P35=0,0,COUNTIF('Transect 3_imgsummary'!E35:I35,"LOBO")*100/P35)</f>
        <v>0</v>
      </c>
      <c r="CW35">
        <f>IF(P35=0,0,COUNTIF('Transect 3_imgsummary'!E35:I35,"MAST")*100/P35)</f>
        <v>0</v>
      </c>
      <c r="CX35">
        <f>IF(P35=0,0,COUNTIF('Transect 3_imgsummary'!E35:I35,"MICDTY")*100/P35)</f>
        <v>0</v>
      </c>
      <c r="CY35">
        <f>IF(P35=0,0,COUNTIF('Transect 3_imgsummary'!E35:I35,"NEOM")*100/P35)</f>
        <v>0</v>
      </c>
      <c r="CZ35">
        <f>IF(P35=0,0,COUNTIF('Transect 3_imgsummary'!E35:I35,"NOIDMAC")*100/P35)</f>
        <v>0</v>
      </c>
      <c r="DA35">
        <f>IF(P35=0,0,COUNTIF('Transect 3_imgsummary'!E35:I35,"PAD")*100/P35)</f>
        <v>0</v>
      </c>
      <c r="DB35">
        <f>IF(P35=0,0,COUNTIF('Transect 3_imgsummary'!E35:I35,"SARG")*100/P35)</f>
        <v>0</v>
      </c>
      <c r="DC35">
        <f>IF(P35=0,0,COUNTIF('Transect 3_imgsummary'!E35:I35,"SCHIZ")*100/P35)</f>
        <v>0</v>
      </c>
      <c r="DD35">
        <f>IF(P35=0,0,COUNTIF('Transect 3_imgsummary'!E35:I35,"TURB")*100/P35)</f>
        <v>0</v>
      </c>
      <c r="DE35">
        <f>IF(P35=0,0,COUNTIF('Transect 3_imgsummary'!E35:I35,"TYDM")*100/P35)</f>
        <v>0</v>
      </c>
      <c r="DG35">
        <f>IF(P35=0,0,COUNTIF('Transect 3_imgsummary'!E35:I35,"AMP")*100/P35)</f>
        <v>0</v>
      </c>
      <c r="DH35">
        <f>IF(P35=0,0,COUNTIF('Transect 3_imgsummary'!E35:I35,"BCA1")*100/P35)</f>
        <v>0</v>
      </c>
      <c r="DI35">
        <f>IF(P35=0,0,COUNTIF('Transect 3_imgsummary'!E35:I35,"JAN")*100/P35)</f>
        <v>0</v>
      </c>
      <c r="DK35" s="29">
        <f>IF(P35=0,0,COUNTIF('Transect 3_imgsummary'!E35:I35,"CCA1")*100/P35)</f>
        <v>60</v>
      </c>
      <c r="DM35">
        <f>IF(P35=0,0,COUNTIF('Transect 3_imgsummary'!E35:I35,"Sand")*100/P35)</f>
        <v>0</v>
      </c>
      <c r="DO35">
        <f>IF(P35=0,0,COUNTIF('Transect 3_imgsummary'!E35:I35,"FCA1")*100/P35)</f>
        <v>0</v>
      </c>
      <c r="DQ35">
        <f>IF(P35=0,0,COUNTIF('Transect 3_imgsummary'!E35:I35,"CHRYOBRN")*100/P35)</f>
        <v>0</v>
      </c>
      <c r="DS35">
        <f>IF(P35=0,0,COUNTIF('Transect 3_imgsummary'!E35:I35,"TURF")*100/P35)</f>
        <v>0</v>
      </c>
      <c r="DU35">
        <f>COUNTIF('Transect 3_imgsummary'!E35:I35,"Shadow")*100/5</f>
        <v>0</v>
      </c>
      <c r="DV35">
        <f>COUNTIF('Transect 3_imgsummary'!E35:I35,"Tape")*100/5</f>
        <v>0</v>
      </c>
      <c r="DW35">
        <f>COUNTIF('Transect 3_imgsummary'!E35:I35,"Wand")*100/5</f>
        <v>0</v>
      </c>
      <c r="DY35">
        <f>IF(P35=0,0,COUNTIF('Transect 3_imgsummary'!O35:S35,"BC")*100/P35)</f>
        <v>0</v>
      </c>
    </row>
    <row r="36" spans="1:129">
      <c r="A36">
        <v>34</v>
      </c>
      <c r="B36" t="s">
        <v>523</v>
      </c>
      <c r="F36" s="29">
        <f>IF(P36=0,0,COUNTIF('Transect 3_imgsummary'!J36:N36,"C")*100/P36)</f>
        <v>60</v>
      </c>
      <c r="G36">
        <f>IF(P36=0,0,COUNTIF('Transect 3_imgsummary'!J36:N36,"OI")*100/P36)</f>
        <v>0</v>
      </c>
      <c r="H36">
        <f>IF(P36=0,0,COUNTIF('Transect 3_imgsummary'!J36:N36,"MA")*100/P36)</f>
        <v>0</v>
      </c>
      <c r="I36">
        <f>IF(P36=0,0,COUNTIF('Transect 3_imgsummary'!J36:N36,"BCA")*100/P36)</f>
        <v>0</v>
      </c>
      <c r="J36" s="29">
        <f>IF(P36=0,0,COUNTIF('Transect 3_imgsummary'!J36:N36,"CCA")*100/P36)</f>
        <v>40</v>
      </c>
      <c r="K36">
        <f>IF(P36=0,0,COUNTIF('Transect 3_imgsummary'!J36:N36,"SD")*100/P36)</f>
        <v>0</v>
      </c>
      <c r="L36">
        <f>IF(P36=0,0,COUNTIF('Transect 3_imgsummary'!J36:N36,"FCA")*100/P36)</f>
        <v>0</v>
      </c>
      <c r="M36">
        <f>IF(P36=0,0,COUNTIF('Transect 3_imgsummary'!J36:N36,"CHRYS")*100/P36)</f>
        <v>0</v>
      </c>
      <c r="N36">
        <f>IF(P36=0,0,COUNTIF('Transect 3_imgsummary'!J36:N36,"T")*100/P36)</f>
        <v>0</v>
      </c>
      <c r="O36">
        <f>IF(P36=0,0,COUNTIF('Transect 3_imgsummary'!J36:N36,"TWS")*100/P36)</f>
        <v>0</v>
      </c>
      <c r="P36">
        <f>5-COUNTIF('Transect 3_imgsummary'!J36:N36,"TWS")</f>
        <v>5</v>
      </c>
      <c r="S36">
        <f>IF(P36=0,0,COUNTIF('Transect 3_imgsummary'!E36:I36,"ACAN")*100/P36)</f>
        <v>0</v>
      </c>
      <c r="T36">
        <f>IF(P36=0,0,COUNTIF('Transect 3_imgsummary'!E36:I36,"ACROP")*100/P36)</f>
        <v>0</v>
      </c>
      <c r="U36">
        <f>IF(P36=0,0,COUNTIF('Transect 3_imgsummary'!E36:I36,"ACROPARB")*100/P36)</f>
        <v>0</v>
      </c>
      <c r="V36">
        <f>IF(P36=0,0,COUNTIF('Transect 3_imgsummary'!E36:I36,"ACROST")*100/P36)</f>
        <v>0</v>
      </c>
      <c r="W36" s="29">
        <f>IF(P36=0,0,COUNTIF('Transect 3_imgsummary'!E36:I36,"ACROTBL")*100/P36)</f>
        <v>60</v>
      </c>
      <c r="X36">
        <f>IF(P36=0,0,COUNTIF('Transect 3_imgsummary'!E36:I36,"ASTRP")*100/P36)</f>
        <v>0</v>
      </c>
      <c r="Y36">
        <f>IF(P36=0,0,COUNTIF('Transect 3_imgsummary'!E36:I36,"CAUL")*100/P36)</f>
        <v>0</v>
      </c>
      <c r="Z36">
        <f>IF(P36=0,0,COUNTIF('Transect 3_imgsummary'!E36:I36,"COSC")*100/P36)</f>
        <v>0</v>
      </c>
      <c r="AA36">
        <f>IF(P36=0,0,COUNTIF('Transect 3_imgsummary'!E36:I36,"CTEN")*100/P36)</f>
        <v>0</v>
      </c>
      <c r="AB36">
        <f>IF(P36=0,0,COUNTIF('Transect 3_imgsummary'!E36:I36,"CYPH")*100/P36)</f>
        <v>0</v>
      </c>
      <c r="AC36">
        <f>IF(P36=0,0,COUNTIF('Transect 3_imgsummary'!E36:I36,"DIPLO")*100/P36)</f>
        <v>0</v>
      </c>
      <c r="AD36">
        <f>IF(P36=0,0,COUNTIF('Transect 3_imgsummary'!E36:I36,"ECHPO")*100/P36)</f>
        <v>0</v>
      </c>
      <c r="AE36">
        <f>IF(P36=0,0,COUNTIF('Transect 3_imgsummary'!E36:I36,"ECHPHY")*100/P36)</f>
        <v>0</v>
      </c>
      <c r="AF36">
        <f>IF(P36=0,0,COUNTIF('Transect 3_imgsummary'!E36:I36,"EUPH")*100/P36)</f>
        <v>0</v>
      </c>
      <c r="AG36">
        <f>IF(P36=0,0,COUNTIF('Transect 3_imgsummary'!E36:I36,"FAV")*100/P36)</f>
        <v>0</v>
      </c>
      <c r="AH36">
        <f>IF(P36=0,0,COUNTIF('Transect 3_imgsummary'!E36:I36,"FAVT")*100/P36)</f>
        <v>0</v>
      </c>
      <c r="AI36">
        <f>IF(P36=0,0,COUNTIF('Transect 3_imgsummary'!E36:I36,"FUNG")*100/P36)</f>
        <v>0</v>
      </c>
      <c r="AJ36">
        <f>IF(P36=0,0,COUNTIF('Transect 3_imgsummary'!E36:I36,"GAL")*100/P36)</f>
        <v>0</v>
      </c>
      <c r="AK36">
        <f>IF(P36=0,0,COUNTIF('Transect 3_imgsummary'!E36:I36,"GARD")*100/P36)</f>
        <v>0</v>
      </c>
      <c r="AL36">
        <f>IF(P36=0,0,COUNTIF('Transect 3_imgsummary'!E36:I36,"GON")*100/P36)</f>
        <v>0</v>
      </c>
      <c r="AM36">
        <f>IF(P36=0,0,COUNTIF('Transect 3_imgsummary'!E36:I36,"GONIO")*100/P36)</f>
        <v>0</v>
      </c>
      <c r="AN36">
        <f>IF(P36=0,0,COUNTIF('Transect 3_imgsummary'!E36:I36,"HELIO")*100/P36)</f>
        <v>0</v>
      </c>
      <c r="AO36">
        <f>IF(P36=0,0,COUNTIF('Transect 3_imgsummary'!E36:I36,"HERP")*100/P36)</f>
        <v>0</v>
      </c>
      <c r="AP36">
        <f>IF(P36=0,0,COUNTIF('Transect 3_imgsummary'!E36:I36,"HYD")*100/P36)</f>
        <v>0</v>
      </c>
      <c r="AQ36">
        <f>IF(P36=0,0,COUNTIF('Transect 3_imgsummary'!E36:I36,"ISOP")*100/P36)</f>
        <v>0</v>
      </c>
      <c r="AR36">
        <f>IF(P36=0,0,COUNTIF('Transect 3_imgsummary'!E36:I36,"LEPT")*100/P36)</f>
        <v>0</v>
      </c>
      <c r="AS36">
        <f>IF(P36=0,0,COUNTIF('Transect 3_imgsummary'!E36:I36,"LEPTOR")*100/P36)</f>
        <v>0</v>
      </c>
      <c r="AT36">
        <f>IF(P36=0,0,COUNTIF('Transect 3_imgsummary'!E36:I36,"LEPTOS")*100/P36)</f>
        <v>0</v>
      </c>
      <c r="AU36">
        <f>IF(P36=0,0,COUNTIF('Transect 3_imgsummary'!E36:I36,"LOBOPH")*100/P36)</f>
        <v>0</v>
      </c>
      <c r="AV36">
        <f>IF(P36=0,0,COUNTIF('Transect 3_imgsummary'!E36:I36,"MERU")*100/P36)</f>
        <v>0</v>
      </c>
      <c r="AW36">
        <f>IF(P36=0,0,COUNTIF('Transect 3_imgsummary'!E36:I36,"MILL")*100/P36)</f>
        <v>0</v>
      </c>
      <c r="AX36">
        <f>IF(P36=0,0,COUNTIF('Transect 3_imgsummary'!E36:I36,"MONT")*100/P36)</f>
        <v>0</v>
      </c>
      <c r="AY36">
        <f>IF(P36=0,0,COUNTIF('Transect 3_imgsummary'!E36:I36,"MONTI")*100/P36)</f>
        <v>0</v>
      </c>
      <c r="AZ36">
        <f>IF(P36=0,0,COUNTIF('Transect 3_imgsummary'!E36:I36,"MYCED")*100/P36)</f>
        <v>0</v>
      </c>
      <c r="BA36">
        <f>IF(P36=0,0,COUNTIF('Transect 3_imgsummary'!E36:I36,"OULO")*100/P36)</f>
        <v>0</v>
      </c>
      <c r="BB36">
        <f>IF(P36=0,0,COUNTIF('Transect 3_imgsummary'!E36:I36,"OXYP")*100/P36)</f>
        <v>0</v>
      </c>
      <c r="BC36">
        <f>IF(P36=0,0,COUNTIF('Transect 3_imgsummary'!E36:I36,"PLSIA")*100/P36)</f>
        <v>0</v>
      </c>
      <c r="BD36">
        <f>IF(P36=0,0,COUNTIF('Transect 3_imgsummary'!E36:I36,"PACHY")*100/P36)</f>
        <v>0</v>
      </c>
      <c r="BE36">
        <f>IF(P36=0,0,COUNTIF('Transect 3_imgsummary'!E36:I36,"PAV")*100/P36)</f>
        <v>0</v>
      </c>
      <c r="BF36">
        <f>IF(P36=0,0,COUNTIF('Transect 3_imgsummary'!E36:I36,"PECT")*100/P36)</f>
        <v>0</v>
      </c>
      <c r="BG36">
        <f>IF(P36=0,0,COUNTIF('Transect 3_imgsummary'!E36:I36,"PHYSO")*100/P36)</f>
        <v>0</v>
      </c>
      <c r="BH36">
        <f>IF(P36=0,0,COUNTIF('Transect 3_imgsummary'!E36:I36,"PLAT")*100/P36)</f>
        <v>0</v>
      </c>
      <c r="BI36">
        <f>IF(P36=0,0,COUNTIF('Transect 3_imgsummary'!E36:I36,"PLERO")*100/P36)</f>
        <v>0</v>
      </c>
      <c r="BJ36">
        <f>IF(P36=0,0,COUNTIF('Transect 3_imgsummary'!E36:I36,"POC")*100/P36)</f>
        <v>0</v>
      </c>
      <c r="BK36">
        <f>IF(P36=0,0,COUNTIF('Transect 3_imgsummary'!E36:I36,"POR")*100/P36)</f>
        <v>0</v>
      </c>
      <c r="BL36">
        <f>IF(P36=0,0,COUNTIF('Transect 3_imgsummary'!E36:I36,"PORCYL")*100/P36)</f>
        <v>0</v>
      </c>
      <c r="BM36">
        <f>IF(P36=0,0,COUNTIF('Transect 3_imgsummary'!E36:I36,"PORMAS")*100/P36)</f>
        <v>0</v>
      </c>
      <c r="BN36">
        <f>IF(P36=0,0,COUNTIF('Transect 3_imgsummary'!E36:I36,"PORRUS")*100/P36)</f>
        <v>0</v>
      </c>
      <c r="BO36">
        <f>IF(P36=0,0,COUNTIF('Transect 3_imgsummary'!E36:I36,"PSAM")*100/P36)</f>
        <v>0</v>
      </c>
      <c r="BP36">
        <f>IF(P36=0,0,COUNTIF('Transect 3_imgsummary'!E36:I36,"SANDO")*100/P36)</f>
        <v>0</v>
      </c>
      <c r="BQ36">
        <f>IF(P36=0,0,COUNTIF('Transect 3_imgsummary'!E36:I36,"SCAP")*100/P36)</f>
        <v>0</v>
      </c>
      <c r="BR36">
        <f>IF(P36=0,0,COUNTIF('Transect 3_imgsummary'!E36:I36,"SERIA")*100/P36)</f>
        <v>0</v>
      </c>
      <c r="BS36">
        <f>IF(P36=0,0,COUNTIF('Transect 3_imgsummary'!E36:I36,"STYLC")*100/P36)</f>
        <v>0</v>
      </c>
      <c r="BT36">
        <f>IF(P36=0,0,COUNTIF('Transect 3_imgsummary'!E36:I36,"STYLO")*100/P36)</f>
        <v>0</v>
      </c>
      <c r="BU36">
        <f>IF(P36=0,0,COUNTIF('Transect 3_imgsummary'!E36:I36,"SYMP")*100/P36)</f>
        <v>0</v>
      </c>
      <c r="BV36">
        <f>IF(P36=0,0,COUNTIF('Transect 3_imgsummary'!E36:I36,"TURBIN")*100/P36)</f>
        <v>0</v>
      </c>
      <c r="BX36">
        <f>IF(P36=0,0,COUNTIF('Transect 3_imgsummary'!E36:I36,"ANEM")*100/P36)</f>
        <v>0</v>
      </c>
      <c r="BY36">
        <f>IF(P36=0,0,COUNTIF('Transect 3_imgsummary'!E36:I36,"ASC")*100/P36)</f>
        <v>0</v>
      </c>
      <c r="BZ36">
        <f>IF(P36=0,0,COUNTIF('Transect 3_imgsummary'!E36:I36,"CUPS")*100/P36)</f>
        <v>0</v>
      </c>
      <c r="CA36">
        <f>IF(P36=0,0,COUNTIF('Transect 3_imgsummary'!E36:I36,"DISCO")*100/P36)</f>
        <v>0</v>
      </c>
      <c r="CB36">
        <f>IF(P36=0,0,COUNTIF('Transect 3_imgsummary'!E36:I36,"DYS")*100/P36)</f>
        <v>0</v>
      </c>
      <c r="CC36">
        <f>IF(P36=0,0,COUNTIF('Transect 3_imgsummary'!E36:I36,"G")*100/P36)</f>
        <v>0</v>
      </c>
      <c r="CD36">
        <f>IF(P36=0,0,COUNTIF('Transect 3_imgsummary'!E36:I36,"NoIDINV")*100/P36)</f>
        <v>0</v>
      </c>
      <c r="CE36">
        <f>IF(P36=0,0,COUNTIF('Transect 3_imgsummary'!E36:I36,"OLV")*100/P36)</f>
        <v>0</v>
      </c>
      <c r="CF36">
        <f>IF(P36=0,0,COUNTIF('Transect 3_imgsummary'!E36:I36,"SC")*100/P36)</f>
        <v>0</v>
      </c>
      <c r="CG36">
        <f>IF(P36=0,0,COUNTIF('Transect 3_imgsummary'!E36:I36,"S")*100/P36)</f>
        <v>0</v>
      </c>
      <c r="CH36">
        <f>IF(P36=0,0,COUNTIF('Transect 3_imgsummary'!E36:I36,"TERPS")*100/P36)</f>
        <v>0</v>
      </c>
      <c r="CI36">
        <f>IF(P36=0,0,COUNTIF('Transect 3_imgsummary'!E36:I36,"Z")*100/P36)</f>
        <v>0</v>
      </c>
      <c r="CK36">
        <f>IF(P36=0,0,COUNTIF('Transect 3_imgsummary'!E36:I36,"ASP")*100/P36)</f>
        <v>0</v>
      </c>
      <c r="CL36">
        <f>IF(P36=0,0,COUNTIF('Transect 3_imgsummary'!E36:I36,"BG")*100/P36)</f>
        <v>0</v>
      </c>
      <c r="CM36">
        <f>IF(P36=0,0,COUNTIF('Transect 3_imgsummary'!E36:I36,"Bood")*100/P36)</f>
        <v>0</v>
      </c>
      <c r="CN36">
        <f>IF(P36=0,0,COUNTIF('Transect 3_imgsummary'!E36:I36,"BRYP")*100/P36)</f>
        <v>0</v>
      </c>
      <c r="CO36">
        <f>IF(P36=0,0,COUNTIF('Transect 3_imgsummary'!E36:I36,"CLP")*100/P36)</f>
        <v>0</v>
      </c>
      <c r="CP36">
        <f>IF(P36=0,0,COUNTIF('Transect 3_imgsummary'!E36:I36,"CHLDES")*100/P36)</f>
        <v>0</v>
      </c>
      <c r="CQ36">
        <f>IF(P36=0,0,COUNTIF('Transect 3_imgsummary'!E36:I36,"DYCTY")*100/P36)</f>
        <v>0</v>
      </c>
      <c r="CR36">
        <f>IF(P36=0,0,COUNTIF('Transect 3_imgsummary'!E36:I36,"DICT")*100/P36)</f>
        <v>0</v>
      </c>
      <c r="CS36">
        <f>IF(P36=0,0,COUNTIF('Transect 3_imgsummary'!E36:I36,"GLXU")*100/P36)</f>
        <v>0</v>
      </c>
      <c r="CT36">
        <f>IF(P36=0,0,COUNTIF('Transect 3_imgsummary'!E36:I36,"HALI")*100/P36)</f>
        <v>0</v>
      </c>
      <c r="CU36">
        <f>IF(P36=0,0,COUNTIF('Transect 3_imgsummary'!E36:I36,"LIAG")*100/P36)</f>
        <v>0</v>
      </c>
      <c r="CV36">
        <f>IF(P36=0,0,COUNTIF('Transect 3_imgsummary'!E36:I36,"LOBO")*100/P36)</f>
        <v>0</v>
      </c>
      <c r="CW36">
        <f>IF(P36=0,0,COUNTIF('Transect 3_imgsummary'!E36:I36,"MAST")*100/P36)</f>
        <v>0</v>
      </c>
      <c r="CX36">
        <f>IF(P36=0,0,COUNTIF('Transect 3_imgsummary'!E36:I36,"MICDTY")*100/P36)</f>
        <v>0</v>
      </c>
      <c r="CY36">
        <f>IF(P36=0,0,COUNTIF('Transect 3_imgsummary'!E36:I36,"NEOM")*100/P36)</f>
        <v>0</v>
      </c>
      <c r="CZ36">
        <f>IF(P36=0,0,COUNTIF('Transect 3_imgsummary'!E36:I36,"NOIDMAC")*100/P36)</f>
        <v>0</v>
      </c>
      <c r="DA36">
        <f>IF(P36=0,0,COUNTIF('Transect 3_imgsummary'!E36:I36,"PAD")*100/P36)</f>
        <v>0</v>
      </c>
      <c r="DB36">
        <f>IF(P36=0,0,COUNTIF('Transect 3_imgsummary'!E36:I36,"SARG")*100/P36)</f>
        <v>0</v>
      </c>
      <c r="DC36">
        <f>IF(P36=0,0,COUNTIF('Transect 3_imgsummary'!E36:I36,"SCHIZ")*100/P36)</f>
        <v>0</v>
      </c>
      <c r="DD36">
        <f>IF(P36=0,0,COUNTIF('Transect 3_imgsummary'!E36:I36,"TURB")*100/P36)</f>
        <v>0</v>
      </c>
      <c r="DE36">
        <f>IF(P36=0,0,COUNTIF('Transect 3_imgsummary'!E36:I36,"TYDM")*100/P36)</f>
        <v>0</v>
      </c>
      <c r="DG36">
        <f>IF(P36=0,0,COUNTIF('Transect 3_imgsummary'!E36:I36,"AMP")*100/P36)</f>
        <v>0</v>
      </c>
      <c r="DH36">
        <f>IF(P36=0,0,COUNTIF('Transect 3_imgsummary'!E36:I36,"BCA1")*100/P36)</f>
        <v>0</v>
      </c>
      <c r="DI36">
        <f>IF(P36=0,0,COUNTIF('Transect 3_imgsummary'!E36:I36,"JAN")*100/P36)</f>
        <v>0</v>
      </c>
      <c r="DK36" s="29">
        <f>IF(P36=0,0,COUNTIF('Transect 3_imgsummary'!E36:I36,"CCA1")*100/P36)</f>
        <v>40</v>
      </c>
      <c r="DM36">
        <f>IF(P36=0,0,COUNTIF('Transect 3_imgsummary'!E36:I36,"Sand")*100/P36)</f>
        <v>0</v>
      </c>
      <c r="DO36">
        <f>IF(P36=0,0,COUNTIF('Transect 3_imgsummary'!E36:I36,"FCA1")*100/P36)</f>
        <v>0</v>
      </c>
      <c r="DQ36">
        <f>IF(P36=0,0,COUNTIF('Transect 3_imgsummary'!E36:I36,"CHRYOBRN")*100/P36)</f>
        <v>0</v>
      </c>
      <c r="DS36">
        <f>IF(P36=0,0,COUNTIF('Transect 3_imgsummary'!E36:I36,"TURF")*100/P36)</f>
        <v>0</v>
      </c>
      <c r="DU36">
        <f>COUNTIF('Transect 3_imgsummary'!E36:I36,"Shadow")*100/5</f>
        <v>0</v>
      </c>
      <c r="DV36">
        <f>COUNTIF('Transect 3_imgsummary'!E36:I36,"Tape")*100/5</f>
        <v>0</v>
      </c>
      <c r="DW36">
        <f>COUNTIF('Transect 3_imgsummary'!E36:I36,"Wand")*100/5</f>
        <v>0</v>
      </c>
      <c r="DY36">
        <f>IF(P36=0,0,COUNTIF('Transect 3_imgsummary'!O36:S36,"BC")*100/P36)</f>
        <v>0</v>
      </c>
    </row>
    <row r="37" spans="1:129">
      <c r="A37">
        <v>35</v>
      </c>
      <c r="B37" t="s">
        <v>524</v>
      </c>
      <c r="F37" s="29">
        <f>IF(P37=0,0,COUNTIF('Transect 3_imgsummary'!J37:N37,"C")*100/P37)</f>
        <v>20</v>
      </c>
      <c r="G37">
        <f>IF(P37=0,0,COUNTIF('Transect 3_imgsummary'!J37:N37,"OI")*100/P37)</f>
        <v>0</v>
      </c>
      <c r="H37">
        <f>IF(P37=0,0,COUNTIF('Transect 3_imgsummary'!J37:N37,"MA")*100/P37)</f>
        <v>0</v>
      </c>
      <c r="I37">
        <f>IF(P37=0,0,COUNTIF('Transect 3_imgsummary'!J37:N37,"BCA")*100/P37)</f>
        <v>0</v>
      </c>
      <c r="J37" s="29">
        <f>IF(P37=0,0,COUNTIF('Transect 3_imgsummary'!J37:N37,"CCA")*100/P37)</f>
        <v>60</v>
      </c>
      <c r="K37">
        <f>IF(P37=0,0,COUNTIF('Transect 3_imgsummary'!J37:N37,"SD")*100/P37)</f>
        <v>0</v>
      </c>
      <c r="L37">
        <f>IF(P37=0,0,COUNTIF('Transect 3_imgsummary'!J37:N37,"FCA")*100/P37)</f>
        <v>0</v>
      </c>
      <c r="M37">
        <f>IF(P37=0,0,COUNTIF('Transect 3_imgsummary'!J37:N37,"CHRYS")*100/P37)</f>
        <v>0</v>
      </c>
      <c r="N37" s="29">
        <f>IF(P37=0,0,COUNTIF('Transect 3_imgsummary'!J37:N37,"T")*100/P37)</f>
        <v>20</v>
      </c>
      <c r="O37">
        <f>IF(P37=0,0,COUNTIF('Transect 3_imgsummary'!J37:N37,"TWS")*100/P37)</f>
        <v>0</v>
      </c>
      <c r="P37">
        <f>5-COUNTIF('Transect 3_imgsummary'!J37:N37,"TWS")</f>
        <v>5</v>
      </c>
      <c r="S37">
        <f>IF(P37=0,0,COUNTIF('Transect 3_imgsummary'!E37:I37,"ACAN")*100/P37)</f>
        <v>0</v>
      </c>
      <c r="T37">
        <f>IF(P37=0,0,COUNTIF('Transect 3_imgsummary'!E37:I37,"ACROP")*100/P37)</f>
        <v>0</v>
      </c>
      <c r="U37">
        <f>IF(P37=0,0,COUNTIF('Transect 3_imgsummary'!E37:I37,"ACROPARB")*100/P37)</f>
        <v>0</v>
      </c>
      <c r="V37">
        <f>IF(P37=0,0,COUNTIF('Transect 3_imgsummary'!E37:I37,"ACROST")*100/P37)</f>
        <v>0</v>
      </c>
      <c r="W37">
        <f>IF(P37=0,0,COUNTIF('Transect 3_imgsummary'!E37:I37,"ACROTBL")*100/P37)</f>
        <v>0</v>
      </c>
      <c r="X37">
        <f>IF(P37=0,0,COUNTIF('Transect 3_imgsummary'!E37:I37,"ASTRP")*100/P37)</f>
        <v>0</v>
      </c>
      <c r="Y37">
        <f>IF(P37=0,0,COUNTIF('Transect 3_imgsummary'!E37:I37,"CAUL")*100/P37)</f>
        <v>0</v>
      </c>
      <c r="Z37">
        <f>IF(P37=0,0,COUNTIF('Transect 3_imgsummary'!E37:I37,"COSC")*100/P37)</f>
        <v>0</v>
      </c>
      <c r="AA37">
        <f>IF(P37=0,0,COUNTIF('Transect 3_imgsummary'!E37:I37,"CTEN")*100/P37)</f>
        <v>0</v>
      </c>
      <c r="AB37">
        <f>IF(P37=0,0,COUNTIF('Transect 3_imgsummary'!E37:I37,"CYPH")*100/P37)</f>
        <v>0</v>
      </c>
      <c r="AC37">
        <f>IF(P37=0,0,COUNTIF('Transect 3_imgsummary'!E37:I37,"DIPLO")*100/P37)</f>
        <v>0</v>
      </c>
      <c r="AD37" s="29">
        <f>IF(P37=0,0,COUNTIF('Transect 3_imgsummary'!E37:I37,"ECHPO")*100/P37)</f>
        <v>20</v>
      </c>
      <c r="AE37">
        <f>IF(P37=0,0,COUNTIF('Transect 3_imgsummary'!E37:I37,"ECHPHY")*100/P37)</f>
        <v>0</v>
      </c>
      <c r="AF37">
        <f>IF(P37=0,0,COUNTIF('Transect 3_imgsummary'!E37:I37,"EUPH")*100/P37)</f>
        <v>0</v>
      </c>
      <c r="AG37">
        <f>IF(P37=0,0,COUNTIF('Transect 3_imgsummary'!E37:I37,"FAV")*100/P37)</f>
        <v>0</v>
      </c>
      <c r="AH37">
        <f>IF(P37=0,0,COUNTIF('Transect 3_imgsummary'!E37:I37,"FAVT")*100/P37)</f>
        <v>0</v>
      </c>
      <c r="AI37">
        <f>IF(P37=0,0,COUNTIF('Transect 3_imgsummary'!E37:I37,"FUNG")*100/P37)</f>
        <v>0</v>
      </c>
      <c r="AJ37">
        <f>IF(P37=0,0,COUNTIF('Transect 3_imgsummary'!E37:I37,"GAL")*100/P37)</f>
        <v>0</v>
      </c>
      <c r="AK37">
        <f>IF(P37=0,0,COUNTIF('Transect 3_imgsummary'!E37:I37,"GARD")*100/P37)</f>
        <v>0</v>
      </c>
      <c r="AL37">
        <f>IF(P37=0,0,COUNTIF('Transect 3_imgsummary'!E37:I37,"GON")*100/P37)</f>
        <v>0</v>
      </c>
      <c r="AM37">
        <f>IF(P37=0,0,COUNTIF('Transect 3_imgsummary'!E37:I37,"GONIO")*100/P37)</f>
        <v>0</v>
      </c>
      <c r="AN37">
        <f>IF(P37=0,0,COUNTIF('Transect 3_imgsummary'!E37:I37,"HELIO")*100/P37)</f>
        <v>0</v>
      </c>
      <c r="AO37">
        <f>IF(P37=0,0,COUNTIF('Transect 3_imgsummary'!E37:I37,"HERP")*100/P37)</f>
        <v>0</v>
      </c>
      <c r="AP37">
        <f>IF(P37=0,0,COUNTIF('Transect 3_imgsummary'!E37:I37,"HYD")*100/P37)</f>
        <v>0</v>
      </c>
      <c r="AQ37">
        <f>IF(P37=0,0,COUNTIF('Transect 3_imgsummary'!E37:I37,"ISOP")*100/P37)</f>
        <v>0</v>
      </c>
      <c r="AR37">
        <f>IF(P37=0,0,COUNTIF('Transect 3_imgsummary'!E37:I37,"LEPT")*100/P37)</f>
        <v>0</v>
      </c>
      <c r="AS37">
        <f>IF(P37=0,0,COUNTIF('Transect 3_imgsummary'!E37:I37,"LEPTOR")*100/P37)</f>
        <v>0</v>
      </c>
      <c r="AT37">
        <f>IF(P37=0,0,COUNTIF('Transect 3_imgsummary'!E37:I37,"LEPTOS")*100/P37)</f>
        <v>0</v>
      </c>
      <c r="AU37">
        <f>IF(P37=0,0,COUNTIF('Transect 3_imgsummary'!E37:I37,"LOBOPH")*100/P37)</f>
        <v>0</v>
      </c>
      <c r="AV37">
        <f>IF(P37=0,0,COUNTIF('Transect 3_imgsummary'!E37:I37,"MERU")*100/P37)</f>
        <v>0</v>
      </c>
      <c r="AW37">
        <f>IF(P37=0,0,COUNTIF('Transect 3_imgsummary'!E37:I37,"MILL")*100/P37)</f>
        <v>0</v>
      </c>
      <c r="AX37">
        <f>IF(P37=0,0,COUNTIF('Transect 3_imgsummary'!E37:I37,"MONT")*100/P37)</f>
        <v>0</v>
      </c>
      <c r="AY37">
        <f>IF(P37=0,0,COUNTIF('Transect 3_imgsummary'!E37:I37,"MONTI")*100/P37)</f>
        <v>0</v>
      </c>
      <c r="AZ37">
        <f>IF(P37=0,0,COUNTIF('Transect 3_imgsummary'!E37:I37,"MYCED")*100/P37)</f>
        <v>0</v>
      </c>
      <c r="BA37">
        <f>IF(P37=0,0,COUNTIF('Transect 3_imgsummary'!E37:I37,"OULO")*100/P37)</f>
        <v>0</v>
      </c>
      <c r="BB37">
        <f>IF(P37=0,0,COUNTIF('Transect 3_imgsummary'!E37:I37,"OXYP")*100/P37)</f>
        <v>0</v>
      </c>
      <c r="BC37">
        <f>IF(P37=0,0,COUNTIF('Transect 3_imgsummary'!E37:I37,"PLSIA")*100/P37)</f>
        <v>0</v>
      </c>
      <c r="BD37">
        <f>IF(P37=0,0,COUNTIF('Transect 3_imgsummary'!E37:I37,"PACHY")*100/P37)</f>
        <v>0</v>
      </c>
      <c r="BE37">
        <f>IF(P37=0,0,COUNTIF('Transect 3_imgsummary'!E37:I37,"PAV")*100/P37)</f>
        <v>0</v>
      </c>
      <c r="BF37">
        <f>IF(P37=0,0,COUNTIF('Transect 3_imgsummary'!E37:I37,"PECT")*100/P37)</f>
        <v>0</v>
      </c>
      <c r="BG37">
        <f>IF(P37=0,0,COUNTIF('Transect 3_imgsummary'!E37:I37,"PHYSO")*100/P37)</f>
        <v>0</v>
      </c>
      <c r="BH37">
        <f>IF(P37=0,0,COUNTIF('Transect 3_imgsummary'!E37:I37,"PLAT")*100/P37)</f>
        <v>0</v>
      </c>
      <c r="BI37">
        <f>IF(P37=0,0,COUNTIF('Transect 3_imgsummary'!E37:I37,"PLERO")*100/P37)</f>
        <v>0</v>
      </c>
      <c r="BJ37">
        <f>IF(P37=0,0,COUNTIF('Transect 3_imgsummary'!E37:I37,"POC")*100/P37)</f>
        <v>0</v>
      </c>
      <c r="BK37">
        <f>IF(P37=0,0,COUNTIF('Transect 3_imgsummary'!E37:I37,"POR")*100/P37)</f>
        <v>0</v>
      </c>
      <c r="BL37">
        <f>IF(P37=0,0,COUNTIF('Transect 3_imgsummary'!E37:I37,"PORCYL")*100/P37)</f>
        <v>0</v>
      </c>
      <c r="BM37">
        <f>IF(P37=0,0,COUNTIF('Transect 3_imgsummary'!E37:I37,"PORMAS")*100/P37)</f>
        <v>0</v>
      </c>
      <c r="BN37">
        <f>IF(P37=0,0,COUNTIF('Transect 3_imgsummary'!E37:I37,"PORRUS")*100/P37)</f>
        <v>0</v>
      </c>
      <c r="BO37">
        <f>IF(P37=0,0,COUNTIF('Transect 3_imgsummary'!E37:I37,"PSAM")*100/P37)</f>
        <v>0</v>
      </c>
      <c r="BP37">
        <f>IF(P37=0,0,COUNTIF('Transect 3_imgsummary'!E37:I37,"SANDO")*100/P37)</f>
        <v>0</v>
      </c>
      <c r="BQ37">
        <f>IF(P37=0,0,COUNTIF('Transect 3_imgsummary'!E37:I37,"SCAP")*100/P37)</f>
        <v>0</v>
      </c>
      <c r="BR37">
        <f>IF(P37=0,0,COUNTIF('Transect 3_imgsummary'!E37:I37,"SERIA")*100/P37)</f>
        <v>0</v>
      </c>
      <c r="BS37">
        <f>IF(P37=0,0,COUNTIF('Transect 3_imgsummary'!E37:I37,"STYLC")*100/P37)</f>
        <v>0</v>
      </c>
      <c r="BT37">
        <f>IF(P37=0,0,COUNTIF('Transect 3_imgsummary'!E37:I37,"STYLO")*100/P37)</f>
        <v>0</v>
      </c>
      <c r="BU37">
        <f>IF(P37=0,0,COUNTIF('Transect 3_imgsummary'!E37:I37,"SYMP")*100/P37)</f>
        <v>0</v>
      </c>
      <c r="BV37">
        <f>IF(P37=0,0,COUNTIF('Transect 3_imgsummary'!E37:I37,"TURBIN")*100/P37)</f>
        <v>0</v>
      </c>
      <c r="BX37">
        <f>IF(P37=0,0,COUNTIF('Transect 3_imgsummary'!E37:I37,"ANEM")*100/P37)</f>
        <v>0</v>
      </c>
      <c r="BY37">
        <f>IF(P37=0,0,COUNTIF('Transect 3_imgsummary'!E37:I37,"ASC")*100/P37)</f>
        <v>0</v>
      </c>
      <c r="BZ37">
        <f>IF(P37=0,0,COUNTIF('Transect 3_imgsummary'!E37:I37,"CUPS")*100/P37)</f>
        <v>0</v>
      </c>
      <c r="CA37">
        <f>IF(P37=0,0,COUNTIF('Transect 3_imgsummary'!E37:I37,"DISCO")*100/P37)</f>
        <v>0</v>
      </c>
      <c r="CB37">
        <f>IF(P37=0,0,COUNTIF('Transect 3_imgsummary'!E37:I37,"DYS")*100/P37)</f>
        <v>0</v>
      </c>
      <c r="CC37">
        <f>IF(P37=0,0,COUNTIF('Transect 3_imgsummary'!E37:I37,"G")*100/P37)</f>
        <v>0</v>
      </c>
      <c r="CD37">
        <f>IF(P37=0,0,COUNTIF('Transect 3_imgsummary'!E37:I37,"NoIDINV")*100/P37)</f>
        <v>0</v>
      </c>
      <c r="CE37">
        <f>IF(P37=0,0,COUNTIF('Transect 3_imgsummary'!E37:I37,"OLV")*100/P37)</f>
        <v>0</v>
      </c>
      <c r="CF37">
        <f>IF(P37=0,0,COUNTIF('Transect 3_imgsummary'!E37:I37,"SC")*100/P37)</f>
        <v>0</v>
      </c>
      <c r="CG37">
        <f>IF(P37=0,0,COUNTIF('Transect 3_imgsummary'!E37:I37,"S")*100/P37)</f>
        <v>0</v>
      </c>
      <c r="CH37">
        <f>IF(P37=0,0,COUNTIF('Transect 3_imgsummary'!E37:I37,"TERPS")*100/P37)</f>
        <v>0</v>
      </c>
      <c r="CI37">
        <f>IF(P37=0,0,COUNTIF('Transect 3_imgsummary'!E37:I37,"Z")*100/P37)</f>
        <v>0</v>
      </c>
      <c r="CK37">
        <f>IF(P37=0,0,COUNTIF('Transect 3_imgsummary'!E37:I37,"ASP")*100/P37)</f>
        <v>0</v>
      </c>
      <c r="CL37">
        <f>IF(P37=0,0,COUNTIF('Transect 3_imgsummary'!E37:I37,"BG")*100/P37)</f>
        <v>0</v>
      </c>
      <c r="CM37">
        <f>IF(P37=0,0,COUNTIF('Transect 3_imgsummary'!E37:I37,"Bood")*100/P37)</f>
        <v>0</v>
      </c>
      <c r="CN37">
        <f>IF(P37=0,0,COUNTIF('Transect 3_imgsummary'!E37:I37,"BRYP")*100/P37)</f>
        <v>0</v>
      </c>
      <c r="CO37">
        <f>IF(P37=0,0,COUNTIF('Transect 3_imgsummary'!E37:I37,"CLP")*100/P37)</f>
        <v>0</v>
      </c>
      <c r="CP37">
        <f>IF(P37=0,0,COUNTIF('Transect 3_imgsummary'!E37:I37,"CHLDES")*100/P37)</f>
        <v>0</v>
      </c>
      <c r="CQ37">
        <f>IF(P37=0,0,COUNTIF('Transect 3_imgsummary'!E37:I37,"DYCTY")*100/P37)</f>
        <v>0</v>
      </c>
      <c r="CR37">
        <f>IF(P37=0,0,COUNTIF('Transect 3_imgsummary'!E37:I37,"DICT")*100/P37)</f>
        <v>0</v>
      </c>
      <c r="CS37">
        <f>IF(P37=0,0,COUNTIF('Transect 3_imgsummary'!E37:I37,"GLXU")*100/P37)</f>
        <v>0</v>
      </c>
      <c r="CT37">
        <f>IF(P37=0,0,COUNTIF('Transect 3_imgsummary'!E37:I37,"HALI")*100/P37)</f>
        <v>0</v>
      </c>
      <c r="CU37">
        <f>IF(P37=0,0,COUNTIF('Transect 3_imgsummary'!E37:I37,"LIAG")*100/P37)</f>
        <v>0</v>
      </c>
      <c r="CV37">
        <f>IF(P37=0,0,COUNTIF('Transect 3_imgsummary'!E37:I37,"LOBO")*100/P37)</f>
        <v>0</v>
      </c>
      <c r="CW37">
        <f>IF(P37=0,0,COUNTIF('Transect 3_imgsummary'!E37:I37,"MAST")*100/P37)</f>
        <v>0</v>
      </c>
      <c r="CX37">
        <f>IF(P37=0,0,COUNTIF('Transect 3_imgsummary'!E37:I37,"MICDTY")*100/P37)</f>
        <v>0</v>
      </c>
      <c r="CY37">
        <f>IF(P37=0,0,COUNTIF('Transect 3_imgsummary'!E37:I37,"NEOM")*100/P37)</f>
        <v>0</v>
      </c>
      <c r="CZ37">
        <f>IF(P37=0,0,COUNTIF('Transect 3_imgsummary'!E37:I37,"NOIDMAC")*100/P37)</f>
        <v>0</v>
      </c>
      <c r="DA37">
        <f>IF(P37=0,0,COUNTIF('Transect 3_imgsummary'!E37:I37,"PAD")*100/P37)</f>
        <v>0</v>
      </c>
      <c r="DB37">
        <f>IF(P37=0,0,COUNTIF('Transect 3_imgsummary'!E37:I37,"SARG")*100/P37)</f>
        <v>0</v>
      </c>
      <c r="DC37">
        <f>IF(P37=0,0,COUNTIF('Transect 3_imgsummary'!E37:I37,"SCHIZ")*100/P37)</f>
        <v>0</v>
      </c>
      <c r="DD37">
        <f>IF(P37=0,0,COUNTIF('Transect 3_imgsummary'!E37:I37,"TURB")*100/P37)</f>
        <v>0</v>
      </c>
      <c r="DE37">
        <f>IF(P37=0,0,COUNTIF('Transect 3_imgsummary'!E37:I37,"TYDM")*100/P37)</f>
        <v>0</v>
      </c>
      <c r="DG37">
        <f>IF(P37=0,0,COUNTIF('Transect 3_imgsummary'!E37:I37,"AMP")*100/P37)</f>
        <v>0</v>
      </c>
      <c r="DH37">
        <f>IF(P37=0,0,COUNTIF('Transect 3_imgsummary'!E37:I37,"BCA1")*100/P37)</f>
        <v>0</v>
      </c>
      <c r="DI37">
        <f>IF(P37=0,0,COUNTIF('Transect 3_imgsummary'!E37:I37,"JAN")*100/P37)</f>
        <v>0</v>
      </c>
      <c r="DK37" s="29">
        <f>IF(P37=0,0,COUNTIF('Transect 3_imgsummary'!E37:I37,"CCA1")*100/P37)</f>
        <v>60</v>
      </c>
      <c r="DM37">
        <f>IF(P37=0,0,COUNTIF('Transect 3_imgsummary'!E37:I37,"Sand")*100/P37)</f>
        <v>0</v>
      </c>
      <c r="DO37">
        <f>IF(P37=0,0,COUNTIF('Transect 3_imgsummary'!E37:I37,"FCA1")*100/P37)</f>
        <v>0</v>
      </c>
      <c r="DQ37">
        <f>IF(P37=0,0,COUNTIF('Transect 3_imgsummary'!E37:I37,"CHRYOBRN")*100/P37)</f>
        <v>0</v>
      </c>
      <c r="DS37" s="29">
        <f>IF(P37=0,0,COUNTIF('Transect 3_imgsummary'!E37:I37,"TURF")*100/P37)</f>
        <v>20</v>
      </c>
      <c r="DU37">
        <f>COUNTIF('Transect 3_imgsummary'!E37:I37,"Shadow")*100/5</f>
        <v>0</v>
      </c>
      <c r="DV37">
        <f>COUNTIF('Transect 3_imgsummary'!E37:I37,"Tape")*100/5</f>
        <v>0</v>
      </c>
      <c r="DW37">
        <f>COUNTIF('Transect 3_imgsummary'!E37:I37,"Wand")*100/5</f>
        <v>0</v>
      </c>
      <c r="DY37">
        <f>IF(P37=0,0,COUNTIF('Transect 3_imgsummary'!O37:S37,"BC")*100/P37)</f>
        <v>0</v>
      </c>
    </row>
    <row r="38" spans="1:129">
      <c r="A38">
        <v>36</v>
      </c>
      <c r="B38" t="s">
        <v>525</v>
      </c>
      <c r="F38" s="29">
        <f>IF(P38=0,0,COUNTIF('Transect 3_imgsummary'!J38:N38,"C")*100/P38)</f>
        <v>20</v>
      </c>
      <c r="G38">
        <f>IF(P38=0,0,COUNTIF('Transect 3_imgsummary'!J38:N38,"OI")*100/P38)</f>
        <v>0</v>
      </c>
      <c r="H38">
        <f>IF(P38=0,0,COUNTIF('Transect 3_imgsummary'!J38:N38,"MA")*100/P38)</f>
        <v>0</v>
      </c>
      <c r="I38">
        <f>IF(P38=0,0,COUNTIF('Transect 3_imgsummary'!J38:N38,"BCA")*100/P38)</f>
        <v>0</v>
      </c>
      <c r="J38" s="29">
        <f>IF(P38=0,0,COUNTIF('Transect 3_imgsummary'!J38:N38,"CCA")*100/P38)</f>
        <v>80</v>
      </c>
      <c r="K38">
        <f>IF(P38=0,0,COUNTIF('Transect 3_imgsummary'!J38:N38,"SD")*100/P38)</f>
        <v>0</v>
      </c>
      <c r="L38">
        <f>IF(P38=0,0,COUNTIF('Transect 3_imgsummary'!J38:N38,"FCA")*100/P38)</f>
        <v>0</v>
      </c>
      <c r="M38">
        <f>IF(P38=0,0,COUNTIF('Transect 3_imgsummary'!J38:N38,"CHRYS")*100/P38)</f>
        <v>0</v>
      </c>
      <c r="N38">
        <f>IF(P38=0,0,COUNTIF('Transect 3_imgsummary'!J38:N38,"T")*100/P38)</f>
        <v>0</v>
      </c>
      <c r="O38">
        <f>IF(P38=0,0,COUNTIF('Transect 3_imgsummary'!J38:N38,"TWS")*100/P38)</f>
        <v>0</v>
      </c>
      <c r="P38">
        <f>5-COUNTIF('Transect 3_imgsummary'!J38:N38,"TWS")</f>
        <v>5</v>
      </c>
      <c r="S38">
        <f>IF(P38=0,0,COUNTIF('Transect 3_imgsummary'!E38:I38,"ACAN")*100/P38)</f>
        <v>0</v>
      </c>
      <c r="T38">
        <f>IF(P38=0,0,COUNTIF('Transect 3_imgsummary'!E38:I38,"ACROP")*100/P38)</f>
        <v>0</v>
      </c>
      <c r="U38">
        <f>IF(P38=0,0,COUNTIF('Transect 3_imgsummary'!E38:I38,"ACROPARB")*100/P38)</f>
        <v>0</v>
      </c>
      <c r="V38">
        <f>IF(P38=0,0,COUNTIF('Transect 3_imgsummary'!E38:I38,"ACROST")*100/P38)</f>
        <v>0</v>
      </c>
      <c r="W38">
        <f>IF(P38=0,0,COUNTIF('Transect 3_imgsummary'!E38:I38,"ACROTBL")*100/P38)</f>
        <v>0</v>
      </c>
      <c r="X38">
        <f>IF(P38=0,0,COUNTIF('Transect 3_imgsummary'!E38:I38,"ASTRP")*100/P38)</f>
        <v>0</v>
      </c>
      <c r="Y38">
        <f>IF(P38=0,0,COUNTIF('Transect 3_imgsummary'!E38:I38,"CAUL")*100/P38)</f>
        <v>0</v>
      </c>
      <c r="Z38">
        <f>IF(P38=0,0,COUNTIF('Transect 3_imgsummary'!E38:I38,"COSC")*100/P38)</f>
        <v>0</v>
      </c>
      <c r="AA38">
        <f>IF(P38=0,0,COUNTIF('Transect 3_imgsummary'!E38:I38,"CTEN")*100/P38)</f>
        <v>0</v>
      </c>
      <c r="AB38">
        <f>IF(P38=0,0,COUNTIF('Transect 3_imgsummary'!E38:I38,"CYPH")*100/P38)</f>
        <v>0</v>
      </c>
      <c r="AC38">
        <f>IF(P38=0,0,COUNTIF('Transect 3_imgsummary'!E38:I38,"DIPLO")*100/P38)</f>
        <v>0</v>
      </c>
      <c r="AD38">
        <f>IF(P38=0,0,COUNTIF('Transect 3_imgsummary'!E38:I38,"ECHPO")*100/P38)</f>
        <v>0</v>
      </c>
      <c r="AE38">
        <f>IF(P38=0,0,COUNTIF('Transect 3_imgsummary'!E38:I38,"ECHPHY")*100/P38)</f>
        <v>0</v>
      </c>
      <c r="AF38">
        <f>IF(P38=0,0,COUNTIF('Transect 3_imgsummary'!E38:I38,"EUPH")*100/P38)</f>
        <v>0</v>
      </c>
      <c r="AG38">
        <f>IF(P38=0,0,COUNTIF('Transect 3_imgsummary'!E38:I38,"FAV")*100/P38)</f>
        <v>0</v>
      </c>
      <c r="AH38">
        <f>IF(P38=0,0,COUNTIF('Transect 3_imgsummary'!E38:I38,"FAVT")*100/P38)</f>
        <v>0</v>
      </c>
      <c r="AI38">
        <f>IF(P38=0,0,COUNTIF('Transect 3_imgsummary'!E38:I38,"FUNG")*100/P38)</f>
        <v>0</v>
      </c>
      <c r="AJ38">
        <f>IF(P38=0,0,COUNTIF('Transect 3_imgsummary'!E38:I38,"GAL")*100/P38)</f>
        <v>0</v>
      </c>
      <c r="AK38">
        <f>IF(P38=0,0,COUNTIF('Transect 3_imgsummary'!E38:I38,"GARD")*100/P38)</f>
        <v>0</v>
      </c>
      <c r="AL38">
        <f>IF(P38=0,0,COUNTIF('Transect 3_imgsummary'!E38:I38,"GON")*100/P38)</f>
        <v>0</v>
      </c>
      <c r="AM38">
        <f>IF(P38=0,0,COUNTIF('Transect 3_imgsummary'!E38:I38,"GONIO")*100/P38)</f>
        <v>0</v>
      </c>
      <c r="AN38">
        <f>IF(P38=0,0,COUNTIF('Transect 3_imgsummary'!E38:I38,"HELIO")*100/P38)</f>
        <v>0</v>
      </c>
      <c r="AO38">
        <f>IF(P38=0,0,COUNTIF('Transect 3_imgsummary'!E38:I38,"HERP")*100/P38)</f>
        <v>0</v>
      </c>
      <c r="AP38">
        <f>IF(P38=0,0,COUNTIF('Transect 3_imgsummary'!E38:I38,"HYD")*100/P38)</f>
        <v>0</v>
      </c>
      <c r="AQ38">
        <f>IF(P38=0,0,COUNTIF('Transect 3_imgsummary'!E38:I38,"ISOP")*100/P38)</f>
        <v>0</v>
      </c>
      <c r="AR38">
        <f>IF(P38=0,0,COUNTIF('Transect 3_imgsummary'!E38:I38,"LEPT")*100/P38)</f>
        <v>0</v>
      </c>
      <c r="AS38" s="29">
        <f>IF(P38=0,0,COUNTIF('Transect 3_imgsummary'!E38:I38,"LEPTOR")*100/P38)</f>
        <v>20</v>
      </c>
      <c r="AT38">
        <f>IF(P38=0,0,COUNTIF('Transect 3_imgsummary'!E38:I38,"LEPTOS")*100/P38)</f>
        <v>0</v>
      </c>
      <c r="AU38">
        <f>IF(P38=0,0,COUNTIF('Transect 3_imgsummary'!E38:I38,"LOBOPH")*100/P38)</f>
        <v>0</v>
      </c>
      <c r="AV38">
        <f>IF(P38=0,0,COUNTIF('Transect 3_imgsummary'!E38:I38,"MERU")*100/P38)</f>
        <v>0</v>
      </c>
      <c r="AW38">
        <f>IF(P38=0,0,COUNTIF('Transect 3_imgsummary'!E38:I38,"MILL")*100/P38)</f>
        <v>0</v>
      </c>
      <c r="AX38">
        <f>IF(P38=0,0,COUNTIF('Transect 3_imgsummary'!E38:I38,"MONT")*100/P38)</f>
        <v>0</v>
      </c>
      <c r="AY38">
        <f>IF(P38=0,0,COUNTIF('Transect 3_imgsummary'!E38:I38,"MONTI")*100/P38)</f>
        <v>0</v>
      </c>
      <c r="AZ38">
        <f>IF(P38=0,0,COUNTIF('Transect 3_imgsummary'!E38:I38,"MYCED")*100/P38)</f>
        <v>0</v>
      </c>
      <c r="BA38">
        <f>IF(P38=0,0,COUNTIF('Transect 3_imgsummary'!E38:I38,"OULO")*100/P38)</f>
        <v>0</v>
      </c>
      <c r="BB38">
        <f>IF(P38=0,0,COUNTIF('Transect 3_imgsummary'!E38:I38,"OXYP")*100/P38)</f>
        <v>0</v>
      </c>
      <c r="BC38">
        <f>IF(P38=0,0,COUNTIF('Transect 3_imgsummary'!E38:I38,"PLSIA")*100/P38)</f>
        <v>0</v>
      </c>
      <c r="BD38">
        <f>IF(P38=0,0,COUNTIF('Transect 3_imgsummary'!E38:I38,"PACHY")*100/P38)</f>
        <v>0</v>
      </c>
      <c r="BE38">
        <f>IF(P38=0,0,COUNTIF('Transect 3_imgsummary'!E38:I38,"PAV")*100/P38)</f>
        <v>0</v>
      </c>
      <c r="BF38">
        <f>IF(P38=0,0,COUNTIF('Transect 3_imgsummary'!E38:I38,"PECT")*100/P38)</f>
        <v>0</v>
      </c>
      <c r="BG38">
        <f>IF(P38=0,0,COUNTIF('Transect 3_imgsummary'!E38:I38,"PHYSO")*100/P38)</f>
        <v>0</v>
      </c>
      <c r="BH38">
        <f>IF(P38=0,0,COUNTIF('Transect 3_imgsummary'!E38:I38,"PLAT")*100/P38)</f>
        <v>0</v>
      </c>
      <c r="BI38">
        <f>IF(P38=0,0,COUNTIF('Transect 3_imgsummary'!E38:I38,"PLERO")*100/P38)</f>
        <v>0</v>
      </c>
      <c r="BJ38">
        <f>IF(P38=0,0,COUNTIF('Transect 3_imgsummary'!E38:I38,"POC")*100/P38)</f>
        <v>0</v>
      </c>
      <c r="BK38">
        <f>IF(P38=0,0,COUNTIF('Transect 3_imgsummary'!E38:I38,"POR")*100/P38)</f>
        <v>0</v>
      </c>
      <c r="BL38">
        <f>IF(P38=0,0,COUNTIF('Transect 3_imgsummary'!E38:I38,"PORCYL")*100/P38)</f>
        <v>0</v>
      </c>
      <c r="BM38">
        <f>IF(P38=0,0,COUNTIF('Transect 3_imgsummary'!E38:I38,"PORMAS")*100/P38)</f>
        <v>0</v>
      </c>
      <c r="BN38">
        <f>IF(P38=0,0,COUNTIF('Transect 3_imgsummary'!E38:I38,"PORRUS")*100/P38)</f>
        <v>0</v>
      </c>
      <c r="BO38">
        <f>IF(P38=0,0,COUNTIF('Transect 3_imgsummary'!E38:I38,"PSAM")*100/P38)</f>
        <v>0</v>
      </c>
      <c r="BP38">
        <f>IF(P38=0,0,COUNTIF('Transect 3_imgsummary'!E38:I38,"SANDO")*100/P38)</f>
        <v>0</v>
      </c>
      <c r="BQ38">
        <f>IF(P38=0,0,COUNTIF('Transect 3_imgsummary'!E38:I38,"SCAP")*100/P38)</f>
        <v>0</v>
      </c>
      <c r="BR38">
        <f>IF(P38=0,0,COUNTIF('Transect 3_imgsummary'!E38:I38,"SERIA")*100/P38)</f>
        <v>0</v>
      </c>
      <c r="BS38">
        <f>IF(P38=0,0,COUNTIF('Transect 3_imgsummary'!E38:I38,"STYLC")*100/P38)</f>
        <v>0</v>
      </c>
      <c r="BT38">
        <f>IF(P38=0,0,COUNTIF('Transect 3_imgsummary'!E38:I38,"STYLO")*100/P38)</f>
        <v>0</v>
      </c>
      <c r="BU38">
        <f>IF(P38=0,0,COUNTIF('Transect 3_imgsummary'!E38:I38,"SYMP")*100/P38)</f>
        <v>0</v>
      </c>
      <c r="BV38">
        <f>IF(P38=0,0,COUNTIF('Transect 3_imgsummary'!E38:I38,"TURBIN")*100/P38)</f>
        <v>0</v>
      </c>
      <c r="BX38">
        <f>IF(P38=0,0,COUNTIF('Transect 3_imgsummary'!E38:I38,"ANEM")*100/P38)</f>
        <v>0</v>
      </c>
      <c r="BY38">
        <f>IF(P38=0,0,COUNTIF('Transect 3_imgsummary'!E38:I38,"ASC")*100/P38)</f>
        <v>0</v>
      </c>
      <c r="BZ38">
        <f>IF(P38=0,0,COUNTIF('Transect 3_imgsummary'!E38:I38,"CUPS")*100/P38)</f>
        <v>0</v>
      </c>
      <c r="CA38">
        <f>IF(P38=0,0,COUNTIF('Transect 3_imgsummary'!E38:I38,"DISCO")*100/P38)</f>
        <v>0</v>
      </c>
      <c r="CB38">
        <f>IF(P38=0,0,COUNTIF('Transect 3_imgsummary'!E38:I38,"DYS")*100/P38)</f>
        <v>0</v>
      </c>
      <c r="CC38">
        <f>IF(P38=0,0,COUNTIF('Transect 3_imgsummary'!E38:I38,"G")*100/P38)</f>
        <v>0</v>
      </c>
      <c r="CD38">
        <f>IF(P38=0,0,COUNTIF('Transect 3_imgsummary'!E38:I38,"NoIDINV")*100/P38)</f>
        <v>0</v>
      </c>
      <c r="CE38">
        <f>IF(P38=0,0,COUNTIF('Transect 3_imgsummary'!E38:I38,"OLV")*100/P38)</f>
        <v>0</v>
      </c>
      <c r="CF38">
        <f>IF(P38=0,0,COUNTIF('Transect 3_imgsummary'!E38:I38,"SC")*100/P38)</f>
        <v>0</v>
      </c>
      <c r="CG38">
        <f>IF(P38=0,0,COUNTIF('Transect 3_imgsummary'!E38:I38,"S")*100/P38)</f>
        <v>0</v>
      </c>
      <c r="CH38">
        <f>IF(P38=0,0,COUNTIF('Transect 3_imgsummary'!E38:I38,"TERPS")*100/P38)</f>
        <v>0</v>
      </c>
      <c r="CI38">
        <f>IF(P38=0,0,COUNTIF('Transect 3_imgsummary'!E38:I38,"Z")*100/P38)</f>
        <v>0</v>
      </c>
      <c r="CK38">
        <f>IF(P38=0,0,COUNTIF('Transect 3_imgsummary'!E38:I38,"ASP")*100/P38)</f>
        <v>0</v>
      </c>
      <c r="CL38">
        <f>IF(P38=0,0,COUNTIF('Transect 3_imgsummary'!E38:I38,"BG")*100/P38)</f>
        <v>0</v>
      </c>
      <c r="CM38">
        <f>IF(P38=0,0,COUNTIF('Transect 3_imgsummary'!E38:I38,"Bood")*100/P38)</f>
        <v>0</v>
      </c>
      <c r="CN38">
        <f>IF(P38=0,0,COUNTIF('Transect 3_imgsummary'!E38:I38,"BRYP")*100/P38)</f>
        <v>0</v>
      </c>
      <c r="CO38">
        <f>IF(P38=0,0,COUNTIF('Transect 3_imgsummary'!E38:I38,"CLP")*100/P38)</f>
        <v>0</v>
      </c>
      <c r="CP38">
        <f>IF(P38=0,0,COUNTIF('Transect 3_imgsummary'!E38:I38,"CHLDES")*100/P38)</f>
        <v>0</v>
      </c>
      <c r="CQ38">
        <f>IF(P38=0,0,COUNTIF('Transect 3_imgsummary'!E38:I38,"DYCTY")*100/P38)</f>
        <v>0</v>
      </c>
      <c r="CR38">
        <f>IF(P38=0,0,COUNTIF('Transect 3_imgsummary'!E38:I38,"DICT")*100/P38)</f>
        <v>0</v>
      </c>
      <c r="CS38">
        <f>IF(P38=0,0,COUNTIF('Transect 3_imgsummary'!E38:I38,"GLXU")*100/P38)</f>
        <v>0</v>
      </c>
      <c r="CT38">
        <f>IF(P38=0,0,COUNTIF('Transect 3_imgsummary'!E38:I38,"HALI")*100/P38)</f>
        <v>0</v>
      </c>
      <c r="CU38">
        <f>IF(P38=0,0,COUNTIF('Transect 3_imgsummary'!E38:I38,"LIAG")*100/P38)</f>
        <v>0</v>
      </c>
      <c r="CV38">
        <f>IF(P38=0,0,COUNTIF('Transect 3_imgsummary'!E38:I38,"LOBO")*100/P38)</f>
        <v>0</v>
      </c>
      <c r="CW38">
        <f>IF(P38=0,0,COUNTIF('Transect 3_imgsummary'!E38:I38,"MAST")*100/P38)</f>
        <v>0</v>
      </c>
      <c r="CX38">
        <f>IF(P38=0,0,COUNTIF('Transect 3_imgsummary'!E38:I38,"MICDTY")*100/P38)</f>
        <v>0</v>
      </c>
      <c r="CY38">
        <f>IF(P38=0,0,COUNTIF('Transect 3_imgsummary'!E38:I38,"NEOM")*100/P38)</f>
        <v>0</v>
      </c>
      <c r="CZ38">
        <f>IF(P38=0,0,COUNTIF('Transect 3_imgsummary'!E38:I38,"NOIDMAC")*100/P38)</f>
        <v>0</v>
      </c>
      <c r="DA38">
        <f>IF(P38=0,0,COUNTIF('Transect 3_imgsummary'!E38:I38,"PAD")*100/P38)</f>
        <v>0</v>
      </c>
      <c r="DB38">
        <f>IF(P38=0,0,COUNTIF('Transect 3_imgsummary'!E38:I38,"SARG")*100/P38)</f>
        <v>0</v>
      </c>
      <c r="DC38">
        <f>IF(P38=0,0,COUNTIF('Transect 3_imgsummary'!E38:I38,"SCHIZ")*100/P38)</f>
        <v>0</v>
      </c>
      <c r="DD38">
        <f>IF(P38=0,0,COUNTIF('Transect 3_imgsummary'!E38:I38,"TURB")*100/P38)</f>
        <v>0</v>
      </c>
      <c r="DE38">
        <f>IF(P38=0,0,COUNTIF('Transect 3_imgsummary'!E38:I38,"TYDM")*100/P38)</f>
        <v>0</v>
      </c>
      <c r="DG38">
        <f>IF(P38=0,0,COUNTIF('Transect 3_imgsummary'!E38:I38,"AMP")*100/P38)</f>
        <v>0</v>
      </c>
      <c r="DH38">
        <f>IF(P38=0,0,COUNTIF('Transect 3_imgsummary'!E38:I38,"BCA1")*100/P38)</f>
        <v>0</v>
      </c>
      <c r="DI38">
        <f>IF(P38=0,0,COUNTIF('Transect 3_imgsummary'!E38:I38,"JAN")*100/P38)</f>
        <v>0</v>
      </c>
      <c r="DK38" s="29">
        <f>IF(P38=0,0,COUNTIF('Transect 3_imgsummary'!E38:I38,"CCA1")*100/P38)</f>
        <v>80</v>
      </c>
      <c r="DM38">
        <f>IF(P38=0,0,COUNTIF('Transect 3_imgsummary'!E38:I38,"Sand")*100/P38)</f>
        <v>0</v>
      </c>
      <c r="DO38">
        <f>IF(P38=0,0,COUNTIF('Transect 3_imgsummary'!E38:I38,"FCA1")*100/P38)</f>
        <v>0</v>
      </c>
      <c r="DQ38">
        <f>IF(P38=0,0,COUNTIF('Transect 3_imgsummary'!E38:I38,"CHRYOBRN")*100/P38)</f>
        <v>0</v>
      </c>
      <c r="DS38">
        <f>IF(P38=0,0,COUNTIF('Transect 3_imgsummary'!E38:I38,"TURF")*100/P38)</f>
        <v>0</v>
      </c>
      <c r="DU38">
        <f>COUNTIF('Transect 3_imgsummary'!E38:I38,"Shadow")*100/5</f>
        <v>0</v>
      </c>
      <c r="DV38">
        <f>COUNTIF('Transect 3_imgsummary'!E38:I38,"Tape")*100/5</f>
        <v>0</v>
      </c>
      <c r="DW38">
        <f>COUNTIF('Transect 3_imgsummary'!E38:I38,"Wand")*100/5</f>
        <v>0</v>
      </c>
      <c r="DY38">
        <f>IF(P38=0,0,COUNTIF('Transect 3_imgsummary'!O38:S38,"BC")*100/P38)</f>
        <v>0</v>
      </c>
    </row>
    <row r="39" spans="1:129">
      <c r="A39">
        <v>37</v>
      </c>
      <c r="B39" t="s">
        <v>526</v>
      </c>
      <c r="F39" s="29">
        <f>IF(P39=0,0,COUNTIF('Transect 3_imgsummary'!J39:N39,"C")*100/P39)</f>
        <v>80</v>
      </c>
      <c r="G39">
        <f>IF(P39=0,0,COUNTIF('Transect 3_imgsummary'!J39:N39,"OI")*100/P39)</f>
        <v>0</v>
      </c>
      <c r="H39">
        <f>IF(P39=0,0,COUNTIF('Transect 3_imgsummary'!J39:N39,"MA")*100/P39)</f>
        <v>0</v>
      </c>
      <c r="I39">
        <f>IF(P39=0,0,COUNTIF('Transect 3_imgsummary'!J39:N39,"BCA")*100/P39)</f>
        <v>0</v>
      </c>
      <c r="J39" s="29">
        <f>IF(P39=0,0,COUNTIF('Transect 3_imgsummary'!J39:N39,"CCA")*100/P39)</f>
        <v>20</v>
      </c>
      <c r="K39">
        <f>IF(P39=0,0,COUNTIF('Transect 3_imgsummary'!J39:N39,"SD")*100/P39)</f>
        <v>0</v>
      </c>
      <c r="L39">
        <f>IF(P39=0,0,COUNTIF('Transect 3_imgsummary'!J39:N39,"FCA")*100/P39)</f>
        <v>0</v>
      </c>
      <c r="M39">
        <f>IF(P39=0,0,COUNTIF('Transect 3_imgsummary'!J39:N39,"CHRYS")*100/P39)</f>
        <v>0</v>
      </c>
      <c r="N39">
        <f>IF(P39=0,0,COUNTIF('Transect 3_imgsummary'!J39:N39,"T")*100/P39)</f>
        <v>0</v>
      </c>
      <c r="O39">
        <f>IF(P39=0,0,COUNTIF('Transect 3_imgsummary'!J39:N39,"TWS")*100/P39)</f>
        <v>0</v>
      </c>
      <c r="P39">
        <f>5-COUNTIF('Transect 3_imgsummary'!J39:N39,"TWS")</f>
        <v>5</v>
      </c>
      <c r="S39">
        <f>IF(P39=0,0,COUNTIF('Transect 3_imgsummary'!E39:I39,"ACAN")*100/P39)</f>
        <v>0</v>
      </c>
      <c r="T39">
        <f>IF(P39=0,0,COUNTIF('Transect 3_imgsummary'!E39:I39,"ACROP")*100/P39)</f>
        <v>0</v>
      </c>
      <c r="U39">
        <f>IF(P39=0,0,COUNTIF('Transect 3_imgsummary'!E39:I39,"ACROPARB")*100/P39)</f>
        <v>0</v>
      </c>
      <c r="V39">
        <f>IF(P39=0,0,COUNTIF('Transect 3_imgsummary'!E39:I39,"ACROST")*100/P39)</f>
        <v>0</v>
      </c>
      <c r="W39" s="29">
        <f>IF(P39=0,0,COUNTIF('Transect 3_imgsummary'!E39:I39,"ACROTBL")*100/P39)</f>
        <v>40</v>
      </c>
      <c r="X39">
        <f>IF(P39=0,0,COUNTIF('Transect 3_imgsummary'!E39:I39,"ASTRP")*100/P39)</f>
        <v>0</v>
      </c>
      <c r="Y39">
        <f>IF(P39=0,0,COUNTIF('Transect 3_imgsummary'!E39:I39,"CAUL")*100/P39)</f>
        <v>0</v>
      </c>
      <c r="Z39">
        <f>IF(P39=0,0,COUNTIF('Transect 3_imgsummary'!E39:I39,"COSC")*100/P39)</f>
        <v>0</v>
      </c>
      <c r="AA39">
        <f>IF(P39=0,0,COUNTIF('Transect 3_imgsummary'!E39:I39,"CTEN")*100/P39)</f>
        <v>0</v>
      </c>
      <c r="AB39">
        <f>IF(P39=0,0,COUNTIF('Transect 3_imgsummary'!E39:I39,"CYPH")*100/P39)</f>
        <v>0</v>
      </c>
      <c r="AC39">
        <f>IF(P39=0,0,COUNTIF('Transect 3_imgsummary'!E39:I39,"DIPLO")*100/P39)</f>
        <v>0</v>
      </c>
      <c r="AD39" s="29">
        <f>IF(P39=0,0,COUNTIF('Transect 3_imgsummary'!E39:I39,"ECHPO")*100/P39)</f>
        <v>20</v>
      </c>
      <c r="AE39">
        <f>IF(P39=0,0,COUNTIF('Transect 3_imgsummary'!E39:I39,"ECHPHY")*100/P39)</f>
        <v>0</v>
      </c>
      <c r="AF39">
        <f>IF(P39=0,0,COUNTIF('Transect 3_imgsummary'!E39:I39,"EUPH")*100/P39)</f>
        <v>0</v>
      </c>
      <c r="AG39">
        <f>IF(P39=0,0,COUNTIF('Transect 3_imgsummary'!E39:I39,"FAV")*100/P39)</f>
        <v>0</v>
      </c>
      <c r="AH39">
        <f>IF(P39=0,0,COUNTIF('Transect 3_imgsummary'!E39:I39,"FAVT")*100/P39)</f>
        <v>0</v>
      </c>
      <c r="AI39">
        <f>IF(P39=0,0,COUNTIF('Transect 3_imgsummary'!E39:I39,"FUNG")*100/P39)</f>
        <v>0</v>
      </c>
      <c r="AJ39">
        <f>IF(P39=0,0,COUNTIF('Transect 3_imgsummary'!E39:I39,"GAL")*100/P39)</f>
        <v>0</v>
      </c>
      <c r="AK39">
        <f>IF(P39=0,0,COUNTIF('Transect 3_imgsummary'!E39:I39,"GARD")*100/P39)</f>
        <v>0</v>
      </c>
      <c r="AL39">
        <f>IF(P39=0,0,COUNTIF('Transect 3_imgsummary'!E39:I39,"GON")*100/P39)</f>
        <v>0</v>
      </c>
      <c r="AM39">
        <f>IF(P39=0,0,COUNTIF('Transect 3_imgsummary'!E39:I39,"GONIO")*100/P39)</f>
        <v>0</v>
      </c>
      <c r="AN39">
        <f>IF(P39=0,0,COUNTIF('Transect 3_imgsummary'!E39:I39,"HELIO")*100/P39)</f>
        <v>0</v>
      </c>
      <c r="AO39">
        <f>IF(P39=0,0,COUNTIF('Transect 3_imgsummary'!E39:I39,"HERP")*100/P39)</f>
        <v>0</v>
      </c>
      <c r="AP39">
        <f>IF(P39=0,0,COUNTIF('Transect 3_imgsummary'!E39:I39,"HYD")*100/P39)</f>
        <v>0</v>
      </c>
      <c r="AQ39">
        <f>IF(P39=0,0,COUNTIF('Transect 3_imgsummary'!E39:I39,"ISOP")*100/P39)</f>
        <v>0</v>
      </c>
      <c r="AR39">
        <f>IF(P39=0,0,COUNTIF('Transect 3_imgsummary'!E39:I39,"LEPT")*100/P39)</f>
        <v>0</v>
      </c>
      <c r="AS39">
        <f>IF(P39=0,0,COUNTIF('Transect 3_imgsummary'!E39:I39,"LEPTOR")*100/P39)</f>
        <v>0</v>
      </c>
      <c r="AT39">
        <f>IF(P39=0,0,COUNTIF('Transect 3_imgsummary'!E39:I39,"LEPTOS")*100/P39)</f>
        <v>0</v>
      </c>
      <c r="AU39">
        <f>IF(P39=0,0,COUNTIF('Transect 3_imgsummary'!E39:I39,"LOBOPH")*100/P39)</f>
        <v>0</v>
      </c>
      <c r="AV39">
        <f>IF(P39=0,0,COUNTIF('Transect 3_imgsummary'!E39:I39,"MERU")*100/P39)</f>
        <v>0</v>
      </c>
      <c r="AW39">
        <f>IF(P39=0,0,COUNTIF('Transect 3_imgsummary'!E39:I39,"MILL")*100/P39)</f>
        <v>0</v>
      </c>
      <c r="AX39">
        <f>IF(P39=0,0,COUNTIF('Transect 3_imgsummary'!E39:I39,"MONT")*100/P39)</f>
        <v>0</v>
      </c>
      <c r="AY39">
        <f>IF(P39=0,0,COUNTIF('Transect 3_imgsummary'!E39:I39,"MONTI")*100/P39)</f>
        <v>0</v>
      </c>
      <c r="AZ39">
        <f>IF(P39=0,0,COUNTIF('Transect 3_imgsummary'!E39:I39,"MYCED")*100/P39)</f>
        <v>0</v>
      </c>
      <c r="BA39">
        <f>IF(P39=0,0,COUNTIF('Transect 3_imgsummary'!E39:I39,"OULO")*100/P39)</f>
        <v>0</v>
      </c>
      <c r="BB39">
        <f>IF(P39=0,0,COUNTIF('Transect 3_imgsummary'!E39:I39,"OXYP")*100/P39)</f>
        <v>0</v>
      </c>
      <c r="BC39">
        <f>IF(P39=0,0,COUNTIF('Transect 3_imgsummary'!E39:I39,"PLSIA")*100/P39)</f>
        <v>0</v>
      </c>
      <c r="BD39">
        <f>IF(P39=0,0,COUNTIF('Transect 3_imgsummary'!E39:I39,"PACHY")*100/P39)</f>
        <v>0</v>
      </c>
      <c r="BE39">
        <f>IF(P39=0,0,COUNTIF('Transect 3_imgsummary'!E39:I39,"PAV")*100/P39)</f>
        <v>0</v>
      </c>
      <c r="BF39">
        <f>IF(P39=0,0,COUNTIF('Transect 3_imgsummary'!E39:I39,"PECT")*100/P39)</f>
        <v>0</v>
      </c>
      <c r="BG39">
        <f>IF(P39=0,0,COUNTIF('Transect 3_imgsummary'!E39:I39,"PHYSO")*100/P39)</f>
        <v>0</v>
      </c>
      <c r="BH39">
        <f>IF(P39=0,0,COUNTIF('Transect 3_imgsummary'!E39:I39,"PLAT")*100/P39)</f>
        <v>0</v>
      </c>
      <c r="BI39">
        <f>IF(P39=0,0,COUNTIF('Transect 3_imgsummary'!E39:I39,"PLERO")*100/P39)</f>
        <v>0</v>
      </c>
      <c r="BJ39">
        <f>IF(P39=0,0,COUNTIF('Transect 3_imgsummary'!E39:I39,"POC")*100/P39)</f>
        <v>0</v>
      </c>
      <c r="BK39">
        <f>IF(P39=0,0,COUNTIF('Transect 3_imgsummary'!E39:I39,"POR")*100/P39)</f>
        <v>0</v>
      </c>
      <c r="BL39">
        <f>IF(P39=0,0,COUNTIF('Transect 3_imgsummary'!E39:I39,"PORCYL")*100/P39)</f>
        <v>0</v>
      </c>
      <c r="BM39">
        <f>IF(P39=0,0,COUNTIF('Transect 3_imgsummary'!E39:I39,"PORMAS")*100/P39)</f>
        <v>0</v>
      </c>
      <c r="BN39">
        <f>IF(P39=0,0,COUNTIF('Transect 3_imgsummary'!E39:I39,"PORRUS")*100/P39)</f>
        <v>0</v>
      </c>
      <c r="BO39">
        <f>IF(P39=0,0,COUNTIF('Transect 3_imgsummary'!E39:I39,"PSAM")*100/P39)</f>
        <v>0</v>
      </c>
      <c r="BP39">
        <f>IF(P39=0,0,COUNTIF('Transect 3_imgsummary'!E39:I39,"SANDO")*100/P39)</f>
        <v>0</v>
      </c>
      <c r="BQ39">
        <f>IF(P39=0,0,COUNTIF('Transect 3_imgsummary'!E39:I39,"SCAP")*100/P39)</f>
        <v>0</v>
      </c>
      <c r="BR39">
        <f>IF(P39=0,0,COUNTIF('Transect 3_imgsummary'!E39:I39,"SERIA")*100/P39)</f>
        <v>0</v>
      </c>
      <c r="BS39">
        <f>IF(P39=0,0,COUNTIF('Transect 3_imgsummary'!E39:I39,"STYLC")*100/P39)</f>
        <v>0</v>
      </c>
      <c r="BT39" s="29">
        <f>IF(P39=0,0,COUNTIF('Transect 3_imgsummary'!E39:I39,"STYLO")*100/P39)</f>
        <v>20</v>
      </c>
      <c r="BU39">
        <f>IF(P39=0,0,COUNTIF('Transect 3_imgsummary'!E39:I39,"SYMP")*100/P39)</f>
        <v>0</v>
      </c>
      <c r="BV39">
        <f>IF(P39=0,0,COUNTIF('Transect 3_imgsummary'!E39:I39,"TURBIN")*100/P39)</f>
        <v>0</v>
      </c>
      <c r="BX39">
        <f>IF(P39=0,0,COUNTIF('Transect 3_imgsummary'!E39:I39,"ANEM")*100/P39)</f>
        <v>0</v>
      </c>
      <c r="BY39">
        <f>IF(P39=0,0,COUNTIF('Transect 3_imgsummary'!E39:I39,"ASC")*100/P39)</f>
        <v>0</v>
      </c>
      <c r="BZ39">
        <f>IF(P39=0,0,COUNTIF('Transect 3_imgsummary'!E39:I39,"CUPS")*100/P39)</f>
        <v>0</v>
      </c>
      <c r="CA39">
        <f>IF(P39=0,0,COUNTIF('Transect 3_imgsummary'!E39:I39,"DISCO")*100/P39)</f>
        <v>0</v>
      </c>
      <c r="CB39">
        <f>IF(P39=0,0,COUNTIF('Transect 3_imgsummary'!E39:I39,"DYS")*100/P39)</f>
        <v>0</v>
      </c>
      <c r="CC39">
        <f>IF(P39=0,0,COUNTIF('Transect 3_imgsummary'!E39:I39,"G")*100/P39)</f>
        <v>0</v>
      </c>
      <c r="CD39">
        <f>IF(P39=0,0,COUNTIF('Transect 3_imgsummary'!E39:I39,"NoIDINV")*100/P39)</f>
        <v>0</v>
      </c>
      <c r="CE39">
        <f>IF(P39=0,0,COUNTIF('Transect 3_imgsummary'!E39:I39,"OLV")*100/P39)</f>
        <v>0</v>
      </c>
      <c r="CF39">
        <f>IF(P39=0,0,COUNTIF('Transect 3_imgsummary'!E39:I39,"SC")*100/P39)</f>
        <v>0</v>
      </c>
      <c r="CG39">
        <f>IF(P39=0,0,COUNTIF('Transect 3_imgsummary'!E39:I39,"S")*100/P39)</f>
        <v>0</v>
      </c>
      <c r="CH39">
        <f>IF(P39=0,0,COUNTIF('Transect 3_imgsummary'!E39:I39,"TERPS")*100/P39)</f>
        <v>0</v>
      </c>
      <c r="CI39">
        <f>IF(P39=0,0,COUNTIF('Transect 3_imgsummary'!E39:I39,"Z")*100/P39)</f>
        <v>0</v>
      </c>
      <c r="CK39">
        <f>IF(P39=0,0,COUNTIF('Transect 3_imgsummary'!E39:I39,"ASP")*100/P39)</f>
        <v>0</v>
      </c>
      <c r="CL39">
        <f>IF(P39=0,0,COUNTIF('Transect 3_imgsummary'!E39:I39,"BG")*100/P39)</f>
        <v>0</v>
      </c>
      <c r="CM39">
        <f>IF(P39=0,0,COUNTIF('Transect 3_imgsummary'!E39:I39,"Bood")*100/P39)</f>
        <v>0</v>
      </c>
      <c r="CN39">
        <f>IF(P39=0,0,COUNTIF('Transect 3_imgsummary'!E39:I39,"BRYP")*100/P39)</f>
        <v>0</v>
      </c>
      <c r="CO39">
        <f>IF(P39=0,0,COUNTIF('Transect 3_imgsummary'!E39:I39,"CLP")*100/P39)</f>
        <v>0</v>
      </c>
      <c r="CP39">
        <f>IF(P39=0,0,COUNTIF('Transect 3_imgsummary'!E39:I39,"CHLDES")*100/P39)</f>
        <v>0</v>
      </c>
      <c r="CQ39">
        <f>IF(P39=0,0,COUNTIF('Transect 3_imgsummary'!E39:I39,"DYCTY")*100/P39)</f>
        <v>0</v>
      </c>
      <c r="CR39">
        <f>IF(P39=0,0,COUNTIF('Transect 3_imgsummary'!E39:I39,"DICT")*100/P39)</f>
        <v>0</v>
      </c>
      <c r="CS39">
        <f>IF(P39=0,0,COUNTIF('Transect 3_imgsummary'!E39:I39,"GLXU")*100/P39)</f>
        <v>0</v>
      </c>
      <c r="CT39">
        <f>IF(P39=0,0,COUNTIF('Transect 3_imgsummary'!E39:I39,"HALI")*100/P39)</f>
        <v>0</v>
      </c>
      <c r="CU39">
        <f>IF(P39=0,0,COUNTIF('Transect 3_imgsummary'!E39:I39,"LIAG")*100/P39)</f>
        <v>0</v>
      </c>
      <c r="CV39">
        <f>IF(P39=0,0,COUNTIF('Transect 3_imgsummary'!E39:I39,"LOBO")*100/P39)</f>
        <v>0</v>
      </c>
      <c r="CW39">
        <f>IF(P39=0,0,COUNTIF('Transect 3_imgsummary'!E39:I39,"MAST")*100/P39)</f>
        <v>0</v>
      </c>
      <c r="CX39">
        <f>IF(P39=0,0,COUNTIF('Transect 3_imgsummary'!E39:I39,"MICDTY")*100/P39)</f>
        <v>0</v>
      </c>
      <c r="CY39">
        <f>IF(P39=0,0,COUNTIF('Transect 3_imgsummary'!E39:I39,"NEOM")*100/P39)</f>
        <v>0</v>
      </c>
      <c r="CZ39">
        <f>IF(P39=0,0,COUNTIF('Transect 3_imgsummary'!E39:I39,"NOIDMAC")*100/P39)</f>
        <v>0</v>
      </c>
      <c r="DA39">
        <f>IF(P39=0,0,COUNTIF('Transect 3_imgsummary'!E39:I39,"PAD")*100/P39)</f>
        <v>0</v>
      </c>
      <c r="DB39">
        <f>IF(P39=0,0,COUNTIF('Transect 3_imgsummary'!E39:I39,"SARG")*100/P39)</f>
        <v>0</v>
      </c>
      <c r="DC39">
        <f>IF(P39=0,0,COUNTIF('Transect 3_imgsummary'!E39:I39,"SCHIZ")*100/P39)</f>
        <v>0</v>
      </c>
      <c r="DD39">
        <f>IF(P39=0,0,COUNTIF('Transect 3_imgsummary'!E39:I39,"TURB")*100/P39)</f>
        <v>0</v>
      </c>
      <c r="DE39">
        <f>IF(P39=0,0,COUNTIF('Transect 3_imgsummary'!E39:I39,"TYDM")*100/P39)</f>
        <v>0</v>
      </c>
      <c r="DG39">
        <f>IF(P39=0,0,COUNTIF('Transect 3_imgsummary'!E39:I39,"AMP")*100/P39)</f>
        <v>0</v>
      </c>
      <c r="DH39">
        <f>IF(P39=0,0,COUNTIF('Transect 3_imgsummary'!E39:I39,"BCA1")*100/P39)</f>
        <v>0</v>
      </c>
      <c r="DI39">
        <f>IF(P39=0,0,COUNTIF('Transect 3_imgsummary'!E39:I39,"JAN")*100/P39)</f>
        <v>0</v>
      </c>
      <c r="DK39" s="29">
        <f>IF(P39=0,0,COUNTIF('Transect 3_imgsummary'!E39:I39,"CCA1")*100/P39)</f>
        <v>20</v>
      </c>
      <c r="DM39">
        <f>IF(P39=0,0,COUNTIF('Transect 3_imgsummary'!E39:I39,"Sand")*100/P39)</f>
        <v>0</v>
      </c>
      <c r="DO39">
        <f>IF(P39=0,0,COUNTIF('Transect 3_imgsummary'!E39:I39,"FCA1")*100/P39)</f>
        <v>0</v>
      </c>
      <c r="DQ39">
        <f>IF(P39=0,0,COUNTIF('Transect 3_imgsummary'!E39:I39,"CHRYOBRN")*100/P39)</f>
        <v>0</v>
      </c>
      <c r="DS39">
        <f>IF(P39=0,0,COUNTIF('Transect 3_imgsummary'!E39:I39,"TURF")*100/P39)</f>
        <v>0</v>
      </c>
      <c r="DU39">
        <f>COUNTIF('Transect 3_imgsummary'!E39:I39,"Shadow")*100/5</f>
        <v>0</v>
      </c>
      <c r="DV39">
        <f>COUNTIF('Transect 3_imgsummary'!E39:I39,"Tape")*100/5</f>
        <v>0</v>
      </c>
      <c r="DW39">
        <f>COUNTIF('Transect 3_imgsummary'!E39:I39,"Wand")*100/5</f>
        <v>0</v>
      </c>
      <c r="DY39">
        <f>IF(P39=0,0,COUNTIF('Transect 3_imgsummary'!O39:S39,"BC")*100/P39)</f>
        <v>0</v>
      </c>
    </row>
    <row r="40" spans="1:129">
      <c r="A40">
        <v>38</v>
      </c>
      <c r="B40" t="s">
        <v>527</v>
      </c>
      <c r="F40" s="29">
        <f>IF(P40=0,0,COUNTIF('Transect 3_imgsummary'!J40:N40,"C")*100/P40)</f>
        <v>60</v>
      </c>
      <c r="G40">
        <f>IF(P40=0,0,COUNTIF('Transect 3_imgsummary'!J40:N40,"OI")*100/P40)</f>
        <v>0</v>
      </c>
      <c r="H40">
        <f>IF(P40=0,0,COUNTIF('Transect 3_imgsummary'!J40:N40,"MA")*100/P40)</f>
        <v>0</v>
      </c>
      <c r="I40">
        <f>IF(P40=0,0,COUNTIF('Transect 3_imgsummary'!J40:N40,"BCA")*100/P40)</f>
        <v>0</v>
      </c>
      <c r="J40">
        <f>IF(P40=0,0,COUNTIF('Transect 3_imgsummary'!J40:N40,"CCA")*100/P40)</f>
        <v>0</v>
      </c>
      <c r="K40">
        <f>IF(P40=0,0,COUNTIF('Transect 3_imgsummary'!J40:N40,"SD")*100/P40)</f>
        <v>0</v>
      </c>
      <c r="L40">
        <f>IF(P40=0,0,COUNTIF('Transect 3_imgsummary'!J40:N40,"FCA")*100/P40)</f>
        <v>0</v>
      </c>
      <c r="M40">
        <f>IF(P40=0,0,COUNTIF('Transect 3_imgsummary'!J40:N40,"CHRYS")*100/P40)</f>
        <v>0</v>
      </c>
      <c r="N40" s="29">
        <f>IF(P40=0,0,COUNTIF('Transect 3_imgsummary'!J40:N40,"T")*100/P40)</f>
        <v>40</v>
      </c>
      <c r="O40">
        <f>IF(P40=0,0,COUNTIF('Transect 3_imgsummary'!J40:N40,"TWS")*100/P40)</f>
        <v>0</v>
      </c>
      <c r="P40">
        <f>5-COUNTIF('Transect 3_imgsummary'!J40:N40,"TWS")</f>
        <v>5</v>
      </c>
      <c r="S40">
        <f>IF(P40=0,0,COUNTIF('Transect 3_imgsummary'!E40:I40,"ACAN")*100/P40)</f>
        <v>0</v>
      </c>
      <c r="T40">
        <f>IF(P40=0,0,COUNTIF('Transect 3_imgsummary'!E40:I40,"ACROP")*100/P40)</f>
        <v>0</v>
      </c>
      <c r="U40">
        <f>IF(P40=0,0,COUNTIF('Transect 3_imgsummary'!E40:I40,"ACROPARB")*100/P40)</f>
        <v>0</v>
      </c>
      <c r="V40">
        <f>IF(P40=0,0,COUNTIF('Transect 3_imgsummary'!E40:I40,"ACROST")*100/P40)</f>
        <v>0</v>
      </c>
      <c r="W40">
        <f>IF(P40=0,0,COUNTIF('Transect 3_imgsummary'!E40:I40,"ACROTBL")*100/P40)</f>
        <v>0</v>
      </c>
      <c r="X40">
        <f>IF(P40=0,0,COUNTIF('Transect 3_imgsummary'!E40:I40,"ASTRP")*100/P40)</f>
        <v>0</v>
      </c>
      <c r="Y40">
        <f>IF(P40=0,0,COUNTIF('Transect 3_imgsummary'!E40:I40,"CAUL")*100/P40)</f>
        <v>0</v>
      </c>
      <c r="Z40">
        <f>IF(P40=0,0,COUNTIF('Transect 3_imgsummary'!E40:I40,"COSC")*100/P40)</f>
        <v>0</v>
      </c>
      <c r="AA40">
        <f>IF(P40=0,0,COUNTIF('Transect 3_imgsummary'!E40:I40,"CTEN")*100/P40)</f>
        <v>0</v>
      </c>
      <c r="AB40">
        <f>IF(P40=0,0,COUNTIF('Transect 3_imgsummary'!E40:I40,"CYPH")*100/P40)</f>
        <v>0</v>
      </c>
      <c r="AC40">
        <f>IF(P40=0,0,COUNTIF('Transect 3_imgsummary'!E40:I40,"DIPLO")*100/P40)</f>
        <v>0</v>
      </c>
      <c r="AD40" s="29">
        <f>IF(P40=0,0,COUNTIF('Transect 3_imgsummary'!E40:I40,"ECHPO")*100/P40)</f>
        <v>60</v>
      </c>
      <c r="AE40">
        <f>IF(P40=0,0,COUNTIF('Transect 3_imgsummary'!E40:I40,"ECHPHY")*100/P40)</f>
        <v>0</v>
      </c>
      <c r="AF40">
        <f>IF(P40=0,0,COUNTIF('Transect 3_imgsummary'!E40:I40,"EUPH")*100/P40)</f>
        <v>0</v>
      </c>
      <c r="AG40">
        <f>IF(P40=0,0,COUNTIF('Transect 3_imgsummary'!E40:I40,"FAV")*100/P40)</f>
        <v>0</v>
      </c>
      <c r="AH40">
        <f>IF(P40=0,0,COUNTIF('Transect 3_imgsummary'!E40:I40,"FAVT")*100/P40)</f>
        <v>0</v>
      </c>
      <c r="AI40">
        <f>IF(P40=0,0,COUNTIF('Transect 3_imgsummary'!E40:I40,"FUNG")*100/P40)</f>
        <v>0</v>
      </c>
      <c r="AJ40">
        <f>IF(P40=0,0,COUNTIF('Transect 3_imgsummary'!E40:I40,"GAL")*100/P40)</f>
        <v>0</v>
      </c>
      <c r="AK40">
        <f>IF(P40=0,0,COUNTIF('Transect 3_imgsummary'!E40:I40,"GARD")*100/P40)</f>
        <v>0</v>
      </c>
      <c r="AL40">
        <f>IF(P40=0,0,COUNTIF('Transect 3_imgsummary'!E40:I40,"GON")*100/P40)</f>
        <v>0</v>
      </c>
      <c r="AM40">
        <f>IF(P40=0,0,COUNTIF('Transect 3_imgsummary'!E40:I40,"GONIO")*100/P40)</f>
        <v>0</v>
      </c>
      <c r="AN40">
        <f>IF(P40=0,0,COUNTIF('Transect 3_imgsummary'!E40:I40,"HELIO")*100/P40)</f>
        <v>0</v>
      </c>
      <c r="AO40">
        <f>IF(P40=0,0,COUNTIF('Transect 3_imgsummary'!E40:I40,"HERP")*100/P40)</f>
        <v>0</v>
      </c>
      <c r="AP40">
        <f>IF(P40=0,0,COUNTIF('Transect 3_imgsummary'!E40:I40,"HYD")*100/P40)</f>
        <v>0</v>
      </c>
      <c r="AQ40">
        <f>IF(P40=0,0,COUNTIF('Transect 3_imgsummary'!E40:I40,"ISOP")*100/P40)</f>
        <v>0</v>
      </c>
      <c r="AR40">
        <f>IF(P40=0,0,COUNTIF('Transect 3_imgsummary'!E40:I40,"LEPT")*100/P40)</f>
        <v>0</v>
      </c>
      <c r="AS40">
        <f>IF(P40=0,0,COUNTIF('Transect 3_imgsummary'!E40:I40,"LEPTOR")*100/P40)</f>
        <v>0</v>
      </c>
      <c r="AT40">
        <f>IF(P40=0,0,COUNTIF('Transect 3_imgsummary'!E40:I40,"LEPTOS")*100/P40)</f>
        <v>0</v>
      </c>
      <c r="AU40">
        <f>IF(P40=0,0,COUNTIF('Transect 3_imgsummary'!E40:I40,"LOBOPH")*100/P40)</f>
        <v>0</v>
      </c>
      <c r="AV40">
        <f>IF(P40=0,0,COUNTIF('Transect 3_imgsummary'!E40:I40,"MERU")*100/P40)</f>
        <v>0</v>
      </c>
      <c r="AW40">
        <f>IF(P40=0,0,COUNTIF('Transect 3_imgsummary'!E40:I40,"MILL")*100/P40)</f>
        <v>0</v>
      </c>
      <c r="AX40">
        <f>IF(P40=0,0,COUNTIF('Transect 3_imgsummary'!E40:I40,"MONT")*100/P40)</f>
        <v>0</v>
      </c>
      <c r="AY40">
        <f>IF(P40=0,0,COUNTIF('Transect 3_imgsummary'!E40:I40,"MONTI")*100/P40)</f>
        <v>0</v>
      </c>
      <c r="AZ40">
        <f>IF(P40=0,0,COUNTIF('Transect 3_imgsummary'!E40:I40,"MYCED")*100/P40)</f>
        <v>0</v>
      </c>
      <c r="BA40">
        <f>IF(P40=0,0,COUNTIF('Transect 3_imgsummary'!E40:I40,"OULO")*100/P40)</f>
        <v>0</v>
      </c>
      <c r="BB40">
        <f>IF(P40=0,0,COUNTIF('Transect 3_imgsummary'!E40:I40,"OXYP")*100/P40)</f>
        <v>0</v>
      </c>
      <c r="BC40">
        <f>IF(P40=0,0,COUNTIF('Transect 3_imgsummary'!E40:I40,"PLSIA")*100/P40)</f>
        <v>0</v>
      </c>
      <c r="BD40">
        <f>IF(P40=0,0,COUNTIF('Transect 3_imgsummary'!E40:I40,"PACHY")*100/P40)</f>
        <v>0</v>
      </c>
      <c r="BE40">
        <f>IF(P40=0,0,COUNTIF('Transect 3_imgsummary'!E40:I40,"PAV")*100/P40)</f>
        <v>0</v>
      </c>
      <c r="BF40">
        <f>IF(P40=0,0,COUNTIF('Transect 3_imgsummary'!E40:I40,"PECT")*100/P40)</f>
        <v>0</v>
      </c>
      <c r="BG40">
        <f>IF(P40=0,0,COUNTIF('Transect 3_imgsummary'!E40:I40,"PHYSO")*100/P40)</f>
        <v>0</v>
      </c>
      <c r="BH40">
        <f>IF(P40=0,0,COUNTIF('Transect 3_imgsummary'!E40:I40,"PLAT")*100/P40)</f>
        <v>0</v>
      </c>
      <c r="BI40">
        <f>IF(P40=0,0,COUNTIF('Transect 3_imgsummary'!E40:I40,"PLERO")*100/P40)</f>
        <v>0</v>
      </c>
      <c r="BJ40">
        <f>IF(P40=0,0,COUNTIF('Transect 3_imgsummary'!E40:I40,"POC")*100/P40)</f>
        <v>0</v>
      </c>
      <c r="BK40">
        <f>IF(P40=0,0,COUNTIF('Transect 3_imgsummary'!E40:I40,"POR")*100/P40)</f>
        <v>0</v>
      </c>
      <c r="BL40">
        <f>IF(P40=0,0,COUNTIF('Transect 3_imgsummary'!E40:I40,"PORCYL")*100/P40)</f>
        <v>0</v>
      </c>
      <c r="BM40">
        <f>IF(P40=0,0,COUNTIF('Transect 3_imgsummary'!E40:I40,"PORMAS")*100/P40)</f>
        <v>0</v>
      </c>
      <c r="BN40">
        <f>IF(P40=0,0,COUNTIF('Transect 3_imgsummary'!E40:I40,"PORRUS")*100/P40)</f>
        <v>0</v>
      </c>
      <c r="BO40">
        <f>IF(P40=0,0,COUNTIF('Transect 3_imgsummary'!E40:I40,"PSAM")*100/P40)</f>
        <v>0</v>
      </c>
      <c r="BP40">
        <f>IF(P40=0,0,COUNTIF('Transect 3_imgsummary'!E40:I40,"SANDO")*100/P40)</f>
        <v>0</v>
      </c>
      <c r="BQ40">
        <f>IF(P40=0,0,COUNTIF('Transect 3_imgsummary'!E40:I40,"SCAP")*100/P40)</f>
        <v>0</v>
      </c>
      <c r="BR40">
        <f>IF(P40=0,0,COUNTIF('Transect 3_imgsummary'!E40:I40,"SERIA")*100/P40)</f>
        <v>0</v>
      </c>
      <c r="BS40">
        <f>IF(P40=0,0,COUNTIF('Transect 3_imgsummary'!E40:I40,"STYLC")*100/P40)</f>
        <v>0</v>
      </c>
      <c r="BT40">
        <f>IF(P40=0,0,COUNTIF('Transect 3_imgsummary'!E40:I40,"STYLO")*100/P40)</f>
        <v>0</v>
      </c>
      <c r="BU40">
        <f>IF(P40=0,0,COUNTIF('Transect 3_imgsummary'!E40:I40,"SYMP")*100/P40)</f>
        <v>0</v>
      </c>
      <c r="BV40">
        <f>IF(P40=0,0,COUNTIF('Transect 3_imgsummary'!E40:I40,"TURBIN")*100/P40)</f>
        <v>0</v>
      </c>
      <c r="BX40">
        <f>IF(P40=0,0,COUNTIF('Transect 3_imgsummary'!E40:I40,"ANEM")*100/P40)</f>
        <v>0</v>
      </c>
      <c r="BY40">
        <f>IF(P40=0,0,COUNTIF('Transect 3_imgsummary'!E40:I40,"ASC")*100/P40)</f>
        <v>0</v>
      </c>
      <c r="BZ40">
        <f>IF(P40=0,0,COUNTIF('Transect 3_imgsummary'!E40:I40,"CUPS")*100/P40)</f>
        <v>0</v>
      </c>
      <c r="CA40">
        <f>IF(P40=0,0,COUNTIF('Transect 3_imgsummary'!E40:I40,"DISCO")*100/P40)</f>
        <v>0</v>
      </c>
      <c r="CB40">
        <f>IF(P40=0,0,COUNTIF('Transect 3_imgsummary'!E40:I40,"DYS")*100/P40)</f>
        <v>0</v>
      </c>
      <c r="CC40">
        <f>IF(P40=0,0,COUNTIF('Transect 3_imgsummary'!E40:I40,"G")*100/P40)</f>
        <v>0</v>
      </c>
      <c r="CD40">
        <f>IF(P40=0,0,COUNTIF('Transect 3_imgsummary'!E40:I40,"NoIDINV")*100/P40)</f>
        <v>0</v>
      </c>
      <c r="CE40">
        <f>IF(P40=0,0,COUNTIF('Transect 3_imgsummary'!E40:I40,"OLV")*100/P40)</f>
        <v>0</v>
      </c>
      <c r="CF40">
        <f>IF(P40=0,0,COUNTIF('Transect 3_imgsummary'!E40:I40,"SC")*100/P40)</f>
        <v>0</v>
      </c>
      <c r="CG40">
        <f>IF(P40=0,0,COUNTIF('Transect 3_imgsummary'!E40:I40,"S")*100/P40)</f>
        <v>0</v>
      </c>
      <c r="CH40">
        <f>IF(P40=0,0,COUNTIF('Transect 3_imgsummary'!E40:I40,"TERPS")*100/P40)</f>
        <v>0</v>
      </c>
      <c r="CI40">
        <f>IF(P40=0,0,COUNTIF('Transect 3_imgsummary'!E40:I40,"Z")*100/P40)</f>
        <v>0</v>
      </c>
      <c r="CK40">
        <f>IF(P40=0,0,COUNTIF('Transect 3_imgsummary'!E40:I40,"ASP")*100/P40)</f>
        <v>0</v>
      </c>
      <c r="CL40">
        <f>IF(P40=0,0,COUNTIF('Transect 3_imgsummary'!E40:I40,"BG")*100/P40)</f>
        <v>0</v>
      </c>
      <c r="CM40">
        <f>IF(P40=0,0,COUNTIF('Transect 3_imgsummary'!E40:I40,"Bood")*100/P40)</f>
        <v>0</v>
      </c>
      <c r="CN40">
        <f>IF(P40=0,0,COUNTIF('Transect 3_imgsummary'!E40:I40,"BRYP")*100/P40)</f>
        <v>0</v>
      </c>
      <c r="CO40">
        <f>IF(P40=0,0,COUNTIF('Transect 3_imgsummary'!E40:I40,"CLP")*100/P40)</f>
        <v>0</v>
      </c>
      <c r="CP40">
        <f>IF(P40=0,0,COUNTIF('Transect 3_imgsummary'!E40:I40,"CHLDES")*100/P40)</f>
        <v>0</v>
      </c>
      <c r="CQ40">
        <f>IF(P40=0,0,COUNTIF('Transect 3_imgsummary'!E40:I40,"DYCTY")*100/P40)</f>
        <v>0</v>
      </c>
      <c r="CR40">
        <f>IF(P40=0,0,COUNTIF('Transect 3_imgsummary'!E40:I40,"DICT")*100/P40)</f>
        <v>0</v>
      </c>
      <c r="CS40">
        <f>IF(P40=0,0,COUNTIF('Transect 3_imgsummary'!E40:I40,"GLXU")*100/P40)</f>
        <v>0</v>
      </c>
      <c r="CT40">
        <f>IF(P40=0,0,COUNTIF('Transect 3_imgsummary'!E40:I40,"HALI")*100/P40)</f>
        <v>0</v>
      </c>
      <c r="CU40">
        <f>IF(P40=0,0,COUNTIF('Transect 3_imgsummary'!E40:I40,"LIAG")*100/P40)</f>
        <v>0</v>
      </c>
      <c r="CV40">
        <f>IF(P40=0,0,COUNTIF('Transect 3_imgsummary'!E40:I40,"LOBO")*100/P40)</f>
        <v>0</v>
      </c>
      <c r="CW40">
        <f>IF(P40=0,0,COUNTIF('Transect 3_imgsummary'!E40:I40,"MAST")*100/P40)</f>
        <v>0</v>
      </c>
      <c r="CX40">
        <f>IF(P40=0,0,COUNTIF('Transect 3_imgsummary'!E40:I40,"MICDTY")*100/P40)</f>
        <v>0</v>
      </c>
      <c r="CY40">
        <f>IF(P40=0,0,COUNTIF('Transect 3_imgsummary'!E40:I40,"NEOM")*100/P40)</f>
        <v>0</v>
      </c>
      <c r="CZ40">
        <f>IF(P40=0,0,COUNTIF('Transect 3_imgsummary'!E40:I40,"NOIDMAC")*100/P40)</f>
        <v>0</v>
      </c>
      <c r="DA40">
        <f>IF(P40=0,0,COUNTIF('Transect 3_imgsummary'!E40:I40,"PAD")*100/P40)</f>
        <v>0</v>
      </c>
      <c r="DB40">
        <f>IF(P40=0,0,COUNTIF('Transect 3_imgsummary'!E40:I40,"SARG")*100/P40)</f>
        <v>0</v>
      </c>
      <c r="DC40">
        <f>IF(P40=0,0,COUNTIF('Transect 3_imgsummary'!E40:I40,"SCHIZ")*100/P40)</f>
        <v>0</v>
      </c>
      <c r="DD40">
        <f>IF(P40=0,0,COUNTIF('Transect 3_imgsummary'!E40:I40,"TURB")*100/P40)</f>
        <v>0</v>
      </c>
      <c r="DE40">
        <f>IF(P40=0,0,COUNTIF('Transect 3_imgsummary'!E40:I40,"TYDM")*100/P40)</f>
        <v>0</v>
      </c>
      <c r="DG40">
        <f>IF(P40=0,0,COUNTIF('Transect 3_imgsummary'!E40:I40,"AMP")*100/P40)</f>
        <v>0</v>
      </c>
      <c r="DH40">
        <f>IF(P40=0,0,COUNTIF('Transect 3_imgsummary'!E40:I40,"BCA1")*100/P40)</f>
        <v>0</v>
      </c>
      <c r="DI40">
        <f>IF(P40=0,0,COUNTIF('Transect 3_imgsummary'!E40:I40,"JAN")*100/P40)</f>
        <v>0</v>
      </c>
      <c r="DK40">
        <f>IF(P40=0,0,COUNTIF('Transect 3_imgsummary'!E40:I40,"CCA1")*100/P40)</f>
        <v>0</v>
      </c>
      <c r="DM40">
        <f>IF(P40=0,0,COUNTIF('Transect 3_imgsummary'!E40:I40,"Sand")*100/P40)</f>
        <v>0</v>
      </c>
      <c r="DO40">
        <f>IF(P40=0,0,COUNTIF('Transect 3_imgsummary'!E40:I40,"FCA1")*100/P40)</f>
        <v>0</v>
      </c>
      <c r="DQ40">
        <f>IF(P40=0,0,COUNTIF('Transect 3_imgsummary'!E40:I40,"CHRYOBRN")*100/P40)</f>
        <v>0</v>
      </c>
      <c r="DS40" s="29">
        <f>IF(P40=0,0,COUNTIF('Transect 3_imgsummary'!E40:I40,"TURF")*100/P40)</f>
        <v>40</v>
      </c>
      <c r="DU40">
        <f>COUNTIF('Transect 3_imgsummary'!E40:I40,"Shadow")*100/5</f>
        <v>0</v>
      </c>
      <c r="DV40">
        <f>COUNTIF('Transect 3_imgsummary'!E40:I40,"Tape")*100/5</f>
        <v>0</v>
      </c>
      <c r="DW40">
        <f>COUNTIF('Transect 3_imgsummary'!E40:I40,"Wand")*100/5</f>
        <v>0</v>
      </c>
      <c r="DY40">
        <f>IF(P40=0,0,COUNTIF('Transect 3_imgsummary'!O40:S40,"BC")*100/P40)</f>
        <v>0</v>
      </c>
    </row>
    <row r="41" spans="1:129">
      <c r="A41">
        <v>39</v>
      </c>
      <c r="B41" t="s">
        <v>528</v>
      </c>
      <c r="F41" s="29">
        <f>IF(P41=0,0,COUNTIF('Transect 3_imgsummary'!J41:N41,"C")*100/P41)</f>
        <v>40</v>
      </c>
      <c r="G41">
        <f>IF(P41=0,0,COUNTIF('Transect 3_imgsummary'!J41:N41,"OI")*100/P41)</f>
        <v>0</v>
      </c>
      <c r="H41">
        <f>IF(P41=0,0,COUNTIF('Transect 3_imgsummary'!J41:N41,"MA")*100/P41)</f>
        <v>0</v>
      </c>
      <c r="I41">
        <f>IF(P41=0,0,COUNTIF('Transect 3_imgsummary'!J41:N41,"BCA")*100/P41)</f>
        <v>0</v>
      </c>
      <c r="J41" s="29">
        <f>IF(P41=0,0,COUNTIF('Transect 3_imgsummary'!J41:N41,"CCA")*100/P41)</f>
        <v>40</v>
      </c>
      <c r="K41">
        <f>IF(P41=0,0,COUNTIF('Transect 3_imgsummary'!J41:N41,"SD")*100/P41)</f>
        <v>0</v>
      </c>
      <c r="L41">
        <f>IF(P41=0,0,COUNTIF('Transect 3_imgsummary'!J41:N41,"FCA")*100/P41)</f>
        <v>0</v>
      </c>
      <c r="M41">
        <f>IF(P41=0,0,COUNTIF('Transect 3_imgsummary'!J41:N41,"CHRYS")*100/P41)</f>
        <v>0</v>
      </c>
      <c r="N41" s="29">
        <f>IF(P41=0,0,COUNTIF('Transect 3_imgsummary'!J41:N41,"T")*100/P41)</f>
        <v>20</v>
      </c>
      <c r="O41">
        <f>IF(P41=0,0,COUNTIF('Transect 3_imgsummary'!J41:N41,"TWS")*100/P41)</f>
        <v>0</v>
      </c>
      <c r="P41">
        <f>5-COUNTIF('Transect 3_imgsummary'!J41:N41,"TWS")</f>
        <v>5</v>
      </c>
      <c r="S41">
        <f>IF(P41=0,0,COUNTIF('Transect 3_imgsummary'!E41:I41,"ACAN")*100/P41)</f>
        <v>0</v>
      </c>
      <c r="T41">
        <f>IF(P41=0,0,COUNTIF('Transect 3_imgsummary'!E41:I41,"ACROP")*100/P41)</f>
        <v>0</v>
      </c>
      <c r="U41">
        <f>IF(P41=0,0,COUNTIF('Transect 3_imgsummary'!E41:I41,"ACROPARB")*100/P41)</f>
        <v>0</v>
      </c>
      <c r="V41">
        <f>IF(P41=0,0,COUNTIF('Transect 3_imgsummary'!E41:I41,"ACROST")*100/P41)</f>
        <v>0</v>
      </c>
      <c r="W41">
        <f>IF(P41=0,0,COUNTIF('Transect 3_imgsummary'!E41:I41,"ACROTBL")*100/P41)</f>
        <v>0</v>
      </c>
      <c r="X41">
        <f>IF(P41=0,0,COUNTIF('Transect 3_imgsummary'!E41:I41,"ASTRP")*100/P41)</f>
        <v>0</v>
      </c>
      <c r="Y41">
        <f>IF(P41=0,0,COUNTIF('Transect 3_imgsummary'!E41:I41,"CAUL")*100/P41)</f>
        <v>0</v>
      </c>
      <c r="Z41">
        <f>IF(P41=0,0,COUNTIF('Transect 3_imgsummary'!E41:I41,"COSC")*100/P41)</f>
        <v>0</v>
      </c>
      <c r="AA41">
        <f>IF(P41=0,0,COUNTIF('Transect 3_imgsummary'!E41:I41,"CTEN")*100/P41)</f>
        <v>0</v>
      </c>
      <c r="AB41">
        <f>IF(P41=0,0,COUNTIF('Transect 3_imgsummary'!E41:I41,"CYPH")*100/P41)</f>
        <v>0</v>
      </c>
      <c r="AC41">
        <f>IF(P41=0,0,COUNTIF('Transect 3_imgsummary'!E41:I41,"DIPLO")*100/P41)</f>
        <v>0</v>
      </c>
      <c r="AD41" s="29">
        <f>IF(P41=0,0,COUNTIF('Transect 3_imgsummary'!E41:I41,"ECHPO")*100/P41)</f>
        <v>20</v>
      </c>
      <c r="AE41">
        <f>IF(P41=0,0,COUNTIF('Transect 3_imgsummary'!E41:I41,"ECHPHY")*100/P41)</f>
        <v>0</v>
      </c>
      <c r="AF41">
        <f>IF(P41=0,0,COUNTIF('Transect 3_imgsummary'!E41:I41,"EUPH")*100/P41)</f>
        <v>0</v>
      </c>
      <c r="AG41">
        <f>IF(P41=0,0,COUNTIF('Transect 3_imgsummary'!E41:I41,"FAV")*100/P41)</f>
        <v>0</v>
      </c>
      <c r="AH41">
        <f>IF(P41=0,0,COUNTIF('Transect 3_imgsummary'!E41:I41,"FAVT")*100/P41)</f>
        <v>0</v>
      </c>
      <c r="AI41">
        <f>IF(P41=0,0,COUNTIF('Transect 3_imgsummary'!E41:I41,"FUNG")*100/P41)</f>
        <v>0</v>
      </c>
      <c r="AJ41">
        <f>IF(P41=0,0,COUNTIF('Transect 3_imgsummary'!E41:I41,"GAL")*100/P41)</f>
        <v>0</v>
      </c>
      <c r="AK41">
        <f>IF(P41=0,0,COUNTIF('Transect 3_imgsummary'!E41:I41,"GARD")*100/P41)</f>
        <v>0</v>
      </c>
      <c r="AL41">
        <f>IF(P41=0,0,COUNTIF('Transect 3_imgsummary'!E41:I41,"GON")*100/P41)</f>
        <v>0</v>
      </c>
      <c r="AM41">
        <f>IF(P41=0,0,COUNTIF('Transect 3_imgsummary'!E41:I41,"GONIO")*100/P41)</f>
        <v>0</v>
      </c>
      <c r="AN41">
        <f>IF(P41=0,0,COUNTIF('Transect 3_imgsummary'!E41:I41,"HELIO")*100/P41)</f>
        <v>0</v>
      </c>
      <c r="AO41">
        <f>IF(P41=0,0,COUNTIF('Transect 3_imgsummary'!E41:I41,"HERP")*100/P41)</f>
        <v>0</v>
      </c>
      <c r="AP41">
        <f>IF(P41=0,0,COUNTIF('Transect 3_imgsummary'!E41:I41,"HYD")*100/P41)</f>
        <v>0</v>
      </c>
      <c r="AQ41">
        <f>IF(P41=0,0,COUNTIF('Transect 3_imgsummary'!E41:I41,"ISOP")*100/P41)</f>
        <v>0</v>
      </c>
      <c r="AR41">
        <f>IF(P41=0,0,COUNTIF('Transect 3_imgsummary'!E41:I41,"LEPT")*100/P41)</f>
        <v>0</v>
      </c>
      <c r="AS41" s="29">
        <f>IF(P41=0,0,COUNTIF('Transect 3_imgsummary'!E41:I41,"LEPTOR")*100/P41)</f>
        <v>20</v>
      </c>
      <c r="AT41">
        <f>IF(P41=0,0,COUNTIF('Transect 3_imgsummary'!E41:I41,"LEPTOS")*100/P41)</f>
        <v>0</v>
      </c>
      <c r="AU41">
        <f>IF(P41=0,0,COUNTIF('Transect 3_imgsummary'!E41:I41,"LOBOPH")*100/P41)</f>
        <v>0</v>
      </c>
      <c r="AV41">
        <f>IF(P41=0,0,COUNTIF('Transect 3_imgsummary'!E41:I41,"MERU")*100/P41)</f>
        <v>0</v>
      </c>
      <c r="AW41">
        <f>IF(P41=0,0,COUNTIF('Transect 3_imgsummary'!E41:I41,"MILL")*100/P41)</f>
        <v>0</v>
      </c>
      <c r="AX41">
        <f>IF(P41=0,0,COUNTIF('Transect 3_imgsummary'!E41:I41,"MONT")*100/P41)</f>
        <v>0</v>
      </c>
      <c r="AY41">
        <f>IF(P41=0,0,COUNTIF('Transect 3_imgsummary'!E41:I41,"MONTI")*100/P41)</f>
        <v>0</v>
      </c>
      <c r="AZ41">
        <f>IF(P41=0,0,COUNTIF('Transect 3_imgsummary'!E41:I41,"MYCED")*100/P41)</f>
        <v>0</v>
      </c>
      <c r="BA41">
        <f>IF(P41=0,0,COUNTIF('Transect 3_imgsummary'!E41:I41,"OULO")*100/P41)</f>
        <v>0</v>
      </c>
      <c r="BB41">
        <f>IF(P41=0,0,COUNTIF('Transect 3_imgsummary'!E41:I41,"OXYP")*100/P41)</f>
        <v>0</v>
      </c>
      <c r="BC41">
        <f>IF(P41=0,0,COUNTIF('Transect 3_imgsummary'!E41:I41,"PLSIA")*100/P41)</f>
        <v>0</v>
      </c>
      <c r="BD41">
        <f>IF(P41=0,0,COUNTIF('Transect 3_imgsummary'!E41:I41,"PACHY")*100/P41)</f>
        <v>0</v>
      </c>
      <c r="BE41">
        <f>IF(P41=0,0,COUNTIF('Transect 3_imgsummary'!E41:I41,"PAV")*100/P41)</f>
        <v>0</v>
      </c>
      <c r="BF41">
        <f>IF(P41=0,0,COUNTIF('Transect 3_imgsummary'!E41:I41,"PECT")*100/P41)</f>
        <v>0</v>
      </c>
      <c r="BG41">
        <f>IF(P41=0,0,COUNTIF('Transect 3_imgsummary'!E41:I41,"PHYSO")*100/P41)</f>
        <v>0</v>
      </c>
      <c r="BH41">
        <f>IF(P41=0,0,COUNTIF('Transect 3_imgsummary'!E41:I41,"PLAT")*100/P41)</f>
        <v>0</v>
      </c>
      <c r="BI41">
        <f>IF(P41=0,0,COUNTIF('Transect 3_imgsummary'!E41:I41,"PLERO")*100/P41)</f>
        <v>0</v>
      </c>
      <c r="BJ41">
        <f>IF(P41=0,0,COUNTIF('Transect 3_imgsummary'!E41:I41,"POC")*100/P41)</f>
        <v>0</v>
      </c>
      <c r="BK41">
        <f>IF(P41=0,0,COUNTIF('Transect 3_imgsummary'!E41:I41,"POR")*100/P41)</f>
        <v>0</v>
      </c>
      <c r="BL41">
        <f>IF(P41=0,0,COUNTIF('Transect 3_imgsummary'!E41:I41,"PORCYL")*100/P41)</f>
        <v>0</v>
      </c>
      <c r="BM41">
        <f>IF(P41=0,0,COUNTIF('Transect 3_imgsummary'!E41:I41,"PORMAS")*100/P41)</f>
        <v>0</v>
      </c>
      <c r="BN41">
        <f>IF(P41=0,0,COUNTIF('Transect 3_imgsummary'!E41:I41,"PORRUS")*100/P41)</f>
        <v>0</v>
      </c>
      <c r="BO41">
        <f>IF(P41=0,0,COUNTIF('Transect 3_imgsummary'!E41:I41,"PSAM")*100/P41)</f>
        <v>0</v>
      </c>
      <c r="BP41">
        <f>IF(P41=0,0,COUNTIF('Transect 3_imgsummary'!E41:I41,"SANDO")*100/P41)</f>
        <v>0</v>
      </c>
      <c r="BQ41">
        <f>IF(P41=0,0,COUNTIF('Transect 3_imgsummary'!E41:I41,"SCAP")*100/P41)</f>
        <v>0</v>
      </c>
      <c r="BR41">
        <f>IF(P41=0,0,COUNTIF('Transect 3_imgsummary'!E41:I41,"SERIA")*100/P41)</f>
        <v>0</v>
      </c>
      <c r="BS41">
        <f>IF(P41=0,0,COUNTIF('Transect 3_imgsummary'!E41:I41,"STYLC")*100/P41)</f>
        <v>0</v>
      </c>
      <c r="BT41">
        <f>IF(P41=0,0,COUNTIF('Transect 3_imgsummary'!E41:I41,"STYLO")*100/P41)</f>
        <v>0</v>
      </c>
      <c r="BU41">
        <f>IF(P41=0,0,COUNTIF('Transect 3_imgsummary'!E41:I41,"SYMP")*100/P41)</f>
        <v>0</v>
      </c>
      <c r="BV41">
        <f>IF(P41=0,0,COUNTIF('Transect 3_imgsummary'!E41:I41,"TURBIN")*100/P41)</f>
        <v>0</v>
      </c>
      <c r="BX41">
        <f>IF(P41=0,0,COUNTIF('Transect 3_imgsummary'!E41:I41,"ANEM")*100/P41)</f>
        <v>0</v>
      </c>
      <c r="BY41">
        <f>IF(P41=0,0,COUNTIF('Transect 3_imgsummary'!E41:I41,"ASC")*100/P41)</f>
        <v>0</v>
      </c>
      <c r="BZ41">
        <f>IF(P41=0,0,COUNTIF('Transect 3_imgsummary'!E41:I41,"CUPS")*100/P41)</f>
        <v>0</v>
      </c>
      <c r="CA41">
        <f>IF(P41=0,0,COUNTIF('Transect 3_imgsummary'!E41:I41,"DISCO")*100/P41)</f>
        <v>0</v>
      </c>
      <c r="CB41">
        <f>IF(P41=0,0,COUNTIF('Transect 3_imgsummary'!E41:I41,"DYS")*100/P41)</f>
        <v>0</v>
      </c>
      <c r="CC41">
        <f>IF(P41=0,0,COUNTIF('Transect 3_imgsummary'!E41:I41,"G")*100/P41)</f>
        <v>0</v>
      </c>
      <c r="CD41">
        <f>IF(P41=0,0,COUNTIF('Transect 3_imgsummary'!E41:I41,"NoIDINV")*100/P41)</f>
        <v>0</v>
      </c>
      <c r="CE41">
        <f>IF(P41=0,0,COUNTIF('Transect 3_imgsummary'!E41:I41,"OLV")*100/P41)</f>
        <v>0</v>
      </c>
      <c r="CF41">
        <f>IF(P41=0,0,COUNTIF('Transect 3_imgsummary'!E41:I41,"SC")*100/P41)</f>
        <v>0</v>
      </c>
      <c r="CG41">
        <f>IF(P41=0,0,COUNTIF('Transect 3_imgsummary'!E41:I41,"S")*100/P41)</f>
        <v>0</v>
      </c>
      <c r="CH41">
        <f>IF(P41=0,0,COUNTIF('Transect 3_imgsummary'!E41:I41,"TERPS")*100/P41)</f>
        <v>0</v>
      </c>
      <c r="CI41">
        <f>IF(P41=0,0,COUNTIF('Transect 3_imgsummary'!E41:I41,"Z")*100/P41)</f>
        <v>0</v>
      </c>
      <c r="CK41">
        <f>IF(P41=0,0,COUNTIF('Transect 3_imgsummary'!E41:I41,"ASP")*100/P41)</f>
        <v>0</v>
      </c>
      <c r="CL41">
        <f>IF(P41=0,0,COUNTIF('Transect 3_imgsummary'!E41:I41,"BG")*100/P41)</f>
        <v>0</v>
      </c>
      <c r="CM41">
        <f>IF(P41=0,0,COUNTIF('Transect 3_imgsummary'!E41:I41,"Bood")*100/P41)</f>
        <v>0</v>
      </c>
      <c r="CN41">
        <f>IF(P41=0,0,COUNTIF('Transect 3_imgsummary'!E41:I41,"BRYP")*100/P41)</f>
        <v>0</v>
      </c>
      <c r="CO41">
        <f>IF(P41=0,0,COUNTIF('Transect 3_imgsummary'!E41:I41,"CLP")*100/P41)</f>
        <v>0</v>
      </c>
      <c r="CP41">
        <f>IF(P41=0,0,COUNTIF('Transect 3_imgsummary'!E41:I41,"CHLDES")*100/P41)</f>
        <v>0</v>
      </c>
      <c r="CQ41">
        <f>IF(P41=0,0,COUNTIF('Transect 3_imgsummary'!E41:I41,"DYCTY")*100/P41)</f>
        <v>0</v>
      </c>
      <c r="CR41">
        <f>IF(P41=0,0,COUNTIF('Transect 3_imgsummary'!E41:I41,"DICT")*100/P41)</f>
        <v>0</v>
      </c>
      <c r="CS41">
        <f>IF(P41=0,0,COUNTIF('Transect 3_imgsummary'!E41:I41,"GLXU")*100/P41)</f>
        <v>0</v>
      </c>
      <c r="CT41">
        <f>IF(P41=0,0,COUNTIF('Transect 3_imgsummary'!E41:I41,"HALI")*100/P41)</f>
        <v>0</v>
      </c>
      <c r="CU41">
        <f>IF(P41=0,0,COUNTIF('Transect 3_imgsummary'!E41:I41,"LIAG")*100/P41)</f>
        <v>0</v>
      </c>
      <c r="CV41">
        <f>IF(P41=0,0,COUNTIF('Transect 3_imgsummary'!E41:I41,"LOBO")*100/P41)</f>
        <v>0</v>
      </c>
      <c r="CW41">
        <f>IF(P41=0,0,COUNTIF('Transect 3_imgsummary'!E41:I41,"MAST")*100/P41)</f>
        <v>0</v>
      </c>
      <c r="CX41">
        <f>IF(P41=0,0,COUNTIF('Transect 3_imgsummary'!E41:I41,"MICDTY")*100/P41)</f>
        <v>0</v>
      </c>
      <c r="CY41">
        <f>IF(P41=0,0,COUNTIF('Transect 3_imgsummary'!E41:I41,"NEOM")*100/P41)</f>
        <v>0</v>
      </c>
      <c r="CZ41">
        <f>IF(P41=0,0,COUNTIF('Transect 3_imgsummary'!E41:I41,"NOIDMAC")*100/P41)</f>
        <v>0</v>
      </c>
      <c r="DA41">
        <f>IF(P41=0,0,COUNTIF('Transect 3_imgsummary'!E41:I41,"PAD")*100/P41)</f>
        <v>0</v>
      </c>
      <c r="DB41">
        <f>IF(P41=0,0,COUNTIF('Transect 3_imgsummary'!E41:I41,"SARG")*100/P41)</f>
        <v>0</v>
      </c>
      <c r="DC41">
        <f>IF(P41=0,0,COUNTIF('Transect 3_imgsummary'!E41:I41,"SCHIZ")*100/P41)</f>
        <v>0</v>
      </c>
      <c r="DD41">
        <f>IF(P41=0,0,COUNTIF('Transect 3_imgsummary'!E41:I41,"TURB")*100/P41)</f>
        <v>0</v>
      </c>
      <c r="DE41">
        <f>IF(P41=0,0,COUNTIF('Transect 3_imgsummary'!E41:I41,"TYDM")*100/P41)</f>
        <v>0</v>
      </c>
      <c r="DG41">
        <f>IF(P41=0,0,COUNTIF('Transect 3_imgsummary'!E41:I41,"AMP")*100/P41)</f>
        <v>0</v>
      </c>
      <c r="DH41">
        <f>IF(P41=0,0,COUNTIF('Transect 3_imgsummary'!E41:I41,"BCA1")*100/P41)</f>
        <v>0</v>
      </c>
      <c r="DI41">
        <f>IF(P41=0,0,COUNTIF('Transect 3_imgsummary'!E41:I41,"JAN")*100/P41)</f>
        <v>0</v>
      </c>
      <c r="DK41" s="29">
        <f>IF(P41=0,0,COUNTIF('Transect 3_imgsummary'!E41:I41,"CCA1")*100/P41)</f>
        <v>40</v>
      </c>
      <c r="DM41">
        <f>IF(P41=0,0,COUNTIF('Transect 3_imgsummary'!E41:I41,"Sand")*100/P41)</f>
        <v>0</v>
      </c>
      <c r="DO41">
        <f>IF(P41=0,0,COUNTIF('Transect 3_imgsummary'!E41:I41,"FCA1")*100/P41)</f>
        <v>0</v>
      </c>
      <c r="DQ41">
        <f>IF(P41=0,0,COUNTIF('Transect 3_imgsummary'!E41:I41,"CHRYOBRN")*100/P41)</f>
        <v>0</v>
      </c>
      <c r="DS41" s="29">
        <f>IF(P41=0,0,COUNTIF('Transect 3_imgsummary'!E41:I41,"TURF")*100/P41)</f>
        <v>20</v>
      </c>
      <c r="DU41">
        <f>COUNTIF('Transect 3_imgsummary'!E41:I41,"Shadow")*100/5</f>
        <v>0</v>
      </c>
      <c r="DV41">
        <f>COUNTIF('Transect 3_imgsummary'!E41:I41,"Tape")*100/5</f>
        <v>0</v>
      </c>
      <c r="DW41">
        <f>COUNTIF('Transect 3_imgsummary'!E41:I41,"Wand")*100/5</f>
        <v>0</v>
      </c>
      <c r="DY41">
        <f>IF(P41=0,0,COUNTIF('Transect 3_imgsummary'!O41:S41,"BC")*100/P41)</f>
        <v>0</v>
      </c>
    </row>
    <row r="42" spans="1:129">
      <c r="A42">
        <v>40</v>
      </c>
      <c r="B42" t="s">
        <v>529</v>
      </c>
      <c r="F42" s="29">
        <f>IF(P42=0,0,COUNTIF('Transect 3_imgsummary'!J42:N42,"C")*100/P42)</f>
        <v>80</v>
      </c>
      <c r="G42">
        <f>IF(P42=0,0,COUNTIF('Transect 3_imgsummary'!J42:N42,"OI")*100/P42)</f>
        <v>0</v>
      </c>
      <c r="H42">
        <f>IF(P42=0,0,COUNTIF('Transect 3_imgsummary'!J42:N42,"MA")*100/P42)</f>
        <v>0</v>
      </c>
      <c r="I42">
        <f>IF(P42=0,0,COUNTIF('Transect 3_imgsummary'!J42:N42,"BCA")*100/P42)</f>
        <v>0</v>
      </c>
      <c r="J42">
        <f>IF(P42=0,0,COUNTIF('Transect 3_imgsummary'!J42:N42,"CCA")*100/P42)</f>
        <v>0</v>
      </c>
      <c r="K42">
        <f>IF(P42=0,0,COUNTIF('Transect 3_imgsummary'!J42:N42,"SD")*100/P42)</f>
        <v>0</v>
      </c>
      <c r="L42">
        <f>IF(P42=0,0,COUNTIF('Transect 3_imgsummary'!J42:N42,"FCA")*100/P42)</f>
        <v>0</v>
      </c>
      <c r="M42">
        <f>IF(P42=0,0,COUNTIF('Transect 3_imgsummary'!J42:N42,"CHRYS")*100/P42)</f>
        <v>0</v>
      </c>
      <c r="N42" s="29">
        <f>IF(P42=0,0,COUNTIF('Transect 3_imgsummary'!J42:N42,"T")*100/P42)</f>
        <v>20</v>
      </c>
      <c r="O42">
        <f>IF(P42=0,0,COUNTIF('Transect 3_imgsummary'!J42:N42,"TWS")*100/P42)</f>
        <v>0</v>
      </c>
      <c r="P42">
        <f>5-COUNTIF('Transect 3_imgsummary'!J42:N42,"TWS")</f>
        <v>5</v>
      </c>
      <c r="S42">
        <f>IF(P42=0,0,COUNTIF('Transect 3_imgsummary'!E42:I42,"ACAN")*100/P42)</f>
        <v>0</v>
      </c>
      <c r="T42">
        <f>IF(P42=0,0,COUNTIF('Transect 3_imgsummary'!E42:I42,"ACROP")*100/P42)</f>
        <v>0</v>
      </c>
      <c r="U42">
        <f>IF(P42=0,0,COUNTIF('Transect 3_imgsummary'!E42:I42,"ACROPARB")*100/P42)</f>
        <v>0</v>
      </c>
      <c r="V42">
        <f>IF(P42=0,0,COUNTIF('Transect 3_imgsummary'!E42:I42,"ACROST")*100/P42)</f>
        <v>0</v>
      </c>
      <c r="W42" s="29">
        <f>IF(P42=0,0,COUNTIF('Transect 3_imgsummary'!E42:I42,"ACROTBL")*100/P42)</f>
        <v>20</v>
      </c>
      <c r="X42">
        <f>IF(P42=0,0,COUNTIF('Transect 3_imgsummary'!E42:I42,"ASTRP")*100/P42)</f>
        <v>0</v>
      </c>
      <c r="Y42">
        <f>IF(P42=0,0,COUNTIF('Transect 3_imgsummary'!E42:I42,"CAUL")*100/P42)</f>
        <v>0</v>
      </c>
      <c r="Z42">
        <f>IF(P42=0,0,COUNTIF('Transect 3_imgsummary'!E42:I42,"COSC")*100/P42)</f>
        <v>0</v>
      </c>
      <c r="AA42">
        <f>IF(P42=0,0,COUNTIF('Transect 3_imgsummary'!E42:I42,"CTEN")*100/P42)</f>
        <v>0</v>
      </c>
      <c r="AB42">
        <f>IF(P42=0,0,COUNTIF('Transect 3_imgsummary'!E42:I42,"CYPH")*100/P42)</f>
        <v>0</v>
      </c>
      <c r="AC42">
        <f>IF(P42=0,0,COUNTIF('Transect 3_imgsummary'!E42:I42,"DIPLO")*100/P42)</f>
        <v>0</v>
      </c>
      <c r="AD42">
        <f>IF(P42=0,0,COUNTIF('Transect 3_imgsummary'!E42:I42,"ECHPO")*100/P42)</f>
        <v>0</v>
      </c>
      <c r="AE42">
        <f>IF(P42=0,0,COUNTIF('Transect 3_imgsummary'!E42:I42,"ECHPHY")*100/P42)</f>
        <v>0</v>
      </c>
      <c r="AF42">
        <f>IF(P42=0,0,COUNTIF('Transect 3_imgsummary'!E42:I42,"EUPH")*100/P42)</f>
        <v>0</v>
      </c>
      <c r="AG42">
        <f>IF(P42=0,0,COUNTIF('Transect 3_imgsummary'!E42:I42,"FAV")*100/P42)</f>
        <v>0</v>
      </c>
      <c r="AH42">
        <f>IF(P42=0,0,COUNTIF('Transect 3_imgsummary'!E42:I42,"FAVT")*100/P42)</f>
        <v>0</v>
      </c>
      <c r="AI42">
        <f>IF(P42=0,0,COUNTIF('Transect 3_imgsummary'!E42:I42,"FUNG")*100/P42)</f>
        <v>0</v>
      </c>
      <c r="AJ42">
        <f>IF(P42=0,0,COUNTIF('Transect 3_imgsummary'!E42:I42,"GAL")*100/P42)</f>
        <v>0</v>
      </c>
      <c r="AK42">
        <f>IF(P42=0,0,COUNTIF('Transect 3_imgsummary'!E42:I42,"GARD")*100/P42)</f>
        <v>0</v>
      </c>
      <c r="AL42" s="29">
        <f>IF(P42=0,0,COUNTIF('Transect 3_imgsummary'!E42:I42,"GON")*100/P42)</f>
        <v>40</v>
      </c>
      <c r="AM42">
        <f>IF(P42=0,0,COUNTIF('Transect 3_imgsummary'!E42:I42,"GONIO")*100/P42)</f>
        <v>0</v>
      </c>
      <c r="AN42">
        <f>IF(P42=0,0,COUNTIF('Transect 3_imgsummary'!E42:I42,"HELIO")*100/P42)</f>
        <v>0</v>
      </c>
      <c r="AO42">
        <f>IF(P42=0,0,COUNTIF('Transect 3_imgsummary'!E42:I42,"HERP")*100/P42)</f>
        <v>0</v>
      </c>
      <c r="AP42">
        <f>IF(P42=0,0,COUNTIF('Transect 3_imgsummary'!E42:I42,"HYD")*100/P42)</f>
        <v>0</v>
      </c>
      <c r="AQ42">
        <f>IF(P42=0,0,COUNTIF('Transect 3_imgsummary'!E42:I42,"ISOP")*100/P42)</f>
        <v>0</v>
      </c>
      <c r="AR42">
        <f>IF(P42=0,0,COUNTIF('Transect 3_imgsummary'!E42:I42,"LEPT")*100/P42)</f>
        <v>0</v>
      </c>
      <c r="AS42">
        <f>IF(P42=0,0,COUNTIF('Transect 3_imgsummary'!E42:I42,"LEPTOR")*100/P42)</f>
        <v>0</v>
      </c>
      <c r="AT42">
        <f>IF(P42=0,0,COUNTIF('Transect 3_imgsummary'!E42:I42,"LEPTOS")*100/P42)</f>
        <v>0</v>
      </c>
      <c r="AU42">
        <f>IF(P42=0,0,COUNTIF('Transect 3_imgsummary'!E42:I42,"LOBOPH")*100/P42)</f>
        <v>0</v>
      </c>
      <c r="AV42">
        <f>IF(P42=0,0,COUNTIF('Transect 3_imgsummary'!E42:I42,"MERU")*100/P42)</f>
        <v>0</v>
      </c>
      <c r="AW42">
        <f>IF(P42=0,0,COUNTIF('Transect 3_imgsummary'!E42:I42,"MILL")*100/P42)</f>
        <v>0</v>
      </c>
      <c r="AX42">
        <f>IF(P42=0,0,COUNTIF('Transect 3_imgsummary'!E42:I42,"MONT")*100/P42)</f>
        <v>0</v>
      </c>
      <c r="AY42">
        <f>IF(P42=0,0,COUNTIF('Transect 3_imgsummary'!E42:I42,"MONTI")*100/P42)</f>
        <v>0</v>
      </c>
      <c r="AZ42">
        <f>IF(P42=0,0,COUNTIF('Transect 3_imgsummary'!E42:I42,"MYCED")*100/P42)</f>
        <v>0</v>
      </c>
      <c r="BA42">
        <f>IF(P42=0,0,COUNTIF('Transect 3_imgsummary'!E42:I42,"OULO")*100/P42)</f>
        <v>0</v>
      </c>
      <c r="BB42">
        <f>IF(P42=0,0,COUNTIF('Transect 3_imgsummary'!E42:I42,"OXYP")*100/P42)</f>
        <v>0</v>
      </c>
      <c r="BC42">
        <f>IF(P42=0,0,COUNTIF('Transect 3_imgsummary'!E42:I42,"PLSIA")*100/P42)</f>
        <v>0</v>
      </c>
      <c r="BD42">
        <f>IF(P42=0,0,COUNTIF('Transect 3_imgsummary'!E42:I42,"PACHY")*100/P42)</f>
        <v>0</v>
      </c>
      <c r="BE42">
        <f>IF(P42=0,0,COUNTIF('Transect 3_imgsummary'!E42:I42,"PAV")*100/P42)</f>
        <v>0</v>
      </c>
      <c r="BF42">
        <f>IF(P42=0,0,COUNTIF('Transect 3_imgsummary'!E42:I42,"PECT")*100/P42)</f>
        <v>0</v>
      </c>
      <c r="BG42">
        <f>IF(P42=0,0,COUNTIF('Transect 3_imgsummary'!E42:I42,"PHYSO")*100/P42)</f>
        <v>0</v>
      </c>
      <c r="BH42">
        <f>IF(P42=0,0,COUNTIF('Transect 3_imgsummary'!E42:I42,"PLAT")*100/P42)</f>
        <v>0</v>
      </c>
      <c r="BI42">
        <f>IF(P42=0,0,COUNTIF('Transect 3_imgsummary'!E42:I42,"PLERO")*100/P42)</f>
        <v>0</v>
      </c>
      <c r="BJ42">
        <f>IF(P42=0,0,COUNTIF('Transect 3_imgsummary'!E42:I42,"POC")*100/P42)</f>
        <v>0</v>
      </c>
      <c r="BK42">
        <f>IF(P42=0,0,COUNTIF('Transect 3_imgsummary'!E42:I42,"POR")*100/P42)</f>
        <v>0</v>
      </c>
      <c r="BL42">
        <f>IF(P42=0,0,COUNTIF('Transect 3_imgsummary'!E42:I42,"PORCYL")*100/P42)</f>
        <v>0</v>
      </c>
      <c r="BM42">
        <f>IF(P42=0,0,COUNTIF('Transect 3_imgsummary'!E42:I42,"PORMAS")*100/P42)</f>
        <v>0</v>
      </c>
      <c r="BN42">
        <f>IF(P42=0,0,COUNTIF('Transect 3_imgsummary'!E42:I42,"PORRUS")*100/P42)</f>
        <v>0</v>
      </c>
      <c r="BO42">
        <f>IF(P42=0,0,COUNTIF('Transect 3_imgsummary'!E42:I42,"PSAM")*100/P42)</f>
        <v>0</v>
      </c>
      <c r="BP42">
        <f>IF(P42=0,0,COUNTIF('Transect 3_imgsummary'!E42:I42,"SANDO")*100/P42)</f>
        <v>0</v>
      </c>
      <c r="BQ42">
        <f>IF(P42=0,0,COUNTIF('Transect 3_imgsummary'!E42:I42,"SCAP")*100/P42)</f>
        <v>0</v>
      </c>
      <c r="BR42">
        <f>IF(P42=0,0,COUNTIF('Transect 3_imgsummary'!E42:I42,"SERIA")*100/P42)</f>
        <v>0</v>
      </c>
      <c r="BS42">
        <f>IF(P42=0,0,COUNTIF('Transect 3_imgsummary'!E42:I42,"STYLC")*100/P42)</f>
        <v>0</v>
      </c>
      <c r="BT42" s="29">
        <f>IF(P42=0,0,COUNTIF('Transect 3_imgsummary'!E42:I42,"STYLO")*100/P42)</f>
        <v>20</v>
      </c>
      <c r="BU42">
        <f>IF(P42=0,0,COUNTIF('Transect 3_imgsummary'!E42:I42,"SYMP")*100/P42)</f>
        <v>0</v>
      </c>
      <c r="BV42">
        <f>IF(P42=0,0,COUNTIF('Transect 3_imgsummary'!E42:I42,"TURBIN")*100/P42)</f>
        <v>0</v>
      </c>
      <c r="BX42">
        <f>IF(P42=0,0,COUNTIF('Transect 3_imgsummary'!E42:I42,"ANEM")*100/P42)</f>
        <v>0</v>
      </c>
      <c r="BY42">
        <f>IF(P42=0,0,COUNTIF('Transect 3_imgsummary'!E42:I42,"ASC")*100/P42)</f>
        <v>0</v>
      </c>
      <c r="BZ42">
        <f>IF(P42=0,0,COUNTIF('Transect 3_imgsummary'!E42:I42,"CUPS")*100/P42)</f>
        <v>0</v>
      </c>
      <c r="CA42">
        <f>IF(P42=0,0,COUNTIF('Transect 3_imgsummary'!E42:I42,"DISCO")*100/P42)</f>
        <v>0</v>
      </c>
      <c r="CB42">
        <f>IF(P42=0,0,COUNTIF('Transect 3_imgsummary'!E42:I42,"DYS")*100/P42)</f>
        <v>0</v>
      </c>
      <c r="CC42">
        <f>IF(P42=0,0,COUNTIF('Transect 3_imgsummary'!E42:I42,"G")*100/P42)</f>
        <v>0</v>
      </c>
      <c r="CD42">
        <f>IF(P42=0,0,COUNTIF('Transect 3_imgsummary'!E42:I42,"NoIDINV")*100/P42)</f>
        <v>0</v>
      </c>
      <c r="CE42">
        <f>IF(P42=0,0,COUNTIF('Transect 3_imgsummary'!E42:I42,"OLV")*100/P42)</f>
        <v>0</v>
      </c>
      <c r="CF42">
        <f>IF(P42=0,0,COUNTIF('Transect 3_imgsummary'!E42:I42,"SC")*100/P42)</f>
        <v>0</v>
      </c>
      <c r="CG42">
        <f>IF(P42=0,0,COUNTIF('Transect 3_imgsummary'!E42:I42,"S")*100/P42)</f>
        <v>0</v>
      </c>
      <c r="CH42">
        <f>IF(P42=0,0,COUNTIF('Transect 3_imgsummary'!E42:I42,"TERPS")*100/P42)</f>
        <v>0</v>
      </c>
      <c r="CI42">
        <f>IF(P42=0,0,COUNTIF('Transect 3_imgsummary'!E42:I42,"Z")*100/P42)</f>
        <v>0</v>
      </c>
      <c r="CK42">
        <f>IF(P42=0,0,COUNTIF('Transect 3_imgsummary'!E42:I42,"ASP")*100/P42)</f>
        <v>0</v>
      </c>
      <c r="CL42">
        <f>IF(P42=0,0,COUNTIF('Transect 3_imgsummary'!E42:I42,"BG")*100/P42)</f>
        <v>0</v>
      </c>
      <c r="CM42">
        <f>IF(P42=0,0,COUNTIF('Transect 3_imgsummary'!E42:I42,"Bood")*100/P42)</f>
        <v>0</v>
      </c>
      <c r="CN42">
        <f>IF(P42=0,0,COUNTIF('Transect 3_imgsummary'!E42:I42,"BRYP")*100/P42)</f>
        <v>0</v>
      </c>
      <c r="CO42">
        <f>IF(P42=0,0,COUNTIF('Transect 3_imgsummary'!E42:I42,"CLP")*100/P42)</f>
        <v>0</v>
      </c>
      <c r="CP42">
        <f>IF(P42=0,0,COUNTIF('Transect 3_imgsummary'!E42:I42,"CHLDES")*100/P42)</f>
        <v>0</v>
      </c>
      <c r="CQ42">
        <f>IF(P42=0,0,COUNTIF('Transect 3_imgsummary'!E42:I42,"DYCTY")*100/P42)</f>
        <v>0</v>
      </c>
      <c r="CR42">
        <f>IF(P42=0,0,COUNTIF('Transect 3_imgsummary'!E42:I42,"DICT")*100/P42)</f>
        <v>0</v>
      </c>
      <c r="CS42">
        <f>IF(P42=0,0,COUNTIF('Transect 3_imgsummary'!E42:I42,"GLXU")*100/P42)</f>
        <v>0</v>
      </c>
      <c r="CT42">
        <f>IF(P42=0,0,COUNTIF('Transect 3_imgsummary'!E42:I42,"HALI")*100/P42)</f>
        <v>0</v>
      </c>
      <c r="CU42">
        <f>IF(P42=0,0,COUNTIF('Transect 3_imgsummary'!E42:I42,"LIAG")*100/P42)</f>
        <v>0</v>
      </c>
      <c r="CV42">
        <f>IF(P42=0,0,COUNTIF('Transect 3_imgsummary'!E42:I42,"LOBO")*100/P42)</f>
        <v>0</v>
      </c>
      <c r="CW42">
        <f>IF(P42=0,0,COUNTIF('Transect 3_imgsummary'!E42:I42,"MAST")*100/P42)</f>
        <v>0</v>
      </c>
      <c r="CX42">
        <f>IF(P42=0,0,COUNTIF('Transect 3_imgsummary'!E42:I42,"MICDTY")*100/P42)</f>
        <v>0</v>
      </c>
      <c r="CY42">
        <f>IF(P42=0,0,COUNTIF('Transect 3_imgsummary'!E42:I42,"NEOM")*100/P42)</f>
        <v>0</v>
      </c>
      <c r="CZ42">
        <f>IF(P42=0,0,COUNTIF('Transect 3_imgsummary'!E42:I42,"NOIDMAC")*100/P42)</f>
        <v>0</v>
      </c>
      <c r="DA42">
        <f>IF(P42=0,0,COUNTIF('Transect 3_imgsummary'!E42:I42,"PAD")*100/P42)</f>
        <v>0</v>
      </c>
      <c r="DB42">
        <f>IF(P42=0,0,COUNTIF('Transect 3_imgsummary'!E42:I42,"SARG")*100/P42)</f>
        <v>0</v>
      </c>
      <c r="DC42">
        <f>IF(P42=0,0,COUNTIF('Transect 3_imgsummary'!E42:I42,"SCHIZ")*100/P42)</f>
        <v>0</v>
      </c>
      <c r="DD42">
        <f>IF(P42=0,0,COUNTIF('Transect 3_imgsummary'!E42:I42,"TURB")*100/P42)</f>
        <v>0</v>
      </c>
      <c r="DE42">
        <f>IF(P42=0,0,COUNTIF('Transect 3_imgsummary'!E42:I42,"TYDM")*100/P42)</f>
        <v>0</v>
      </c>
      <c r="DG42">
        <f>IF(P42=0,0,COUNTIF('Transect 3_imgsummary'!E42:I42,"AMP")*100/P42)</f>
        <v>0</v>
      </c>
      <c r="DH42">
        <f>IF(P42=0,0,COUNTIF('Transect 3_imgsummary'!E42:I42,"BCA1")*100/P42)</f>
        <v>0</v>
      </c>
      <c r="DI42">
        <f>IF(P42=0,0,COUNTIF('Transect 3_imgsummary'!E42:I42,"JAN")*100/P42)</f>
        <v>0</v>
      </c>
      <c r="DK42">
        <f>IF(P42=0,0,COUNTIF('Transect 3_imgsummary'!E42:I42,"CCA1")*100/P42)</f>
        <v>0</v>
      </c>
      <c r="DM42">
        <f>IF(P42=0,0,COUNTIF('Transect 3_imgsummary'!E42:I42,"Sand")*100/P42)</f>
        <v>0</v>
      </c>
      <c r="DO42">
        <f>IF(P42=0,0,COUNTIF('Transect 3_imgsummary'!E42:I42,"FCA1")*100/P42)</f>
        <v>0</v>
      </c>
      <c r="DQ42">
        <f>IF(P42=0,0,COUNTIF('Transect 3_imgsummary'!E42:I42,"CHRYOBRN")*100/P42)</f>
        <v>0</v>
      </c>
      <c r="DS42" s="29">
        <f>IF(P42=0,0,COUNTIF('Transect 3_imgsummary'!E42:I42,"TURF")*100/P42)</f>
        <v>20</v>
      </c>
      <c r="DU42">
        <f>COUNTIF('Transect 3_imgsummary'!E42:I42,"Shadow")*100/5</f>
        <v>0</v>
      </c>
      <c r="DV42">
        <f>COUNTIF('Transect 3_imgsummary'!E42:I42,"Tape")*100/5</f>
        <v>0</v>
      </c>
      <c r="DW42">
        <f>COUNTIF('Transect 3_imgsummary'!E42:I42,"Wand")*100/5</f>
        <v>0</v>
      </c>
      <c r="DY42">
        <f>IF(P42=0,0,COUNTIF('Transect 3_imgsummary'!O42:S42,"BC")*100/P42)</f>
        <v>0</v>
      </c>
    </row>
    <row r="43" spans="1:129">
      <c r="A43">
        <v>41</v>
      </c>
      <c r="B43" t="s">
        <v>530</v>
      </c>
      <c r="F43" s="29">
        <f>IF(P43=0,0,COUNTIF('Transect 3_imgsummary'!J43:N43,"C")*100/P43)</f>
        <v>100</v>
      </c>
      <c r="G43">
        <f>IF(P43=0,0,COUNTIF('Transect 3_imgsummary'!J43:N43,"OI")*100/P43)</f>
        <v>0</v>
      </c>
      <c r="H43">
        <f>IF(P43=0,0,COUNTIF('Transect 3_imgsummary'!J43:N43,"MA")*100/P43)</f>
        <v>0</v>
      </c>
      <c r="I43">
        <f>IF(P43=0,0,COUNTIF('Transect 3_imgsummary'!J43:N43,"BCA")*100/P43)</f>
        <v>0</v>
      </c>
      <c r="J43">
        <f>IF(P43=0,0,COUNTIF('Transect 3_imgsummary'!J43:N43,"CCA")*100/P43)</f>
        <v>0</v>
      </c>
      <c r="K43">
        <f>IF(P43=0,0,COUNTIF('Transect 3_imgsummary'!J43:N43,"SD")*100/P43)</f>
        <v>0</v>
      </c>
      <c r="L43">
        <f>IF(P43=0,0,COUNTIF('Transect 3_imgsummary'!J43:N43,"FCA")*100/P43)</f>
        <v>0</v>
      </c>
      <c r="M43">
        <f>IF(P43=0,0,COUNTIF('Transect 3_imgsummary'!J43:N43,"CHRYS")*100/P43)</f>
        <v>0</v>
      </c>
      <c r="N43">
        <f>IF(P43=0,0,COUNTIF('Transect 3_imgsummary'!J43:N43,"T")*100/P43)</f>
        <v>0</v>
      </c>
      <c r="O43">
        <f>IF(P43=0,0,COUNTIF('Transect 3_imgsummary'!J43:N43,"TWS")*100/P43)</f>
        <v>0</v>
      </c>
      <c r="P43">
        <f>5-COUNTIF('Transect 3_imgsummary'!J43:N43,"TWS")</f>
        <v>5</v>
      </c>
      <c r="S43">
        <f>IF(P43=0,0,COUNTIF('Transect 3_imgsummary'!E43:I43,"ACAN")*100/P43)</f>
        <v>0</v>
      </c>
      <c r="T43">
        <f>IF(P43=0,0,COUNTIF('Transect 3_imgsummary'!E43:I43,"ACROP")*100/P43)</f>
        <v>0</v>
      </c>
      <c r="U43">
        <f>IF(P43=0,0,COUNTIF('Transect 3_imgsummary'!E43:I43,"ACROPARB")*100/P43)</f>
        <v>0</v>
      </c>
      <c r="V43">
        <f>IF(P43=0,0,COUNTIF('Transect 3_imgsummary'!E43:I43,"ACROST")*100/P43)</f>
        <v>0</v>
      </c>
      <c r="W43">
        <f>IF(P43=0,0,COUNTIF('Transect 3_imgsummary'!E43:I43,"ACROTBL")*100/P43)</f>
        <v>0</v>
      </c>
      <c r="X43">
        <f>IF(P43=0,0,COUNTIF('Transect 3_imgsummary'!E43:I43,"ASTRP")*100/P43)</f>
        <v>0</v>
      </c>
      <c r="Y43">
        <f>IF(P43=0,0,COUNTIF('Transect 3_imgsummary'!E43:I43,"CAUL")*100/P43)</f>
        <v>0</v>
      </c>
      <c r="Z43">
        <f>IF(P43=0,0,COUNTIF('Transect 3_imgsummary'!E43:I43,"COSC")*100/P43)</f>
        <v>0</v>
      </c>
      <c r="AA43">
        <f>IF(P43=0,0,COUNTIF('Transect 3_imgsummary'!E43:I43,"CTEN")*100/P43)</f>
        <v>0</v>
      </c>
      <c r="AB43">
        <f>IF(P43=0,0,COUNTIF('Transect 3_imgsummary'!E43:I43,"CYPH")*100/P43)</f>
        <v>0</v>
      </c>
      <c r="AC43">
        <f>IF(P43=0,0,COUNTIF('Transect 3_imgsummary'!E43:I43,"DIPLO")*100/P43)</f>
        <v>0</v>
      </c>
      <c r="AD43" s="29">
        <f>IF(P43=0,0,COUNTIF('Transect 3_imgsummary'!E43:I43,"ECHPO")*100/P43)</f>
        <v>100</v>
      </c>
      <c r="AE43">
        <f>IF(P43=0,0,COUNTIF('Transect 3_imgsummary'!E43:I43,"ECHPHY")*100/P43)</f>
        <v>0</v>
      </c>
      <c r="AF43">
        <f>IF(P43=0,0,COUNTIF('Transect 3_imgsummary'!E43:I43,"EUPH")*100/P43)</f>
        <v>0</v>
      </c>
      <c r="AG43">
        <f>IF(P43=0,0,COUNTIF('Transect 3_imgsummary'!E43:I43,"FAV")*100/P43)</f>
        <v>0</v>
      </c>
      <c r="AH43">
        <f>IF(P43=0,0,COUNTIF('Transect 3_imgsummary'!E43:I43,"FAVT")*100/P43)</f>
        <v>0</v>
      </c>
      <c r="AI43">
        <f>IF(P43=0,0,COUNTIF('Transect 3_imgsummary'!E43:I43,"FUNG")*100/P43)</f>
        <v>0</v>
      </c>
      <c r="AJ43">
        <f>IF(P43=0,0,COUNTIF('Transect 3_imgsummary'!E43:I43,"GAL")*100/P43)</f>
        <v>0</v>
      </c>
      <c r="AK43">
        <f>IF(P43=0,0,COUNTIF('Transect 3_imgsummary'!E43:I43,"GARD")*100/P43)</f>
        <v>0</v>
      </c>
      <c r="AL43">
        <f>IF(P43=0,0,COUNTIF('Transect 3_imgsummary'!E43:I43,"GON")*100/P43)</f>
        <v>0</v>
      </c>
      <c r="AM43">
        <f>IF(P43=0,0,COUNTIF('Transect 3_imgsummary'!E43:I43,"GONIO")*100/P43)</f>
        <v>0</v>
      </c>
      <c r="AN43">
        <f>IF(P43=0,0,COUNTIF('Transect 3_imgsummary'!E43:I43,"HELIO")*100/P43)</f>
        <v>0</v>
      </c>
      <c r="AO43">
        <f>IF(P43=0,0,COUNTIF('Transect 3_imgsummary'!E43:I43,"HERP")*100/P43)</f>
        <v>0</v>
      </c>
      <c r="AP43">
        <f>IF(P43=0,0,COUNTIF('Transect 3_imgsummary'!E43:I43,"HYD")*100/P43)</f>
        <v>0</v>
      </c>
      <c r="AQ43">
        <f>IF(P43=0,0,COUNTIF('Transect 3_imgsummary'!E43:I43,"ISOP")*100/P43)</f>
        <v>0</v>
      </c>
      <c r="AR43">
        <f>IF(P43=0,0,COUNTIF('Transect 3_imgsummary'!E43:I43,"LEPT")*100/P43)</f>
        <v>0</v>
      </c>
      <c r="AS43">
        <f>IF(P43=0,0,COUNTIF('Transect 3_imgsummary'!E43:I43,"LEPTOR")*100/P43)</f>
        <v>0</v>
      </c>
      <c r="AT43">
        <f>IF(P43=0,0,COUNTIF('Transect 3_imgsummary'!E43:I43,"LEPTOS")*100/P43)</f>
        <v>0</v>
      </c>
      <c r="AU43">
        <f>IF(P43=0,0,COUNTIF('Transect 3_imgsummary'!E43:I43,"LOBOPH")*100/P43)</f>
        <v>0</v>
      </c>
      <c r="AV43">
        <f>IF(P43=0,0,COUNTIF('Transect 3_imgsummary'!E43:I43,"MERU")*100/P43)</f>
        <v>0</v>
      </c>
      <c r="AW43">
        <f>IF(P43=0,0,COUNTIF('Transect 3_imgsummary'!E43:I43,"MILL")*100/P43)</f>
        <v>0</v>
      </c>
      <c r="AX43">
        <f>IF(P43=0,0,COUNTIF('Transect 3_imgsummary'!E43:I43,"MONT")*100/P43)</f>
        <v>0</v>
      </c>
      <c r="AY43">
        <f>IF(P43=0,0,COUNTIF('Transect 3_imgsummary'!E43:I43,"MONTI")*100/P43)</f>
        <v>0</v>
      </c>
      <c r="AZ43">
        <f>IF(P43=0,0,COUNTIF('Transect 3_imgsummary'!E43:I43,"MYCED")*100/P43)</f>
        <v>0</v>
      </c>
      <c r="BA43">
        <f>IF(P43=0,0,COUNTIF('Transect 3_imgsummary'!E43:I43,"OULO")*100/P43)</f>
        <v>0</v>
      </c>
      <c r="BB43">
        <f>IF(P43=0,0,COUNTIF('Transect 3_imgsummary'!E43:I43,"OXYP")*100/P43)</f>
        <v>0</v>
      </c>
      <c r="BC43">
        <f>IF(P43=0,0,COUNTIF('Transect 3_imgsummary'!E43:I43,"PLSIA")*100/P43)</f>
        <v>0</v>
      </c>
      <c r="BD43">
        <f>IF(P43=0,0,COUNTIF('Transect 3_imgsummary'!E43:I43,"PACHY")*100/P43)</f>
        <v>0</v>
      </c>
      <c r="BE43">
        <f>IF(P43=0,0,COUNTIF('Transect 3_imgsummary'!E43:I43,"PAV")*100/P43)</f>
        <v>0</v>
      </c>
      <c r="BF43">
        <f>IF(P43=0,0,COUNTIF('Transect 3_imgsummary'!E43:I43,"PECT")*100/P43)</f>
        <v>0</v>
      </c>
      <c r="BG43">
        <f>IF(P43=0,0,COUNTIF('Transect 3_imgsummary'!E43:I43,"PHYSO")*100/P43)</f>
        <v>0</v>
      </c>
      <c r="BH43">
        <f>IF(P43=0,0,COUNTIF('Transect 3_imgsummary'!E43:I43,"PLAT")*100/P43)</f>
        <v>0</v>
      </c>
      <c r="BI43">
        <f>IF(P43=0,0,COUNTIF('Transect 3_imgsummary'!E43:I43,"PLERO")*100/P43)</f>
        <v>0</v>
      </c>
      <c r="BJ43">
        <f>IF(P43=0,0,COUNTIF('Transect 3_imgsummary'!E43:I43,"POC")*100/P43)</f>
        <v>0</v>
      </c>
      <c r="BK43">
        <f>IF(P43=0,0,COUNTIF('Transect 3_imgsummary'!E43:I43,"POR")*100/P43)</f>
        <v>0</v>
      </c>
      <c r="BL43">
        <f>IF(P43=0,0,COUNTIF('Transect 3_imgsummary'!E43:I43,"PORCYL")*100/P43)</f>
        <v>0</v>
      </c>
      <c r="BM43">
        <f>IF(P43=0,0,COUNTIF('Transect 3_imgsummary'!E43:I43,"PORMAS")*100/P43)</f>
        <v>0</v>
      </c>
      <c r="BN43">
        <f>IF(P43=0,0,COUNTIF('Transect 3_imgsummary'!E43:I43,"PORRUS")*100/P43)</f>
        <v>0</v>
      </c>
      <c r="BO43">
        <f>IF(P43=0,0,COUNTIF('Transect 3_imgsummary'!E43:I43,"PSAM")*100/P43)</f>
        <v>0</v>
      </c>
      <c r="BP43">
        <f>IF(P43=0,0,COUNTIF('Transect 3_imgsummary'!E43:I43,"SANDO")*100/P43)</f>
        <v>0</v>
      </c>
      <c r="BQ43">
        <f>IF(P43=0,0,COUNTIF('Transect 3_imgsummary'!E43:I43,"SCAP")*100/P43)</f>
        <v>0</v>
      </c>
      <c r="BR43">
        <f>IF(P43=0,0,COUNTIF('Transect 3_imgsummary'!E43:I43,"SERIA")*100/P43)</f>
        <v>0</v>
      </c>
      <c r="BS43">
        <f>IF(P43=0,0,COUNTIF('Transect 3_imgsummary'!E43:I43,"STYLC")*100/P43)</f>
        <v>0</v>
      </c>
      <c r="BT43">
        <f>IF(P43=0,0,COUNTIF('Transect 3_imgsummary'!E43:I43,"STYLO")*100/P43)</f>
        <v>0</v>
      </c>
      <c r="BU43">
        <f>IF(P43=0,0,COUNTIF('Transect 3_imgsummary'!E43:I43,"SYMP")*100/P43)</f>
        <v>0</v>
      </c>
      <c r="BV43">
        <f>IF(P43=0,0,COUNTIF('Transect 3_imgsummary'!E43:I43,"TURBIN")*100/P43)</f>
        <v>0</v>
      </c>
      <c r="BX43">
        <f>IF(P43=0,0,COUNTIF('Transect 3_imgsummary'!E43:I43,"ANEM")*100/P43)</f>
        <v>0</v>
      </c>
      <c r="BY43">
        <f>IF(P43=0,0,COUNTIF('Transect 3_imgsummary'!E43:I43,"ASC")*100/P43)</f>
        <v>0</v>
      </c>
      <c r="BZ43">
        <f>IF(P43=0,0,COUNTIF('Transect 3_imgsummary'!E43:I43,"CUPS")*100/P43)</f>
        <v>0</v>
      </c>
      <c r="CA43">
        <f>IF(P43=0,0,COUNTIF('Transect 3_imgsummary'!E43:I43,"DISCO")*100/P43)</f>
        <v>0</v>
      </c>
      <c r="CB43">
        <f>IF(P43=0,0,COUNTIF('Transect 3_imgsummary'!E43:I43,"DYS")*100/P43)</f>
        <v>0</v>
      </c>
      <c r="CC43">
        <f>IF(P43=0,0,COUNTIF('Transect 3_imgsummary'!E43:I43,"G")*100/P43)</f>
        <v>0</v>
      </c>
      <c r="CD43">
        <f>IF(P43=0,0,COUNTIF('Transect 3_imgsummary'!E43:I43,"NoIDINV")*100/P43)</f>
        <v>0</v>
      </c>
      <c r="CE43">
        <f>IF(P43=0,0,COUNTIF('Transect 3_imgsummary'!E43:I43,"OLV")*100/P43)</f>
        <v>0</v>
      </c>
      <c r="CF43">
        <f>IF(P43=0,0,COUNTIF('Transect 3_imgsummary'!E43:I43,"SC")*100/P43)</f>
        <v>0</v>
      </c>
      <c r="CG43">
        <f>IF(P43=0,0,COUNTIF('Transect 3_imgsummary'!E43:I43,"S")*100/P43)</f>
        <v>0</v>
      </c>
      <c r="CH43">
        <f>IF(P43=0,0,COUNTIF('Transect 3_imgsummary'!E43:I43,"TERPS")*100/P43)</f>
        <v>0</v>
      </c>
      <c r="CI43">
        <f>IF(P43=0,0,COUNTIF('Transect 3_imgsummary'!E43:I43,"Z")*100/P43)</f>
        <v>0</v>
      </c>
      <c r="CK43">
        <f>IF(P43=0,0,COUNTIF('Transect 3_imgsummary'!E43:I43,"ASP")*100/P43)</f>
        <v>0</v>
      </c>
      <c r="CL43">
        <f>IF(P43=0,0,COUNTIF('Transect 3_imgsummary'!E43:I43,"BG")*100/P43)</f>
        <v>0</v>
      </c>
      <c r="CM43">
        <f>IF(P43=0,0,COUNTIF('Transect 3_imgsummary'!E43:I43,"Bood")*100/P43)</f>
        <v>0</v>
      </c>
      <c r="CN43">
        <f>IF(P43=0,0,COUNTIF('Transect 3_imgsummary'!E43:I43,"BRYP")*100/P43)</f>
        <v>0</v>
      </c>
      <c r="CO43">
        <f>IF(P43=0,0,COUNTIF('Transect 3_imgsummary'!E43:I43,"CLP")*100/P43)</f>
        <v>0</v>
      </c>
      <c r="CP43">
        <f>IF(P43=0,0,COUNTIF('Transect 3_imgsummary'!E43:I43,"CHLDES")*100/P43)</f>
        <v>0</v>
      </c>
      <c r="CQ43">
        <f>IF(P43=0,0,COUNTIF('Transect 3_imgsummary'!E43:I43,"DYCTY")*100/P43)</f>
        <v>0</v>
      </c>
      <c r="CR43">
        <f>IF(P43=0,0,COUNTIF('Transect 3_imgsummary'!E43:I43,"DICT")*100/P43)</f>
        <v>0</v>
      </c>
      <c r="CS43">
        <f>IF(P43=0,0,COUNTIF('Transect 3_imgsummary'!E43:I43,"GLXU")*100/P43)</f>
        <v>0</v>
      </c>
      <c r="CT43">
        <f>IF(P43=0,0,COUNTIF('Transect 3_imgsummary'!E43:I43,"HALI")*100/P43)</f>
        <v>0</v>
      </c>
      <c r="CU43">
        <f>IF(P43=0,0,COUNTIF('Transect 3_imgsummary'!E43:I43,"LIAG")*100/P43)</f>
        <v>0</v>
      </c>
      <c r="CV43">
        <f>IF(P43=0,0,COUNTIF('Transect 3_imgsummary'!E43:I43,"LOBO")*100/P43)</f>
        <v>0</v>
      </c>
      <c r="CW43">
        <f>IF(P43=0,0,COUNTIF('Transect 3_imgsummary'!E43:I43,"MAST")*100/P43)</f>
        <v>0</v>
      </c>
      <c r="CX43">
        <f>IF(P43=0,0,COUNTIF('Transect 3_imgsummary'!E43:I43,"MICDTY")*100/P43)</f>
        <v>0</v>
      </c>
      <c r="CY43">
        <f>IF(P43=0,0,COUNTIF('Transect 3_imgsummary'!E43:I43,"NEOM")*100/P43)</f>
        <v>0</v>
      </c>
      <c r="CZ43">
        <f>IF(P43=0,0,COUNTIF('Transect 3_imgsummary'!E43:I43,"NOIDMAC")*100/P43)</f>
        <v>0</v>
      </c>
      <c r="DA43">
        <f>IF(P43=0,0,COUNTIF('Transect 3_imgsummary'!E43:I43,"PAD")*100/P43)</f>
        <v>0</v>
      </c>
      <c r="DB43">
        <f>IF(P43=0,0,COUNTIF('Transect 3_imgsummary'!E43:I43,"SARG")*100/P43)</f>
        <v>0</v>
      </c>
      <c r="DC43">
        <f>IF(P43=0,0,COUNTIF('Transect 3_imgsummary'!E43:I43,"SCHIZ")*100/P43)</f>
        <v>0</v>
      </c>
      <c r="DD43">
        <f>IF(P43=0,0,COUNTIF('Transect 3_imgsummary'!E43:I43,"TURB")*100/P43)</f>
        <v>0</v>
      </c>
      <c r="DE43">
        <f>IF(P43=0,0,COUNTIF('Transect 3_imgsummary'!E43:I43,"TYDM")*100/P43)</f>
        <v>0</v>
      </c>
      <c r="DG43">
        <f>IF(P43=0,0,COUNTIF('Transect 3_imgsummary'!E43:I43,"AMP")*100/P43)</f>
        <v>0</v>
      </c>
      <c r="DH43">
        <f>IF(P43=0,0,COUNTIF('Transect 3_imgsummary'!E43:I43,"BCA1")*100/P43)</f>
        <v>0</v>
      </c>
      <c r="DI43">
        <f>IF(P43=0,0,COUNTIF('Transect 3_imgsummary'!E43:I43,"JAN")*100/P43)</f>
        <v>0</v>
      </c>
      <c r="DK43">
        <f>IF(P43=0,0,COUNTIF('Transect 3_imgsummary'!E43:I43,"CCA1")*100/P43)</f>
        <v>0</v>
      </c>
      <c r="DM43">
        <f>IF(P43=0,0,COUNTIF('Transect 3_imgsummary'!E43:I43,"Sand")*100/P43)</f>
        <v>0</v>
      </c>
      <c r="DO43">
        <f>IF(P43=0,0,COUNTIF('Transect 3_imgsummary'!E43:I43,"FCA1")*100/P43)</f>
        <v>0</v>
      </c>
      <c r="DQ43">
        <f>IF(P43=0,0,COUNTIF('Transect 3_imgsummary'!E43:I43,"CHRYOBRN")*100/P43)</f>
        <v>0</v>
      </c>
      <c r="DS43">
        <f>IF(P43=0,0,COUNTIF('Transect 3_imgsummary'!E43:I43,"TURF")*100/P43)</f>
        <v>0</v>
      </c>
      <c r="DU43">
        <f>COUNTIF('Transect 3_imgsummary'!E43:I43,"Shadow")*100/5</f>
        <v>0</v>
      </c>
      <c r="DV43">
        <f>COUNTIF('Transect 3_imgsummary'!E43:I43,"Tape")*100/5</f>
        <v>0</v>
      </c>
      <c r="DW43">
        <f>COUNTIF('Transect 3_imgsummary'!E43:I43,"Wand")*100/5</f>
        <v>0</v>
      </c>
      <c r="DY43">
        <f>IF(P43=0,0,COUNTIF('Transect 3_imgsummary'!O43:S43,"BC")*100/P43)</f>
        <v>0</v>
      </c>
    </row>
    <row r="44" spans="1:129">
      <c r="A44">
        <v>42</v>
      </c>
      <c r="B44" t="s">
        <v>531</v>
      </c>
      <c r="F44" s="29">
        <f>IF(P44=0,0,COUNTIF('Transect 3_imgsummary'!J44:N44,"C")*100/P44)</f>
        <v>100</v>
      </c>
      <c r="G44">
        <f>IF(P44=0,0,COUNTIF('Transect 3_imgsummary'!J44:N44,"OI")*100/P44)</f>
        <v>0</v>
      </c>
      <c r="H44">
        <f>IF(P44=0,0,COUNTIF('Transect 3_imgsummary'!J44:N44,"MA")*100/P44)</f>
        <v>0</v>
      </c>
      <c r="I44">
        <f>IF(P44=0,0,COUNTIF('Transect 3_imgsummary'!J44:N44,"BCA")*100/P44)</f>
        <v>0</v>
      </c>
      <c r="J44">
        <f>IF(P44=0,0,COUNTIF('Transect 3_imgsummary'!J44:N44,"CCA")*100/P44)</f>
        <v>0</v>
      </c>
      <c r="K44">
        <f>IF(P44=0,0,COUNTIF('Transect 3_imgsummary'!J44:N44,"SD")*100/P44)</f>
        <v>0</v>
      </c>
      <c r="L44">
        <f>IF(P44=0,0,COUNTIF('Transect 3_imgsummary'!J44:N44,"FCA")*100/P44)</f>
        <v>0</v>
      </c>
      <c r="M44">
        <f>IF(P44=0,0,COUNTIF('Transect 3_imgsummary'!J44:N44,"CHRYS")*100/P44)</f>
        <v>0</v>
      </c>
      <c r="N44">
        <f>IF(P44=0,0,COUNTIF('Transect 3_imgsummary'!J44:N44,"T")*100/P44)</f>
        <v>0</v>
      </c>
      <c r="O44">
        <f>IF(P44=0,0,COUNTIF('Transect 3_imgsummary'!J44:N44,"TWS")*100/P44)</f>
        <v>0</v>
      </c>
      <c r="P44">
        <f>5-COUNTIF('Transect 3_imgsummary'!J44:N44,"TWS")</f>
        <v>5</v>
      </c>
      <c r="S44">
        <f>IF(P44=0,0,COUNTIF('Transect 3_imgsummary'!E44:I44,"ACAN")*100/P44)</f>
        <v>0</v>
      </c>
      <c r="T44">
        <f>IF(P44=0,0,COUNTIF('Transect 3_imgsummary'!E44:I44,"ACROP")*100/P44)</f>
        <v>0</v>
      </c>
      <c r="U44">
        <f>IF(P44=0,0,COUNTIF('Transect 3_imgsummary'!E44:I44,"ACROPARB")*100/P44)</f>
        <v>0</v>
      </c>
      <c r="V44">
        <f>IF(P44=0,0,COUNTIF('Transect 3_imgsummary'!E44:I44,"ACROST")*100/P44)</f>
        <v>0</v>
      </c>
      <c r="W44">
        <f>IF(P44=0,0,COUNTIF('Transect 3_imgsummary'!E44:I44,"ACROTBL")*100/P44)</f>
        <v>0</v>
      </c>
      <c r="X44">
        <f>IF(P44=0,0,COUNTIF('Transect 3_imgsummary'!E44:I44,"ASTRP")*100/P44)</f>
        <v>0</v>
      </c>
      <c r="Y44">
        <f>IF(P44=0,0,COUNTIF('Transect 3_imgsummary'!E44:I44,"CAUL")*100/P44)</f>
        <v>0</v>
      </c>
      <c r="Z44">
        <f>IF(P44=0,0,COUNTIF('Transect 3_imgsummary'!E44:I44,"COSC")*100/P44)</f>
        <v>0</v>
      </c>
      <c r="AA44">
        <f>IF(P44=0,0,COUNTIF('Transect 3_imgsummary'!E44:I44,"CTEN")*100/P44)</f>
        <v>0</v>
      </c>
      <c r="AB44">
        <f>IF(P44=0,0,COUNTIF('Transect 3_imgsummary'!E44:I44,"CYPH")*100/P44)</f>
        <v>0</v>
      </c>
      <c r="AC44">
        <f>IF(P44=0,0,COUNTIF('Transect 3_imgsummary'!E44:I44,"DIPLO")*100/P44)</f>
        <v>0</v>
      </c>
      <c r="AD44" s="29">
        <f>IF(P44=0,0,COUNTIF('Transect 3_imgsummary'!E44:I44,"ECHPO")*100/P44)</f>
        <v>80</v>
      </c>
      <c r="AE44">
        <f>IF(P44=0,0,COUNTIF('Transect 3_imgsummary'!E44:I44,"ECHPHY")*100/P44)</f>
        <v>0</v>
      </c>
      <c r="AF44">
        <f>IF(P44=0,0,COUNTIF('Transect 3_imgsummary'!E44:I44,"EUPH")*100/P44)</f>
        <v>0</v>
      </c>
      <c r="AG44">
        <f>IF(P44=0,0,COUNTIF('Transect 3_imgsummary'!E44:I44,"FAV")*100/P44)</f>
        <v>0</v>
      </c>
      <c r="AH44">
        <f>IF(P44=0,0,COUNTIF('Transect 3_imgsummary'!E44:I44,"FAVT")*100/P44)</f>
        <v>0</v>
      </c>
      <c r="AI44">
        <f>IF(P44=0,0,COUNTIF('Transect 3_imgsummary'!E44:I44,"FUNG")*100/P44)</f>
        <v>0</v>
      </c>
      <c r="AJ44">
        <f>IF(P44=0,0,COUNTIF('Transect 3_imgsummary'!E44:I44,"GAL")*100/P44)</f>
        <v>0</v>
      </c>
      <c r="AK44">
        <f>IF(P44=0,0,COUNTIF('Transect 3_imgsummary'!E44:I44,"GARD")*100/P44)</f>
        <v>0</v>
      </c>
      <c r="AL44">
        <f>IF(P44=0,0,COUNTIF('Transect 3_imgsummary'!E44:I44,"GON")*100/P44)</f>
        <v>0</v>
      </c>
      <c r="AM44">
        <f>IF(P44=0,0,COUNTIF('Transect 3_imgsummary'!E44:I44,"GONIO")*100/P44)</f>
        <v>0</v>
      </c>
      <c r="AN44">
        <f>IF(P44=0,0,COUNTIF('Transect 3_imgsummary'!E44:I44,"HELIO")*100/P44)</f>
        <v>0</v>
      </c>
      <c r="AO44">
        <f>IF(P44=0,0,COUNTIF('Transect 3_imgsummary'!E44:I44,"HERP")*100/P44)</f>
        <v>0</v>
      </c>
      <c r="AP44" s="29">
        <f>IF(P44=0,0,COUNTIF('Transect 3_imgsummary'!E44:I44,"HYD")*100/P44)</f>
        <v>20</v>
      </c>
      <c r="AQ44">
        <f>IF(P44=0,0,COUNTIF('Transect 3_imgsummary'!E44:I44,"ISOP")*100/P44)</f>
        <v>0</v>
      </c>
      <c r="AR44">
        <f>IF(P44=0,0,COUNTIF('Transect 3_imgsummary'!E44:I44,"LEPT")*100/P44)</f>
        <v>0</v>
      </c>
      <c r="AS44">
        <f>IF(P44=0,0,COUNTIF('Transect 3_imgsummary'!E44:I44,"LEPTOR")*100/P44)</f>
        <v>0</v>
      </c>
      <c r="AT44">
        <f>IF(P44=0,0,COUNTIF('Transect 3_imgsummary'!E44:I44,"LEPTOS")*100/P44)</f>
        <v>0</v>
      </c>
      <c r="AU44">
        <f>IF(P44=0,0,COUNTIF('Transect 3_imgsummary'!E44:I44,"LOBOPH")*100/P44)</f>
        <v>0</v>
      </c>
      <c r="AV44">
        <f>IF(P44=0,0,COUNTIF('Transect 3_imgsummary'!E44:I44,"MERU")*100/P44)</f>
        <v>0</v>
      </c>
      <c r="AW44">
        <f>IF(P44=0,0,COUNTIF('Transect 3_imgsummary'!E44:I44,"MILL")*100/P44)</f>
        <v>0</v>
      </c>
      <c r="AX44">
        <f>IF(P44=0,0,COUNTIF('Transect 3_imgsummary'!E44:I44,"MONT")*100/P44)</f>
        <v>0</v>
      </c>
      <c r="AY44">
        <f>IF(P44=0,0,COUNTIF('Transect 3_imgsummary'!E44:I44,"MONTI")*100/P44)</f>
        <v>0</v>
      </c>
      <c r="AZ44">
        <f>IF(P44=0,0,COUNTIF('Transect 3_imgsummary'!E44:I44,"MYCED")*100/P44)</f>
        <v>0</v>
      </c>
      <c r="BA44">
        <f>IF(P44=0,0,COUNTIF('Transect 3_imgsummary'!E44:I44,"OULO")*100/P44)</f>
        <v>0</v>
      </c>
      <c r="BB44">
        <f>IF(P44=0,0,COUNTIF('Transect 3_imgsummary'!E44:I44,"OXYP")*100/P44)</f>
        <v>0</v>
      </c>
      <c r="BC44">
        <f>IF(P44=0,0,COUNTIF('Transect 3_imgsummary'!E44:I44,"PLSIA")*100/P44)</f>
        <v>0</v>
      </c>
      <c r="BD44">
        <f>IF(P44=0,0,COUNTIF('Transect 3_imgsummary'!E44:I44,"PACHY")*100/P44)</f>
        <v>0</v>
      </c>
      <c r="BE44">
        <f>IF(P44=0,0,COUNTIF('Transect 3_imgsummary'!E44:I44,"PAV")*100/P44)</f>
        <v>0</v>
      </c>
      <c r="BF44">
        <f>IF(P44=0,0,COUNTIF('Transect 3_imgsummary'!E44:I44,"PECT")*100/P44)</f>
        <v>0</v>
      </c>
      <c r="BG44">
        <f>IF(P44=0,0,COUNTIF('Transect 3_imgsummary'!E44:I44,"PHYSO")*100/P44)</f>
        <v>0</v>
      </c>
      <c r="BH44">
        <f>IF(P44=0,0,COUNTIF('Transect 3_imgsummary'!E44:I44,"PLAT")*100/P44)</f>
        <v>0</v>
      </c>
      <c r="BI44">
        <f>IF(P44=0,0,COUNTIF('Transect 3_imgsummary'!E44:I44,"PLERO")*100/P44)</f>
        <v>0</v>
      </c>
      <c r="BJ44">
        <f>IF(P44=0,0,COUNTIF('Transect 3_imgsummary'!E44:I44,"POC")*100/P44)</f>
        <v>0</v>
      </c>
      <c r="BK44">
        <f>IF(P44=0,0,COUNTIF('Transect 3_imgsummary'!E44:I44,"POR")*100/P44)</f>
        <v>0</v>
      </c>
      <c r="BL44">
        <f>IF(P44=0,0,COUNTIF('Transect 3_imgsummary'!E44:I44,"PORCYL")*100/P44)</f>
        <v>0</v>
      </c>
      <c r="BM44">
        <f>IF(P44=0,0,COUNTIF('Transect 3_imgsummary'!E44:I44,"PORMAS")*100/P44)</f>
        <v>0</v>
      </c>
      <c r="BN44">
        <f>IF(P44=0,0,COUNTIF('Transect 3_imgsummary'!E44:I44,"PORRUS")*100/P44)</f>
        <v>0</v>
      </c>
      <c r="BO44">
        <f>IF(P44=0,0,COUNTIF('Transect 3_imgsummary'!E44:I44,"PSAM")*100/P44)</f>
        <v>0</v>
      </c>
      <c r="BP44">
        <f>IF(P44=0,0,COUNTIF('Transect 3_imgsummary'!E44:I44,"SANDO")*100/P44)</f>
        <v>0</v>
      </c>
      <c r="BQ44">
        <f>IF(P44=0,0,COUNTIF('Transect 3_imgsummary'!E44:I44,"SCAP")*100/P44)</f>
        <v>0</v>
      </c>
      <c r="BR44">
        <f>IF(P44=0,0,COUNTIF('Transect 3_imgsummary'!E44:I44,"SERIA")*100/P44)</f>
        <v>0</v>
      </c>
      <c r="BS44">
        <f>IF(P44=0,0,COUNTIF('Transect 3_imgsummary'!E44:I44,"STYLC")*100/P44)</f>
        <v>0</v>
      </c>
      <c r="BT44">
        <f>IF(P44=0,0,COUNTIF('Transect 3_imgsummary'!E44:I44,"STYLO")*100/P44)</f>
        <v>0</v>
      </c>
      <c r="BU44">
        <f>IF(P44=0,0,COUNTIF('Transect 3_imgsummary'!E44:I44,"SYMP")*100/P44)</f>
        <v>0</v>
      </c>
      <c r="BV44">
        <f>IF(P44=0,0,COUNTIF('Transect 3_imgsummary'!E44:I44,"TURBIN")*100/P44)</f>
        <v>0</v>
      </c>
      <c r="BX44">
        <f>IF(P44=0,0,COUNTIF('Transect 3_imgsummary'!E44:I44,"ANEM")*100/P44)</f>
        <v>0</v>
      </c>
      <c r="BY44">
        <f>IF(P44=0,0,COUNTIF('Transect 3_imgsummary'!E44:I44,"ASC")*100/P44)</f>
        <v>0</v>
      </c>
      <c r="BZ44">
        <f>IF(P44=0,0,COUNTIF('Transect 3_imgsummary'!E44:I44,"CUPS")*100/P44)</f>
        <v>0</v>
      </c>
      <c r="CA44">
        <f>IF(P44=0,0,COUNTIF('Transect 3_imgsummary'!E44:I44,"DISCO")*100/P44)</f>
        <v>0</v>
      </c>
      <c r="CB44">
        <f>IF(P44=0,0,COUNTIF('Transect 3_imgsummary'!E44:I44,"DYS")*100/P44)</f>
        <v>0</v>
      </c>
      <c r="CC44">
        <f>IF(P44=0,0,COUNTIF('Transect 3_imgsummary'!E44:I44,"G")*100/P44)</f>
        <v>0</v>
      </c>
      <c r="CD44">
        <f>IF(P44=0,0,COUNTIF('Transect 3_imgsummary'!E44:I44,"NoIDINV")*100/P44)</f>
        <v>0</v>
      </c>
      <c r="CE44">
        <f>IF(P44=0,0,COUNTIF('Transect 3_imgsummary'!E44:I44,"OLV")*100/P44)</f>
        <v>0</v>
      </c>
      <c r="CF44">
        <f>IF(P44=0,0,COUNTIF('Transect 3_imgsummary'!E44:I44,"SC")*100/P44)</f>
        <v>0</v>
      </c>
      <c r="CG44">
        <f>IF(P44=0,0,COUNTIF('Transect 3_imgsummary'!E44:I44,"S")*100/P44)</f>
        <v>0</v>
      </c>
      <c r="CH44">
        <f>IF(P44=0,0,COUNTIF('Transect 3_imgsummary'!E44:I44,"TERPS")*100/P44)</f>
        <v>0</v>
      </c>
      <c r="CI44">
        <f>IF(P44=0,0,COUNTIF('Transect 3_imgsummary'!E44:I44,"Z")*100/P44)</f>
        <v>0</v>
      </c>
      <c r="CK44">
        <f>IF(P44=0,0,COUNTIF('Transect 3_imgsummary'!E44:I44,"ASP")*100/P44)</f>
        <v>0</v>
      </c>
      <c r="CL44">
        <f>IF(P44=0,0,COUNTIF('Transect 3_imgsummary'!E44:I44,"BG")*100/P44)</f>
        <v>0</v>
      </c>
      <c r="CM44">
        <f>IF(P44=0,0,COUNTIF('Transect 3_imgsummary'!E44:I44,"Bood")*100/P44)</f>
        <v>0</v>
      </c>
      <c r="CN44">
        <f>IF(P44=0,0,COUNTIF('Transect 3_imgsummary'!E44:I44,"BRYP")*100/P44)</f>
        <v>0</v>
      </c>
      <c r="CO44">
        <f>IF(P44=0,0,COUNTIF('Transect 3_imgsummary'!E44:I44,"CLP")*100/P44)</f>
        <v>0</v>
      </c>
      <c r="CP44">
        <f>IF(P44=0,0,COUNTIF('Transect 3_imgsummary'!E44:I44,"CHLDES")*100/P44)</f>
        <v>0</v>
      </c>
      <c r="CQ44">
        <f>IF(P44=0,0,COUNTIF('Transect 3_imgsummary'!E44:I44,"DYCTY")*100/P44)</f>
        <v>0</v>
      </c>
      <c r="CR44">
        <f>IF(P44=0,0,COUNTIF('Transect 3_imgsummary'!E44:I44,"DICT")*100/P44)</f>
        <v>0</v>
      </c>
      <c r="CS44">
        <f>IF(P44=0,0,COUNTIF('Transect 3_imgsummary'!E44:I44,"GLXU")*100/P44)</f>
        <v>0</v>
      </c>
      <c r="CT44">
        <f>IF(P44=0,0,COUNTIF('Transect 3_imgsummary'!E44:I44,"HALI")*100/P44)</f>
        <v>0</v>
      </c>
      <c r="CU44">
        <f>IF(P44=0,0,COUNTIF('Transect 3_imgsummary'!E44:I44,"LIAG")*100/P44)</f>
        <v>0</v>
      </c>
      <c r="CV44">
        <f>IF(P44=0,0,COUNTIF('Transect 3_imgsummary'!E44:I44,"LOBO")*100/P44)</f>
        <v>0</v>
      </c>
      <c r="CW44">
        <f>IF(P44=0,0,COUNTIF('Transect 3_imgsummary'!E44:I44,"MAST")*100/P44)</f>
        <v>0</v>
      </c>
      <c r="CX44">
        <f>IF(P44=0,0,COUNTIF('Transect 3_imgsummary'!E44:I44,"MICDTY")*100/P44)</f>
        <v>0</v>
      </c>
      <c r="CY44">
        <f>IF(P44=0,0,COUNTIF('Transect 3_imgsummary'!E44:I44,"NEOM")*100/P44)</f>
        <v>0</v>
      </c>
      <c r="CZ44">
        <f>IF(P44=0,0,COUNTIF('Transect 3_imgsummary'!E44:I44,"NOIDMAC")*100/P44)</f>
        <v>0</v>
      </c>
      <c r="DA44">
        <f>IF(P44=0,0,COUNTIF('Transect 3_imgsummary'!E44:I44,"PAD")*100/P44)</f>
        <v>0</v>
      </c>
      <c r="DB44">
        <f>IF(P44=0,0,COUNTIF('Transect 3_imgsummary'!E44:I44,"SARG")*100/P44)</f>
        <v>0</v>
      </c>
      <c r="DC44">
        <f>IF(P44=0,0,COUNTIF('Transect 3_imgsummary'!E44:I44,"SCHIZ")*100/P44)</f>
        <v>0</v>
      </c>
      <c r="DD44">
        <f>IF(P44=0,0,COUNTIF('Transect 3_imgsummary'!E44:I44,"TURB")*100/P44)</f>
        <v>0</v>
      </c>
      <c r="DE44">
        <f>IF(P44=0,0,COUNTIF('Transect 3_imgsummary'!E44:I44,"TYDM")*100/P44)</f>
        <v>0</v>
      </c>
      <c r="DG44">
        <f>IF(P44=0,0,COUNTIF('Transect 3_imgsummary'!E44:I44,"AMP")*100/P44)</f>
        <v>0</v>
      </c>
      <c r="DH44">
        <f>IF(P44=0,0,COUNTIF('Transect 3_imgsummary'!E44:I44,"BCA1")*100/P44)</f>
        <v>0</v>
      </c>
      <c r="DI44">
        <f>IF(P44=0,0,COUNTIF('Transect 3_imgsummary'!E44:I44,"JAN")*100/P44)</f>
        <v>0</v>
      </c>
      <c r="DK44">
        <f>IF(P44=0,0,COUNTIF('Transect 3_imgsummary'!E44:I44,"CCA1")*100/P44)</f>
        <v>0</v>
      </c>
      <c r="DM44">
        <f>IF(P44=0,0,COUNTIF('Transect 3_imgsummary'!E44:I44,"Sand")*100/P44)</f>
        <v>0</v>
      </c>
      <c r="DO44">
        <f>IF(P44=0,0,COUNTIF('Transect 3_imgsummary'!E44:I44,"FCA1")*100/P44)</f>
        <v>0</v>
      </c>
      <c r="DQ44">
        <f>IF(P44=0,0,COUNTIF('Transect 3_imgsummary'!E44:I44,"CHRYOBRN")*100/P44)</f>
        <v>0</v>
      </c>
      <c r="DS44">
        <f>IF(P44=0,0,COUNTIF('Transect 3_imgsummary'!E44:I44,"TURF")*100/P44)</f>
        <v>0</v>
      </c>
      <c r="DU44">
        <f>COUNTIF('Transect 3_imgsummary'!E44:I44,"Shadow")*100/5</f>
        <v>0</v>
      </c>
      <c r="DV44">
        <f>COUNTIF('Transect 3_imgsummary'!E44:I44,"Tape")*100/5</f>
        <v>0</v>
      </c>
      <c r="DW44">
        <f>COUNTIF('Transect 3_imgsummary'!E44:I44,"Wand")*100/5</f>
        <v>0</v>
      </c>
      <c r="DY44">
        <f>IF(P44=0,0,COUNTIF('Transect 3_imgsummary'!O44:S44,"BC")*100/P44)</f>
        <v>0</v>
      </c>
    </row>
    <row r="45" spans="1:129">
      <c r="A45">
        <v>43</v>
      </c>
      <c r="B45" t="s">
        <v>532</v>
      </c>
      <c r="F45" s="29">
        <f>IF(P45=0,0,COUNTIF('Transect 3_imgsummary'!J45:N45,"C")*100/P45)</f>
        <v>40</v>
      </c>
      <c r="G45">
        <f>IF(P45=0,0,COUNTIF('Transect 3_imgsummary'!J45:N45,"OI")*100/P45)</f>
        <v>0</v>
      </c>
      <c r="H45">
        <f>IF(P45=0,0,COUNTIF('Transect 3_imgsummary'!J45:N45,"MA")*100/P45)</f>
        <v>0</v>
      </c>
      <c r="I45">
        <f>IF(P45=0,0,COUNTIF('Transect 3_imgsummary'!J45:N45,"BCA")*100/P45)</f>
        <v>0</v>
      </c>
      <c r="J45" s="29">
        <f>IF(P45=0,0,COUNTIF('Transect 3_imgsummary'!J45:N45,"CCA")*100/P45)</f>
        <v>40</v>
      </c>
      <c r="K45">
        <f>IF(P45=0,0,COUNTIF('Transect 3_imgsummary'!J45:N45,"SD")*100/P45)</f>
        <v>0</v>
      </c>
      <c r="L45">
        <f>IF(P45=0,0,COUNTIF('Transect 3_imgsummary'!J45:N45,"FCA")*100/P45)</f>
        <v>0</v>
      </c>
      <c r="M45">
        <f>IF(P45=0,0,COUNTIF('Transect 3_imgsummary'!J45:N45,"CHRYS")*100/P45)</f>
        <v>0</v>
      </c>
      <c r="N45" s="29">
        <f>IF(P45=0,0,COUNTIF('Transect 3_imgsummary'!J45:N45,"T")*100/P45)</f>
        <v>20</v>
      </c>
      <c r="O45">
        <f>IF(P45=0,0,COUNTIF('Transect 3_imgsummary'!J45:N45,"TWS")*100/P45)</f>
        <v>0</v>
      </c>
      <c r="P45">
        <f>5-COUNTIF('Transect 3_imgsummary'!J45:N45,"TWS")</f>
        <v>5</v>
      </c>
      <c r="S45">
        <f>IF(P45=0,0,COUNTIF('Transect 3_imgsummary'!E45:I45,"ACAN")*100/P45)</f>
        <v>0</v>
      </c>
      <c r="T45">
        <f>IF(P45=0,0,COUNTIF('Transect 3_imgsummary'!E45:I45,"ACROP")*100/P45)</f>
        <v>0</v>
      </c>
      <c r="U45">
        <f>IF(P45=0,0,COUNTIF('Transect 3_imgsummary'!E45:I45,"ACROPARB")*100/P45)</f>
        <v>0</v>
      </c>
      <c r="V45">
        <f>IF(P45=0,0,COUNTIF('Transect 3_imgsummary'!E45:I45,"ACROST")*100/P45)</f>
        <v>0</v>
      </c>
      <c r="W45">
        <f>IF(P45=0,0,COUNTIF('Transect 3_imgsummary'!E45:I45,"ACROTBL")*100/P45)</f>
        <v>0</v>
      </c>
      <c r="X45">
        <f>IF(P45=0,0,COUNTIF('Transect 3_imgsummary'!E45:I45,"ASTRP")*100/P45)</f>
        <v>0</v>
      </c>
      <c r="Y45">
        <f>IF(P45=0,0,COUNTIF('Transect 3_imgsummary'!E45:I45,"CAUL")*100/P45)</f>
        <v>0</v>
      </c>
      <c r="Z45">
        <f>IF(P45=0,0,COUNTIF('Transect 3_imgsummary'!E45:I45,"COSC")*100/P45)</f>
        <v>0</v>
      </c>
      <c r="AA45">
        <f>IF(P45=0,0,COUNTIF('Transect 3_imgsummary'!E45:I45,"CTEN")*100/P45)</f>
        <v>0</v>
      </c>
      <c r="AB45">
        <f>IF(P45=0,0,COUNTIF('Transect 3_imgsummary'!E45:I45,"CYPH")*100/P45)</f>
        <v>0</v>
      </c>
      <c r="AC45">
        <f>IF(P45=0,0,COUNTIF('Transect 3_imgsummary'!E45:I45,"DIPLO")*100/P45)</f>
        <v>0</v>
      </c>
      <c r="AD45">
        <f>IF(P45=0,0,COUNTIF('Transect 3_imgsummary'!E45:I45,"ECHPO")*100/P45)</f>
        <v>0</v>
      </c>
      <c r="AE45">
        <f>IF(P45=0,0,COUNTIF('Transect 3_imgsummary'!E45:I45,"ECHPHY")*100/P45)</f>
        <v>0</v>
      </c>
      <c r="AF45">
        <f>IF(P45=0,0,COUNTIF('Transect 3_imgsummary'!E45:I45,"EUPH")*100/P45)</f>
        <v>0</v>
      </c>
      <c r="AG45">
        <f>IF(P45=0,0,COUNTIF('Transect 3_imgsummary'!E45:I45,"FAV")*100/P45)</f>
        <v>0</v>
      </c>
      <c r="AH45">
        <f>IF(P45=0,0,COUNTIF('Transect 3_imgsummary'!E45:I45,"FAVT")*100/P45)</f>
        <v>0</v>
      </c>
      <c r="AI45">
        <f>IF(P45=0,0,COUNTIF('Transect 3_imgsummary'!E45:I45,"FUNG")*100/P45)</f>
        <v>0</v>
      </c>
      <c r="AJ45">
        <f>IF(P45=0,0,COUNTIF('Transect 3_imgsummary'!E45:I45,"GAL")*100/P45)</f>
        <v>0</v>
      </c>
      <c r="AK45">
        <f>IF(P45=0,0,COUNTIF('Transect 3_imgsummary'!E45:I45,"GARD")*100/P45)</f>
        <v>0</v>
      </c>
      <c r="AL45">
        <f>IF(P45=0,0,COUNTIF('Transect 3_imgsummary'!E45:I45,"GON")*100/P45)</f>
        <v>0</v>
      </c>
      <c r="AM45">
        <f>IF(P45=0,0,COUNTIF('Transect 3_imgsummary'!E45:I45,"GONIO")*100/P45)</f>
        <v>0</v>
      </c>
      <c r="AN45">
        <f>IF(P45=0,0,COUNTIF('Transect 3_imgsummary'!E45:I45,"HELIO")*100/P45)</f>
        <v>0</v>
      </c>
      <c r="AO45">
        <f>IF(P45=0,0,COUNTIF('Transect 3_imgsummary'!E45:I45,"HERP")*100/P45)</f>
        <v>0</v>
      </c>
      <c r="AP45">
        <f>IF(P45=0,0,COUNTIF('Transect 3_imgsummary'!E45:I45,"HYD")*100/P45)</f>
        <v>0</v>
      </c>
      <c r="AQ45">
        <f>IF(P45=0,0,COUNTIF('Transect 3_imgsummary'!E45:I45,"ISOP")*100/P45)</f>
        <v>0</v>
      </c>
      <c r="AR45">
        <f>IF(P45=0,0,COUNTIF('Transect 3_imgsummary'!E45:I45,"LEPT")*100/P45)</f>
        <v>0</v>
      </c>
      <c r="AS45">
        <f>IF(P45=0,0,COUNTIF('Transect 3_imgsummary'!E45:I45,"LEPTOR")*100/P45)</f>
        <v>0</v>
      </c>
      <c r="AT45">
        <f>IF(P45=0,0,COUNTIF('Transect 3_imgsummary'!E45:I45,"LEPTOS")*100/P45)</f>
        <v>0</v>
      </c>
      <c r="AU45">
        <f>IF(P45=0,0,COUNTIF('Transect 3_imgsummary'!E45:I45,"LOBOPH")*100/P45)</f>
        <v>0</v>
      </c>
      <c r="AV45">
        <f>IF(P45=0,0,COUNTIF('Transect 3_imgsummary'!E45:I45,"MERU")*100/P45)</f>
        <v>0</v>
      </c>
      <c r="AW45">
        <f>IF(P45=0,0,COUNTIF('Transect 3_imgsummary'!E45:I45,"MILL")*100/P45)</f>
        <v>0</v>
      </c>
      <c r="AX45">
        <f>IF(P45=0,0,COUNTIF('Transect 3_imgsummary'!E45:I45,"MONT")*100/P45)</f>
        <v>0</v>
      </c>
      <c r="AY45">
        <f>IF(P45=0,0,COUNTIF('Transect 3_imgsummary'!E45:I45,"MONTI")*100/P45)</f>
        <v>0</v>
      </c>
      <c r="AZ45">
        <f>IF(P45=0,0,COUNTIF('Transect 3_imgsummary'!E45:I45,"MYCED")*100/P45)</f>
        <v>0</v>
      </c>
      <c r="BA45">
        <f>IF(P45=0,0,COUNTIF('Transect 3_imgsummary'!E45:I45,"OULO")*100/P45)</f>
        <v>0</v>
      </c>
      <c r="BB45">
        <f>IF(P45=0,0,COUNTIF('Transect 3_imgsummary'!E45:I45,"OXYP")*100/P45)</f>
        <v>0</v>
      </c>
      <c r="BC45">
        <f>IF(P45=0,0,COUNTIF('Transect 3_imgsummary'!E45:I45,"PLSIA")*100/P45)</f>
        <v>0</v>
      </c>
      <c r="BD45">
        <f>IF(P45=0,0,COUNTIF('Transect 3_imgsummary'!E45:I45,"PACHY")*100/P45)</f>
        <v>0</v>
      </c>
      <c r="BE45">
        <f>IF(P45=0,0,COUNTIF('Transect 3_imgsummary'!E45:I45,"PAV")*100/P45)</f>
        <v>0</v>
      </c>
      <c r="BF45">
        <f>IF(P45=0,0,COUNTIF('Transect 3_imgsummary'!E45:I45,"PECT")*100/P45)</f>
        <v>0</v>
      </c>
      <c r="BG45">
        <f>IF(P45=0,0,COUNTIF('Transect 3_imgsummary'!E45:I45,"PHYSO")*100/P45)</f>
        <v>0</v>
      </c>
      <c r="BH45">
        <f>IF(P45=0,0,COUNTIF('Transect 3_imgsummary'!E45:I45,"PLAT")*100/P45)</f>
        <v>0</v>
      </c>
      <c r="BI45">
        <f>IF(P45=0,0,COUNTIF('Transect 3_imgsummary'!E45:I45,"PLERO")*100/P45)</f>
        <v>0</v>
      </c>
      <c r="BJ45">
        <f>IF(P45=0,0,COUNTIF('Transect 3_imgsummary'!E45:I45,"POC")*100/P45)</f>
        <v>0</v>
      </c>
      <c r="BK45">
        <f>IF(P45=0,0,COUNTIF('Transect 3_imgsummary'!E45:I45,"POR")*100/P45)</f>
        <v>0</v>
      </c>
      <c r="BL45">
        <f>IF(P45=0,0,COUNTIF('Transect 3_imgsummary'!E45:I45,"PORCYL")*100/P45)</f>
        <v>0</v>
      </c>
      <c r="BM45">
        <f>IF(P45=0,0,COUNTIF('Transect 3_imgsummary'!E45:I45,"PORMAS")*100/P45)</f>
        <v>0</v>
      </c>
      <c r="BN45" s="29">
        <f>IF(P45=0,0,COUNTIF('Transect 3_imgsummary'!E45:I45,"PORRUS")*100/P45)</f>
        <v>40</v>
      </c>
      <c r="BO45">
        <f>IF(P45=0,0,COUNTIF('Transect 3_imgsummary'!E45:I45,"PSAM")*100/P45)</f>
        <v>0</v>
      </c>
      <c r="BP45">
        <f>IF(P45=0,0,COUNTIF('Transect 3_imgsummary'!E45:I45,"SANDO")*100/P45)</f>
        <v>0</v>
      </c>
      <c r="BQ45">
        <f>IF(P45=0,0,COUNTIF('Transect 3_imgsummary'!E45:I45,"SCAP")*100/P45)</f>
        <v>0</v>
      </c>
      <c r="BR45">
        <f>IF(P45=0,0,COUNTIF('Transect 3_imgsummary'!E45:I45,"SERIA")*100/P45)</f>
        <v>0</v>
      </c>
      <c r="BS45">
        <f>IF(P45=0,0,COUNTIF('Transect 3_imgsummary'!E45:I45,"STYLC")*100/P45)</f>
        <v>0</v>
      </c>
      <c r="BT45">
        <f>IF(P45=0,0,COUNTIF('Transect 3_imgsummary'!E45:I45,"STYLO")*100/P45)</f>
        <v>0</v>
      </c>
      <c r="BU45">
        <f>IF(P45=0,0,COUNTIF('Transect 3_imgsummary'!E45:I45,"SYMP")*100/P45)</f>
        <v>0</v>
      </c>
      <c r="BV45">
        <f>IF(P45=0,0,COUNTIF('Transect 3_imgsummary'!E45:I45,"TURBIN")*100/P45)</f>
        <v>0</v>
      </c>
      <c r="BX45">
        <f>IF(P45=0,0,COUNTIF('Transect 3_imgsummary'!E45:I45,"ANEM")*100/P45)</f>
        <v>0</v>
      </c>
      <c r="BY45">
        <f>IF(P45=0,0,COUNTIF('Transect 3_imgsummary'!E45:I45,"ASC")*100/P45)</f>
        <v>0</v>
      </c>
      <c r="BZ45">
        <f>IF(P45=0,0,COUNTIF('Transect 3_imgsummary'!E45:I45,"CUPS")*100/P45)</f>
        <v>0</v>
      </c>
      <c r="CA45">
        <f>IF(P45=0,0,COUNTIF('Transect 3_imgsummary'!E45:I45,"DISCO")*100/P45)</f>
        <v>0</v>
      </c>
      <c r="CB45">
        <f>IF(P45=0,0,COUNTIF('Transect 3_imgsummary'!E45:I45,"DYS")*100/P45)</f>
        <v>0</v>
      </c>
      <c r="CC45">
        <f>IF(P45=0,0,COUNTIF('Transect 3_imgsummary'!E45:I45,"G")*100/P45)</f>
        <v>0</v>
      </c>
      <c r="CD45">
        <f>IF(P45=0,0,COUNTIF('Transect 3_imgsummary'!E45:I45,"NoIDINV")*100/P45)</f>
        <v>0</v>
      </c>
      <c r="CE45">
        <f>IF(P45=0,0,COUNTIF('Transect 3_imgsummary'!E45:I45,"OLV")*100/P45)</f>
        <v>0</v>
      </c>
      <c r="CF45">
        <f>IF(P45=0,0,COUNTIF('Transect 3_imgsummary'!E45:I45,"SC")*100/P45)</f>
        <v>0</v>
      </c>
      <c r="CG45">
        <f>IF(P45=0,0,COUNTIF('Transect 3_imgsummary'!E45:I45,"S")*100/P45)</f>
        <v>0</v>
      </c>
      <c r="CH45">
        <f>IF(P45=0,0,COUNTIF('Transect 3_imgsummary'!E45:I45,"TERPS")*100/P45)</f>
        <v>0</v>
      </c>
      <c r="CI45">
        <f>IF(P45=0,0,COUNTIF('Transect 3_imgsummary'!E45:I45,"Z")*100/P45)</f>
        <v>0</v>
      </c>
      <c r="CK45">
        <f>IF(P45=0,0,COUNTIF('Transect 3_imgsummary'!E45:I45,"ASP")*100/P45)</f>
        <v>0</v>
      </c>
      <c r="CL45">
        <f>IF(P45=0,0,COUNTIF('Transect 3_imgsummary'!E45:I45,"BG")*100/P45)</f>
        <v>0</v>
      </c>
      <c r="CM45">
        <f>IF(P45=0,0,COUNTIF('Transect 3_imgsummary'!E45:I45,"Bood")*100/P45)</f>
        <v>0</v>
      </c>
      <c r="CN45">
        <f>IF(P45=0,0,COUNTIF('Transect 3_imgsummary'!E45:I45,"BRYP")*100/P45)</f>
        <v>0</v>
      </c>
      <c r="CO45">
        <f>IF(P45=0,0,COUNTIF('Transect 3_imgsummary'!E45:I45,"CLP")*100/P45)</f>
        <v>0</v>
      </c>
      <c r="CP45">
        <f>IF(P45=0,0,COUNTIF('Transect 3_imgsummary'!E45:I45,"CHLDES")*100/P45)</f>
        <v>0</v>
      </c>
      <c r="CQ45">
        <f>IF(P45=0,0,COUNTIF('Transect 3_imgsummary'!E45:I45,"DYCTY")*100/P45)</f>
        <v>0</v>
      </c>
      <c r="CR45">
        <f>IF(P45=0,0,COUNTIF('Transect 3_imgsummary'!E45:I45,"DICT")*100/P45)</f>
        <v>0</v>
      </c>
      <c r="CS45">
        <f>IF(P45=0,0,COUNTIF('Transect 3_imgsummary'!E45:I45,"GLXU")*100/P45)</f>
        <v>0</v>
      </c>
      <c r="CT45">
        <f>IF(P45=0,0,COUNTIF('Transect 3_imgsummary'!E45:I45,"HALI")*100/P45)</f>
        <v>0</v>
      </c>
      <c r="CU45">
        <f>IF(P45=0,0,COUNTIF('Transect 3_imgsummary'!E45:I45,"LIAG")*100/P45)</f>
        <v>0</v>
      </c>
      <c r="CV45">
        <f>IF(P45=0,0,COUNTIF('Transect 3_imgsummary'!E45:I45,"LOBO")*100/P45)</f>
        <v>0</v>
      </c>
      <c r="CW45">
        <f>IF(P45=0,0,COUNTIF('Transect 3_imgsummary'!E45:I45,"MAST")*100/P45)</f>
        <v>0</v>
      </c>
      <c r="CX45">
        <f>IF(P45=0,0,COUNTIF('Transect 3_imgsummary'!E45:I45,"MICDTY")*100/P45)</f>
        <v>0</v>
      </c>
      <c r="CY45">
        <f>IF(P45=0,0,COUNTIF('Transect 3_imgsummary'!E45:I45,"NEOM")*100/P45)</f>
        <v>0</v>
      </c>
      <c r="CZ45">
        <f>IF(P45=0,0,COUNTIF('Transect 3_imgsummary'!E45:I45,"NOIDMAC")*100/P45)</f>
        <v>0</v>
      </c>
      <c r="DA45">
        <f>IF(P45=0,0,COUNTIF('Transect 3_imgsummary'!E45:I45,"PAD")*100/P45)</f>
        <v>0</v>
      </c>
      <c r="DB45">
        <f>IF(P45=0,0,COUNTIF('Transect 3_imgsummary'!E45:I45,"SARG")*100/P45)</f>
        <v>0</v>
      </c>
      <c r="DC45">
        <f>IF(P45=0,0,COUNTIF('Transect 3_imgsummary'!E45:I45,"SCHIZ")*100/P45)</f>
        <v>0</v>
      </c>
      <c r="DD45">
        <f>IF(P45=0,0,COUNTIF('Transect 3_imgsummary'!E45:I45,"TURB")*100/P45)</f>
        <v>0</v>
      </c>
      <c r="DE45">
        <f>IF(P45=0,0,COUNTIF('Transect 3_imgsummary'!E45:I45,"TYDM")*100/P45)</f>
        <v>0</v>
      </c>
      <c r="DG45">
        <f>IF(P45=0,0,COUNTIF('Transect 3_imgsummary'!E45:I45,"AMP")*100/P45)</f>
        <v>0</v>
      </c>
      <c r="DH45">
        <f>IF(P45=0,0,COUNTIF('Transect 3_imgsummary'!E45:I45,"BCA1")*100/P45)</f>
        <v>0</v>
      </c>
      <c r="DI45">
        <f>IF(P45=0,0,COUNTIF('Transect 3_imgsummary'!E45:I45,"JAN")*100/P45)</f>
        <v>0</v>
      </c>
      <c r="DK45" s="29">
        <f>IF(P45=0,0,COUNTIF('Transect 3_imgsummary'!E45:I45,"CCA1")*100/P45)</f>
        <v>40</v>
      </c>
      <c r="DM45">
        <f>IF(P45=0,0,COUNTIF('Transect 3_imgsummary'!E45:I45,"Sand")*100/P45)</f>
        <v>0</v>
      </c>
      <c r="DO45">
        <f>IF(P45=0,0,COUNTIF('Transect 3_imgsummary'!E45:I45,"FCA1")*100/P45)</f>
        <v>0</v>
      </c>
      <c r="DQ45">
        <f>IF(P45=0,0,COUNTIF('Transect 3_imgsummary'!E45:I45,"CHRYOBRN")*100/P45)</f>
        <v>0</v>
      </c>
      <c r="DS45" s="29">
        <f>IF(P45=0,0,COUNTIF('Transect 3_imgsummary'!E45:I45,"TURF")*100/P45)</f>
        <v>20</v>
      </c>
      <c r="DU45">
        <f>COUNTIF('Transect 3_imgsummary'!E45:I45,"Shadow")*100/5</f>
        <v>0</v>
      </c>
      <c r="DV45">
        <f>COUNTIF('Transect 3_imgsummary'!E45:I45,"Tape")*100/5</f>
        <v>0</v>
      </c>
      <c r="DW45">
        <f>COUNTIF('Transect 3_imgsummary'!E45:I45,"Wand")*100/5</f>
        <v>0</v>
      </c>
      <c r="DY45">
        <f>IF(P45=0,0,COUNTIF('Transect 3_imgsummary'!O45:S45,"BC")*100/P45)</f>
        <v>0</v>
      </c>
    </row>
    <row r="46" spans="1:129">
      <c r="A46">
        <v>44</v>
      </c>
      <c r="B46" t="s">
        <v>533</v>
      </c>
      <c r="F46" s="29">
        <f>IF(P46=0,0,COUNTIF('Transect 3_imgsummary'!J46:N46,"C")*100/P46)</f>
        <v>80</v>
      </c>
      <c r="G46">
        <f>IF(P46=0,0,COUNTIF('Transect 3_imgsummary'!J46:N46,"OI")*100/P46)</f>
        <v>0</v>
      </c>
      <c r="H46">
        <f>IF(P46=0,0,COUNTIF('Transect 3_imgsummary'!J46:N46,"MA")*100/P46)</f>
        <v>0</v>
      </c>
      <c r="I46">
        <f>IF(P46=0,0,COUNTIF('Transect 3_imgsummary'!J46:N46,"BCA")*100/P46)</f>
        <v>0</v>
      </c>
      <c r="J46">
        <f>IF(P46=0,0,COUNTIF('Transect 3_imgsummary'!J46:N46,"CCA")*100/P46)</f>
        <v>0</v>
      </c>
      <c r="K46">
        <f>IF(P46=0,0,COUNTIF('Transect 3_imgsummary'!J46:N46,"SD")*100/P46)</f>
        <v>0</v>
      </c>
      <c r="L46">
        <f>IF(P46=0,0,COUNTIF('Transect 3_imgsummary'!J46:N46,"FCA")*100/P46)</f>
        <v>0</v>
      </c>
      <c r="M46">
        <f>IF(P46=0,0,COUNTIF('Transect 3_imgsummary'!J46:N46,"CHRYS")*100/P46)</f>
        <v>0</v>
      </c>
      <c r="N46" s="29">
        <f>IF(P46=0,0,COUNTIF('Transect 3_imgsummary'!J46:N46,"T")*100/P46)</f>
        <v>20</v>
      </c>
      <c r="O46">
        <f>IF(P46=0,0,COUNTIF('Transect 3_imgsummary'!J46:N46,"TWS")*100/P46)</f>
        <v>0</v>
      </c>
      <c r="P46">
        <f>5-COUNTIF('Transect 3_imgsummary'!J46:N46,"TWS")</f>
        <v>5</v>
      </c>
      <c r="S46">
        <f>IF(P46=0,0,COUNTIF('Transect 3_imgsummary'!E46:I46,"ACAN")*100/P46)</f>
        <v>0</v>
      </c>
      <c r="T46" s="29">
        <f>IF(P46=0,0,COUNTIF('Transect 3_imgsummary'!E46:I46,"ACROP")*100/P46)</f>
        <v>40</v>
      </c>
      <c r="U46">
        <f>IF(P46=0,0,COUNTIF('Transect 3_imgsummary'!E46:I46,"ACROPARB")*100/P46)</f>
        <v>0</v>
      </c>
      <c r="V46">
        <f>IF(P46=0,0,COUNTIF('Transect 3_imgsummary'!E46:I46,"ACROST")*100/P46)</f>
        <v>0</v>
      </c>
      <c r="W46">
        <f>IF(P46=0,0,COUNTIF('Transect 3_imgsummary'!E46:I46,"ACROTBL")*100/P46)</f>
        <v>0</v>
      </c>
      <c r="X46">
        <f>IF(P46=0,0,COUNTIF('Transect 3_imgsummary'!E46:I46,"ASTRP")*100/P46)</f>
        <v>0</v>
      </c>
      <c r="Y46">
        <f>IF(P46=0,0,COUNTIF('Transect 3_imgsummary'!E46:I46,"CAUL")*100/P46)</f>
        <v>0</v>
      </c>
      <c r="Z46">
        <f>IF(P46=0,0,COUNTIF('Transect 3_imgsummary'!E46:I46,"COSC")*100/P46)</f>
        <v>0</v>
      </c>
      <c r="AA46">
        <f>IF(P46=0,0,COUNTIF('Transect 3_imgsummary'!E46:I46,"CTEN")*100/P46)</f>
        <v>0</v>
      </c>
      <c r="AB46">
        <f>IF(P46=0,0,COUNTIF('Transect 3_imgsummary'!E46:I46,"CYPH")*100/P46)</f>
        <v>0</v>
      </c>
      <c r="AC46">
        <f>IF(P46=0,0,COUNTIF('Transect 3_imgsummary'!E46:I46,"DIPLO")*100/P46)</f>
        <v>0</v>
      </c>
      <c r="AD46" s="29">
        <f>IF(P46=0,0,COUNTIF('Transect 3_imgsummary'!E46:I46,"ECHPO")*100/P46)</f>
        <v>20</v>
      </c>
      <c r="AE46">
        <f>IF(P46=0,0,COUNTIF('Transect 3_imgsummary'!E46:I46,"ECHPHY")*100/P46)</f>
        <v>0</v>
      </c>
      <c r="AF46">
        <f>IF(P46=0,0,COUNTIF('Transect 3_imgsummary'!E46:I46,"EUPH")*100/P46)</f>
        <v>0</v>
      </c>
      <c r="AG46">
        <f>IF(P46=0,0,COUNTIF('Transect 3_imgsummary'!E46:I46,"FAV")*100/P46)</f>
        <v>0</v>
      </c>
      <c r="AH46">
        <f>IF(P46=0,0,COUNTIF('Transect 3_imgsummary'!E46:I46,"FAVT")*100/P46)</f>
        <v>0</v>
      </c>
      <c r="AI46">
        <f>IF(P46=0,0,COUNTIF('Transect 3_imgsummary'!E46:I46,"FUNG")*100/P46)</f>
        <v>0</v>
      </c>
      <c r="AJ46">
        <f>IF(P46=0,0,COUNTIF('Transect 3_imgsummary'!E46:I46,"GAL")*100/P46)</f>
        <v>0</v>
      </c>
      <c r="AK46">
        <f>IF(P46=0,0,COUNTIF('Transect 3_imgsummary'!E46:I46,"GARD")*100/P46)</f>
        <v>0</v>
      </c>
      <c r="AL46">
        <f>IF(P46=0,0,COUNTIF('Transect 3_imgsummary'!E46:I46,"GON")*100/P46)</f>
        <v>0</v>
      </c>
      <c r="AM46">
        <f>IF(P46=0,0,COUNTIF('Transect 3_imgsummary'!E46:I46,"GONIO")*100/P46)</f>
        <v>0</v>
      </c>
      <c r="AN46">
        <f>IF(P46=0,0,COUNTIF('Transect 3_imgsummary'!E46:I46,"HELIO")*100/P46)</f>
        <v>0</v>
      </c>
      <c r="AO46">
        <f>IF(P46=0,0,COUNTIF('Transect 3_imgsummary'!E46:I46,"HERP")*100/P46)</f>
        <v>0</v>
      </c>
      <c r="AP46">
        <f>IF(P46=0,0,COUNTIF('Transect 3_imgsummary'!E46:I46,"HYD")*100/P46)</f>
        <v>0</v>
      </c>
      <c r="AQ46">
        <f>IF(P46=0,0,COUNTIF('Transect 3_imgsummary'!E46:I46,"ISOP")*100/P46)</f>
        <v>0</v>
      </c>
      <c r="AR46">
        <f>IF(P46=0,0,COUNTIF('Transect 3_imgsummary'!E46:I46,"LEPT")*100/P46)</f>
        <v>0</v>
      </c>
      <c r="AS46">
        <f>IF(P46=0,0,COUNTIF('Transect 3_imgsummary'!E46:I46,"LEPTOR")*100/P46)</f>
        <v>0</v>
      </c>
      <c r="AT46">
        <f>IF(P46=0,0,COUNTIF('Transect 3_imgsummary'!E46:I46,"LEPTOS")*100/P46)</f>
        <v>0</v>
      </c>
      <c r="AU46">
        <f>IF(P46=0,0,COUNTIF('Transect 3_imgsummary'!E46:I46,"LOBOPH")*100/P46)</f>
        <v>0</v>
      </c>
      <c r="AV46">
        <f>IF(P46=0,0,COUNTIF('Transect 3_imgsummary'!E46:I46,"MERU")*100/P46)</f>
        <v>0</v>
      </c>
      <c r="AW46">
        <f>IF(P46=0,0,COUNTIF('Transect 3_imgsummary'!E46:I46,"MILL")*100/P46)</f>
        <v>0</v>
      </c>
      <c r="AX46">
        <f>IF(P46=0,0,COUNTIF('Transect 3_imgsummary'!E46:I46,"MONT")*100/P46)</f>
        <v>0</v>
      </c>
      <c r="AY46">
        <f>IF(P46=0,0,COUNTIF('Transect 3_imgsummary'!E46:I46,"MONTI")*100/P46)</f>
        <v>0</v>
      </c>
      <c r="AZ46">
        <f>IF(P46=0,0,COUNTIF('Transect 3_imgsummary'!E46:I46,"MYCED")*100/P46)</f>
        <v>0</v>
      </c>
      <c r="BA46">
        <f>IF(P46=0,0,COUNTIF('Transect 3_imgsummary'!E46:I46,"OULO")*100/P46)</f>
        <v>0</v>
      </c>
      <c r="BB46">
        <f>IF(P46=0,0,COUNTIF('Transect 3_imgsummary'!E46:I46,"OXYP")*100/P46)</f>
        <v>0</v>
      </c>
      <c r="BC46">
        <f>IF(P46=0,0,COUNTIF('Transect 3_imgsummary'!E46:I46,"PLSIA")*100/P46)</f>
        <v>0</v>
      </c>
      <c r="BD46">
        <f>IF(P46=0,0,COUNTIF('Transect 3_imgsummary'!E46:I46,"PACHY")*100/P46)</f>
        <v>0</v>
      </c>
      <c r="BE46">
        <f>IF(P46=0,0,COUNTIF('Transect 3_imgsummary'!E46:I46,"PAV")*100/P46)</f>
        <v>0</v>
      </c>
      <c r="BF46">
        <f>IF(P46=0,0,COUNTIF('Transect 3_imgsummary'!E46:I46,"PECT")*100/P46)</f>
        <v>0</v>
      </c>
      <c r="BG46">
        <f>IF(P46=0,0,COUNTIF('Transect 3_imgsummary'!E46:I46,"PHYSO")*100/P46)</f>
        <v>0</v>
      </c>
      <c r="BH46">
        <f>IF(P46=0,0,COUNTIF('Transect 3_imgsummary'!E46:I46,"PLAT")*100/P46)</f>
        <v>0</v>
      </c>
      <c r="BI46">
        <f>IF(P46=0,0,COUNTIF('Transect 3_imgsummary'!E46:I46,"PLERO")*100/P46)</f>
        <v>0</v>
      </c>
      <c r="BJ46">
        <f>IF(P46=0,0,COUNTIF('Transect 3_imgsummary'!E46:I46,"POC")*100/P46)</f>
        <v>0</v>
      </c>
      <c r="BK46">
        <f>IF(P46=0,0,COUNTIF('Transect 3_imgsummary'!E46:I46,"POR")*100/P46)</f>
        <v>0</v>
      </c>
      <c r="BL46">
        <f>IF(P46=0,0,COUNTIF('Transect 3_imgsummary'!E46:I46,"PORCYL")*100/P46)</f>
        <v>0</v>
      </c>
      <c r="BM46">
        <f>IF(P46=0,0,COUNTIF('Transect 3_imgsummary'!E46:I46,"PORMAS")*100/P46)</f>
        <v>0</v>
      </c>
      <c r="BN46" s="29">
        <f>IF(P46=0,0,COUNTIF('Transect 3_imgsummary'!E46:I46,"PORRUS")*100/P46)</f>
        <v>20</v>
      </c>
      <c r="BO46">
        <f>IF(P46=0,0,COUNTIF('Transect 3_imgsummary'!E46:I46,"PSAM")*100/P46)</f>
        <v>0</v>
      </c>
      <c r="BP46">
        <f>IF(P46=0,0,COUNTIF('Transect 3_imgsummary'!E46:I46,"SANDO")*100/P46)</f>
        <v>0</v>
      </c>
      <c r="BQ46">
        <f>IF(P46=0,0,COUNTIF('Transect 3_imgsummary'!E46:I46,"SCAP")*100/P46)</f>
        <v>0</v>
      </c>
      <c r="BR46">
        <f>IF(P46=0,0,COUNTIF('Transect 3_imgsummary'!E46:I46,"SERIA")*100/P46)</f>
        <v>0</v>
      </c>
      <c r="BS46">
        <f>IF(P46=0,0,COUNTIF('Transect 3_imgsummary'!E46:I46,"STYLC")*100/P46)</f>
        <v>0</v>
      </c>
      <c r="BT46">
        <f>IF(P46=0,0,COUNTIF('Transect 3_imgsummary'!E46:I46,"STYLO")*100/P46)</f>
        <v>0</v>
      </c>
      <c r="BU46">
        <f>IF(P46=0,0,COUNTIF('Transect 3_imgsummary'!E46:I46,"SYMP")*100/P46)</f>
        <v>0</v>
      </c>
      <c r="BV46">
        <f>IF(P46=0,0,COUNTIF('Transect 3_imgsummary'!E46:I46,"TURBIN")*100/P46)</f>
        <v>0</v>
      </c>
      <c r="BX46">
        <f>IF(P46=0,0,COUNTIF('Transect 3_imgsummary'!E46:I46,"ANEM")*100/P46)</f>
        <v>0</v>
      </c>
      <c r="BY46">
        <f>IF(P46=0,0,COUNTIF('Transect 3_imgsummary'!E46:I46,"ASC")*100/P46)</f>
        <v>0</v>
      </c>
      <c r="BZ46">
        <f>IF(P46=0,0,COUNTIF('Transect 3_imgsummary'!E46:I46,"CUPS")*100/P46)</f>
        <v>0</v>
      </c>
      <c r="CA46">
        <f>IF(P46=0,0,COUNTIF('Transect 3_imgsummary'!E46:I46,"DISCO")*100/P46)</f>
        <v>0</v>
      </c>
      <c r="CB46">
        <f>IF(P46=0,0,COUNTIF('Transect 3_imgsummary'!E46:I46,"DYS")*100/P46)</f>
        <v>0</v>
      </c>
      <c r="CC46">
        <f>IF(P46=0,0,COUNTIF('Transect 3_imgsummary'!E46:I46,"G")*100/P46)</f>
        <v>0</v>
      </c>
      <c r="CD46">
        <f>IF(P46=0,0,COUNTIF('Transect 3_imgsummary'!E46:I46,"NoIDINV")*100/P46)</f>
        <v>0</v>
      </c>
      <c r="CE46">
        <f>IF(P46=0,0,COUNTIF('Transect 3_imgsummary'!E46:I46,"OLV")*100/P46)</f>
        <v>0</v>
      </c>
      <c r="CF46">
        <f>IF(P46=0,0,COUNTIF('Transect 3_imgsummary'!E46:I46,"SC")*100/P46)</f>
        <v>0</v>
      </c>
      <c r="CG46">
        <f>IF(P46=0,0,COUNTIF('Transect 3_imgsummary'!E46:I46,"S")*100/P46)</f>
        <v>0</v>
      </c>
      <c r="CH46">
        <f>IF(P46=0,0,COUNTIF('Transect 3_imgsummary'!E46:I46,"TERPS")*100/P46)</f>
        <v>0</v>
      </c>
      <c r="CI46">
        <f>IF(P46=0,0,COUNTIF('Transect 3_imgsummary'!E46:I46,"Z")*100/P46)</f>
        <v>0</v>
      </c>
      <c r="CK46">
        <f>IF(P46=0,0,COUNTIF('Transect 3_imgsummary'!E46:I46,"ASP")*100/P46)</f>
        <v>0</v>
      </c>
      <c r="CL46">
        <f>IF(P46=0,0,COUNTIF('Transect 3_imgsummary'!E46:I46,"BG")*100/P46)</f>
        <v>0</v>
      </c>
      <c r="CM46">
        <f>IF(P46=0,0,COUNTIF('Transect 3_imgsummary'!E46:I46,"Bood")*100/P46)</f>
        <v>0</v>
      </c>
      <c r="CN46">
        <f>IF(P46=0,0,COUNTIF('Transect 3_imgsummary'!E46:I46,"BRYP")*100/P46)</f>
        <v>0</v>
      </c>
      <c r="CO46">
        <f>IF(P46=0,0,COUNTIF('Transect 3_imgsummary'!E46:I46,"CLP")*100/P46)</f>
        <v>0</v>
      </c>
      <c r="CP46">
        <f>IF(P46=0,0,COUNTIF('Transect 3_imgsummary'!E46:I46,"CHLDES")*100/P46)</f>
        <v>0</v>
      </c>
      <c r="CQ46">
        <f>IF(P46=0,0,COUNTIF('Transect 3_imgsummary'!E46:I46,"DYCTY")*100/P46)</f>
        <v>0</v>
      </c>
      <c r="CR46">
        <f>IF(P46=0,0,COUNTIF('Transect 3_imgsummary'!E46:I46,"DICT")*100/P46)</f>
        <v>0</v>
      </c>
      <c r="CS46">
        <f>IF(P46=0,0,COUNTIF('Transect 3_imgsummary'!E46:I46,"GLXU")*100/P46)</f>
        <v>0</v>
      </c>
      <c r="CT46">
        <f>IF(P46=0,0,COUNTIF('Transect 3_imgsummary'!E46:I46,"HALI")*100/P46)</f>
        <v>0</v>
      </c>
      <c r="CU46">
        <f>IF(P46=0,0,COUNTIF('Transect 3_imgsummary'!E46:I46,"LIAG")*100/P46)</f>
        <v>0</v>
      </c>
      <c r="CV46">
        <f>IF(P46=0,0,COUNTIF('Transect 3_imgsummary'!E46:I46,"LOBO")*100/P46)</f>
        <v>0</v>
      </c>
      <c r="CW46">
        <f>IF(P46=0,0,COUNTIF('Transect 3_imgsummary'!E46:I46,"MAST")*100/P46)</f>
        <v>0</v>
      </c>
      <c r="CX46">
        <f>IF(P46=0,0,COUNTIF('Transect 3_imgsummary'!E46:I46,"MICDTY")*100/P46)</f>
        <v>0</v>
      </c>
      <c r="CY46">
        <f>IF(P46=0,0,COUNTIF('Transect 3_imgsummary'!E46:I46,"NEOM")*100/P46)</f>
        <v>0</v>
      </c>
      <c r="CZ46">
        <f>IF(P46=0,0,COUNTIF('Transect 3_imgsummary'!E46:I46,"NOIDMAC")*100/P46)</f>
        <v>0</v>
      </c>
      <c r="DA46">
        <f>IF(P46=0,0,COUNTIF('Transect 3_imgsummary'!E46:I46,"PAD")*100/P46)</f>
        <v>0</v>
      </c>
      <c r="DB46">
        <f>IF(P46=0,0,COUNTIF('Transect 3_imgsummary'!E46:I46,"SARG")*100/P46)</f>
        <v>0</v>
      </c>
      <c r="DC46">
        <f>IF(P46=0,0,COUNTIF('Transect 3_imgsummary'!E46:I46,"SCHIZ")*100/P46)</f>
        <v>0</v>
      </c>
      <c r="DD46">
        <f>IF(P46=0,0,COUNTIF('Transect 3_imgsummary'!E46:I46,"TURB")*100/P46)</f>
        <v>0</v>
      </c>
      <c r="DE46">
        <f>IF(P46=0,0,COUNTIF('Transect 3_imgsummary'!E46:I46,"TYDM")*100/P46)</f>
        <v>0</v>
      </c>
      <c r="DG46">
        <f>IF(P46=0,0,COUNTIF('Transect 3_imgsummary'!E46:I46,"AMP")*100/P46)</f>
        <v>0</v>
      </c>
      <c r="DH46">
        <f>IF(P46=0,0,COUNTIF('Transect 3_imgsummary'!E46:I46,"BCA1")*100/P46)</f>
        <v>0</v>
      </c>
      <c r="DI46">
        <f>IF(P46=0,0,COUNTIF('Transect 3_imgsummary'!E46:I46,"JAN")*100/P46)</f>
        <v>0</v>
      </c>
      <c r="DK46">
        <f>IF(P46=0,0,COUNTIF('Transect 3_imgsummary'!E46:I46,"CCA1")*100/P46)</f>
        <v>0</v>
      </c>
      <c r="DM46">
        <f>IF(P46=0,0,COUNTIF('Transect 3_imgsummary'!E46:I46,"Sand")*100/P46)</f>
        <v>0</v>
      </c>
      <c r="DO46">
        <f>IF(P46=0,0,COUNTIF('Transect 3_imgsummary'!E46:I46,"FCA1")*100/P46)</f>
        <v>0</v>
      </c>
      <c r="DQ46">
        <f>IF(P46=0,0,COUNTIF('Transect 3_imgsummary'!E46:I46,"CHRYOBRN")*100/P46)</f>
        <v>0</v>
      </c>
      <c r="DS46" s="29">
        <f>IF(P46=0,0,COUNTIF('Transect 3_imgsummary'!E46:I46,"TURF")*100/P46)</f>
        <v>20</v>
      </c>
      <c r="DU46">
        <f>COUNTIF('Transect 3_imgsummary'!E46:I46,"Shadow")*100/5</f>
        <v>0</v>
      </c>
      <c r="DV46">
        <f>COUNTIF('Transect 3_imgsummary'!E46:I46,"Tape")*100/5</f>
        <v>0</v>
      </c>
      <c r="DW46">
        <f>COUNTIF('Transect 3_imgsummary'!E46:I46,"Wand")*100/5</f>
        <v>0</v>
      </c>
      <c r="DY46">
        <f>IF(P46=0,0,COUNTIF('Transect 3_imgsummary'!O46:S46,"BC")*100/P46)</f>
        <v>0</v>
      </c>
    </row>
    <row r="47" spans="1:129">
      <c r="A47">
        <v>45</v>
      </c>
      <c r="B47" t="s">
        <v>534</v>
      </c>
      <c r="F47" s="29">
        <f>IF(P47=0,0,COUNTIF('Transect 3_imgsummary'!J47:N47,"C")*100/P47)</f>
        <v>60</v>
      </c>
      <c r="G47">
        <f>IF(P47=0,0,COUNTIF('Transect 3_imgsummary'!J47:N47,"OI")*100/P47)</f>
        <v>0</v>
      </c>
      <c r="H47">
        <f>IF(P47=0,0,COUNTIF('Transect 3_imgsummary'!J47:N47,"MA")*100/P47)</f>
        <v>0</v>
      </c>
      <c r="I47">
        <f>IF(P47=0,0,COUNTIF('Transect 3_imgsummary'!J47:N47,"BCA")*100/P47)</f>
        <v>0</v>
      </c>
      <c r="J47" s="29">
        <f>IF(P47=0,0,COUNTIF('Transect 3_imgsummary'!J47:N47,"CCA")*100/P47)</f>
        <v>20</v>
      </c>
      <c r="K47">
        <f>IF(P47=0,0,COUNTIF('Transect 3_imgsummary'!J47:N47,"SD")*100/P47)</f>
        <v>0</v>
      </c>
      <c r="L47">
        <f>IF(P47=0,0,COUNTIF('Transect 3_imgsummary'!J47:N47,"FCA")*100/P47)</f>
        <v>0</v>
      </c>
      <c r="M47">
        <f>IF(P47=0,0,COUNTIF('Transect 3_imgsummary'!J47:N47,"CHRYS")*100/P47)</f>
        <v>0</v>
      </c>
      <c r="N47" s="29">
        <f>IF(P47=0,0,COUNTIF('Transect 3_imgsummary'!J47:N47,"T")*100/P47)</f>
        <v>20</v>
      </c>
      <c r="O47">
        <f>IF(P47=0,0,COUNTIF('Transect 3_imgsummary'!J47:N47,"TWS")*100/P47)</f>
        <v>0</v>
      </c>
      <c r="P47">
        <f>5-COUNTIF('Transect 3_imgsummary'!J47:N47,"TWS")</f>
        <v>5</v>
      </c>
      <c r="S47">
        <f>IF(P47=0,0,COUNTIF('Transect 3_imgsummary'!E47:I47,"ACAN")*100/P47)</f>
        <v>0</v>
      </c>
      <c r="T47" s="29">
        <f>IF(P47=0,0,COUNTIF('Transect 3_imgsummary'!E47:I47,"ACROP")*100/P47)</f>
        <v>20</v>
      </c>
      <c r="U47">
        <f>IF(P47=0,0,COUNTIF('Transect 3_imgsummary'!E47:I47,"ACROPARB")*100/P47)</f>
        <v>0</v>
      </c>
      <c r="V47">
        <f>IF(P47=0,0,COUNTIF('Transect 3_imgsummary'!E47:I47,"ACROST")*100/P47)</f>
        <v>0</v>
      </c>
      <c r="W47">
        <f>IF(P47=0,0,COUNTIF('Transect 3_imgsummary'!E47:I47,"ACROTBL")*100/P47)</f>
        <v>0</v>
      </c>
      <c r="X47">
        <f>IF(P47=0,0,COUNTIF('Transect 3_imgsummary'!E47:I47,"ASTRP")*100/P47)</f>
        <v>0</v>
      </c>
      <c r="Y47">
        <f>IF(P47=0,0,COUNTIF('Transect 3_imgsummary'!E47:I47,"CAUL")*100/P47)</f>
        <v>0</v>
      </c>
      <c r="Z47">
        <f>IF(P47=0,0,COUNTIF('Transect 3_imgsummary'!E47:I47,"COSC")*100/P47)</f>
        <v>0</v>
      </c>
      <c r="AA47">
        <f>IF(P47=0,0,COUNTIF('Transect 3_imgsummary'!E47:I47,"CTEN")*100/P47)</f>
        <v>0</v>
      </c>
      <c r="AB47">
        <f>IF(P47=0,0,COUNTIF('Transect 3_imgsummary'!E47:I47,"CYPH")*100/P47)</f>
        <v>0</v>
      </c>
      <c r="AC47">
        <f>IF(P47=0,0,COUNTIF('Transect 3_imgsummary'!E47:I47,"DIPLO")*100/P47)</f>
        <v>0</v>
      </c>
      <c r="AD47" s="29">
        <f>IF(P47=0,0,COUNTIF('Transect 3_imgsummary'!E47:I47,"ECHPO")*100/P47)</f>
        <v>20</v>
      </c>
      <c r="AE47">
        <f>IF(P47=0,0,COUNTIF('Transect 3_imgsummary'!E47:I47,"ECHPHY")*100/P47)</f>
        <v>0</v>
      </c>
      <c r="AF47">
        <f>IF(P47=0,0,COUNTIF('Transect 3_imgsummary'!E47:I47,"EUPH")*100/P47)</f>
        <v>0</v>
      </c>
      <c r="AG47">
        <f>IF(P47=0,0,COUNTIF('Transect 3_imgsummary'!E47:I47,"FAV")*100/P47)</f>
        <v>0</v>
      </c>
      <c r="AH47">
        <f>IF(P47=0,0,COUNTIF('Transect 3_imgsummary'!E47:I47,"FAVT")*100/P47)</f>
        <v>0</v>
      </c>
      <c r="AI47">
        <f>IF(P47=0,0,COUNTIF('Transect 3_imgsummary'!E47:I47,"FUNG")*100/P47)</f>
        <v>0</v>
      </c>
      <c r="AJ47">
        <f>IF(P47=0,0,COUNTIF('Transect 3_imgsummary'!E47:I47,"GAL")*100/P47)</f>
        <v>0</v>
      </c>
      <c r="AK47">
        <f>IF(P47=0,0,COUNTIF('Transect 3_imgsummary'!E47:I47,"GARD")*100/P47)</f>
        <v>0</v>
      </c>
      <c r="AL47">
        <f>IF(P47=0,0,COUNTIF('Transect 3_imgsummary'!E47:I47,"GON")*100/P47)</f>
        <v>0</v>
      </c>
      <c r="AM47">
        <f>IF(P47=0,0,COUNTIF('Transect 3_imgsummary'!E47:I47,"GONIO")*100/P47)</f>
        <v>0</v>
      </c>
      <c r="AN47">
        <f>IF(P47=0,0,COUNTIF('Transect 3_imgsummary'!E47:I47,"HELIO")*100/P47)</f>
        <v>0</v>
      </c>
      <c r="AO47">
        <f>IF(P47=0,0,COUNTIF('Transect 3_imgsummary'!E47:I47,"HERP")*100/P47)</f>
        <v>0</v>
      </c>
      <c r="AP47">
        <f>IF(P47=0,0,COUNTIF('Transect 3_imgsummary'!E47:I47,"HYD")*100/P47)</f>
        <v>0</v>
      </c>
      <c r="AQ47">
        <f>IF(P47=0,0,COUNTIF('Transect 3_imgsummary'!E47:I47,"ISOP")*100/P47)</f>
        <v>0</v>
      </c>
      <c r="AR47">
        <f>IF(P47=0,0,COUNTIF('Transect 3_imgsummary'!E47:I47,"LEPT")*100/P47)</f>
        <v>0</v>
      </c>
      <c r="AS47" s="29">
        <f>IF(P47=0,0,COUNTIF('Transect 3_imgsummary'!E47:I47,"LEPTOR")*100/P47)</f>
        <v>20</v>
      </c>
      <c r="AT47">
        <f>IF(P47=0,0,COUNTIF('Transect 3_imgsummary'!E47:I47,"LEPTOS")*100/P47)</f>
        <v>0</v>
      </c>
      <c r="AU47">
        <f>IF(P47=0,0,COUNTIF('Transect 3_imgsummary'!E47:I47,"LOBOPH")*100/P47)</f>
        <v>0</v>
      </c>
      <c r="AV47">
        <f>IF(P47=0,0,COUNTIF('Transect 3_imgsummary'!E47:I47,"MERU")*100/P47)</f>
        <v>0</v>
      </c>
      <c r="AW47">
        <f>IF(P47=0,0,COUNTIF('Transect 3_imgsummary'!E47:I47,"MILL")*100/P47)</f>
        <v>0</v>
      </c>
      <c r="AX47">
        <f>IF(P47=0,0,COUNTIF('Transect 3_imgsummary'!E47:I47,"MONT")*100/P47)</f>
        <v>0</v>
      </c>
      <c r="AY47">
        <f>IF(P47=0,0,COUNTIF('Transect 3_imgsummary'!E47:I47,"MONTI")*100/P47)</f>
        <v>0</v>
      </c>
      <c r="AZ47">
        <f>IF(P47=0,0,COUNTIF('Transect 3_imgsummary'!E47:I47,"MYCED")*100/P47)</f>
        <v>0</v>
      </c>
      <c r="BA47">
        <f>IF(P47=0,0,COUNTIF('Transect 3_imgsummary'!E47:I47,"OULO")*100/P47)</f>
        <v>0</v>
      </c>
      <c r="BB47">
        <f>IF(P47=0,0,COUNTIF('Transect 3_imgsummary'!E47:I47,"OXYP")*100/P47)</f>
        <v>0</v>
      </c>
      <c r="BC47">
        <f>IF(P47=0,0,COUNTIF('Transect 3_imgsummary'!E47:I47,"PLSIA")*100/P47)</f>
        <v>0</v>
      </c>
      <c r="BD47">
        <f>IF(P47=0,0,COUNTIF('Transect 3_imgsummary'!E47:I47,"PACHY")*100/P47)</f>
        <v>0</v>
      </c>
      <c r="BE47">
        <f>IF(P47=0,0,COUNTIF('Transect 3_imgsummary'!E47:I47,"PAV")*100/P47)</f>
        <v>0</v>
      </c>
      <c r="BF47">
        <f>IF(P47=0,0,COUNTIF('Transect 3_imgsummary'!E47:I47,"PECT")*100/P47)</f>
        <v>0</v>
      </c>
      <c r="BG47">
        <f>IF(P47=0,0,COUNTIF('Transect 3_imgsummary'!E47:I47,"PHYSO")*100/P47)</f>
        <v>0</v>
      </c>
      <c r="BH47">
        <f>IF(P47=0,0,COUNTIF('Transect 3_imgsummary'!E47:I47,"PLAT")*100/P47)</f>
        <v>0</v>
      </c>
      <c r="BI47">
        <f>IF(P47=0,0,COUNTIF('Transect 3_imgsummary'!E47:I47,"PLERO")*100/P47)</f>
        <v>0</v>
      </c>
      <c r="BJ47">
        <f>IF(P47=0,0,COUNTIF('Transect 3_imgsummary'!E47:I47,"POC")*100/P47)</f>
        <v>0</v>
      </c>
      <c r="BK47">
        <f>IF(P47=0,0,COUNTIF('Transect 3_imgsummary'!E47:I47,"POR")*100/P47)</f>
        <v>0</v>
      </c>
      <c r="BL47">
        <f>IF(P47=0,0,COUNTIF('Transect 3_imgsummary'!E47:I47,"PORCYL")*100/P47)</f>
        <v>0</v>
      </c>
      <c r="BM47">
        <f>IF(P47=0,0,COUNTIF('Transect 3_imgsummary'!E47:I47,"PORMAS")*100/P47)</f>
        <v>0</v>
      </c>
      <c r="BN47">
        <f>IF(P47=0,0,COUNTIF('Transect 3_imgsummary'!E47:I47,"PORRUS")*100/P47)</f>
        <v>0</v>
      </c>
      <c r="BO47">
        <f>IF(P47=0,0,COUNTIF('Transect 3_imgsummary'!E47:I47,"PSAM")*100/P47)</f>
        <v>0</v>
      </c>
      <c r="BP47">
        <f>IF(P47=0,0,COUNTIF('Transect 3_imgsummary'!E47:I47,"SANDO")*100/P47)</f>
        <v>0</v>
      </c>
      <c r="BQ47">
        <f>IF(P47=0,0,COUNTIF('Transect 3_imgsummary'!E47:I47,"SCAP")*100/P47)</f>
        <v>0</v>
      </c>
      <c r="BR47">
        <f>IF(P47=0,0,COUNTIF('Transect 3_imgsummary'!E47:I47,"SERIA")*100/P47)</f>
        <v>0</v>
      </c>
      <c r="BS47">
        <f>IF(P47=0,0,COUNTIF('Transect 3_imgsummary'!E47:I47,"STYLC")*100/P47)</f>
        <v>0</v>
      </c>
      <c r="BT47">
        <f>IF(P47=0,0,COUNTIF('Transect 3_imgsummary'!E47:I47,"STYLO")*100/P47)</f>
        <v>0</v>
      </c>
      <c r="BU47">
        <f>IF(P47=0,0,COUNTIF('Transect 3_imgsummary'!E47:I47,"SYMP")*100/P47)</f>
        <v>0</v>
      </c>
      <c r="BV47">
        <f>IF(P47=0,0,COUNTIF('Transect 3_imgsummary'!E47:I47,"TURBIN")*100/P47)</f>
        <v>0</v>
      </c>
      <c r="BX47">
        <f>IF(P47=0,0,COUNTIF('Transect 3_imgsummary'!E47:I47,"ANEM")*100/P47)</f>
        <v>0</v>
      </c>
      <c r="BY47">
        <f>IF(P47=0,0,COUNTIF('Transect 3_imgsummary'!E47:I47,"ASC")*100/P47)</f>
        <v>0</v>
      </c>
      <c r="BZ47">
        <f>IF(P47=0,0,COUNTIF('Transect 3_imgsummary'!E47:I47,"CUPS")*100/P47)</f>
        <v>0</v>
      </c>
      <c r="CA47">
        <f>IF(P47=0,0,COUNTIF('Transect 3_imgsummary'!E47:I47,"DISCO")*100/P47)</f>
        <v>0</v>
      </c>
      <c r="CB47">
        <f>IF(P47=0,0,COUNTIF('Transect 3_imgsummary'!E47:I47,"DYS")*100/P47)</f>
        <v>0</v>
      </c>
      <c r="CC47">
        <f>IF(P47=0,0,COUNTIF('Transect 3_imgsummary'!E47:I47,"G")*100/P47)</f>
        <v>0</v>
      </c>
      <c r="CD47">
        <f>IF(P47=0,0,COUNTIF('Transect 3_imgsummary'!E47:I47,"NoIDINV")*100/P47)</f>
        <v>0</v>
      </c>
      <c r="CE47">
        <f>IF(P47=0,0,COUNTIF('Transect 3_imgsummary'!E47:I47,"OLV")*100/P47)</f>
        <v>0</v>
      </c>
      <c r="CF47">
        <f>IF(P47=0,0,COUNTIF('Transect 3_imgsummary'!E47:I47,"SC")*100/P47)</f>
        <v>0</v>
      </c>
      <c r="CG47">
        <f>IF(P47=0,0,COUNTIF('Transect 3_imgsummary'!E47:I47,"S")*100/P47)</f>
        <v>0</v>
      </c>
      <c r="CH47">
        <f>IF(P47=0,0,COUNTIF('Transect 3_imgsummary'!E47:I47,"TERPS")*100/P47)</f>
        <v>0</v>
      </c>
      <c r="CI47">
        <f>IF(P47=0,0,COUNTIF('Transect 3_imgsummary'!E47:I47,"Z")*100/P47)</f>
        <v>0</v>
      </c>
      <c r="CK47">
        <f>IF(P47=0,0,COUNTIF('Transect 3_imgsummary'!E47:I47,"ASP")*100/P47)</f>
        <v>0</v>
      </c>
      <c r="CL47">
        <f>IF(P47=0,0,COUNTIF('Transect 3_imgsummary'!E47:I47,"BG")*100/P47)</f>
        <v>0</v>
      </c>
      <c r="CM47">
        <f>IF(P47=0,0,COUNTIF('Transect 3_imgsummary'!E47:I47,"Bood")*100/P47)</f>
        <v>0</v>
      </c>
      <c r="CN47">
        <f>IF(P47=0,0,COUNTIF('Transect 3_imgsummary'!E47:I47,"BRYP")*100/P47)</f>
        <v>0</v>
      </c>
      <c r="CO47">
        <f>IF(P47=0,0,COUNTIF('Transect 3_imgsummary'!E47:I47,"CLP")*100/P47)</f>
        <v>0</v>
      </c>
      <c r="CP47">
        <f>IF(P47=0,0,COUNTIF('Transect 3_imgsummary'!E47:I47,"CHLDES")*100/P47)</f>
        <v>0</v>
      </c>
      <c r="CQ47">
        <f>IF(P47=0,0,COUNTIF('Transect 3_imgsummary'!E47:I47,"DYCTY")*100/P47)</f>
        <v>0</v>
      </c>
      <c r="CR47">
        <f>IF(P47=0,0,COUNTIF('Transect 3_imgsummary'!E47:I47,"DICT")*100/P47)</f>
        <v>0</v>
      </c>
      <c r="CS47">
        <f>IF(P47=0,0,COUNTIF('Transect 3_imgsummary'!E47:I47,"GLXU")*100/P47)</f>
        <v>0</v>
      </c>
      <c r="CT47">
        <f>IF(P47=0,0,COUNTIF('Transect 3_imgsummary'!E47:I47,"HALI")*100/P47)</f>
        <v>0</v>
      </c>
      <c r="CU47">
        <f>IF(P47=0,0,COUNTIF('Transect 3_imgsummary'!E47:I47,"LIAG")*100/P47)</f>
        <v>0</v>
      </c>
      <c r="CV47">
        <f>IF(P47=0,0,COUNTIF('Transect 3_imgsummary'!E47:I47,"LOBO")*100/P47)</f>
        <v>0</v>
      </c>
      <c r="CW47">
        <f>IF(P47=0,0,COUNTIF('Transect 3_imgsummary'!E47:I47,"MAST")*100/P47)</f>
        <v>0</v>
      </c>
      <c r="CX47">
        <f>IF(P47=0,0,COUNTIF('Transect 3_imgsummary'!E47:I47,"MICDTY")*100/P47)</f>
        <v>0</v>
      </c>
      <c r="CY47">
        <f>IF(P47=0,0,COUNTIF('Transect 3_imgsummary'!E47:I47,"NEOM")*100/P47)</f>
        <v>0</v>
      </c>
      <c r="CZ47">
        <f>IF(P47=0,0,COUNTIF('Transect 3_imgsummary'!E47:I47,"NOIDMAC")*100/P47)</f>
        <v>0</v>
      </c>
      <c r="DA47">
        <f>IF(P47=0,0,COUNTIF('Transect 3_imgsummary'!E47:I47,"PAD")*100/P47)</f>
        <v>0</v>
      </c>
      <c r="DB47">
        <f>IF(P47=0,0,COUNTIF('Transect 3_imgsummary'!E47:I47,"SARG")*100/P47)</f>
        <v>0</v>
      </c>
      <c r="DC47">
        <f>IF(P47=0,0,COUNTIF('Transect 3_imgsummary'!E47:I47,"SCHIZ")*100/P47)</f>
        <v>0</v>
      </c>
      <c r="DD47">
        <f>IF(P47=0,0,COUNTIF('Transect 3_imgsummary'!E47:I47,"TURB")*100/P47)</f>
        <v>0</v>
      </c>
      <c r="DE47">
        <f>IF(P47=0,0,COUNTIF('Transect 3_imgsummary'!E47:I47,"TYDM")*100/P47)</f>
        <v>0</v>
      </c>
      <c r="DG47">
        <f>IF(P47=0,0,COUNTIF('Transect 3_imgsummary'!E47:I47,"AMP")*100/P47)</f>
        <v>0</v>
      </c>
      <c r="DH47">
        <f>IF(P47=0,0,COUNTIF('Transect 3_imgsummary'!E47:I47,"BCA1")*100/P47)</f>
        <v>0</v>
      </c>
      <c r="DI47">
        <f>IF(P47=0,0,COUNTIF('Transect 3_imgsummary'!E47:I47,"JAN")*100/P47)</f>
        <v>0</v>
      </c>
      <c r="DK47" s="29">
        <f>IF(P47=0,0,COUNTIF('Transect 3_imgsummary'!E47:I47,"CCA1")*100/P47)</f>
        <v>20</v>
      </c>
      <c r="DM47">
        <f>IF(P47=0,0,COUNTIF('Transect 3_imgsummary'!E47:I47,"Sand")*100/P47)</f>
        <v>0</v>
      </c>
      <c r="DO47">
        <f>IF(P47=0,0,COUNTIF('Transect 3_imgsummary'!E47:I47,"FCA1")*100/P47)</f>
        <v>0</v>
      </c>
      <c r="DQ47">
        <f>IF(P47=0,0,COUNTIF('Transect 3_imgsummary'!E47:I47,"CHRYOBRN")*100/P47)</f>
        <v>0</v>
      </c>
      <c r="DS47" s="29">
        <f>IF(P47=0,0,COUNTIF('Transect 3_imgsummary'!E47:I47,"TURF")*100/P47)</f>
        <v>20</v>
      </c>
      <c r="DU47">
        <f>COUNTIF('Transect 3_imgsummary'!E47:I47,"Shadow")*100/5</f>
        <v>0</v>
      </c>
      <c r="DV47">
        <f>COUNTIF('Transect 3_imgsummary'!E47:I47,"Tape")*100/5</f>
        <v>0</v>
      </c>
      <c r="DW47">
        <f>COUNTIF('Transect 3_imgsummary'!E47:I47,"Wand")*100/5</f>
        <v>0</v>
      </c>
      <c r="DY47">
        <f>IF(P47=0,0,COUNTIF('Transect 3_imgsummary'!O47:S47,"BC")*100/P47)</f>
        <v>0</v>
      </c>
    </row>
    <row r="48" spans="1:129">
      <c r="A48">
        <v>46</v>
      </c>
      <c r="B48" t="s">
        <v>535</v>
      </c>
      <c r="F48" s="29">
        <f>IF(P48=0,0,COUNTIF('Transect 3_imgsummary'!J48:N48,"C")*100/P48)</f>
        <v>60</v>
      </c>
      <c r="G48">
        <f>IF(P48=0,0,COUNTIF('Transect 3_imgsummary'!J48:N48,"OI")*100/P48)</f>
        <v>0</v>
      </c>
      <c r="H48">
        <f>IF(P48=0,0,COUNTIF('Transect 3_imgsummary'!J48:N48,"MA")*100/P48)</f>
        <v>0</v>
      </c>
      <c r="I48">
        <f>IF(P48=0,0,COUNTIF('Transect 3_imgsummary'!J48:N48,"BCA")*100/P48)</f>
        <v>0</v>
      </c>
      <c r="J48" s="29">
        <f>IF(P48=0,0,COUNTIF('Transect 3_imgsummary'!J48:N48,"CCA")*100/P48)</f>
        <v>20</v>
      </c>
      <c r="K48">
        <f>IF(P48=0,0,COUNTIF('Transect 3_imgsummary'!J48:N48,"SD")*100/P48)</f>
        <v>0</v>
      </c>
      <c r="L48">
        <f>IF(P48=0,0,COUNTIF('Transect 3_imgsummary'!J48:N48,"FCA")*100/P48)</f>
        <v>0</v>
      </c>
      <c r="M48">
        <f>IF(P48=0,0,COUNTIF('Transect 3_imgsummary'!J48:N48,"CHRYS")*100/P48)</f>
        <v>0</v>
      </c>
      <c r="N48" s="29">
        <f>IF(P48=0,0,COUNTIF('Transect 3_imgsummary'!J48:N48,"T")*100/P48)</f>
        <v>20</v>
      </c>
      <c r="O48">
        <f>IF(P48=0,0,COUNTIF('Transect 3_imgsummary'!J48:N48,"TWS")*100/P48)</f>
        <v>0</v>
      </c>
      <c r="P48">
        <f>5-COUNTIF('Transect 3_imgsummary'!J48:N48,"TWS")</f>
        <v>5</v>
      </c>
      <c r="S48">
        <f>IF(P48=0,0,COUNTIF('Transect 3_imgsummary'!E48:I48,"ACAN")*100/P48)</f>
        <v>0</v>
      </c>
      <c r="T48">
        <f>IF(P48=0,0,COUNTIF('Transect 3_imgsummary'!E48:I48,"ACROP")*100/P48)</f>
        <v>0</v>
      </c>
      <c r="U48">
        <f>IF(P48=0,0,COUNTIF('Transect 3_imgsummary'!E48:I48,"ACROPARB")*100/P48)</f>
        <v>0</v>
      </c>
      <c r="V48">
        <f>IF(P48=0,0,COUNTIF('Transect 3_imgsummary'!E48:I48,"ACROST")*100/P48)</f>
        <v>0</v>
      </c>
      <c r="W48">
        <f>IF(P48=0,0,COUNTIF('Transect 3_imgsummary'!E48:I48,"ACROTBL")*100/P48)</f>
        <v>0</v>
      </c>
      <c r="X48">
        <f>IF(P48=0,0,COUNTIF('Transect 3_imgsummary'!E48:I48,"ASTRP")*100/P48)</f>
        <v>0</v>
      </c>
      <c r="Y48">
        <f>IF(P48=0,0,COUNTIF('Transect 3_imgsummary'!E48:I48,"CAUL")*100/P48)</f>
        <v>0</v>
      </c>
      <c r="Z48">
        <f>IF(P48=0,0,COUNTIF('Transect 3_imgsummary'!E48:I48,"COSC")*100/P48)</f>
        <v>0</v>
      </c>
      <c r="AA48">
        <f>IF(P48=0,0,COUNTIF('Transect 3_imgsummary'!E48:I48,"CTEN")*100/P48)</f>
        <v>0</v>
      </c>
      <c r="AB48">
        <f>IF(P48=0,0,COUNTIF('Transect 3_imgsummary'!E48:I48,"CYPH")*100/P48)</f>
        <v>0</v>
      </c>
      <c r="AC48">
        <f>IF(P48=0,0,COUNTIF('Transect 3_imgsummary'!E48:I48,"DIPLO")*100/P48)</f>
        <v>0</v>
      </c>
      <c r="AD48">
        <f>IF(P48=0,0,COUNTIF('Transect 3_imgsummary'!E48:I48,"ECHPO")*100/P48)</f>
        <v>0</v>
      </c>
      <c r="AE48">
        <f>IF(P48=0,0,COUNTIF('Transect 3_imgsummary'!E48:I48,"ECHPHY")*100/P48)</f>
        <v>0</v>
      </c>
      <c r="AF48">
        <f>IF(P48=0,0,COUNTIF('Transect 3_imgsummary'!E48:I48,"EUPH")*100/P48)</f>
        <v>0</v>
      </c>
      <c r="AG48">
        <f>IF(P48=0,0,COUNTIF('Transect 3_imgsummary'!E48:I48,"FAV")*100/P48)</f>
        <v>0</v>
      </c>
      <c r="AH48">
        <f>IF(P48=0,0,COUNTIF('Transect 3_imgsummary'!E48:I48,"FAVT")*100/P48)</f>
        <v>0</v>
      </c>
      <c r="AI48">
        <f>IF(P48=0,0,COUNTIF('Transect 3_imgsummary'!E48:I48,"FUNG")*100/P48)</f>
        <v>0</v>
      </c>
      <c r="AJ48">
        <f>IF(P48=0,0,COUNTIF('Transect 3_imgsummary'!E48:I48,"GAL")*100/P48)</f>
        <v>0</v>
      </c>
      <c r="AK48">
        <f>IF(P48=0,0,COUNTIF('Transect 3_imgsummary'!E48:I48,"GARD")*100/P48)</f>
        <v>0</v>
      </c>
      <c r="AL48" s="29">
        <f>IF(P48=0,0,COUNTIF('Transect 3_imgsummary'!E48:I48,"GON")*100/P48)</f>
        <v>40</v>
      </c>
      <c r="AM48">
        <f>IF(P48=0,0,COUNTIF('Transect 3_imgsummary'!E48:I48,"GONIO")*100/P48)</f>
        <v>0</v>
      </c>
      <c r="AN48">
        <f>IF(P48=0,0,COUNTIF('Transect 3_imgsummary'!E48:I48,"HELIO")*100/P48)</f>
        <v>0</v>
      </c>
      <c r="AO48">
        <f>IF(P48=0,0,COUNTIF('Transect 3_imgsummary'!E48:I48,"HERP")*100/P48)</f>
        <v>0</v>
      </c>
      <c r="AP48">
        <f>IF(P48=0,0,COUNTIF('Transect 3_imgsummary'!E48:I48,"HYD")*100/P48)</f>
        <v>0</v>
      </c>
      <c r="AQ48">
        <f>IF(P48=0,0,COUNTIF('Transect 3_imgsummary'!E48:I48,"ISOP")*100/P48)</f>
        <v>0</v>
      </c>
      <c r="AR48">
        <f>IF(P48=0,0,COUNTIF('Transect 3_imgsummary'!E48:I48,"LEPT")*100/P48)</f>
        <v>0</v>
      </c>
      <c r="AS48">
        <f>IF(P48=0,0,COUNTIF('Transect 3_imgsummary'!E48:I48,"LEPTOR")*100/P48)</f>
        <v>0</v>
      </c>
      <c r="AT48">
        <f>IF(P48=0,0,COUNTIF('Transect 3_imgsummary'!E48:I48,"LEPTOS")*100/P48)</f>
        <v>0</v>
      </c>
      <c r="AU48">
        <f>IF(P48=0,0,COUNTIF('Transect 3_imgsummary'!E48:I48,"LOBOPH")*100/P48)</f>
        <v>0</v>
      </c>
      <c r="AV48">
        <f>IF(P48=0,0,COUNTIF('Transect 3_imgsummary'!E48:I48,"MERU")*100/P48)</f>
        <v>0</v>
      </c>
      <c r="AW48">
        <f>IF(P48=0,0,COUNTIF('Transect 3_imgsummary'!E48:I48,"MILL")*100/P48)</f>
        <v>0</v>
      </c>
      <c r="AX48">
        <f>IF(P48=0,0,COUNTIF('Transect 3_imgsummary'!E48:I48,"MONT")*100/P48)</f>
        <v>0</v>
      </c>
      <c r="AY48">
        <f>IF(P48=0,0,COUNTIF('Transect 3_imgsummary'!E48:I48,"MONTI")*100/P48)</f>
        <v>0</v>
      </c>
      <c r="AZ48">
        <f>IF(P48=0,0,COUNTIF('Transect 3_imgsummary'!E48:I48,"MYCED")*100/P48)</f>
        <v>0</v>
      </c>
      <c r="BA48">
        <f>IF(P48=0,0,COUNTIF('Transect 3_imgsummary'!E48:I48,"OULO")*100/P48)</f>
        <v>0</v>
      </c>
      <c r="BB48">
        <f>IF(P48=0,0,COUNTIF('Transect 3_imgsummary'!E48:I48,"OXYP")*100/P48)</f>
        <v>0</v>
      </c>
      <c r="BC48">
        <f>IF(P48=0,0,COUNTIF('Transect 3_imgsummary'!E48:I48,"PLSIA")*100/P48)</f>
        <v>0</v>
      </c>
      <c r="BD48">
        <f>IF(P48=0,0,COUNTIF('Transect 3_imgsummary'!E48:I48,"PACHY")*100/P48)</f>
        <v>0</v>
      </c>
      <c r="BE48">
        <f>IF(P48=0,0,COUNTIF('Transect 3_imgsummary'!E48:I48,"PAV")*100/P48)</f>
        <v>0</v>
      </c>
      <c r="BF48">
        <f>IF(P48=0,0,COUNTIF('Transect 3_imgsummary'!E48:I48,"PECT")*100/P48)</f>
        <v>0</v>
      </c>
      <c r="BG48">
        <f>IF(P48=0,0,COUNTIF('Transect 3_imgsummary'!E48:I48,"PHYSO")*100/P48)</f>
        <v>0</v>
      </c>
      <c r="BH48">
        <f>IF(P48=0,0,COUNTIF('Transect 3_imgsummary'!E48:I48,"PLAT")*100/P48)</f>
        <v>0</v>
      </c>
      <c r="BI48">
        <f>IF(P48=0,0,COUNTIF('Transect 3_imgsummary'!E48:I48,"PLERO")*100/P48)</f>
        <v>0</v>
      </c>
      <c r="BJ48">
        <f>IF(P48=0,0,COUNTIF('Transect 3_imgsummary'!E48:I48,"POC")*100/P48)</f>
        <v>0</v>
      </c>
      <c r="BK48">
        <f>IF(P48=0,0,COUNTIF('Transect 3_imgsummary'!E48:I48,"POR")*100/P48)</f>
        <v>0</v>
      </c>
      <c r="BL48">
        <f>IF(P48=0,0,COUNTIF('Transect 3_imgsummary'!E48:I48,"PORCYL")*100/P48)</f>
        <v>0</v>
      </c>
      <c r="BM48">
        <f>IF(P48=0,0,COUNTIF('Transect 3_imgsummary'!E48:I48,"PORMAS")*100/P48)</f>
        <v>0</v>
      </c>
      <c r="BN48" s="29">
        <f>IF(P48=0,0,COUNTIF('Transect 3_imgsummary'!E48:I48,"PORRUS")*100/P48)</f>
        <v>20</v>
      </c>
      <c r="BO48">
        <f>IF(P48=0,0,COUNTIF('Transect 3_imgsummary'!E48:I48,"PSAM")*100/P48)</f>
        <v>0</v>
      </c>
      <c r="BP48">
        <f>IF(P48=0,0,COUNTIF('Transect 3_imgsummary'!E48:I48,"SANDO")*100/P48)</f>
        <v>0</v>
      </c>
      <c r="BQ48">
        <f>IF(P48=0,0,COUNTIF('Transect 3_imgsummary'!E48:I48,"SCAP")*100/P48)</f>
        <v>0</v>
      </c>
      <c r="BR48">
        <f>IF(P48=0,0,COUNTIF('Transect 3_imgsummary'!E48:I48,"SERIA")*100/P48)</f>
        <v>0</v>
      </c>
      <c r="BS48">
        <f>IF(P48=0,0,COUNTIF('Transect 3_imgsummary'!E48:I48,"STYLC")*100/P48)</f>
        <v>0</v>
      </c>
      <c r="BT48">
        <f>IF(P48=0,0,COUNTIF('Transect 3_imgsummary'!E48:I48,"STYLO")*100/P48)</f>
        <v>0</v>
      </c>
      <c r="BU48">
        <f>IF(P48=0,0,COUNTIF('Transect 3_imgsummary'!E48:I48,"SYMP")*100/P48)</f>
        <v>0</v>
      </c>
      <c r="BV48">
        <f>IF(P48=0,0,COUNTIF('Transect 3_imgsummary'!E48:I48,"TURBIN")*100/P48)</f>
        <v>0</v>
      </c>
      <c r="BX48">
        <f>IF(P48=0,0,COUNTIF('Transect 3_imgsummary'!E48:I48,"ANEM")*100/P48)</f>
        <v>0</v>
      </c>
      <c r="BY48">
        <f>IF(P48=0,0,COUNTIF('Transect 3_imgsummary'!E48:I48,"ASC")*100/P48)</f>
        <v>0</v>
      </c>
      <c r="BZ48">
        <f>IF(P48=0,0,COUNTIF('Transect 3_imgsummary'!E48:I48,"CUPS")*100/P48)</f>
        <v>0</v>
      </c>
      <c r="CA48">
        <f>IF(P48=0,0,COUNTIF('Transect 3_imgsummary'!E48:I48,"DISCO")*100/P48)</f>
        <v>0</v>
      </c>
      <c r="CB48">
        <f>IF(P48=0,0,COUNTIF('Transect 3_imgsummary'!E48:I48,"DYS")*100/P48)</f>
        <v>0</v>
      </c>
      <c r="CC48">
        <f>IF(P48=0,0,COUNTIF('Transect 3_imgsummary'!E48:I48,"G")*100/P48)</f>
        <v>0</v>
      </c>
      <c r="CD48">
        <f>IF(P48=0,0,COUNTIF('Transect 3_imgsummary'!E48:I48,"NoIDINV")*100/P48)</f>
        <v>0</v>
      </c>
      <c r="CE48">
        <f>IF(P48=0,0,COUNTIF('Transect 3_imgsummary'!E48:I48,"OLV")*100/P48)</f>
        <v>0</v>
      </c>
      <c r="CF48">
        <f>IF(P48=0,0,COUNTIF('Transect 3_imgsummary'!E48:I48,"SC")*100/P48)</f>
        <v>0</v>
      </c>
      <c r="CG48">
        <f>IF(P48=0,0,COUNTIF('Transect 3_imgsummary'!E48:I48,"S")*100/P48)</f>
        <v>0</v>
      </c>
      <c r="CH48">
        <f>IF(P48=0,0,COUNTIF('Transect 3_imgsummary'!E48:I48,"TERPS")*100/P48)</f>
        <v>0</v>
      </c>
      <c r="CI48">
        <f>IF(P48=0,0,COUNTIF('Transect 3_imgsummary'!E48:I48,"Z")*100/P48)</f>
        <v>0</v>
      </c>
      <c r="CK48">
        <f>IF(P48=0,0,COUNTIF('Transect 3_imgsummary'!E48:I48,"ASP")*100/P48)</f>
        <v>0</v>
      </c>
      <c r="CL48">
        <f>IF(P48=0,0,COUNTIF('Transect 3_imgsummary'!E48:I48,"BG")*100/P48)</f>
        <v>0</v>
      </c>
      <c r="CM48">
        <f>IF(P48=0,0,COUNTIF('Transect 3_imgsummary'!E48:I48,"Bood")*100/P48)</f>
        <v>0</v>
      </c>
      <c r="CN48">
        <f>IF(P48=0,0,COUNTIF('Transect 3_imgsummary'!E48:I48,"BRYP")*100/P48)</f>
        <v>0</v>
      </c>
      <c r="CO48">
        <f>IF(P48=0,0,COUNTIF('Transect 3_imgsummary'!E48:I48,"CLP")*100/P48)</f>
        <v>0</v>
      </c>
      <c r="CP48">
        <f>IF(P48=0,0,COUNTIF('Transect 3_imgsummary'!E48:I48,"CHLDES")*100/P48)</f>
        <v>0</v>
      </c>
      <c r="CQ48">
        <f>IF(P48=0,0,COUNTIF('Transect 3_imgsummary'!E48:I48,"DYCTY")*100/P48)</f>
        <v>0</v>
      </c>
      <c r="CR48">
        <f>IF(P48=0,0,COUNTIF('Transect 3_imgsummary'!E48:I48,"DICT")*100/P48)</f>
        <v>0</v>
      </c>
      <c r="CS48">
        <f>IF(P48=0,0,COUNTIF('Transect 3_imgsummary'!E48:I48,"GLXU")*100/P48)</f>
        <v>0</v>
      </c>
      <c r="CT48">
        <f>IF(P48=0,0,COUNTIF('Transect 3_imgsummary'!E48:I48,"HALI")*100/P48)</f>
        <v>0</v>
      </c>
      <c r="CU48">
        <f>IF(P48=0,0,COUNTIF('Transect 3_imgsummary'!E48:I48,"LIAG")*100/P48)</f>
        <v>0</v>
      </c>
      <c r="CV48">
        <f>IF(P48=0,0,COUNTIF('Transect 3_imgsummary'!E48:I48,"LOBO")*100/P48)</f>
        <v>0</v>
      </c>
      <c r="CW48">
        <f>IF(P48=0,0,COUNTIF('Transect 3_imgsummary'!E48:I48,"MAST")*100/P48)</f>
        <v>0</v>
      </c>
      <c r="CX48">
        <f>IF(P48=0,0,COUNTIF('Transect 3_imgsummary'!E48:I48,"MICDTY")*100/P48)</f>
        <v>0</v>
      </c>
      <c r="CY48">
        <f>IF(P48=0,0,COUNTIF('Transect 3_imgsummary'!E48:I48,"NEOM")*100/P48)</f>
        <v>0</v>
      </c>
      <c r="CZ48">
        <f>IF(P48=0,0,COUNTIF('Transect 3_imgsummary'!E48:I48,"NOIDMAC")*100/P48)</f>
        <v>0</v>
      </c>
      <c r="DA48">
        <f>IF(P48=0,0,COUNTIF('Transect 3_imgsummary'!E48:I48,"PAD")*100/P48)</f>
        <v>0</v>
      </c>
      <c r="DB48">
        <f>IF(P48=0,0,COUNTIF('Transect 3_imgsummary'!E48:I48,"SARG")*100/P48)</f>
        <v>0</v>
      </c>
      <c r="DC48">
        <f>IF(P48=0,0,COUNTIF('Transect 3_imgsummary'!E48:I48,"SCHIZ")*100/P48)</f>
        <v>0</v>
      </c>
      <c r="DD48">
        <f>IF(P48=0,0,COUNTIF('Transect 3_imgsummary'!E48:I48,"TURB")*100/P48)</f>
        <v>0</v>
      </c>
      <c r="DE48">
        <f>IF(P48=0,0,COUNTIF('Transect 3_imgsummary'!E48:I48,"TYDM")*100/P48)</f>
        <v>0</v>
      </c>
      <c r="DG48">
        <f>IF(P48=0,0,COUNTIF('Transect 3_imgsummary'!E48:I48,"AMP")*100/P48)</f>
        <v>0</v>
      </c>
      <c r="DH48">
        <f>IF(P48=0,0,COUNTIF('Transect 3_imgsummary'!E48:I48,"BCA1")*100/P48)</f>
        <v>0</v>
      </c>
      <c r="DI48">
        <f>IF(P48=0,0,COUNTIF('Transect 3_imgsummary'!E48:I48,"JAN")*100/P48)</f>
        <v>0</v>
      </c>
      <c r="DK48" s="29">
        <f>IF(P48=0,0,COUNTIF('Transect 3_imgsummary'!E48:I48,"CCA1")*100/P48)</f>
        <v>20</v>
      </c>
      <c r="DM48">
        <f>IF(P48=0,0,COUNTIF('Transect 3_imgsummary'!E48:I48,"Sand")*100/P48)</f>
        <v>0</v>
      </c>
      <c r="DO48">
        <f>IF(P48=0,0,COUNTIF('Transect 3_imgsummary'!E48:I48,"FCA1")*100/P48)</f>
        <v>0</v>
      </c>
      <c r="DQ48">
        <f>IF(P48=0,0,COUNTIF('Transect 3_imgsummary'!E48:I48,"CHRYOBRN")*100/P48)</f>
        <v>0</v>
      </c>
      <c r="DS48" s="29">
        <f>IF(P48=0,0,COUNTIF('Transect 3_imgsummary'!E48:I48,"TURF")*100/P48)</f>
        <v>20</v>
      </c>
      <c r="DU48">
        <f>COUNTIF('Transect 3_imgsummary'!E48:I48,"Shadow")*100/5</f>
        <v>0</v>
      </c>
      <c r="DV48">
        <f>COUNTIF('Transect 3_imgsummary'!E48:I48,"Tape")*100/5</f>
        <v>0</v>
      </c>
      <c r="DW48">
        <f>COUNTIF('Transect 3_imgsummary'!E48:I48,"Wand")*100/5</f>
        <v>0</v>
      </c>
      <c r="DY48">
        <f>IF(P48=0,0,COUNTIF('Transect 3_imgsummary'!O48:S48,"BC")*100/P48)</f>
        <v>0</v>
      </c>
    </row>
    <row r="49" spans="1:129">
      <c r="A49">
        <v>47</v>
      </c>
      <c r="B49" t="s">
        <v>536</v>
      </c>
      <c r="F49" s="29">
        <f>IF(P49=0,0,COUNTIF('Transect 3_imgsummary'!J49:N49,"C")*100/P49)</f>
        <v>40</v>
      </c>
      <c r="G49">
        <f>IF(P49=0,0,COUNTIF('Transect 3_imgsummary'!J49:N49,"OI")*100/P49)</f>
        <v>0</v>
      </c>
      <c r="H49">
        <f>IF(P49=0,0,COUNTIF('Transect 3_imgsummary'!J49:N49,"MA")*100/P49)</f>
        <v>0</v>
      </c>
      <c r="I49">
        <f>IF(P49=0,0,COUNTIF('Transect 3_imgsummary'!J49:N49,"BCA")*100/P49)</f>
        <v>0</v>
      </c>
      <c r="J49" s="29">
        <f>IF(P49=0,0,COUNTIF('Transect 3_imgsummary'!J49:N49,"CCA")*100/P49)</f>
        <v>60</v>
      </c>
      <c r="K49">
        <f>IF(P49=0,0,COUNTIF('Transect 3_imgsummary'!J49:N49,"SD")*100/P49)</f>
        <v>0</v>
      </c>
      <c r="L49">
        <f>IF(P49=0,0,COUNTIF('Transect 3_imgsummary'!J49:N49,"FCA")*100/P49)</f>
        <v>0</v>
      </c>
      <c r="M49">
        <f>IF(P49=0,0,COUNTIF('Transect 3_imgsummary'!J49:N49,"CHRYS")*100/P49)</f>
        <v>0</v>
      </c>
      <c r="N49">
        <f>IF(P49=0,0,COUNTIF('Transect 3_imgsummary'!J49:N49,"T")*100/P49)</f>
        <v>0</v>
      </c>
      <c r="O49">
        <f>IF(P49=0,0,COUNTIF('Transect 3_imgsummary'!J49:N49,"TWS")*100/P49)</f>
        <v>0</v>
      </c>
      <c r="P49">
        <f>5-COUNTIF('Transect 3_imgsummary'!J49:N49,"TWS")</f>
        <v>5</v>
      </c>
      <c r="S49">
        <f>IF(P49=0,0,COUNTIF('Transect 3_imgsummary'!E49:I49,"ACAN")*100/P49)</f>
        <v>0</v>
      </c>
      <c r="T49">
        <f>IF(P49=0,0,COUNTIF('Transect 3_imgsummary'!E49:I49,"ACROP")*100/P49)</f>
        <v>0</v>
      </c>
      <c r="U49">
        <f>IF(P49=0,0,COUNTIF('Transect 3_imgsummary'!E49:I49,"ACROPARB")*100/P49)</f>
        <v>0</v>
      </c>
      <c r="V49">
        <f>IF(P49=0,0,COUNTIF('Transect 3_imgsummary'!E49:I49,"ACROST")*100/P49)</f>
        <v>0</v>
      </c>
      <c r="W49">
        <f>IF(P49=0,0,COUNTIF('Transect 3_imgsummary'!E49:I49,"ACROTBL")*100/P49)</f>
        <v>0</v>
      </c>
      <c r="X49">
        <f>IF(P49=0,0,COUNTIF('Transect 3_imgsummary'!E49:I49,"ASTRP")*100/P49)</f>
        <v>0</v>
      </c>
      <c r="Y49">
        <f>IF(P49=0,0,COUNTIF('Transect 3_imgsummary'!E49:I49,"CAUL")*100/P49)</f>
        <v>0</v>
      </c>
      <c r="Z49">
        <f>IF(P49=0,0,COUNTIF('Transect 3_imgsummary'!E49:I49,"COSC")*100/P49)</f>
        <v>0</v>
      </c>
      <c r="AA49">
        <f>IF(P49=0,0,COUNTIF('Transect 3_imgsummary'!E49:I49,"CTEN")*100/P49)</f>
        <v>0</v>
      </c>
      <c r="AB49">
        <f>IF(P49=0,0,COUNTIF('Transect 3_imgsummary'!E49:I49,"CYPH")*100/P49)</f>
        <v>0</v>
      </c>
      <c r="AC49">
        <f>IF(P49=0,0,COUNTIF('Transect 3_imgsummary'!E49:I49,"DIPLO")*100/P49)</f>
        <v>0</v>
      </c>
      <c r="AD49" s="29">
        <f>IF(P49=0,0,COUNTIF('Transect 3_imgsummary'!E49:I49,"ECHPO")*100/P49)</f>
        <v>20</v>
      </c>
      <c r="AE49">
        <f>IF(P49=0,0,COUNTIF('Transect 3_imgsummary'!E49:I49,"ECHPHY")*100/P49)</f>
        <v>0</v>
      </c>
      <c r="AF49">
        <f>IF(P49=0,0,COUNTIF('Transect 3_imgsummary'!E49:I49,"EUPH")*100/P49)</f>
        <v>0</v>
      </c>
      <c r="AG49">
        <f>IF(P49=0,0,COUNTIF('Transect 3_imgsummary'!E49:I49,"FAV")*100/P49)</f>
        <v>0</v>
      </c>
      <c r="AH49">
        <f>IF(P49=0,0,COUNTIF('Transect 3_imgsummary'!E49:I49,"FAVT")*100/P49)</f>
        <v>0</v>
      </c>
      <c r="AI49">
        <f>IF(P49=0,0,COUNTIF('Transect 3_imgsummary'!E49:I49,"FUNG")*100/P49)</f>
        <v>0</v>
      </c>
      <c r="AJ49">
        <f>IF(P49=0,0,COUNTIF('Transect 3_imgsummary'!E49:I49,"GAL")*100/P49)</f>
        <v>0</v>
      </c>
      <c r="AK49">
        <f>IF(P49=0,0,COUNTIF('Transect 3_imgsummary'!E49:I49,"GARD")*100/P49)</f>
        <v>0</v>
      </c>
      <c r="AL49">
        <f>IF(P49=0,0,COUNTIF('Transect 3_imgsummary'!E49:I49,"GON")*100/P49)</f>
        <v>0</v>
      </c>
      <c r="AM49">
        <f>IF(P49=0,0,COUNTIF('Transect 3_imgsummary'!E49:I49,"GONIO")*100/P49)</f>
        <v>0</v>
      </c>
      <c r="AN49">
        <f>IF(P49=0,0,COUNTIF('Transect 3_imgsummary'!E49:I49,"HELIO")*100/P49)</f>
        <v>0</v>
      </c>
      <c r="AO49">
        <f>IF(P49=0,0,COUNTIF('Transect 3_imgsummary'!E49:I49,"HERP")*100/P49)</f>
        <v>0</v>
      </c>
      <c r="AP49">
        <f>IF(P49=0,0,COUNTIF('Transect 3_imgsummary'!E49:I49,"HYD")*100/P49)</f>
        <v>0</v>
      </c>
      <c r="AQ49">
        <f>IF(P49=0,0,COUNTIF('Transect 3_imgsummary'!E49:I49,"ISOP")*100/P49)</f>
        <v>0</v>
      </c>
      <c r="AR49">
        <f>IF(P49=0,0,COUNTIF('Transect 3_imgsummary'!E49:I49,"LEPT")*100/P49)</f>
        <v>0</v>
      </c>
      <c r="AS49">
        <f>IF(P49=0,0,COUNTIF('Transect 3_imgsummary'!E49:I49,"LEPTOR")*100/P49)</f>
        <v>0</v>
      </c>
      <c r="AT49">
        <f>IF(P49=0,0,COUNTIF('Transect 3_imgsummary'!E49:I49,"LEPTOS")*100/P49)</f>
        <v>0</v>
      </c>
      <c r="AU49">
        <f>IF(P49=0,0,COUNTIF('Transect 3_imgsummary'!E49:I49,"LOBOPH")*100/P49)</f>
        <v>0</v>
      </c>
      <c r="AV49">
        <f>IF(P49=0,0,COUNTIF('Transect 3_imgsummary'!E49:I49,"MERU")*100/P49)</f>
        <v>0</v>
      </c>
      <c r="AW49">
        <f>IF(P49=0,0,COUNTIF('Transect 3_imgsummary'!E49:I49,"MILL")*100/P49)</f>
        <v>0</v>
      </c>
      <c r="AX49">
        <f>IF(P49=0,0,COUNTIF('Transect 3_imgsummary'!E49:I49,"MONT")*100/P49)</f>
        <v>0</v>
      </c>
      <c r="AY49">
        <f>IF(P49=0,0,COUNTIF('Transect 3_imgsummary'!E49:I49,"MONTI")*100/P49)</f>
        <v>0</v>
      </c>
      <c r="AZ49">
        <f>IF(P49=0,0,COUNTIF('Transect 3_imgsummary'!E49:I49,"MYCED")*100/P49)</f>
        <v>0</v>
      </c>
      <c r="BA49">
        <f>IF(P49=0,0,COUNTIF('Transect 3_imgsummary'!E49:I49,"OULO")*100/P49)</f>
        <v>0</v>
      </c>
      <c r="BB49">
        <f>IF(P49=0,0,COUNTIF('Transect 3_imgsummary'!E49:I49,"OXYP")*100/P49)</f>
        <v>0</v>
      </c>
      <c r="BC49">
        <f>IF(P49=0,0,COUNTIF('Transect 3_imgsummary'!E49:I49,"PLSIA")*100/P49)</f>
        <v>0</v>
      </c>
      <c r="BD49">
        <f>IF(P49=0,0,COUNTIF('Transect 3_imgsummary'!E49:I49,"PACHY")*100/P49)</f>
        <v>0</v>
      </c>
      <c r="BE49">
        <f>IF(P49=0,0,COUNTIF('Transect 3_imgsummary'!E49:I49,"PAV")*100/P49)</f>
        <v>0</v>
      </c>
      <c r="BF49">
        <f>IF(P49=0,0,COUNTIF('Transect 3_imgsummary'!E49:I49,"PECT")*100/P49)</f>
        <v>0</v>
      </c>
      <c r="BG49">
        <f>IF(P49=0,0,COUNTIF('Transect 3_imgsummary'!E49:I49,"PHYSO")*100/P49)</f>
        <v>0</v>
      </c>
      <c r="BH49" s="29">
        <f>IF(P49=0,0,COUNTIF('Transect 3_imgsummary'!E49:I49,"PLAT")*100/P49)</f>
        <v>20</v>
      </c>
      <c r="BI49">
        <f>IF(P49=0,0,COUNTIF('Transect 3_imgsummary'!E49:I49,"PLERO")*100/P49)</f>
        <v>0</v>
      </c>
      <c r="BJ49">
        <f>IF(P49=0,0,COUNTIF('Transect 3_imgsummary'!E49:I49,"POC")*100/P49)</f>
        <v>0</v>
      </c>
      <c r="BK49">
        <f>IF(P49=0,0,COUNTIF('Transect 3_imgsummary'!E49:I49,"POR")*100/P49)</f>
        <v>0</v>
      </c>
      <c r="BL49">
        <f>IF(P49=0,0,COUNTIF('Transect 3_imgsummary'!E49:I49,"PORCYL")*100/P49)</f>
        <v>0</v>
      </c>
      <c r="BM49">
        <f>IF(P49=0,0,COUNTIF('Transect 3_imgsummary'!E49:I49,"PORMAS")*100/P49)</f>
        <v>0</v>
      </c>
      <c r="BN49">
        <f>IF(P49=0,0,COUNTIF('Transect 3_imgsummary'!E49:I49,"PORRUS")*100/P49)</f>
        <v>0</v>
      </c>
      <c r="BO49">
        <f>IF(P49=0,0,COUNTIF('Transect 3_imgsummary'!E49:I49,"PSAM")*100/P49)</f>
        <v>0</v>
      </c>
      <c r="BP49">
        <f>IF(P49=0,0,COUNTIF('Transect 3_imgsummary'!E49:I49,"SANDO")*100/P49)</f>
        <v>0</v>
      </c>
      <c r="BQ49">
        <f>IF(P49=0,0,COUNTIF('Transect 3_imgsummary'!E49:I49,"SCAP")*100/P49)</f>
        <v>0</v>
      </c>
      <c r="BR49">
        <f>IF(P49=0,0,COUNTIF('Transect 3_imgsummary'!E49:I49,"SERIA")*100/P49)</f>
        <v>0</v>
      </c>
      <c r="BS49">
        <f>IF(P49=0,0,COUNTIF('Transect 3_imgsummary'!E49:I49,"STYLC")*100/P49)</f>
        <v>0</v>
      </c>
      <c r="BT49">
        <f>IF(P49=0,0,COUNTIF('Transect 3_imgsummary'!E49:I49,"STYLO")*100/P49)</f>
        <v>0</v>
      </c>
      <c r="BU49">
        <f>IF(P49=0,0,COUNTIF('Transect 3_imgsummary'!E49:I49,"SYMP")*100/P49)</f>
        <v>0</v>
      </c>
      <c r="BV49">
        <f>IF(P49=0,0,COUNTIF('Transect 3_imgsummary'!E49:I49,"TURBIN")*100/P49)</f>
        <v>0</v>
      </c>
      <c r="BX49">
        <f>IF(P49=0,0,COUNTIF('Transect 3_imgsummary'!E49:I49,"ANEM")*100/P49)</f>
        <v>0</v>
      </c>
      <c r="BY49">
        <f>IF(P49=0,0,COUNTIF('Transect 3_imgsummary'!E49:I49,"ASC")*100/P49)</f>
        <v>0</v>
      </c>
      <c r="BZ49">
        <f>IF(P49=0,0,COUNTIF('Transect 3_imgsummary'!E49:I49,"CUPS")*100/P49)</f>
        <v>0</v>
      </c>
      <c r="CA49">
        <f>IF(P49=0,0,COUNTIF('Transect 3_imgsummary'!E49:I49,"DISCO")*100/P49)</f>
        <v>0</v>
      </c>
      <c r="CB49">
        <f>IF(P49=0,0,COUNTIF('Transect 3_imgsummary'!E49:I49,"DYS")*100/P49)</f>
        <v>0</v>
      </c>
      <c r="CC49">
        <f>IF(P49=0,0,COUNTIF('Transect 3_imgsummary'!E49:I49,"G")*100/P49)</f>
        <v>0</v>
      </c>
      <c r="CD49">
        <f>IF(P49=0,0,COUNTIF('Transect 3_imgsummary'!E49:I49,"NoIDINV")*100/P49)</f>
        <v>0</v>
      </c>
      <c r="CE49">
        <f>IF(P49=0,0,COUNTIF('Transect 3_imgsummary'!E49:I49,"OLV")*100/P49)</f>
        <v>0</v>
      </c>
      <c r="CF49">
        <f>IF(P49=0,0,COUNTIF('Transect 3_imgsummary'!E49:I49,"SC")*100/P49)</f>
        <v>0</v>
      </c>
      <c r="CG49">
        <f>IF(P49=0,0,COUNTIF('Transect 3_imgsummary'!E49:I49,"S")*100/P49)</f>
        <v>0</v>
      </c>
      <c r="CH49">
        <f>IF(P49=0,0,COUNTIF('Transect 3_imgsummary'!E49:I49,"TERPS")*100/P49)</f>
        <v>0</v>
      </c>
      <c r="CI49">
        <f>IF(P49=0,0,COUNTIF('Transect 3_imgsummary'!E49:I49,"Z")*100/P49)</f>
        <v>0</v>
      </c>
      <c r="CK49">
        <f>IF(P49=0,0,COUNTIF('Transect 3_imgsummary'!E49:I49,"ASP")*100/P49)</f>
        <v>0</v>
      </c>
      <c r="CL49">
        <f>IF(P49=0,0,COUNTIF('Transect 3_imgsummary'!E49:I49,"BG")*100/P49)</f>
        <v>0</v>
      </c>
      <c r="CM49">
        <f>IF(P49=0,0,COUNTIF('Transect 3_imgsummary'!E49:I49,"Bood")*100/P49)</f>
        <v>0</v>
      </c>
      <c r="CN49">
        <f>IF(P49=0,0,COUNTIF('Transect 3_imgsummary'!E49:I49,"BRYP")*100/P49)</f>
        <v>0</v>
      </c>
      <c r="CO49">
        <f>IF(P49=0,0,COUNTIF('Transect 3_imgsummary'!E49:I49,"CLP")*100/P49)</f>
        <v>0</v>
      </c>
      <c r="CP49">
        <f>IF(P49=0,0,COUNTIF('Transect 3_imgsummary'!E49:I49,"CHLDES")*100/P49)</f>
        <v>0</v>
      </c>
      <c r="CQ49">
        <f>IF(P49=0,0,COUNTIF('Transect 3_imgsummary'!E49:I49,"DYCTY")*100/P49)</f>
        <v>0</v>
      </c>
      <c r="CR49">
        <f>IF(P49=0,0,COUNTIF('Transect 3_imgsummary'!E49:I49,"DICT")*100/P49)</f>
        <v>0</v>
      </c>
      <c r="CS49">
        <f>IF(P49=0,0,COUNTIF('Transect 3_imgsummary'!E49:I49,"GLXU")*100/P49)</f>
        <v>0</v>
      </c>
      <c r="CT49">
        <f>IF(P49=0,0,COUNTIF('Transect 3_imgsummary'!E49:I49,"HALI")*100/P49)</f>
        <v>0</v>
      </c>
      <c r="CU49">
        <f>IF(P49=0,0,COUNTIF('Transect 3_imgsummary'!E49:I49,"LIAG")*100/P49)</f>
        <v>0</v>
      </c>
      <c r="CV49">
        <f>IF(P49=0,0,COUNTIF('Transect 3_imgsummary'!E49:I49,"LOBO")*100/P49)</f>
        <v>0</v>
      </c>
      <c r="CW49">
        <f>IF(P49=0,0,COUNTIF('Transect 3_imgsummary'!E49:I49,"MAST")*100/P49)</f>
        <v>0</v>
      </c>
      <c r="CX49">
        <f>IF(P49=0,0,COUNTIF('Transect 3_imgsummary'!E49:I49,"MICDTY")*100/P49)</f>
        <v>0</v>
      </c>
      <c r="CY49">
        <f>IF(P49=0,0,COUNTIF('Transect 3_imgsummary'!E49:I49,"NEOM")*100/P49)</f>
        <v>0</v>
      </c>
      <c r="CZ49">
        <f>IF(P49=0,0,COUNTIF('Transect 3_imgsummary'!E49:I49,"NOIDMAC")*100/P49)</f>
        <v>0</v>
      </c>
      <c r="DA49">
        <f>IF(P49=0,0,COUNTIF('Transect 3_imgsummary'!E49:I49,"PAD")*100/P49)</f>
        <v>0</v>
      </c>
      <c r="DB49">
        <f>IF(P49=0,0,COUNTIF('Transect 3_imgsummary'!E49:I49,"SARG")*100/P49)</f>
        <v>0</v>
      </c>
      <c r="DC49">
        <f>IF(P49=0,0,COUNTIF('Transect 3_imgsummary'!E49:I49,"SCHIZ")*100/P49)</f>
        <v>0</v>
      </c>
      <c r="DD49">
        <f>IF(P49=0,0,COUNTIF('Transect 3_imgsummary'!E49:I49,"TURB")*100/P49)</f>
        <v>0</v>
      </c>
      <c r="DE49">
        <f>IF(P49=0,0,COUNTIF('Transect 3_imgsummary'!E49:I49,"TYDM")*100/P49)</f>
        <v>0</v>
      </c>
      <c r="DG49">
        <f>IF(P49=0,0,COUNTIF('Transect 3_imgsummary'!E49:I49,"AMP")*100/P49)</f>
        <v>0</v>
      </c>
      <c r="DH49">
        <f>IF(P49=0,0,COUNTIF('Transect 3_imgsummary'!E49:I49,"BCA1")*100/P49)</f>
        <v>0</v>
      </c>
      <c r="DI49">
        <f>IF(P49=0,0,COUNTIF('Transect 3_imgsummary'!E49:I49,"JAN")*100/P49)</f>
        <v>0</v>
      </c>
      <c r="DK49" s="29">
        <f>IF(P49=0,0,COUNTIF('Transect 3_imgsummary'!E49:I49,"CCA1")*100/P49)</f>
        <v>60</v>
      </c>
      <c r="DM49">
        <f>IF(P49=0,0,COUNTIF('Transect 3_imgsummary'!E49:I49,"Sand")*100/P49)</f>
        <v>0</v>
      </c>
      <c r="DO49">
        <f>IF(P49=0,0,COUNTIF('Transect 3_imgsummary'!E49:I49,"FCA1")*100/P49)</f>
        <v>0</v>
      </c>
      <c r="DQ49">
        <f>IF(P49=0,0,COUNTIF('Transect 3_imgsummary'!E49:I49,"CHRYOBRN")*100/P49)</f>
        <v>0</v>
      </c>
      <c r="DS49">
        <f>IF(P49=0,0,COUNTIF('Transect 3_imgsummary'!E49:I49,"TURF")*100/P49)</f>
        <v>0</v>
      </c>
      <c r="DU49">
        <f>COUNTIF('Transect 3_imgsummary'!E49:I49,"Shadow")*100/5</f>
        <v>0</v>
      </c>
      <c r="DV49">
        <f>COUNTIF('Transect 3_imgsummary'!E49:I49,"Tape")*100/5</f>
        <v>0</v>
      </c>
      <c r="DW49">
        <f>COUNTIF('Transect 3_imgsummary'!E49:I49,"Wand")*100/5</f>
        <v>0</v>
      </c>
      <c r="DY49">
        <f>IF(P49=0,0,COUNTIF('Transect 3_imgsummary'!O49:S49,"BC")*100/P49)</f>
        <v>0</v>
      </c>
    </row>
    <row r="50" spans="1:129">
      <c r="A50">
        <v>48</v>
      </c>
      <c r="B50" t="s">
        <v>537</v>
      </c>
      <c r="F50" s="29">
        <f>IF(P50=0,0,COUNTIF('Transect 3_imgsummary'!J50:N50,"C")*100/P50)</f>
        <v>60</v>
      </c>
      <c r="G50">
        <f>IF(P50=0,0,COUNTIF('Transect 3_imgsummary'!J50:N50,"OI")*100/P50)</f>
        <v>0</v>
      </c>
      <c r="H50">
        <f>IF(P50=0,0,COUNTIF('Transect 3_imgsummary'!J50:N50,"MA")*100/P50)</f>
        <v>0</v>
      </c>
      <c r="I50">
        <f>IF(P50=0,0,COUNTIF('Transect 3_imgsummary'!J50:N50,"BCA")*100/P50)</f>
        <v>0</v>
      </c>
      <c r="J50" s="29">
        <f>IF(P50=0,0,COUNTIF('Transect 3_imgsummary'!J50:N50,"CCA")*100/P50)</f>
        <v>20</v>
      </c>
      <c r="K50">
        <f>IF(P50=0,0,COUNTIF('Transect 3_imgsummary'!J50:N50,"SD")*100/P50)</f>
        <v>0</v>
      </c>
      <c r="L50">
        <f>IF(P50=0,0,COUNTIF('Transect 3_imgsummary'!J50:N50,"FCA")*100/P50)</f>
        <v>0</v>
      </c>
      <c r="M50">
        <f>IF(P50=0,0,COUNTIF('Transect 3_imgsummary'!J50:N50,"CHRYS")*100/P50)</f>
        <v>0</v>
      </c>
      <c r="N50" s="29">
        <f>IF(P50=0,0,COUNTIF('Transect 3_imgsummary'!J50:N50,"T")*100/P50)</f>
        <v>20</v>
      </c>
      <c r="O50">
        <f>IF(P50=0,0,COUNTIF('Transect 3_imgsummary'!J50:N50,"TWS")*100/P50)</f>
        <v>0</v>
      </c>
      <c r="P50">
        <f>5-COUNTIF('Transect 3_imgsummary'!J50:N50,"TWS")</f>
        <v>5</v>
      </c>
      <c r="S50">
        <f>IF(P50=0,0,COUNTIF('Transect 3_imgsummary'!E50:I50,"ACAN")*100/P50)</f>
        <v>0</v>
      </c>
      <c r="T50">
        <f>IF(P50=0,0,COUNTIF('Transect 3_imgsummary'!E50:I50,"ACROP")*100/P50)</f>
        <v>0</v>
      </c>
      <c r="U50">
        <f>IF(P50=0,0,COUNTIF('Transect 3_imgsummary'!E50:I50,"ACROPARB")*100/P50)</f>
        <v>0</v>
      </c>
      <c r="V50">
        <f>IF(P50=0,0,COUNTIF('Transect 3_imgsummary'!E50:I50,"ACROST")*100/P50)</f>
        <v>0</v>
      </c>
      <c r="W50">
        <f>IF(P50=0,0,COUNTIF('Transect 3_imgsummary'!E50:I50,"ACROTBL")*100/P50)</f>
        <v>0</v>
      </c>
      <c r="X50">
        <f>IF(P50=0,0,COUNTIF('Transect 3_imgsummary'!E50:I50,"ASTRP")*100/P50)</f>
        <v>0</v>
      </c>
      <c r="Y50">
        <f>IF(P50=0,0,COUNTIF('Transect 3_imgsummary'!E50:I50,"CAUL")*100/P50)</f>
        <v>0</v>
      </c>
      <c r="Z50">
        <f>IF(P50=0,0,COUNTIF('Transect 3_imgsummary'!E50:I50,"COSC")*100/P50)</f>
        <v>0</v>
      </c>
      <c r="AA50">
        <f>IF(P50=0,0,COUNTIF('Transect 3_imgsummary'!E50:I50,"CTEN")*100/P50)</f>
        <v>0</v>
      </c>
      <c r="AB50">
        <f>IF(P50=0,0,COUNTIF('Transect 3_imgsummary'!E50:I50,"CYPH")*100/P50)</f>
        <v>0</v>
      </c>
      <c r="AC50">
        <f>IF(P50=0,0,COUNTIF('Transect 3_imgsummary'!E50:I50,"DIPLO")*100/P50)</f>
        <v>0</v>
      </c>
      <c r="AD50">
        <f>IF(P50=0,0,COUNTIF('Transect 3_imgsummary'!E50:I50,"ECHPO")*100/P50)</f>
        <v>0</v>
      </c>
      <c r="AE50">
        <f>IF(P50=0,0,COUNTIF('Transect 3_imgsummary'!E50:I50,"ECHPHY")*100/P50)</f>
        <v>0</v>
      </c>
      <c r="AF50">
        <f>IF(P50=0,0,COUNTIF('Transect 3_imgsummary'!E50:I50,"EUPH")*100/P50)</f>
        <v>0</v>
      </c>
      <c r="AG50">
        <f>IF(P50=0,0,COUNTIF('Transect 3_imgsummary'!E50:I50,"FAV")*100/P50)</f>
        <v>0</v>
      </c>
      <c r="AH50">
        <f>IF(P50=0,0,COUNTIF('Transect 3_imgsummary'!E50:I50,"FAVT")*100/P50)</f>
        <v>0</v>
      </c>
      <c r="AI50">
        <f>IF(P50=0,0,COUNTIF('Transect 3_imgsummary'!E50:I50,"FUNG")*100/P50)</f>
        <v>0</v>
      </c>
      <c r="AJ50">
        <f>IF(P50=0,0,COUNTIF('Transect 3_imgsummary'!E50:I50,"GAL")*100/P50)</f>
        <v>0</v>
      </c>
      <c r="AK50">
        <f>IF(P50=0,0,COUNTIF('Transect 3_imgsummary'!E50:I50,"GARD")*100/P50)</f>
        <v>0</v>
      </c>
      <c r="AL50">
        <f>IF(P50=0,0,COUNTIF('Transect 3_imgsummary'!E50:I50,"GON")*100/P50)</f>
        <v>0</v>
      </c>
      <c r="AM50">
        <f>IF(P50=0,0,COUNTIF('Transect 3_imgsummary'!E50:I50,"GONIO")*100/P50)</f>
        <v>0</v>
      </c>
      <c r="AN50">
        <f>IF(P50=0,0,COUNTIF('Transect 3_imgsummary'!E50:I50,"HELIO")*100/P50)</f>
        <v>0</v>
      </c>
      <c r="AO50">
        <f>IF(P50=0,0,COUNTIF('Transect 3_imgsummary'!E50:I50,"HERP")*100/P50)</f>
        <v>0</v>
      </c>
      <c r="AP50" s="29">
        <f>IF(P50=0,0,COUNTIF('Transect 3_imgsummary'!E50:I50,"HYD")*100/P50)</f>
        <v>60</v>
      </c>
      <c r="AQ50">
        <f>IF(P50=0,0,COUNTIF('Transect 3_imgsummary'!E50:I50,"ISOP")*100/P50)</f>
        <v>0</v>
      </c>
      <c r="AR50">
        <f>IF(P50=0,0,COUNTIF('Transect 3_imgsummary'!E50:I50,"LEPT")*100/P50)</f>
        <v>0</v>
      </c>
      <c r="AS50">
        <f>IF(P50=0,0,COUNTIF('Transect 3_imgsummary'!E50:I50,"LEPTOR")*100/P50)</f>
        <v>0</v>
      </c>
      <c r="AT50">
        <f>IF(P50=0,0,COUNTIF('Transect 3_imgsummary'!E50:I50,"LEPTOS")*100/P50)</f>
        <v>0</v>
      </c>
      <c r="AU50">
        <f>IF(P50=0,0,COUNTIF('Transect 3_imgsummary'!E50:I50,"LOBOPH")*100/P50)</f>
        <v>0</v>
      </c>
      <c r="AV50">
        <f>IF(P50=0,0,COUNTIF('Transect 3_imgsummary'!E50:I50,"MERU")*100/P50)</f>
        <v>0</v>
      </c>
      <c r="AW50">
        <f>IF(P50=0,0,COUNTIF('Transect 3_imgsummary'!E50:I50,"MILL")*100/P50)</f>
        <v>0</v>
      </c>
      <c r="AX50">
        <f>IF(P50=0,0,COUNTIF('Transect 3_imgsummary'!E50:I50,"MONT")*100/P50)</f>
        <v>0</v>
      </c>
      <c r="AY50">
        <f>IF(P50=0,0,COUNTIF('Transect 3_imgsummary'!E50:I50,"MONTI")*100/P50)</f>
        <v>0</v>
      </c>
      <c r="AZ50">
        <f>IF(P50=0,0,COUNTIF('Transect 3_imgsummary'!E50:I50,"MYCED")*100/P50)</f>
        <v>0</v>
      </c>
      <c r="BA50">
        <f>IF(P50=0,0,COUNTIF('Transect 3_imgsummary'!E50:I50,"OULO")*100/P50)</f>
        <v>0</v>
      </c>
      <c r="BB50">
        <f>IF(P50=0,0,COUNTIF('Transect 3_imgsummary'!E50:I50,"OXYP")*100/P50)</f>
        <v>0</v>
      </c>
      <c r="BC50">
        <f>IF(P50=0,0,COUNTIF('Transect 3_imgsummary'!E50:I50,"PLSIA")*100/P50)</f>
        <v>0</v>
      </c>
      <c r="BD50">
        <f>IF(P50=0,0,COUNTIF('Transect 3_imgsummary'!E50:I50,"PACHY")*100/P50)</f>
        <v>0</v>
      </c>
      <c r="BE50">
        <f>IF(P50=0,0,COUNTIF('Transect 3_imgsummary'!E50:I50,"PAV")*100/P50)</f>
        <v>0</v>
      </c>
      <c r="BF50">
        <f>IF(P50=0,0,COUNTIF('Transect 3_imgsummary'!E50:I50,"PECT")*100/P50)</f>
        <v>0</v>
      </c>
      <c r="BG50">
        <f>IF(P50=0,0,COUNTIF('Transect 3_imgsummary'!E50:I50,"PHYSO")*100/P50)</f>
        <v>0</v>
      </c>
      <c r="BH50">
        <f>IF(P50=0,0,COUNTIF('Transect 3_imgsummary'!E50:I50,"PLAT")*100/P50)</f>
        <v>0</v>
      </c>
      <c r="BI50">
        <f>IF(P50=0,0,COUNTIF('Transect 3_imgsummary'!E50:I50,"PLERO")*100/P50)</f>
        <v>0</v>
      </c>
      <c r="BJ50">
        <f>IF(P50=0,0,COUNTIF('Transect 3_imgsummary'!E50:I50,"POC")*100/P50)</f>
        <v>0</v>
      </c>
      <c r="BK50">
        <f>IF(P50=0,0,COUNTIF('Transect 3_imgsummary'!E50:I50,"POR")*100/P50)</f>
        <v>0</v>
      </c>
      <c r="BL50">
        <f>IF(P50=0,0,COUNTIF('Transect 3_imgsummary'!E50:I50,"PORCYL")*100/P50)</f>
        <v>0</v>
      </c>
      <c r="BM50">
        <f>IF(P50=0,0,COUNTIF('Transect 3_imgsummary'!E50:I50,"PORMAS")*100/P50)</f>
        <v>0</v>
      </c>
      <c r="BN50">
        <f>IF(P50=0,0,COUNTIF('Transect 3_imgsummary'!E50:I50,"PORRUS")*100/P50)</f>
        <v>0</v>
      </c>
      <c r="BO50">
        <f>IF(P50=0,0,COUNTIF('Transect 3_imgsummary'!E50:I50,"PSAM")*100/P50)</f>
        <v>0</v>
      </c>
      <c r="BP50">
        <f>IF(P50=0,0,COUNTIF('Transect 3_imgsummary'!E50:I50,"SANDO")*100/P50)</f>
        <v>0</v>
      </c>
      <c r="BQ50">
        <f>IF(P50=0,0,COUNTIF('Transect 3_imgsummary'!E50:I50,"SCAP")*100/P50)</f>
        <v>0</v>
      </c>
      <c r="BR50">
        <f>IF(P50=0,0,COUNTIF('Transect 3_imgsummary'!E50:I50,"SERIA")*100/P50)</f>
        <v>0</v>
      </c>
      <c r="BS50">
        <f>IF(P50=0,0,COUNTIF('Transect 3_imgsummary'!E50:I50,"STYLC")*100/P50)</f>
        <v>0</v>
      </c>
      <c r="BT50">
        <f>IF(P50=0,0,COUNTIF('Transect 3_imgsummary'!E50:I50,"STYLO")*100/P50)</f>
        <v>0</v>
      </c>
      <c r="BU50">
        <f>IF(P50=0,0,COUNTIF('Transect 3_imgsummary'!E50:I50,"SYMP")*100/P50)</f>
        <v>0</v>
      </c>
      <c r="BV50">
        <f>IF(P50=0,0,COUNTIF('Transect 3_imgsummary'!E50:I50,"TURBIN")*100/P50)</f>
        <v>0</v>
      </c>
      <c r="BX50">
        <f>IF(P50=0,0,COUNTIF('Transect 3_imgsummary'!E50:I50,"ANEM")*100/P50)</f>
        <v>0</v>
      </c>
      <c r="BY50">
        <f>IF(P50=0,0,COUNTIF('Transect 3_imgsummary'!E50:I50,"ASC")*100/P50)</f>
        <v>0</v>
      </c>
      <c r="BZ50">
        <f>IF(P50=0,0,COUNTIF('Transect 3_imgsummary'!E50:I50,"CUPS")*100/P50)</f>
        <v>0</v>
      </c>
      <c r="CA50">
        <f>IF(P50=0,0,COUNTIF('Transect 3_imgsummary'!E50:I50,"DISCO")*100/P50)</f>
        <v>0</v>
      </c>
      <c r="CB50">
        <f>IF(P50=0,0,COUNTIF('Transect 3_imgsummary'!E50:I50,"DYS")*100/P50)</f>
        <v>0</v>
      </c>
      <c r="CC50">
        <f>IF(P50=0,0,COUNTIF('Transect 3_imgsummary'!E50:I50,"G")*100/P50)</f>
        <v>0</v>
      </c>
      <c r="CD50">
        <f>IF(P50=0,0,COUNTIF('Transect 3_imgsummary'!E50:I50,"NoIDINV")*100/P50)</f>
        <v>0</v>
      </c>
      <c r="CE50">
        <f>IF(P50=0,0,COUNTIF('Transect 3_imgsummary'!E50:I50,"OLV")*100/P50)</f>
        <v>0</v>
      </c>
      <c r="CF50">
        <f>IF(P50=0,0,COUNTIF('Transect 3_imgsummary'!E50:I50,"SC")*100/P50)</f>
        <v>0</v>
      </c>
      <c r="CG50">
        <f>IF(P50=0,0,COUNTIF('Transect 3_imgsummary'!E50:I50,"S")*100/P50)</f>
        <v>0</v>
      </c>
      <c r="CH50">
        <f>IF(P50=0,0,COUNTIF('Transect 3_imgsummary'!E50:I50,"TERPS")*100/P50)</f>
        <v>0</v>
      </c>
      <c r="CI50">
        <f>IF(P50=0,0,COUNTIF('Transect 3_imgsummary'!E50:I50,"Z")*100/P50)</f>
        <v>0</v>
      </c>
      <c r="CK50">
        <f>IF(P50=0,0,COUNTIF('Transect 3_imgsummary'!E50:I50,"ASP")*100/P50)</f>
        <v>0</v>
      </c>
      <c r="CL50">
        <f>IF(P50=0,0,COUNTIF('Transect 3_imgsummary'!E50:I50,"BG")*100/P50)</f>
        <v>0</v>
      </c>
      <c r="CM50">
        <f>IF(P50=0,0,COUNTIF('Transect 3_imgsummary'!E50:I50,"Bood")*100/P50)</f>
        <v>0</v>
      </c>
      <c r="CN50">
        <f>IF(P50=0,0,COUNTIF('Transect 3_imgsummary'!E50:I50,"BRYP")*100/P50)</f>
        <v>0</v>
      </c>
      <c r="CO50">
        <f>IF(P50=0,0,COUNTIF('Transect 3_imgsummary'!E50:I50,"CLP")*100/P50)</f>
        <v>0</v>
      </c>
      <c r="CP50">
        <f>IF(P50=0,0,COUNTIF('Transect 3_imgsummary'!E50:I50,"CHLDES")*100/P50)</f>
        <v>0</v>
      </c>
      <c r="CQ50">
        <f>IF(P50=0,0,COUNTIF('Transect 3_imgsummary'!E50:I50,"DYCTY")*100/P50)</f>
        <v>0</v>
      </c>
      <c r="CR50">
        <f>IF(P50=0,0,COUNTIF('Transect 3_imgsummary'!E50:I50,"DICT")*100/P50)</f>
        <v>0</v>
      </c>
      <c r="CS50">
        <f>IF(P50=0,0,COUNTIF('Transect 3_imgsummary'!E50:I50,"GLXU")*100/P50)</f>
        <v>0</v>
      </c>
      <c r="CT50">
        <f>IF(P50=0,0,COUNTIF('Transect 3_imgsummary'!E50:I50,"HALI")*100/P50)</f>
        <v>0</v>
      </c>
      <c r="CU50">
        <f>IF(P50=0,0,COUNTIF('Transect 3_imgsummary'!E50:I50,"LIAG")*100/P50)</f>
        <v>0</v>
      </c>
      <c r="CV50">
        <f>IF(P50=0,0,COUNTIF('Transect 3_imgsummary'!E50:I50,"LOBO")*100/P50)</f>
        <v>0</v>
      </c>
      <c r="CW50">
        <f>IF(P50=0,0,COUNTIF('Transect 3_imgsummary'!E50:I50,"MAST")*100/P50)</f>
        <v>0</v>
      </c>
      <c r="CX50">
        <f>IF(P50=0,0,COUNTIF('Transect 3_imgsummary'!E50:I50,"MICDTY")*100/P50)</f>
        <v>0</v>
      </c>
      <c r="CY50">
        <f>IF(P50=0,0,COUNTIF('Transect 3_imgsummary'!E50:I50,"NEOM")*100/P50)</f>
        <v>0</v>
      </c>
      <c r="CZ50">
        <f>IF(P50=0,0,COUNTIF('Transect 3_imgsummary'!E50:I50,"NOIDMAC")*100/P50)</f>
        <v>0</v>
      </c>
      <c r="DA50">
        <f>IF(P50=0,0,COUNTIF('Transect 3_imgsummary'!E50:I50,"PAD")*100/P50)</f>
        <v>0</v>
      </c>
      <c r="DB50">
        <f>IF(P50=0,0,COUNTIF('Transect 3_imgsummary'!E50:I50,"SARG")*100/P50)</f>
        <v>0</v>
      </c>
      <c r="DC50">
        <f>IF(P50=0,0,COUNTIF('Transect 3_imgsummary'!E50:I50,"SCHIZ")*100/P50)</f>
        <v>0</v>
      </c>
      <c r="DD50">
        <f>IF(P50=0,0,COUNTIF('Transect 3_imgsummary'!E50:I50,"TURB")*100/P50)</f>
        <v>0</v>
      </c>
      <c r="DE50">
        <f>IF(P50=0,0,COUNTIF('Transect 3_imgsummary'!E50:I50,"TYDM")*100/P50)</f>
        <v>0</v>
      </c>
      <c r="DG50">
        <f>IF(P50=0,0,COUNTIF('Transect 3_imgsummary'!E50:I50,"AMP")*100/P50)</f>
        <v>0</v>
      </c>
      <c r="DH50">
        <f>IF(P50=0,0,COUNTIF('Transect 3_imgsummary'!E50:I50,"BCA1")*100/P50)</f>
        <v>0</v>
      </c>
      <c r="DI50">
        <f>IF(P50=0,0,COUNTIF('Transect 3_imgsummary'!E50:I50,"JAN")*100/P50)</f>
        <v>0</v>
      </c>
      <c r="DK50" s="29">
        <f>IF(P50=0,0,COUNTIF('Transect 3_imgsummary'!E50:I50,"CCA1")*100/P50)</f>
        <v>20</v>
      </c>
      <c r="DM50">
        <f>IF(P50=0,0,COUNTIF('Transect 3_imgsummary'!E50:I50,"Sand")*100/P50)</f>
        <v>0</v>
      </c>
      <c r="DO50">
        <f>IF(P50=0,0,COUNTIF('Transect 3_imgsummary'!E50:I50,"FCA1")*100/P50)</f>
        <v>0</v>
      </c>
      <c r="DQ50">
        <f>IF(P50=0,0,COUNTIF('Transect 3_imgsummary'!E50:I50,"CHRYOBRN")*100/P50)</f>
        <v>0</v>
      </c>
      <c r="DS50" s="29">
        <f>IF(P50=0,0,COUNTIF('Transect 3_imgsummary'!E50:I50,"TURF")*100/P50)</f>
        <v>20</v>
      </c>
      <c r="DU50">
        <f>COUNTIF('Transect 3_imgsummary'!E50:I50,"Shadow")*100/5</f>
        <v>0</v>
      </c>
      <c r="DV50">
        <f>COUNTIF('Transect 3_imgsummary'!E50:I50,"Tape")*100/5</f>
        <v>0</v>
      </c>
      <c r="DW50">
        <f>COUNTIF('Transect 3_imgsummary'!E50:I50,"Wand")*100/5</f>
        <v>0</v>
      </c>
      <c r="DY50">
        <f>IF(P50=0,0,COUNTIF('Transect 3_imgsummary'!O50:S50,"BC")*100/P50)</f>
        <v>0</v>
      </c>
    </row>
    <row r="51" spans="1:129">
      <c r="A51">
        <v>49</v>
      </c>
      <c r="B51" t="s">
        <v>538</v>
      </c>
      <c r="F51" s="29">
        <f>IF(P51=0,0,COUNTIF('Transect 3_imgsummary'!J51:N51,"C")*100/P51)</f>
        <v>100</v>
      </c>
      <c r="G51">
        <f>IF(P51=0,0,COUNTIF('Transect 3_imgsummary'!J51:N51,"OI")*100/P51)</f>
        <v>0</v>
      </c>
      <c r="H51">
        <f>IF(P51=0,0,COUNTIF('Transect 3_imgsummary'!J51:N51,"MA")*100/P51)</f>
        <v>0</v>
      </c>
      <c r="I51">
        <f>IF(P51=0,0,COUNTIF('Transect 3_imgsummary'!J51:N51,"BCA")*100/P51)</f>
        <v>0</v>
      </c>
      <c r="J51">
        <f>IF(P51=0,0,COUNTIF('Transect 3_imgsummary'!J51:N51,"CCA")*100/P51)</f>
        <v>0</v>
      </c>
      <c r="K51">
        <f>IF(P51=0,0,COUNTIF('Transect 3_imgsummary'!J51:N51,"SD")*100/P51)</f>
        <v>0</v>
      </c>
      <c r="L51">
        <f>IF(P51=0,0,COUNTIF('Transect 3_imgsummary'!J51:N51,"FCA")*100/P51)</f>
        <v>0</v>
      </c>
      <c r="M51">
        <f>IF(P51=0,0,COUNTIF('Transect 3_imgsummary'!J51:N51,"CHRYS")*100/P51)</f>
        <v>0</v>
      </c>
      <c r="N51">
        <f>IF(P51=0,0,COUNTIF('Transect 3_imgsummary'!J51:N51,"T")*100/P51)</f>
        <v>0</v>
      </c>
      <c r="O51">
        <f>IF(P51=0,0,COUNTIF('Transect 3_imgsummary'!J51:N51,"TWS")*100/P51)</f>
        <v>0</v>
      </c>
      <c r="P51">
        <f>5-COUNTIF('Transect 3_imgsummary'!J51:N51,"TWS")</f>
        <v>5</v>
      </c>
      <c r="S51">
        <f>IF(P51=0,0,COUNTIF('Transect 3_imgsummary'!E51:I51,"ACAN")*100/P51)</f>
        <v>0</v>
      </c>
      <c r="T51">
        <f>IF(P51=0,0,COUNTIF('Transect 3_imgsummary'!E51:I51,"ACROP")*100/P51)</f>
        <v>0</v>
      </c>
      <c r="U51">
        <f>IF(P51=0,0,COUNTIF('Transect 3_imgsummary'!E51:I51,"ACROPARB")*100/P51)</f>
        <v>0</v>
      </c>
      <c r="V51">
        <f>IF(P51=0,0,COUNTIF('Transect 3_imgsummary'!E51:I51,"ACROST")*100/P51)</f>
        <v>0</v>
      </c>
      <c r="W51" s="29">
        <f>IF(P51=0,0,COUNTIF('Transect 3_imgsummary'!E51:I51,"ACROTBL")*100/P51)</f>
        <v>40</v>
      </c>
      <c r="X51">
        <f>IF(P51=0,0,COUNTIF('Transect 3_imgsummary'!E51:I51,"ASTRP")*100/P51)</f>
        <v>0</v>
      </c>
      <c r="Y51">
        <f>IF(P51=0,0,COUNTIF('Transect 3_imgsummary'!E51:I51,"CAUL")*100/P51)</f>
        <v>0</v>
      </c>
      <c r="Z51">
        <f>IF(P51=0,0,COUNTIF('Transect 3_imgsummary'!E51:I51,"COSC")*100/P51)</f>
        <v>0</v>
      </c>
      <c r="AA51">
        <f>IF(P51=0,0,COUNTIF('Transect 3_imgsummary'!E51:I51,"CTEN")*100/P51)</f>
        <v>0</v>
      </c>
      <c r="AB51">
        <f>IF(P51=0,0,COUNTIF('Transect 3_imgsummary'!E51:I51,"CYPH")*100/P51)</f>
        <v>0</v>
      </c>
      <c r="AC51">
        <f>IF(P51=0,0,COUNTIF('Transect 3_imgsummary'!E51:I51,"DIPLO")*100/P51)</f>
        <v>0</v>
      </c>
      <c r="AD51" s="29">
        <f>IF(P51=0,0,COUNTIF('Transect 3_imgsummary'!E51:I51,"ECHPO")*100/P51)</f>
        <v>20</v>
      </c>
      <c r="AE51">
        <f>IF(P51=0,0,COUNTIF('Transect 3_imgsummary'!E51:I51,"ECHPHY")*100/P51)</f>
        <v>0</v>
      </c>
      <c r="AF51">
        <f>IF(P51=0,0,COUNTIF('Transect 3_imgsummary'!E51:I51,"EUPH")*100/P51)</f>
        <v>0</v>
      </c>
      <c r="AG51">
        <f>IF(P51=0,0,COUNTIF('Transect 3_imgsummary'!E51:I51,"FAV")*100/P51)</f>
        <v>0</v>
      </c>
      <c r="AH51">
        <f>IF(P51=0,0,COUNTIF('Transect 3_imgsummary'!E51:I51,"FAVT")*100/P51)</f>
        <v>0</v>
      </c>
      <c r="AI51">
        <f>IF(P51=0,0,COUNTIF('Transect 3_imgsummary'!E51:I51,"FUNG")*100/P51)</f>
        <v>0</v>
      </c>
      <c r="AJ51">
        <f>IF(P51=0,0,COUNTIF('Transect 3_imgsummary'!E51:I51,"GAL")*100/P51)</f>
        <v>0</v>
      </c>
      <c r="AK51">
        <f>IF(P51=0,0,COUNTIF('Transect 3_imgsummary'!E51:I51,"GARD")*100/P51)</f>
        <v>0</v>
      </c>
      <c r="AL51">
        <f>IF(P51=0,0,COUNTIF('Transect 3_imgsummary'!E51:I51,"GON")*100/P51)</f>
        <v>0</v>
      </c>
      <c r="AM51" s="29">
        <f>IF(P51=0,0,COUNTIF('Transect 3_imgsummary'!E51:I51,"GONIO")*100/P51)</f>
        <v>20</v>
      </c>
      <c r="AN51">
        <f>IF(P51=0,0,COUNTIF('Transect 3_imgsummary'!E51:I51,"HELIO")*100/P51)</f>
        <v>0</v>
      </c>
      <c r="AO51">
        <f>IF(P51=0,0,COUNTIF('Transect 3_imgsummary'!E51:I51,"HERP")*100/P51)</f>
        <v>0</v>
      </c>
      <c r="AP51">
        <f>IF(P51=0,0,COUNTIF('Transect 3_imgsummary'!E51:I51,"HYD")*100/P51)</f>
        <v>0</v>
      </c>
      <c r="AQ51">
        <f>IF(P51=0,0,COUNTIF('Transect 3_imgsummary'!E51:I51,"ISOP")*100/P51)</f>
        <v>0</v>
      </c>
      <c r="AR51">
        <f>IF(P51=0,0,COUNTIF('Transect 3_imgsummary'!E51:I51,"LEPT")*100/P51)</f>
        <v>0</v>
      </c>
      <c r="AS51">
        <f>IF(P51=0,0,COUNTIF('Transect 3_imgsummary'!E51:I51,"LEPTOR")*100/P51)</f>
        <v>0</v>
      </c>
      <c r="AT51">
        <f>IF(P51=0,0,COUNTIF('Transect 3_imgsummary'!E51:I51,"LEPTOS")*100/P51)</f>
        <v>0</v>
      </c>
      <c r="AU51">
        <f>IF(P51=0,0,COUNTIF('Transect 3_imgsummary'!E51:I51,"LOBOPH")*100/P51)</f>
        <v>0</v>
      </c>
      <c r="AV51">
        <f>IF(P51=0,0,COUNTIF('Transect 3_imgsummary'!E51:I51,"MERU")*100/P51)</f>
        <v>0</v>
      </c>
      <c r="AW51">
        <f>IF(P51=0,0,COUNTIF('Transect 3_imgsummary'!E51:I51,"MILL")*100/P51)</f>
        <v>0</v>
      </c>
      <c r="AX51">
        <f>IF(P51=0,0,COUNTIF('Transect 3_imgsummary'!E51:I51,"MONT")*100/P51)</f>
        <v>0</v>
      </c>
      <c r="AY51">
        <f>IF(P51=0,0,COUNTIF('Transect 3_imgsummary'!E51:I51,"MONTI")*100/P51)</f>
        <v>0</v>
      </c>
      <c r="AZ51">
        <f>IF(P51=0,0,COUNTIF('Transect 3_imgsummary'!E51:I51,"MYCED")*100/P51)</f>
        <v>0</v>
      </c>
      <c r="BA51">
        <f>IF(P51=0,0,COUNTIF('Transect 3_imgsummary'!E51:I51,"OULO")*100/P51)</f>
        <v>0</v>
      </c>
      <c r="BB51">
        <f>IF(P51=0,0,COUNTIF('Transect 3_imgsummary'!E51:I51,"OXYP")*100/P51)</f>
        <v>0</v>
      </c>
      <c r="BC51">
        <f>IF(P51=0,0,COUNTIF('Transect 3_imgsummary'!E51:I51,"PLSIA")*100/P51)</f>
        <v>0</v>
      </c>
      <c r="BD51">
        <f>IF(P51=0,0,COUNTIF('Transect 3_imgsummary'!E51:I51,"PACHY")*100/P51)</f>
        <v>0</v>
      </c>
      <c r="BE51">
        <f>IF(P51=0,0,COUNTIF('Transect 3_imgsummary'!E51:I51,"PAV")*100/P51)</f>
        <v>0</v>
      </c>
      <c r="BF51">
        <f>IF(P51=0,0,COUNTIF('Transect 3_imgsummary'!E51:I51,"PECT")*100/P51)</f>
        <v>0</v>
      </c>
      <c r="BG51">
        <f>IF(P51=0,0,COUNTIF('Transect 3_imgsummary'!E51:I51,"PHYSO")*100/P51)</f>
        <v>0</v>
      </c>
      <c r="BH51">
        <f>IF(P51=0,0,COUNTIF('Transect 3_imgsummary'!E51:I51,"PLAT")*100/P51)</f>
        <v>0</v>
      </c>
      <c r="BI51">
        <f>IF(P51=0,0,COUNTIF('Transect 3_imgsummary'!E51:I51,"PLERO")*100/P51)</f>
        <v>0</v>
      </c>
      <c r="BJ51">
        <f>IF(P51=0,0,COUNTIF('Transect 3_imgsummary'!E51:I51,"POC")*100/P51)</f>
        <v>0</v>
      </c>
      <c r="BK51">
        <f>IF(P51=0,0,COUNTIF('Transect 3_imgsummary'!E51:I51,"POR")*100/P51)</f>
        <v>0</v>
      </c>
      <c r="BL51">
        <f>IF(P51=0,0,COUNTIF('Transect 3_imgsummary'!E51:I51,"PORCYL")*100/P51)</f>
        <v>0</v>
      </c>
      <c r="BM51">
        <f>IF(P51=0,0,COUNTIF('Transect 3_imgsummary'!E51:I51,"PORMAS")*100/P51)</f>
        <v>0</v>
      </c>
      <c r="BN51" s="29">
        <f>IF(P51=0,0,COUNTIF('Transect 3_imgsummary'!E51:I51,"PORRUS")*100/P51)</f>
        <v>20</v>
      </c>
      <c r="BO51">
        <f>IF(P51=0,0,COUNTIF('Transect 3_imgsummary'!E51:I51,"PSAM")*100/P51)</f>
        <v>0</v>
      </c>
      <c r="BP51">
        <f>IF(P51=0,0,COUNTIF('Transect 3_imgsummary'!E51:I51,"SANDO")*100/P51)</f>
        <v>0</v>
      </c>
      <c r="BQ51">
        <f>IF(P51=0,0,COUNTIF('Transect 3_imgsummary'!E51:I51,"SCAP")*100/P51)</f>
        <v>0</v>
      </c>
      <c r="BR51">
        <f>IF(P51=0,0,COUNTIF('Transect 3_imgsummary'!E51:I51,"SERIA")*100/P51)</f>
        <v>0</v>
      </c>
      <c r="BS51">
        <f>IF(P51=0,0,COUNTIF('Transect 3_imgsummary'!E51:I51,"STYLC")*100/P51)</f>
        <v>0</v>
      </c>
      <c r="BT51">
        <f>IF(P51=0,0,COUNTIF('Transect 3_imgsummary'!E51:I51,"STYLO")*100/P51)</f>
        <v>0</v>
      </c>
      <c r="BU51">
        <f>IF(P51=0,0,COUNTIF('Transect 3_imgsummary'!E51:I51,"SYMP")*100/P51)</f>
        <v>0</v>
      </c>
      <c r="BV51">
        <f>IF(P51=0,0,COUNTIF('Transect 3_imgsummary'!E51:I51,"TURBIN")*100/P51)</f>
        <v>0</v>
      </c>
      <c r="BX51">
        <f>IF(P51=0,0,COUNTIF('Transect 3_imgsummary'!E51:I51,"ANEM")*100/P51)</f>
        <v>0</v>
      </c>
      <c r="BY51">
        <f>IF(P51=0,0,COUNTIF('Transect 3_imgsummary'!E51:I51,"ASC")*100/P51)</f>
        <v>0</v>
      </c>
      <c r="BZ51">
        <f>IF(P51=0,0,COUNTIF('Transect 3_imgsummary'!E51:I51,"CUPS")*100/P51)</f>
        <v>0</v>
      </c>
      <c r="CA51">
        <f>IF(P51=0,0,COUNTIF('Transect 3_imgsummary'!E51:I51,"DISCO")*100/P51)</f>
        <v>0</v>
      </c>
      <c r="CB51">
        <f>IF(P51=0,0,COUNTIF('Transect 3_imgsummary'!E51:I51,"DYS")*100/P51)</f>
        <v>0</v>
      </c>
      <c r="CC51">
        <f>IF(P51=0,0,COUNTIF('Transect 3_imgsummary'!E51:I51,"G")*100/P51)</f>
        <v>0</v>
      </c>
      <c r="CD51">
        <f>IF(P51=0,0,COUNTIF('Transect 3_imgsummary'!E51:I51,"NoIDINV")*100/P51)</f>
        <v>0</v>
      </c>
      <c r="CE51">
        <f>IF(P51=0,0,COUNTIF('Transect 3_imgsummary'!E51:I51,"OLV")*100/P51)</f>
        <v>0</v>
      </c>
      <c r="CF51">
        <f>IF(P51=0,0,COUNTIF('Transect 3_imgsummary'!E51:I51,"SC")*100/P51)</f>
        <v>0</v>
      </c>
      <c r="CG51">
        <f>IF(P51=0,0,COUNTIF('Transect 3_imgsummary'!E51:I51,"S")*100/P51)</f>
        <v>0</v>
      </c>
      <c r="CH51">
        <f>IF(P51=0,0,COUNTIF('Transect 3_imgsummary'!E51:I51,"TERPS")*100/P51)</f>
        <v>0</v>
      </c>
      <c r="CI51">
        <f>IF(P51=0,0,COUNTIF('Transect 3_imgsummary'!E51:I51,"Z")*100/P51)</f>
        <v>0</v>
      </c>
      <c r="CK51">
        <f>IF(P51=0,0,COUNTIF('Transect 3_imgsummary'!E51:I51,"ASP")*100/P51)</f>
        <v>0</v>
      </c>
      <c r="CL51">
        <f>IF(P51=0,0,COUNTIF('Transect 3_imgsummary'!E51:I51,"BG")*100/P51)</f>
        <v>0</v>
      </c>
      <c r="CM51">
        <f>IF(P51=0,0,COUNTIF('Transect 3_imgsummary'!E51:I51,"Bood")*100/P51)</f>
        <v>0</v>
      </c>
      <c r="CN51">
        <f>IF(P51=0,0,COUNTIF('Transect 3_imgsummary'!E51:I51,"BRYP")*100/P51)</f>
        <v>0</v>
      </c>
      <c r="CO51">
        <f>IF(P51=0,0,COUNTIF('Transect 3_imgsummary'!E51:I51,"CLP")*100/P51)</f>
        <v>0</v>
      </c>
      <c r="CP51">
        <f>IF(P51=0,0,COUNTIF('Transect 3_imgsummary'!E51:I51,"CHLDES")*100/P51)</f>
        <v>0</v>
      </c>
      <c r="CQ51">
        <f>IF(P51=0,0,COUNTIF('Transect 3_imgsummary'!E51:I51,"DYCTY")*100/P51)</f>
        <v>0</v>
      </c>
      <c r="CR51">
        <f>IF(P51=0,0,COUNTIF('Transect 3_imgsummary'!E51:I51,"DICT")*100/P51)</f>
        <v>0</v>
      </c>
      <c r="CS51">
        <f>IF(P51=0,0,COUNTIF('Transect 3_imgsummary'!E51:I51,"GLXU")*100/P51)</f>
        <v>0</v>
      </c>
      <c r="CT51">
        <f>IF(P51=0,0,COUNTIF('Transect 3_imgsummary'!E51:I51,"HALI")*100/P51)</f>
        <v>0</v>
      </c>
      <c r="CU51">
        <f>IF(P51=0,0,COUNTIF('Transect 3_imgsummary'!E51:I51,"LIAG")*100/P51)</f>
        <v>0</v>
      </c>
      <c r="CV51">
        <f>IF(P51=0,0,COUNTIF('Transect 3_imgsummary'!E51:I51,"LOBO")*100/P51)</f>
        <v>0</v>
      </c>
      <c r="CW51">
        <f>IF(P51=0,0,COUNTIF('Transect 3_imgsummary'!E51:I51,"MAST")*100/P51)</f>
        <v>0</v>
      </c>
      <c r="CX51">
        <f>IF(P51=0,0,COUNTIF('Transect 3_imgsummary'!E51:I51,"MICDTY")*100/P51)</f>
        <v>0</v>
      </c>
      <c r="CY51">
        <f>IF(P51=0,0,COUNTIF('Transect 3_imgsummary'!E51:I51,"NEOM")*100/P51)</f>
        <v>0</v>
      </c>
      <c r="CZ51">
        <f>IF(P51=0,0,COUNTIF('Transect 3_imgsummary'!E51:I51,"NOIDMAC")*100/P51)</f>
        <v>0</v>
      </c>
      <c r="DA51">
        <f>IF(P51=0,0,COUNTIF('Transect 3_imgsummary'!E51:I51,"PAD")*100/P51)</f>
        <v>0</v>
      </c>
      <c r="DB51">
        <f>IF(P51=0,0,COUNTIF('Transect 3_imgsummary'!E51:I51,"SARG")*100/P51)</f>
        <v>0</v>
      </c>
      <c r="DC51">
        <f>IF(P51=0,0,COUNTIF('Transect 3_imgsummary'!E51:I51,"SCHIZ")*100/P51)</f>
        <v>0</v>
      </c>
      <c r="DD51">
        <f>IF(P51=0,0,COUNTIF('Transect 3_imgsummary'!E51:I51,"TURB")*100/P51)</f>
        <v>0</v>
      </c>
      <c r="DE51">
        <f>IF(P51=0,0,COUNTIF('Transect 3_imgsummary'!E51:I51,"TYDM")*100/P51)</f>
        <v>0</v>
      </c>
      <c r="DG51">
        <f>IF(P51=0,0,COUNTIF('Transect 3_imgsummary'!E51:I51,"AMP")*100/P51)</f>
        <v>0</v>
      </c>
      <c r="DH51">
        <f>IF(P51=0,0,COUNTIF('Transect 3_imgsummary'!E51:I51,"BCA1")*100/P51)</f>
        <v>0</v>
      </c>
      <c r="DI51">
        <f>IF(P51=0,0,COUNTIF('Transect 3_imgsummary'!E51:I51,"JAN")*100/P51)</f>
        <v>0</v>
      </c>
      <c r="DK51">
        <f>IF(P51=0,0,COUNTIF('Transect 3_imgsummary'!E51:I51,"CCA1")*100/P51)</f>
        <v>0</v>
      </c>
      <c r="DM51">
        <f>IF(P51=0,0,COUNTIF('Transect 3_imgsummary'!E51:I51,"Sand")*100/P51)</f>
        <v>0</v>
      </c>
      <c r="DO51">
        <f>IF(P51=0,0,COUNTIF('Transect 3_imgsummary'!E51:I51,"FCA1")*100/P51)</f>
        <v>0</v>
      </c>
      <c r="DQ51">
        <f>IF(P51=0,0,COUNTIF('Transect 3_imgsummary'!E51:I51,"CHRYOBRN")*100/P51)</f>
        <v>0</v>
      </c>
      <c r="DS51">
        <f>IF(P51=0,0,COUNTIF('Transect 3_imgsummary'!E51:I51,"TURF")*100/P51)</f>
        <v>0</v>
      </c>
      <c r="DU51">
        <f>COUNTIF('Transect 3_imgsummary'!E51:I51,"Shadow")*100/5</f>
        <v>0</v>
      </c>
      <c r="DV51">
        <f>COUNTIF('Transect 3_imgsummary'!E51:I51,"Tape")*100/5</f>
        <v>0</v>
      </c>
      <c r="DW51">
        <f>COUNTIF('Transect 3_imgsummary'!E51:I51,"Wand")*100/5</f>
        <v>0</v>
      </c>
      <c r="DY51">
        <f>IF(P51=0,0,COUNTIF('Transect 3_imgsummary'!O51:S51,"BC")*100/P51)</f>
        <v>0</v>
      </c>
    </row>
    <row r="52" spans="1:129">
      <c r="A52">
        <v>50</v>
      </c>
      <c r="B52" t="s">
        <v>539</v>
      </c>
      <c r="F52" s="29">
        <f>IF(P52=0,0,COUNTIF('Transect 3_imgsummary'!J52:N52,"C")*100/P52)</f>
        <v>60</v>
      </c>
      <c r="G52">
        <f>IF(P52=0,0,COUNTIF('Transect 3_imgsummary'!J52:N52,"OI")*100/P52)</f>
        <v>0</v>
      </c>
      <c r="H52">
        <f>IF(P52=0,0,COUNTIF('Transect 3_imgsummary'!J52:N52,"MA")*100/P52)</f>
        <v>0</v>
      </c>
      <c r="I52">
        <f>IF(P52=0,0,COUNTIF('Transect 3_imgsummary'!J52:N52,"BCA")*100/P52)</f>
        <v>0</v>
      </c>
      <c r="J52" s="29">
        <f>IF(P52=0,0,COUNTIF('Transect 3_imgsummary'!J52:N52,"CCA")*100/P52)</f>
        <v>40</v>
      </c>
      <c r="K52">
        <f>IF(P52=0,0,COUNTIF('Transect 3_imgsummary'!J52:N52,"SD")*100/P52)</f>
        <v>0</v>
      </c>
      <c r="L52">
        <f>IF(P52=0,0,COUNTIF('Transect 3_imgsummary'!J52:N52,"FCA")*100/P52)</f>
        <v>0</v>
      </c>
      <c r="M52">
        <f>IF(P52=0,0,COUNTIF('Transect 3_imgsummary'!J52:N52,"CHRYS")*100/P52)</f>
        <v>0</v>
      </c>
      <c r="N52">
        <f>IF(P52=0,0,COUNTIF('Transect 3_imgsummary'!J52:N52,"T")*100/P52)</f>
        <v>0</v>
      </c>
      <c r="O52">
        <f>IF(P52=0,0,COUNTIF('Transect 3_imgsummary'!J52:N52,"TWS")*100/P52)</f>
        <v>0</v>
      </c>
      <c r="P52">
        <f>5-COUNTIF('Transect 3_imgsummary'!J52:N52,"TWS")</f>
        <v>5</v>
      </c>
      <c r="S52">
        <f>IF(P52=0,0,COUNTIF('Transect 3_imgsummary'!E52:I52,"ACAN")*100/P52)</f>
        <v>0</v>
      </c>
      <c r="T52">
        <f>IF(P52=0,0,COUNTIF('Transect 3_imgsummary'!E52:I52,"ACROP")*100/P52)</f>
        <v>0</v>
      </c>
      <c r="U52">
        <f>IF(P52=0,0,COUNTIF('Transect 3_imgsummary'!E52:I52,"ACROPARB")*100/P52)</f>
        <v>0</v>
      </c>
      <c r="V52">
        <f>IF(P52=0,0,COUNTIF('Transect 3_imgsummary'!E52:I52,"ACROST")*100/P52)</f>
        <v>0</v>
      </c>
      <c r="W52">
        <f>IF(P52=0,0,COUNTIF('Transect 3_imgsummary'!E52:I52,"ACROTBL")*100/P52)</f>
        <v>0</v>
      </c>
      <c r="X52">
        <f>IF(P52=0,0,COUNTIF('Transect 3_imgsummary'!E52:I52,"ASTRP")*100/P52)</f>
        <v>0</v>
      </c>
      <c r="Y52">
        <f>IF(P52=0,0,COUNTIF('Transect 3_imgsummary'!E52:I52,"CAUL")*100/P52)</f>
        <v>0</v>
      </c>
      <c r="Z52">
        <f>IF(P52=0,0,COUNTIF('Transect 3_imgsummary'!E52:I52,"COSC")*100/P52)</f>
        <v>0</v>
      </c>
      <c r="AA52">
        <f>IF(P52=0,0,COUNTIF('Transect 3_imgsummary'!E52:I52,"CTEN")*100/P52)</f>
        <v>0</v>
      </c>
      <c r="AB52">
        <f>IF(P52=0,0,COUNTIF('Transect 3_imgsummary'!E52:I52,"CYPH")*100/P52)</f>
        <v>0</v>
      </c>
      <c r="AC52">
        <f>IF(P52=0,0,COUNTIF('Transect 3_imgsummary'!E52:I52,"DIPLO")*100/P52)</f>
        <v>0</v>
      </c>
      <c r="AD52">
        <f>IF(P52=0,0,COUNTIF('Transect 3_imgsummary'!E52:I52,"ECHPO")*100/P52)</f>
        <v>0</v>
      </c>
      <c r="AE52">
        <f>IF(P52=0,0,COUNTIF('Transect 3_imgsummary'!E52:I52,"ECHPHY")*100/P52)</f>
        <v>0</v>
      </c>
      <c r="AF52">
        <f>IF(P52=0,0,COUNTIF('Transect 3_imgsummary'!E52:I52,"EUPH")*100/P52)</f>
        <v>0</v>
      </c>
      <c r="AG52">
        <f>IF(P52=0,0,COUNTIF('Transect 3_imgsummary'!E52:I52,"FAV")*100/P52)</f>
        <v>0</v>
      </c>
      <c r="AH52">
        <f>IF(P52=0,0,COUNTIF('Transect 3_imgsummary'!E52:I52,"FAVT")*100/P52)</f>
        <v>0</v>
      </c>
      <c r="AI52">
        <f>IF(P52=0,0,COUNTIF('Transect 3_imgsummary'!E52:I52,"FUNG")*100/P52)</f>
        <v>0</v>
      </c>
      <c r="AJ52">
        <f>IF(P52=0,0,COUNTIF('Transect 3_imgsummary'!E52:I52,"GAL")*100/P52)</f>
        <v>0</v>
      </c>
      <c r="AK52">
        <f>IF(P52=0,0,COUNTIF('Transect 3_imgsummary'!E52:I52,"GARD")*100/P52)</f>
        <v>0</v>
      </c>
      <c r="AL52" s="29">
        <f>IF(P52=0,0,COUNTIF('Transect 3_imgsummary'!E52:I52,"GON")*100/P52)</f>
        <v>20</v>
      </c>
      <c r="AM52">
        <f>IF(P52=0,0,COUNTIF('Transect 3_imgsummary'!E52:I52,"GONIO")*100/P52)</f>
        <v>0</v>
      </c>
      <c r="AN52">
        <f>IF(P52=0,0,COUNTIF('Transect 3_imgsummary'!E52:I52,"HELIO")*100/P52)</f>
        <v>0</v>
      </c>
      <c r="AO52">
        <f>IF(P52=0,0,COUNTIF('Transect 3_imgsummary'!E52:I52,"HERP")*100/P52)</f>
        <v>0</v>
      </c>
      <c r="AP52">
        <f>IF(P52=0,0,COUNTIF('Transect 3_imgsummary'!E52:I52,"HYD")*100/P52)</f>
        <v>0</v>
      </c>
      <c r="AQ52">
        <f>IF(P52=0,0,COUNTIF('Transect 3_imgsummary'!E52:I52,"ISOP")*100/P52)</f>
        <v>0</v>
      </c>
      <c r="AR52">
        <f>IF(P52=0,0,COUNTIF('Transect 3_imgsummary'!E52:I52,"LEPT")*100/P52)</f>
        <v>0</v>
      </c>
      <c r="AS52">
        <f>IF(P52=0,0,COUNTIF('Transect 3_imgsummary'!E52:I52,"LEPTOR")*100/P52)</f>
        <v>0</v>
      </c>
      <c r="AT52">
        <f>IF(P52=0,0,COUNTIF('Transect 3_imgsummary'!E52:I52,"LEPTOS")*100/P52)</f>
        <v>0</v>
      </c>
      <c r="AU52">
        <f>IF(P52=0,0,COUNTIF('Transect 3_imgsummary'!E52:I52,"LOBOPH")*100/P52)</f>
        <v>0</v>
      </c>
      <c r="AV52">
        <f>IF(P52=0,0,COUNTIF('Transect 3_imgsummary'!E52:I52,"MERU")*100/P52)</f>
        <v>0</v>
      </c>
      <c r="AW52">
        <f>IF(P52=0,0,COUNTIF('Transect 3_imgsummary'!E52:I52,"MILL")*100/P52)</f>
        <v>0</v>
      </c>
      <c r="AX52">
        <f>IF(P52=0,0,COUNTIF('Transect 3_imgsummary'!E52:I52,"MONT")*100/P52)</f>
        <v>0</v>
      </c>
      <c r="AY52">
        <f>IF(P52=0,0,COUNTIF('Transect 3_imgsummary'!E52:I52,"MONTI")*100/P52)</f>
        <v>0</v>
      </c>
      <c r="AZ52">
        <f>IF(P52=0,0,COUNTIF('Transect 3_imgsummary'!E52:I52,"MYCED")*100/P52)</f>
        <v>0</v>
      </c>
      <c r="BA52">
        <f>IF(P52=0,0,COUNTIF('Transect 3_imgsummary'!E52:I52,"OULO")*100/P52)</f>
        <v>0</v>
      </c>
      <c r="BB52">
        <f>IF(P52=0,0,COUNTIF('Transect 3_imgsummary'!E52:I52,"OXYP")*100/P52)</f>
        <v>0</v>
      </c>
      <c r="BC52">
        <f>IF(P52=0,0,COUNTIF('Transect 3_imgsummary'!E52:I52,"PLSIA")*100/P52)</f>
        <v>0</v>
      </c>
      <c r="BD52">
        <f>IF(P52=0,0,COUNTIF('Transect 3_imgsummary'!E52:I52,"PACHY")*100/P52)</f>
        <v>0</v>
      </c>
      <c r="BE52">
        <f>IF(P52=0,0,COUNTIF('Transect 3_imgsummary'!E52:I52,"PAV")*100/P52)</f>
        <v>0</v>
      </c>
      <c r="BF52">
        <f>IF(P52=0,0,COUNTIF('Transect 3_imgsummary'!E52:I52,"PECT")*100/P52)</f>
        <v>0</v>
      </c>
      <c r="BG52">
        <f>IF(P52=0,0,COUNTIF('Transect 3_imgsummary'!E52:I52,"PHYSO")*100/P52)</f>
        <v>0</v>
      </c>
      <c r="BH52">
        <f>IF(P52=0,0,COUNTIF('Transect 3_imgsummary'!E52:I52,"PLAT")*100/P52)</f>
        <v>0</v>
      </c>
      <c r="BI52">
        <f>IF(P52=0,0,COUNTIF('Transect 3_imgsummary'!E52:I52,"PLERO")*100/P52)</f>
        <v>0</v>
      </c>
      <c r="BJ52">
        <f>IF(P52=0,0,COUNTIF('Transect 3_imgsummary'!E52:I52,"POC")*100/P52)</f>
        <v>0</v>
      </c>
      <c r="BK52">
        <f>IF(P52=0,0,COUNTIF('Transect 3_imgsummary'!E52:I52,"POR")*100/P52)</f>
        <v>0</v>
      </c>
      <c r="BL52">
        <f>IF(P52=0,0,COUNTIF('Transect 3_imgsummary'!E52:I52,"PORCYL")*100/P52)</f>
        <v>0</v>
      </c>
      <c r="BM52">
        <f>IF(P52=0,0,COUNTIF('Transect 3_imgsummary'!E52:I52,"PORMAS")*100/P52)</f>
        <v>0</v>
      </c>
      <c r="BN52" s="29">
        <f>IF(P52=0,0,COUNTIF('Transect 3_imgsummary'!E52:I52,"PORRUS")*100/P52)</f>
        <v>40</v>
      </c>
      <c r="BO52">
        <f>IF(P52=0,0,COUNTIF('Transect 3_imgsummary'!E52:I52,"PSAM")*100/P52)</f>
        <v>0</v>
      </c>
      <c r="BP52">
        <f>IF(P52=0,0,COUNTIF('Transect 3_imgsummary'!E52:I52,"SANDO")*100/P52)</f>
        <v>0</v>
      </c>
      <c r="BQ52">
        <f>IF(P52=0,0,COUNTIF('Transect 3_imgsummary'!E52:I52,"SCAP")*100/P52)</f>
        <v>0</v>
      </c>
      <c r="BR52">
        <f>IF(P52=0,0,COUNTIF('Transect 3_imgsummary'!E52:I52,"SERIA")*100/P52)</f>
        <v>0</v>
      </c>
      <c r="BS52">
        <f>IF(P52=0,0,COUNTIF('Transect 3_imgsummary'!E52:I52,"STYLC")*100/P52)</f>
        <v>0</v>
      </c>
      <c r="BT52">
        <f>IF(P52=0,0,COUNTIF('Transect 3_imgsummary'!E52:I52,"STYLO")*100/P52)</f>
        <v>0</v>
      </c>
      <c r="BU52">
        <f>IF(P52=0,0,COUNTIF('Transect 3_imgsummary'!E52:I52,"SYMP")*100/P52)</f>
        <v>0</v>
      </c>
      <c r="BV52">
        <f>IF(P52=0,0,COUNTIF('Transect 3_imgsummary'!E52:I52,"TURBIN")*100/P52)</f>
        <v>0</v>
      </c>
      <c r="BX52">
        <f>IF(P52=0,0,COUNTIF('Transect 3_imgsummary'!E52:I52,"ANEM")*100/P52)</f>
        <v>0</v>
      </c>
      <c r="BY52">
        <f>IF(P52=0,0,COUNTIF('Transect 3_imgsummary'!E52:I52,"ASC")*100/P52)</f>
        <v>0</v>
      </c>
      <c r="BZ52">
        <f>IF(P52=0,0,COUNTIF('Transect 3_imgsummary'!E52:I52,"CUPS")*100/P52)</f>
        <v>0</v>
      </c>
      <c r="CA52">
        <f>IF(P52=0,0,COUNTIF('Transect 3_imgsummary'!E52:I52,"DISCO")*100/P52)</f>
        <v>0</v>
      </c>
      <c r="CB52">
        <f>IF(P52=0,0,COUNTIF('Transect 3_imgsummary'!E52:I52,"DYS")*100/P52)</f>
        <v>0</v>
      </c>
      <c r="CC52">
        <f>IF(P52=0,0,COUNTIF('Transect 3_imgsummary'!E52:I52,"G")*100/P52)</f>
        <v>0</v>
      </c>
      <c r="CD52">
        <f>IF(P52=0,0,COUNTIF('Transect 3_imgsummary'!E52:I52,"NoIDINV")*100/P52)</f>
        <v>0</v>
      </c>
      <c r="CE52">
        <f>IF(P52=0,0,COUNTIF('Transect 3_imgsummary'!E52:I52,"OLV")*100/P52)</f>
        <v>0</v>
      </c>
      <c r="CF52">
        <f>IF(P52=0,0,COUNTIF('Transect 3_imgsummary'!E52:I52,"SC")*100/P52)</f>
        <v>0</v>
      </c>
      <c r="CG52">
        <f>IF(P52=0,0,COUNTIF('Transect 3_imgsummary'!E52:I52,"S")*100/P52)</f>
        <v>0</v>
      </c>
      <c r="CH52">
        <f>IF(P52=0,0,COUNTIF('Transect 3_imgsummary'!E52:I52,"TERPS")*100/P52)</f>
        <v>0</v>
      </c>
      <c r="CI52">
        <f>IF(P52=0,0,COUNTIF('Transect 3_imgsummary'!E52:I52,"Z")*100/P52)</f>
        <v>0</v>
      </c>
      <c r="CK52">
        <f>IF(P52=0,0,COUNTIF('Transect 3_imgsummary'!E52:I52,"ASP")*100/P52)</f>
        <v>0</v>
      </c>
      <c r="CL52">
        <f>IF(P52=0,0,COUNTIF('Transect 3_imgsummary'!E52:I52,"BG")*100/P52)</f>
        <v>0</v>
      </c>
      <c r="CM52">
        <f>IF(P52=0,0,COUNTIF('Transect 3_imgsummary'!E52:I52,"Bood")*100/P52)</f>
        <v>0</v>
      </c>
      <c r="CN52">
        <f>IF(P52=0,0,COUNTIF('Transect 3_imgsummary'!E52:I52,"BRYP")*100/P52)</f>
        <v>0</v>
      </c>
      <c r="CO52">
        <f>IF(P52=0,0,COUNTIF('Transect 3_imgsummary'!E52:I52,"CLP")*100/P52)</f>
        <v>0</v>
      </c>
      <c r="CP52">
        <f>IF(P52=0,0,COUNTIF('Transect 3_imgsummary'!E52:I52,"CHLDES")*100/P52)</f>
        <v>0</v>
      </c>
      <c r="CQ52">
        <f>IF(P52=0,0,COUNTIF('Transect 3_imgsummary'!E52:I52,"DYCTY")*100/P52)</f>
        <v>0</v>
      </c>
      <c r="CR52">
        <f>IF(P52=0,0,COUNTIF('Transect 3_imgsummary'!E52:I52,"DICT")*100/P52)</f>
        <v>0</v>
      </c>
      <c r="CS52">
        <f>IF(P52=0,0,COUNTIF('Transect 3_imgsummary'!E52:I52,"GLXU")*100/P52)</f>
        <v>0</v>
      </c>
      <c r="CT52">
        <f>IF(P52=0,0,COUNTIF('Transect 3_imgsummary'!E52:I52,"HALI")*100/P52)</f>
        <v>0</v>
      </c>
      <c r="CU52">
        <f>IF(P52=0,0,COUNTIF('Transect 3_imgsummary'!E52:I52,"LIAG")*100/P52)</f>
        <v>0</v>
      </c>
      <c r="CV52">
        <f>IF(P52=0,0,COUNTIF('Transect 3_imgsummary'!E52:I52,"LOBO")*100/P52)</f>
        <v>0</v>
      </c>
      <c r="CW52">
        <f>IF(P52=0,0,COUNTIF('Transect 3_imgsummary'!E52:I52,"MAST")*100/P52)</f>
        <v>0</v>
      </c>
      <c r="CX52">
        <f>IF(P52=0,0,COUNTIF('Transect 3_imgsummary'!E52:I52,"MICDTY")*100/P52)</f>
        <v>0</v>
      </c>
      <c r="CY52">
        <f>IF(P52=0,0,COUNTIF('Transect 3_imgsummary'!E52:I52,"NEOM")*100/P52)</f>
        <v>0</v>
      </c>
      <c r="CZ52">
        <f>IF(P52=0,0,COUNTIF('Transect 3_imgsummary'!E52:I52,"NOIDMAC")*100/P52)</f>
        <v>0</v>
      </c>
      <c r="DA52">
        <f>IF(P52=0,0,COUNTIF('Transect 3_imgsummary'!E52:I52,"PAD")*100/P52)</f>
        <v>0</v>
      </c>
      <c r="DB52">
        <f>IF(P52=0,0,COUNTIF('Transect 3_imgsummary'!E52:I52,"SARG")*100/P52)</f>
        <v>0</v>
      </c>
      <c r="DC52">
        <f>IF(P52=0,0,COUNTIF('Transect 3_imgsummary'!E52:I52,"SCHIZ")*100/P52)</f>
        <v>0</v>
      </c>
      <c r="DD52">
        <f>IF(P52=0,0,COUNTIF('Transect 3_imgsummary'!E52:I52,"TURB")*100/P52)</f>
        <v>0</v>
      </c>
      <c r="DE52">
        <f>IF(P52=0,0,COUNTIF('Transect 3_imgsummary'!E52:I52,"TYDM")*100/P52)</f>
        <v>0</v>
      </c>
      <c r="DG52">
        <f>IF(P52=0,0,COUNTIF('Transect 3_imgsummary'!E52:I52,"AMP")*100/P52)</f>
        <v>0</v>
      </c>
      <c r="DH52">
        <f>IF(P52=0,0,COUNTIF('Transect 3_imgsummary'!E52:I52,"BCA1")*100/P52)</f>
        <v>0</v>
      </c>
      <c r="DI52">
        <f>IF(P52=0,0,COUNTIF('Transect 3_imgsummary'!E52:I52,"JAN")*100/P52)</f>
        <v>0</v>
      </c>
      <c r="DK52" s="29">
        <f>IF(P52=0,0,COUNTIF('Transect 3_imgsummary'!E52:I52,"CCA1")*100/P52)</f>
        <v>40</v>
      </c>
      <c r="DM52">
        <f>IF(P52=0,0,COUNTIF('Transect 3_imgsummary'!E52:I52,"Sand")*100/P52)</f>
        <v>0</v>
      </c>
      <c r="DO52">
        <f>IF(P52=0,0,COUNTIF('Transect 3_imgsummary'!E52:I52,"FCA1")*100/P52)</f>
        <v>0</v>
      </c>
      <c r="DQ52">
        <f>IF(P52=0,0,COUNTIF('Transect 3_imgsummary'!E52:I52,"CHRYOBRN")*100/P52)</f>
        <v>0</v>
      </c>
      <c r="DS52">
        <f>IF(P52=0,0,COUNTIF('Transect 3_imgsummary'!E52:I52,"TURF")*100/P52)</f>
        <v>0</v>
      </c>
      <c r="DU52">
        <f>COUNTIF('Transect 3_imgsummary'!E52:I52,"Shadow")*100/5</f>
        <v>0</v>
      </c>
      <c r="DV52">
        <f>COUNTIF('Transect 3_imgsummary'!E52:I52,"Tape")*100/5</f>
        <v>0</v>
      </c>
      <c r="DW52">
        <f>COUNTIF('Transect 3_imgsummary'!E52:I52,"Wand")*100/5</f>
        <v>0</v>
      </c>
      <c r="DY52">
        <f>IF(P52=0,0,COUNTIF('Transect 3_imgsummary'!O52:S52,"BC")*100/P52)</f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52"/>
  <sheetViews>
    <sheetView workbookViewId="0"/>
  </sheetViews>
  <sheetFormatPr baseColWidth="10" defaultColWidth="8.83203125" defaultRowHeight="14" x14ac:dyDescent="0"/>
  <cols>
    <col min="1" max="1" width="2.83203125" bestFit="1" customWidth="1"/>
    <col min="2" max="2" width="12.83203125" bestFit="1" customWidth="1"/>
    <col min="3" max="4" width="1.83203125" bestFit="1" customWidth="1"/>
    <col min="5" max="5" width="3.33203125" style="17" bestFit="1" customWidth="1"/>
    <col min="6" max="6" width="5.33203125" bestFit="1" customWidth="1"/>
    <col min="7" max="8" width="3.33203125" bestFit="1" customWidth="1"/>
    <col min="9" max="10" width="4.33203125" bestFit="1" customWidth="1"/>
    <col min="11" max="11" width="3.33203125" bestFit="1" customWidth="1"/>
    <col min="12" max="12" width="4.33203125" bestFit="1" customWidth="1"/>
    <col min="13" max="13" width="3.33203125" bestFit="1" customWidth="1"/>
    <col min="14" max="15" width="4.33203125" bestFit="1" customWidth="1"/>
    <col min="16" max="16" width="3.33203125" bestFit="1" customWidth="1"/>
    <col min="17" max="17" width="3.33203125" style="17" bestFit="1" customWidth="1"/>
    <col min="18" max="18" width="3.33203125" style="10" bestFit="1" customWidth="1"/>
    <col min="19" max="19" width="3.33203125" bestFit="1" customWidth="1"/>
    <col min="20" max="20" width="4.33203125" bestFit="1" customWidth="1"/>
    <col min="21" max="22" width="3.33203125" bestFit="1" customWidth="1"/>
    <col min="23" max="23" width="5.33203125" bestFit="1" customWidth="1"/>
    <col min="24" max="27" width="3.33203125" bestFit="1" customWidth="1"/>
    <col min="28" max="28" width="4.33203125" bestFit="1" customWidth="1"/>
    <col min="29" max="29" width="3.33203125" bestFit="1" customWidth="1"/>
    <col min="30" max="30" width="4.33203125" bestFit="1" customWidth="1"/>
    <col min="31" max="32" width="3.33203125" bestFit="1" customWidth="1"/>
    <col min="33" max="33" width="4.33203125" bestFit="1" customWidth="1"/>
    <col min="34" max="35" width="3.33203125" bestFit="1" customWidth="1"/>
    <col min="36" max="36" width="4.33203125" bestFit="1" customWidth="1"/>
    <col min="37" max="37" width="3.33203125" bestFit="1" customWidth="1"/>
    <col min="38" max="38" width="4.33203125" bestFit="1" customWidth="1"/>
    <col min="39" max="44" width="3.33203125" bestFit="1" customWidth="1"/>
    <col min="45" max="45" width="4.33203125" bestFit="1" customWidth="1"/>
    <col min="46" max="46" width="3.33203125" bestFit="1" customWidth="1"/>
    <col min="47" max="48" width="4.33203125" bestFit="1" customWidth="1"/>
    <col min="49" max="51" width="3.33203125" bestFit="1" customWidth="1"/>
    <col min="52" max="52" width="4.33203125" bestFit="1" customWidth="1"/>
    <col min="53" max="55" width="3.33203125" bestFit="1" customWidth="1"/>
    <col min="56" max="56" width="4.33203125" bestFit="1" customWidth="1"/>
    <col min="57" max="59" width="3.33203125" bestFit="1" customWidth="1"/>
    <col min="60" max="60" width="4.33203125" bestFit="1" customWidth="1"/>
    <col min="61" max="65" width="3.33203125" bestFit="1" customWidth="1"/>
    <col min="66" max="66" width="4.33203125" bestFit="1" customWidth="1"/>
    <col min="67" max="71" width="3.33203125" bestFit="1" customWidth="1"/>
    <col min="72" max="72" width="4.33203125" bestFit="1" customWidth="1"/>
    <col min="73" max="74" width="3.33203125" bestFit="1" customWidth="1"/>
    <col min="75" max="75" width="3.33203125" style="10" bestFit="1" customWidth="1"/>
    <col min="76" max="87" width="3.33203125" bestFit="1" customWidth="1"/>
    <col min="88" max="88" width="3.33203125" style="10" bestFit="1" customWidth="1"/>
    <col min="89" max="109" width="3.33203125" bestFit="1" customWidth="1"/>
    <col min="110" max="110" width="3.33203125" style="10" bestFit="1" customWidth="1"/>
    <col min="111" max="111" width="3.33203125" bestFit="1" customWidth="1"/>
    <col min="112" max="112" width="4.33203125" bestFit="1" customWidth="1"/>
    <col min="113" max="113" width="3.33203125" bestFit="1" customWidth="1"/>
    <col min="114" max="114" width="3.33203125" style="10" bestFit="1" customWidth="1"/>
    <col min="115" max="115" width="4.33203125" bestFit="1" customWidth="1"/>
    <col min="116" max="116" width="3.33203125" style="10" bestFit="1" customWidth="1"/>
    <col min="117" max="117" width="3.33203125" bestFit="1" customWidth="1"/>
    <col min="118" max="118" width="3.33203125" style="10" bestFit="1" customWidth="1"/>
    <col min="119" max="119" width="4.33203125" bestFit="1" customWidth="1"/>
    <col min="120" max="120" width="3.33203125" style="10" bestFit="1" customWidth="1"/>
    <col min="121" max="121" width="3.33203125" bestFit="1" customWidth="1"/>
    <col min="122" max="122" width="3.33203125" style="10" bestFit="1" customWidth="1"/>
    <col min="123" max="123" width="4.33203125" bestFit="1" customWidth="1"/>
    <col min="124" max="124" width="3.33203125" style="10" bestFit="1" customWidth="1"/>
    <col min="125" max="125" width="4.33203125" bestFit="1" customWidth="1"/>
    <col min="126" max="127" width="3.33203125" bestFit="1" customWidth="1"/>
    <col min="128" max="128" width="3.33203125" style="17" bestFit="1" customWidth="1"/>
    <col min="129" max="129" width="3.33203125" bestFit="1" customWidth="1"/>
  </cols>
  <sheetData>
    <row r="1" spans="1:129" ht="59">
      <c r="F1" s="15" t="s">
        <v>23</v>
      </c>
      <c r="G1" s="15" t="s">
        <v>99</v>
      </c>
      <c r="H1" s="15" t="s">
        <v>101</v>
      </c>
      <c r="I1" s="15" t="s">
        <v>42</v>
      </c>
      <c r="J1" s="15" t="s">
        <v>30</v>
      </c>
      <c r="K1" s="15" t="s">
        <v>105</v>
      </c>
      <c r="L1" s="15" t="s">
        <v>26</v>
      </c>
      <c r="M1" s="15" t="s">
        <v>108</v>
      </c>
      <c r="N1" s="15" t="s">
        <v>28</v>
      </c>
      <c r="O1" s="15" t="s">
        <v>45</v>
      </c>
      <c r="S1" s="15" t="s">
        <v>114</v>
      </c>
      <c r="T1" s="15" t="s">
        <v>89</v>
      </c>
      <c r="U1" s="15" t="s">
        <v>117</v>
      </c>
      <c r="V1" s="15" t="s">
        <v>119</v>
      </c>
      <c r="W1" s="15" t="s">
        <v>22</v>
      </c>
      <c r="X1" s="15" t="s">
        <v>122</v>
      </c>
      <c r="Y1" s="15" t="s">
        <v>124</v>
      </c>
      <c r="Z1" s="15" t="s">
        <v>126</v>
      </c>
      <c r="AA1" s="15" t="s">
        <v>128</v>
      </c>
      <c r="AB1" s="15" t="s">
        <v>66</v>
      </c>
      <c r="AC1" s="15" t="s">
        <v>131</v>
      </c>
      <c r="AD1" s="15" t="s">
        <v>35</v>
      </c>
      <c r="AE1" s="15" t="s">
        <v>134</v>
      </c>
      <c r="AF1" s="15" t="s">
        <v>136</v>
      </c>
      <c r="AG1" s="15" t="s">
        <v>59</v>
      </c>
      <c r="AH1" s="15" t="s">
        <v>139</v>
      </c>
      <c r="AI1" s="15" t="s">
        <v>141</v>
      </c>
      <c r="AJ1" s="15" t="s">
        <v>37</v>
      </c>
      <c r="AK1" s="15" t="s">
        <v>144</v>
      </c>
      <c r="AL1" s="15" t="s">
        <v>64</v>
      </c>
      <c r="AM1" s="15" t="s">
        <v>147</v>
      </c>
      <c r="AN1" s="15" t="s">
        <v>149</v>
      </c>
      <c r="AO1" s="15" t="s">
        <v>151</v>
      </c>
      <c r="AP1" s="15" t="s">
        <v>153</v>
      </c>
      <c r="AQ1" s="15" t="s">
        <v>155</v>
      </c>
      <c r="AR1" s="15" t="s">
        <v>157</v>
      </c>
      <c r="AS1" s="15" t="s">
        <v>31</v>
      </c>
      <c r="AT1" s="15" t="s">
        <v>160</v>
      </c>
      <c r="AU1" s="15" t="s">
        <v>55</v>
      </c>
      <c r="AV1" s="15" t="s">
        <v>38</v>
      </c>
      <c r="AW1" s="15" t="s">
        <v>164</v>
      </c>
      <c r="AX1" s="15" t="s">
        <v>166</v>
      </c>
      <c r="AY1" s="15" t="s">
        <v>168</v>
      </c>
      <c r="AZ1" s="15" t="s">
        <v>72</v>
      </c>
      <c r="BA1" s="15" t="s">
        <v>171</v>
      </c>
      <c r="BB1" s="15" t="s">
        <v>173</v>
      </c>
      <c r="BC1" s="15" t="s">
        <v>175</v>
      </c>
      <c r="BD1" s="15" t="s">
        <v>33</v>
      </c>
      <c r="BE1" s="15" t="s">
        <v>178</v>
      </c>
      <c r="BF1" s="15" t="s">
        <v>180</v>
      </c>
      <c r="BG1" s="15" t="s">
        <v>182</v>
      </c>
      <c r="BH1" s="15" t="s">
        <v>69</v>
      </c>
      <c r="BI1" s="15" t="s">
        <v>185</v>
      </c>
      <c r="BJ1" s="15" t="s">
        <v>187</v>
      </c>
      <c r="BK1" s="15" t="s">
        <v>189</v>
      </c>
      <c r="BL1" s="15" t="s">
        <v>191</v>
      </c>
      <c r="BM1" s="15" t="s">
        <v>193</v>
      </c>
      <c r="BN1" s="15" t="s">
        <v>95</v>
      </c>
      <c r="BO1" s="15" t="s">
        <v>196</v>
      </c>
      <c r="BP1" s="15" t="s">
        <v>198</v>
      </c>
      <c r="BQ1" s="15" t="s">
        <v>200</v>
      </c>
      <c r="BR1" s="15" t="s">
        <v>202</v>
      </c>
      <c r="BS1" s="15" t="s">
        <v>204</v>
      </c>
      <c r="BT1" s="15" t="s">
        <v>51</v>
      </c>
      <c r="BU1" s="15" t="s">
        <v>207</v>
      </c>
      <c r="BV1" s="15" t="s">
        <v>209</v>
      </c>
      <c r="BX1" s="15" t="s">
        <v>211</v>
      </c>
      <c r="BY1" s="15" t="s">
        <v>213</v>
      </c>
      <c r="BZ1" s="15" t="s">
        <v>215</v>
      </c>
      <c r="CA1" s="15" t="s">
        <v>217</v>
      </c>
      <c r="CB1" s="15" t="s">
        <v>219</v>
      </c>
      <c r="CC1" s="15" t="s">
        <v>221</v>
      </c>
      <c r="CD1" s="15" t="s">
        <v>223</v>
      </c>
      <c r="CE1" s="15" t="s">
        <v>225</v>
      </c>
      <c r="CF1" s="15" t="s">
        <v>227</v>
      </c>
      <c r="CG1" s="15" t="s">
        <v>229</v>
      </c>
      <c r="CH1" s="15" t="s">
        <v>231</v>
      </c>
      <c r="CI1" s="15" t="s">
        <v>233</v>
      </c>
      <c r="CK1" s="15" t="s">
        <v>235</v>
      </c>
      <c r="CL1" s="15" t="s">
        <v>237</v>
      </c>
      <c r="CM1" s="15" t="s">
        <v>239</v>
      </c>
      <c r="CN1" s="15" t="s">
        <v>241</v>
      </c>
      <c r="CO1" s="15" t="s">
        <v>243</v>
      </c>
      <c r="CP1" s="15" t="s">
        <v>245</v>
      </c>
      <c r="CQ1" s="15" t="s">
        <v>247</v>
      </c>
      <c r="CR1" s="15" t="s">
        <v>249</v>
      </c>
      <c r="CS1" s="15" t="s">
        <v>251</v>
      </c>
      <c r="CT1" s="15" t="s">
        <v>253</v>
      </c>
      <c r="CU1" s="15" t="s">
        <v>255</v>
      </c>
      <c r="CV1" s="15" t="s">
        <v>257</v>
      </c>
      <c r="CW1" s="15" t="s">
        <v>259</v>
      </c>
      <c r="CX1" s="15" t="s">
        <v>261</v>
      </c>
      <c r="CY1" s="15" t="s">
        <v>263</v>
      </c>
      <c r="CZ1" s="15" t="s">
        <v>265</v>
      </c>
      <c r="DA1" s="15" t="s">
        <v>267</v>
      </c>
      <c r="DB1" s="15" t="s">
        <v>269</v>
      </c>
      <c r="DC1" s="15" t="s">
        <v>271</v>
      </c>
      <c r="DD1" s="15" t="s">
        <v>273</v>
      </c>
      <c r="DE1" s="15" t="s">
        <v>275</v>
      </c>
      <c r="DG1" s="15" t="s">
        <v>277</v>
      </c>
      <c r="DH1" s="15" t="s">
        <v>41</v>
      </c>
      <c r="DI1" s="15" t="s">
        <v>280</v>
      </c>
      <c r="DK1" s="15" t="s">
        <v>29</v>
      </c>
      <c r="DM1" s="15" t="s">
        <v>104</v>
      </c>
      <c r="DO1" s="15" t="s">
        <v>25</v>
      </c>
      <c r="DQ1" s="15" t="s">
        <v>285</v>
      </c>
      <c r="DS1" s="15" t="s">
        <v>27</v>
      </c>
      <c r="DU1" s="15" t="s">
        <v>288</v>
      </c>
      <c r="DV1" s="15" t="s">
        <v>290</v>
      </c>
      <c r="DW1" s="15" t="s">
        <v>292</v>
      </c>
      <c r="DY1" s="15" t="s">
        <v>295</v>
      </c>
    </row>
    <row r="2" spans="1:129" ht="215">
      <c r="B2" s="1" t="s">
        <v>0</v>
      </c>
      <c r="C2" s="1" t="s">
        <v>1</v>
      </c>
      <c r="D2" s="1" t="s">
        <v>2</v>
      </c>
      <c r="E2" s="16" t="s">
        <v>96</v>
      </c>
      <c r="F2" s="18" t="s">
        <v>97</v>
      </c>
      <c r="G2" s="19" t="s">
        <v>98</v>
      </c>
      <c r="H2" s="20" t="s">
        <v>100</v>
      </c>
      <c r="I2" s="21" t="s">
        <v>102</v>
      </c>
      <c r="J2" s="22" t="s">
        <v>103</v>
      </c>
      <c r="K2" s="23" t="s">
        <v>104</v>
      </c>
      <c r="L2" s="24" t="s">
        <v>106</v>
      </c>
      <c r="M2" s="25" t="s">
        <v>107</v>
      </c>
      <c r="N2" s="26" t="s">
        <v>109</v>
      </c>
      <c r="O2" s="27" t="s">
        <v>110</v>
      </c>
      <c r="P2" s="15" t="s">
        <v>111</v>
      </c>
      <c r="Q2" s="16" t="s">
        <v>112</v>
      </c>
      <c r="R2" s="28" t="s">
        <v>97</v>
      </c>
      <c r="S2" s="15" t="s">
        <v>113</v>
      </c>
      <c r="T2" s="15" t="s">
        <v>115</v>
      </c>
      <c r="U2" s="15" t="s">
        <v>116</v>
      </c>
      <c r="V2" s="15" t="s">
        <v>118</v>
      </c>
      <c r="W2" s="15" t="s">
        <v>120</v>
      </c>
      <c r="X2" s="15" t="s">
        <v>121</v>
      </c>
      <c r="Y2" s="15" t="s">
        <v>123</v>
      </c>
      <c r="Z2" s="15" t="s">
        <v>125</v>
      </c>
      <c r="AA2" s="15" t="s">
        <v>127</v>
      </c>
      <c r="AB2" s="15" t="s">
        <v>129</v>
      </c>
      <c r="AC2" s="15" t="s">
        <v>130</v>
      </c>
      <c r="AD2" s="15" t="s">
        <v>132</v>
      </c>
      <c r="AE2" s="15" t="s">
        <v>133</v>
      </c>
      <c r="AF2" s="15" t="s">
        <v>135</v>
      </c>
      <c r="AG2" s="15" t="s">
        <v>137</v>
      </c>
      <c r="AH2" s="15" t="s">
        <v>138</v>
      </c>
      <c r="AI2" s="15" t="s">
        <v>140</v>
      </c>
      <c r="AJ2" s="15" t="s">
        <v>142</v>
      </c>
      <c r="AK2" s="15" t="s">
        <v>143</v>
      </c>
      <c r="AL2" s="15" t="s">
        <v>145</v>
      </c>
      <c r="AM2" s="15" t="s">
        <v>146</v>
      </c>
      <c r="AN2" s="15" t="s">
        <v>148</v>
      </c>
      <c r="AO2" s="15" t="s">
        <v>150</v>
      </c>
      <c r="AP2" s="15" t="s">
        <v>152</v>
      </c>
      <c r="AQ2" s="15" t="s">
        <v>154</v>
      </c>
      <c r="AR2" s="15" t="s">
        <v>156</v>
      </c>
      <c r="AS2" s="15" t="s">
        <v>158</v>
      </c>
      <c r="AT2" s="15" t="s">
        <v>159</v>
      </c>
      <c r="AU2" s="15" t="s">
        <v>161</v>
      </c>
      <c r="AV2" s="15" t="s">
        <v>162</v>
      </c>
      <c r="AW2" s="15" t="s">
        <v>163</v>
      </c>
      <c r="AX2" s="15" t="s">
        <v>165</v>
      </c>
      <c r="AY2" s="15" t="s">
        <v>167</v>
      </c>
      <c r="AZ2" s="15" t="s">
        <v>169</v>
      </c>
      <c r="BA2" s="15" t="s">
        <v>170</v>
      </c>
      <c r="BB2" s="15" t="s">
        <v>172</v>
      </c>
      <c r="BC2" s="15" t="s">
        <v>174</v>
      </c>
      <c r="BD2" s="15" t="s">
        <v>176</v>
      </c>
      <c r="BE2" s="15" t="s">
        <v>177</v>
      </c>
      <c r="BF2" s="15" t="s">
        <v>179</v>
      </c>
      <c r="BG2" s="15" t="s">
        <v>181</v>
      </c>
      <c r="BH2" s="15" t="s">
        <v>183</v>
      </c>
      <c r="BI2" s="15" t="s">
        <v>184</v>
      </c>
      <c r="BJ2" s="15" t="s">
        <v>186</v>
      </c>
      <c r="BK2" s="15" t="s">
        <v>188</v>
      </c>
      <c r="BL2" s="15" t="s">
        <v>190</v>
      </c>
      <c r="BM2" s="15" t="s">
        <v>192</v>
      </c>
      <c r="BN2" s="15" t="s">
        <v>194</v>
      </c>
      <c r="BO2" s="15" t="s">
        <v>195</v>
      </c>
      <c r="BP2" s="15" t="s">
        <v>197</v>
      </c>
      <c r="BQ2" s="15" t="s">
        <v>199</v>
      </c>
      <c r="BR2" s="15" t="s">
        <v>201</v>
      </c>
      <c r="BS2" s="15" t="s">
        <v>203</v>
      </c>
      <c r="BT2" s="15" t="s">
        <v>205</v>
      </c>
      <c r="BU2" s="15" t="s">
        <v>206</v>
      </c>
      <c r="BV2" s="15" t="s">
        <v>208</v>
      </c>
      <c r="BW2" s="28" t="s">
        <v>98</v>
      </c>
      <c r="BX2" s="15" t="s">
        <v>210</v>
      </c>
      <c r="BY2" s="15" t="s">
        <v>212</v>
      </c>
      <c r="BZ2" s="15" t="s">
        <v>214</v>
      </c>
      <c r="CA2" s="15" t="s">
        <v>216</v>
      </c>
      <c r="CB2" s="15" t="s">
        <v>218</v>
      </c>
      <c r="CC2" s="15" t="s">
        <v>220</v>
      </c>
      <c r="CD2" s="15" t="s">
        <v>222</v>
      </c>
      <c r="CE2" s="15" t="s">
        <v>224</v>
      </c>
      <c r="CF2" s="15" t="s">
        <v>226</v>
      </c>
      <c r="CG2" s="15" t="s">
        <v>228</v>
      </c>
      <c r="CH2" s="15" t="s">
        <v>230</v>
      </c>
      <c r="CI2" s="15" t="s">
        <v>232</v>
      </c>
      <c r="CJ2" s="28" t="s">
        <v>100</v>
      </c>
      <c r="CK2" s="15" t="s">
        <v>234</v>
      </c>
      <c r="CL2" s="15" t="s">
        <v>236</v>
      </c>
      <c r="CM2" s="15" t="s">
        <v>238</v>
      </c>
      <c r="CN2" s="15" t="s">
        <v>240</v>
      </c>
      <c r="CO2" s="15" t="s">
        <v>242</v>
      </c>
      <c r="CP2" s="15" t="s">
        <v>244</v>
      </c>
      <c r="CQ2" s="15" t="s">
        <v>246</v>
      </c>
      <c r="CR2" s="15" t="s">
        <v>248</v>
      </c>
      <c r="CS2" s="15" t="s">
        <v>250</v>
      </c>
      <c r="CT2" s="15" t="s">
        <v>252</v>
      </c>
      <c r="CU2" s="15" t="s">
        <v>254</v>
      </c>
      <c r="CV2" s="15" t="s">
        <v>256</v>
      </c>
      <c r="CW2" s="15" t="s">
        <v>258</v>
      </c>
      <c r="CX2" s="15" t="s">
        <v>260</v>
      </c>
      <c r="CY2" s="15" t="s">
        <v>262</v>
      </c>
      <c r="CZ2" s="15" t="s">
        <v>264</v>
      </c>
      <c r="DA2" s="15" t="s">
        <v>266</v>
      </c>
      <c r="DB2" s="15" t="s">
        <v>268</v>
      </c>
      <c r="DC2" s="15" t="s">
        <v>270</v>
      </c>
      <c r="DD2" s="15" t="s">
        <v>272</v>
      </c>
      <c r="DE2" s="15" t="s">
        <v>274</v>
      </c>
      <c r="DF2" s="28" t="s">
        <v>102</v>
      </c>
      <c r="DG2" s="15" t="s">
        <v>276</v>
      </c>
      <c r="DH2" s="15" t="s">
        <v>278</v>
      </c>
      <c r="DI2" s="15" t="s">
        <v>279</v>
      </c>
      <c r="DJ2" s="28" t="s">
        <v>103</v>
      </c>
      <c r="DK2" s="15" t="s">
        <v>281</v>
      </c>
      <c r="DL2" s="28" t="s">
        <v>104</v>
      </c>
      <c r="DM2" s="15" t="s">
        <v>282</v>
      </c>
      <c r="DN2" s="28" t="s">
        <v>106</v>
      </c>
      <c r="DO2" s="15" t="s">
        <v>283</v>
      </c>
      <c r="DP2" s="28" t="s">
        <v>107</v>
      </c>
      <c r="DQ2" s="15" t="s">
        <v>284</v>
      </c>
      <c r="DR2" s="28" t="s">
        <v>109</v>
      </c>
      <c r="DS2" s="15" t="s">
        <v>286</v>
      </c>
      <c r="DT2" s="28" t="s">
        <v>110</v>
      </c>
      <c r="DU2" s="15" t="s">
        <v>287</v>
      </c>
      <c r="DV2" s="15" t="s">
        <v>289</v>
      </c>
      <c r="DW2" s="15" t="s">
        <v>291</v>
      </c>
      <c r="DX2" s="16" t="s">
        <v>293</v>
      </c>
      <c r="DY2" s="15" t="s">
        <v>294</v>
      </c>
    </row>
    <row r="3" spans="1:129">
      <c r="A3">
        <v>1</v>
      </c>
      <c r="B3" t="s">
        <v>21</v>
      </c>
      <c r="F3" s="29">
        <f>IF(P3=0,0,COUNTIF(Transect1_imgsummary!J3:N3,"C")*100/P3)</f>
        <v>100</v>
      </c>
      <c r="G3">
        <f>IF(P3=0,0,COUNTIF(Transect1_imgsummary!J3:N3,"OI")*100/P3)</f>
        <v>0</v>
      </c>
      <c r="H3">
        <f>IF(P3=0,0,COUNTIF(Transect1_imgsummary!J3:N3,"MA")*100/P3)</f>
        <v>0</v>
      </c>
      <c r="I3">
        <f>IF(P3=0,0,COUNTIF(Transect1_imgsummary!J3:N3,"BCA")*100/P3)</f>
        <v>0</v>
      </c>
      <c r="J3">
        <f>IF(P3=0,0,COUNTIF(Transect1_imgsummary!J3:N3,"CCA")*100/P3)</f>
        <v>0</v>
      </c>
      <c r="K3">
        <f>IF(P3=0,0,COUNTIF(Transect1_imgsummary!J3:N3,"SD")*100/P3)</f>
        <v>0</v>
      </c>
      <c r="L3">
        <f>IF(P3=0,0,COUNTIF(Transect1_imgsummary!J3:N3,"FCA")*100/P3)</f>
        <v>0</v>
      </c>
      <c r="M3">
        <f>IF(P3=0,0,COUNTIF(Transect1_imgsummary!J3:N3,"CHRYS")*100/P3)</f>
        <v>0</v>
      </c>
      <c r="N3">
        <f>IF(P3=0,0,COUNTIF(Transect1_imgsummary!J3:N3,"T")*100/P3)</f>
        <v>0</v>
      </c>
      <c r="O3">
        <f>IF(P3=0,0,COUNTIF(Transect1_imgsummary!J3:N3,"TWS")*100/P3)</f>
        <v>0</v>
      </c>
      <c r="P3">
        <f>5-COUNTIF(Transect1_imgsummary!J3:N3,"TWS")</f>
        <v>5</v>
      </c>
      <c r="S3">
        <f>IF(P3=0,0,COUNTIF(Transect1_imgsummary!E3:I3,"ACAN")*100/P3)</f>
        <v>0</v>
      </c>
      <c r="T3">
        <f>IF(P3=0,0,COUNTIF(Transect1_imgsummary!E3:I3,"ACROP")*100/P3)</f>
        <v>0</v>
      </c>
      <c r="U3">
        <f>IF(P3=0,0,COUNTIF(Transect1_imgsummary!E3:I3,"ACROPARB")*100/P3)</f>
        <v>0</v>
      </c>
      <c r="V3">
        <f>IF(P3=0,0,COUNTIF(Transect1_imgsummary!E3:I3,"ACROST")*100/P3)</f>
        <v>0</v>
      </c>
      <c r="W3" s="29">
        <f>IF(P3=0,0,COUNTIF(Transect1_imgsummary!E3:I3,"ACROTBL")*100/P3)</f>
        <v>100</v>
      </c>
      <c r="X3">
        <f>IF(P3=0,0,COUNTIF(Transect1_imgsummary!E3:I3,"ASTRP")*100/P3)</f>
        <v>0</v>
      </c>
      <c r="Y3">
        <f>IF(P3=0,0,COUNTIF(Transect1_imgsummary!E3:I3,"CAUL")*100/P3)</f>
        <v>0</v>
      </c>
      <c r="Z3">
        <f>IF(P3=0,0,COUNTIF(Transect1_imgsummary!E3:I3,"COSC")*100/P3)</f>
        <v>0</v>
      </c>
      <c r="AA3">
        <f>IF(P3=0,0,COUNTIF(Transect1_imgsummary!E3:I3,"CTEN")*100/P3)</f>
        <v>0</v>
      </c>
      <c r="AB3">
        <f>IF(P3=0,0,COUNTIF(Transect1_imgsummary!E3:I3,"CYPH")*100/P3)</f>
        <v>0</v>
      </c>
      <c r="AC3">
        <f>IF(P3=0,0,COUNTIF(Transect1_imgsummary!E3:I3,"DIPLO")*100/P3)</f>
        <v>0</v>
      </c>
      <c r="AD3">
        <f>IF(P3=0,0,COUNTIF(Transect1_imgsummary!E3:I3,"ECHPO")*100/P3)</f>
        <v>0</v>
      </c>
      <c r="AE3">
        <f>IF(P3=0,0,COUNTIF(Transect1_imgsummary!E3:I3,"ECHPHY")*100/P3)</f>
        <v>0</v>
      </c>
      <c r="AF3">
        <f>IF(P3=0,0,COUNTIF(Transect1_imgsummary!E3:I3,"EUPH")*100/P3)</f>
        <v>0</v>
      </c>
      <c r="AG3">
        <f>IF(P3=0,0,COUNTIF(Transect1_imgsummary!E3:I3,"FAV")*100/P3)</f>
        <v>0</v>
      </c>
      <c r="AH3">
        <f>IF(P3=0,0,COUNTIF(Transect1_imgsummary!E3:I3,"FAVT")*100/P3)</f>
        <v>0</v>
      </c>
      <c r="AI3">
        <f>IF(P3=0,0,COUNTIF(Transect1_imgsummary!E3:I3,"FUNG")*100/P3)</f>
        <v>0</v>
      </c>
      <c r="AJ3">
        <f>IF(P3=0,0,COUNTIF(Transect1_imgsummary!E3:I3,"GAL")*100/P3)</f>
        <v>0</v>
      </c>
      <c r="AK3">
        <f>IF(P3=0,0,COUNTIF(Transect1_imgsummary!E3:I3,"GARD")*100/P3)</f>
        <v>0</v>
      </c>
      <c r="AL3">
        <f>IF(P3=0,0,COUNTIF(Transect1_imgsummary!E3:I3,"GON")*100/P3)</f>
        <v>0</v>
      </c>
      <c r="AM3">
        <f>IF(P3=0,0,COUNTIF(Transect1_imgsummary!E3:I3,"GONIO")*100/P3)</f>
        <v>0</v>
      </c>
      <c r="AN3">
        <f>IF(P3=0,0,COUNTIF(Transect1_imgsummary!E3:I3,"HELIO")*100/P3)</f>
        <v>0</v>
      </c>
      <c r="AO3">
        <f>IF(P3=0,0,COUNTIF(Transect1_imgsummary!E3:I3,"HERP")*100/P3)</f>
        <v>0</v>
      </c>
      <c r="AP3">
        <f>IF(P3=0,0,COUNTIF(Transect1_imgsummary!E3:I3,"HYD")*100/P3)</f>
        <v>0</v>
      </c>
      <c r="AQ3">
        <f>IF(P3=0,0,COUNTIF(Transect1_imgsummary!E3:I3,"ISOP")*100/P3)</f>
        <v>0</v>
      </c>
      <c r="AR3">
        <f>IF(P3=0,0,COUNTIF(Transect1_imgsummary!E3:I3,"LEPT")*100/P3)</f>
        <v>0</v>
      </c>
      <c r="AS3">
        <f>IF(P3=0,0,COUNTIF(Transect1_imgsummary!E3:I3,"LEPTOR")*100/P3)</f>
        <v>0</v>
      </c>
      <c r="AT3">
        <f>IF(P3=0,0,COUNTIF(Transect1_imgsummary!E3:I3,"LEPTOS")*100/P3)</f>
        <v>0</v>
      </c>
      <c r="AU3">
        <f>IF(P3=0,0,COUNTIF(Transect1_imgsummary!E3:I3,"LOBOPH")*100/P3)</f>
        <v>0</v>
      </c>
      <c r="AV3">
        <f>IF(P3=0,0,COUNTIF(Transect1_imgsummary!E3:I3,"MERU")*100/P3)</f>
        <v>0</v>
      </c>
      <c r="AW3">
        <f>IF(P3=0,0,COUNTIF(Transect1_imgsummary!E3:I3,"MILL")*100/P3)</f>
        <v>0</v>
      </c>
      <c r="AX3">
        <f>IF(P3=0,0,COUNTIF(Transect1_imgsummary!E3:I3,"MONT")*100/P3)</f>
        <v>0</v>
      </c>
      <c r="AY3">
        <f>IF(P3=0,0,COUNTIF(Transect1_imgsummary!E3:I3,"MONTI")*100/P3)</f>
        <v>0</v>
      </c>
      <c r="AZ3">
        <f>IF(P3=0,0,COUNTIF(Transect1_imgsummary!E3:I3,"MYCED")*100/P3)</f>
        <v>0</v>
      </c>
      <c r="BA3">
        <f>IF(P3=0,0,COUNTIF(Transect1_imgsummary!E3:I3,"OULO")*100/P3)</f>
        <v>0</v>
      </c>
      <c r="BB3">
        <f>IF(P3=0,0,COUNTIF(Transect1_imgsummary!E3:I3,"OXYP")*100/P3)</f>
        <v>0</v>
      </c>
      <c r="BC3">
        <f>IF(P3=0,0,COUNTIF(Transect1_imgsummary!E3:I3,"PLSIA")*100/P3)</f>
        <v>0</v>
      </c>
      <c r="BD3">
        <f>IF(P3=0,0,COUNTIF(Transect1_imgsummary!E3:I3,"PACHY")*100/P3)</f>
        <v>0</v>
      </c>
      <c r="BE3">
        <f>IF(P3=0,0,COUNTIF(Transect1_imgsummary!E3:I3,"PAV")*100/P3)</f>
        <v>0</v>
      </c>
      <c r="BF3">
        <f>IF(P3=0,0,COUNTIF(Transect1_imgsummary!E3:I3,"PECT")*100/P3)</f>
        <v>0</v>
      </c>
      <c r="BG3">
        <f>IF(P3=0,0,COUNTIF(Transect1_imgsummary!E3:I3,"PHYSO")*100/P3)</f>
        <v>0</v>
      </c>
      <c r="BH3">
        <f>IF(P3=0,0,COUNTIF(Transect1_imgsummary!E3:I3,"PLAT")*100/P3)</f>
        <v>0</v>
      </c>
      <c r="BI3">
        <f>IF(P3=0,0,COUNTIF(Transect1_imgsummary!E3:I3,"PLERO")*100/P3)</f>
        <v>0</v>
      </c>
      <c r="BJ3">
        <f>IF(P3=0,0,COUNTIF(Transect1_imgsummary!E3:I3,"POC")*100/P3)</f>
        <v>0</v>
      </c>
      <c r="BK3">
        <f>IF(P3=0,0,COUNTIF(Transect1_imgsummary!E3:I3,"POR")*100/P3)</f>
        <v>0</v>
      </c>
      <c r="BL3">
        <f>IF(P3=0,0,COUNTIF(Transect1_imgsummary!E3:I3,"PORCYL")*100/P3)</f>
        <v>0</v>
      </c>
      <c r="BM3">
        <f>IF(P3=0,0,COUNTIF(Transect1_imgsummary!E3:I3,"PORMAS")*100/P3)</f>
        <v>0</v>
      </c>
      <c r="BN3">
        <f>IF(P3=0,0,COUNTIF(Transect1_imgsummary!E3:I3,"PORRUS")*100/P3)</f>
        <v>0</v>
      </c>
      <c r="BO3">
        <f>IF(P3=0,0,COUNTIF(Transect1_imgsummary!E3:I3,"PSAM")*100/P3)</f>
        <v>0</v>
      </c>
      <c r="BP3">
        <f>IF(P3=0,0,COUNTIF(Transect1_imgsummary!E3:I3,"SANDO")*100/P3)</f>
        <v>0</v>
      </c>
      <c r="BQ3">
        <f>IF(P3=0,0,COUNTIF(Transect1_imgsummary!E3:I3,"SCAP")*100/P3)</f>
        <v>0</v>
      </c>
      <c r="BR3">
        <f>IF(P3=0,0,COUNTIF(Transect1_imgsummary!E3:I3,"SERIA")*100/P3)</f>
        <v>0</v>
      </c>
      <c r="BS3">
        <f>IF(P3=0,0,COUNTIF(Transect1_imgsummary!E3:I3,"STYLC")*100/P3)</f>
        <v>0</v>
      </c>
      <c r="BT3">
        <f>IF(P3=0,0,COUNTIF(Transect1_imgsummary!E3:I3,"STYLO")*100/P3)</f>
        <v>0</v>
      </c>
      <c r="BU3">
        <f>IF(P3=0,0,COUNTIF(Transect1_imgsummary!E3:I3,"SYMP")*100/P3)</f>
        <v>0</v>
      </c>
      <c r="BV3">
        <f>IF(P3=0,0,COUNTIF(Transect1_imgsummary!E3:I3,"TURBIN")*100/P3)</f>
        <v>0</v>
      </c>
      <c r="BX3">
        <f>IF(P3=0,0,COUNTIF(Transect1_imgsummary!E3:I3,"ANEM")*100/P3)</f>
        <v>0</v>
      </c>
      <c r="BY3">
        <f>IF(P3=0,0,COUNTIF(Transect1_imgsummary!E3:I3,"ASC")*100/P3)</f>
        <v>0</v>
      </c>
      <c r="BZ3">
        <f>IF(P3=0,0,COUNTIF(Transect1_imgsummary!E3:I3,"CUPS")*100/P3)</f>
        <v>0</v>
      </c>
      <c r="CA3">
        <f>IF(P3=0,0,COUNTIF(Transect1_imgsummary!E3:I3,"DISCO")*100/P3)</f>
        <v>0</v>
      </c>
      <c r="CB3">
        <f>IF(P3=0,0,COUNTIF(Transect1_imgsummary!E3:I3,"DYS")*100/P3)</f>
        <v>0</v>
      </c>
      <c r="CC3">
        <f>IF(P3=0,0,COUNTIF(Transect1_imgsummary!E3:I3,"G")*100/P3)</f>
        <v>0</v>
      </c>
      <c r="CD3">
        <f>IF(P3=0,0,COUNTIF(Transect1_imgsummary!E3:I3,"NoIDINV")*100/P3)</f>
        <v>0</v>
      </c>
      <c r="CE3">
        <f>IF(P3=0,0,COUNTIF(Transect1_imgsummary!E3:I3,"OLV")*100/P3)</f>
        <v>0</v>
      </c>
      <c r="CF3">
        <f>IF(P3=0,0,COUNTIF(Transect1_imgsummary!E3:I3,"SC")*100/P3)</f>
        <v>0</v>
      </c>
      <c r="CG3">
        <f>IF(P3=0,0,COUNTIF(Transect1_imgsummary!E3:I3,"S")*100/P3)</f>
        <v>0</v>
      </c>
      <c r="CH3">
        <f>IF(P3=0,0,COUNTIF(Transect1_imgsummary!E3:I3,"TERPS")*100/P3)</f>
        <v>0</v>
      </c>
      <c r="CI3">
        <f>IF(P3=0,0,COUNTIF(Transect1_imgsummary!E3:I3,"Z")*100/P3)</f>
        <v>0</v>
      </c>
      <c r="CK3">
        <f>IF(P3=0,0,COUNTIF(Transect1_imgsummary!E3:I3,"ASP")*100/P3)</f>
        <v>0</v>
      </c>
      <c r="CL3">
        <f>IF(P3=0,0,COUNTIF(Transect1_imgsummary!E3:I3,"BG")*100/P3)</f>
        <v>0</v>
      </c>
      <c r="CM3">
        <f>IF(P3=0,0,COUNTIF(Transect1_imgsummary!E3:I3,"Bood")*100/P3)</f>
        <v>0</v>
      </c>
      <c r="CN3">
        <f>IF(P3=0,0,COUNTIF(Transect1_imgsummary!E3:I3,"BRYP")*100/P3)</f>
        <v>0</v>
      </c>
      <c r="CO3">
        <f>IF(P3=0,0,COUNTIF(Transect1_imgsummary!E3:I3,"CLP")*100/P3)</f>
        <v>0</v>
      </c>
      <c r="CP3">
        <f>IF(P3=0,0,COUNTIF(Transect1_imgsummary!E3:I3,"CHLDES")*100/P3)</f>
        <v>0</v>
      </c>
      <c r="CQ3">
        <f>IF(P3=0,0,COUNTIF(Transect1_imgsummary!E3:I3,"DYCTY")*100/P3)</f>
        <v>0</v>
      </c>
      <c r="CR3">
        <f>IF(P3=0,0,COUNTIF(Transect1_imgsummary!E3:I3,"DICT")*100/P3)</f>
        <v>0</v>
      </c>
      <c r="CS3">
        <f>IF(P3=0,0,COUNTIF(Transect1_imgsummary!E3:I3,"GLXU")*100/P3)</f>
        <v>0</v>
      </c>
      <c r="CT3">
        <f>IF(P3=0,0,COUNTIF(Transect1_imgsummary!E3:I3,"HALI")*100/P3)</f>
        <v>0</v>
      </c>
      <c r="CU3">
        <f>IF(P3=0,0,COUNTIF(Transect1_imgsummary!E3:I3,"LIAG")*100/P3)</f>
        <v>0</v>
      </c>
      <c r="CV3">
        <f>IF(P3=0,0,COUNTIF(Transect1_imgsummary!E3:I3,"LOBO")*100/P3)</f>
        <v>0</v>
      </c>
      <c r="CW3">
        <f>IF(P3=0,0,COUNTIF(Transect1_imgsummary!E3:I3,"MAST")*100/P3)</f>
        <v>0</v>
      </c>
      <c r="CX3">
        <f>IF(P3=0,0,COUNTIF(Transect1_imgsummary!E3:I3,"MICDTY")*100/P3)</f>
        <v>0</v>
      </c>
      <c r="CY3">
        <f>IF(P3=0,0,COUNTIF(Transect1_imgsummary!E3:I3,"NEOM")*100/P3)</f>
        <v>0</v>
      </c>
      <c r="CZ3">
        <f>IF(P3=0,0,COUNTIF(Transect1_imgsummary!E3:I3,"NOIDMAC")*100/P3)</f>
        <v>0</v>
      </c>
      <c r="DA3">
        <f>IF(P3=0,0,COUNTIF(Transect1_imgsummary!E3:I3,"PAD")*100/P3)</f>
        <v>0</v>
      </c>
      <c r="DB3">
        <f>IF(P3=0,0,COUNTIF(Transect1_imgsummary!E3:I3,"SARG")*100/P3)</f>
        <v>0</v>
      </c>
      <c r="DC3">
        <f>IF(P3=0,0,COUNTIF(Transect1_imgsummary!E3:I3,"SCHIZ")*100/P3)</f>
        <v>0</v>
      </c>
      <c r="DD3">
        <f>IF(P3=0,0,COUNTIF(Transect1_imgsummary!E3:I3,"TURB")*100/P3)</f>
        <v>0</v>
      </c>
      <c r="DE3">
        <f>IF(P3=0,0,COUNTIF(Transect1_imgsummary!E3:I3,"TYDM")*100/P3)</f>
        <v>0</v>
      </c>
      <c r="DG3">
        <f>IF(P3=0,0,COUNTIF(Transect1_imgsummary!E3:I3,"AMP")*100/P3)</f>
        <v>0</v>
      </c>
      <c r="DH3">
        <f>IF(P3=0,0,COUNTIF(Transect1_imgsummary!E3:I3,"BCA1")*100/P3)</f>
        <v>0</v>
      </c>
      <c r="DI3">
        <f>IF(P3=0,0,COUNTIF(Transect1_imgsummary!E3:I3,"JAN")*100/P3)</f>
        <v>0</v>
      </c>
      <c r="DK3">
        <f>IF(P3=0,0,COUNTIF(Transect1_imgsummary!E3:I3,"CCA1")*100/P3)</f>
        <v>0</v>
      </c>
      <c r="DM3">
        <f>IF(P3=0,0,COUNTIF(Transect1_imgsummary!E3:I3,"Sand")*100/P3)</f>
        <v>0</v>
      </c>
      <c r="DO3">
        <f>IF(P3=0,0,COUNTIF(Transect1_imgsummary!E3:I3,"FCA1")*100/P3)</f>
        <v>0</v>
      </c>
      <c r="DQ3">
        <f>IF(P3=0,0,COUNTIF(Transect1_imgsummary!E3:I3,"CHRYOBRN")*100/P3)</f>
        <v>0</v>
      </c>
      <c r="DS3">
        <f>IF(P3=0,0,COUNTIF(Transect1_imgsummary!E3:I3,"TURF")*100/P3)</f>
        <v>0</v>
      </c>
      <c r="DU3">
        <f>COUNTIF(Transect1_imgsummary!E3:I3,"Shadow")*100/5</f>
        <v>0</v>
      </c>
      <c r="DV3">
        <f>COUNTIF(Transect1_imgsummary!E3:I3,"Tape")*100/5</f>
        <v>0</v>
      </c>
      <c r="DW3">
        <f>COUNTIF(Transect1_imgsummary!E3:I3,"Wand")*100/5</f>
        <v>0</v>
      </c>
      <c r="DY3">
        <f>IF(P3=0,0,COUNTIF(Transect1_imgsummary!O3:S3,"BC")*100/P3)</f>
        <v>0</v>
      </c>
    </row>
    <row r="4" spans="1:129">
      <c r="A4">
        <v>2</v>
      </c>
      <c r="B4" t="s">
        <v>24</v>
      </c>
      <c r="F4" s="29">
        <f>IF(P4=0,0,COUNTIF(Transect1_imgsummary!J4:N4,"C")*100/P4)</f>
        <v>40</v>
      </c>
      <c r="G4">
        <f>IF(P4=0,0,COUNTIF(Transect1_imgsummary!J4:N4,"OI")*100/P4)</f>
        <v>0</v>
      </c>
      <c r="H4">
        <f>IF(P4=0,0,COUNTIF(Transect1_imgsummary!J4:N4,"MA")*100/P4)</f>
        <v>0</v>
      </c>
      <c r="I4">
        <f>IF(P4=0,0,COUNTIF(Transect1_imgsummary!J4:N4,"BCA")*100/P4)</f>
        <v>0</v>
      </c>
      <c r="J4" s="29">
        <f>IF(P4=0,0,COUNTIF(Transect1_imgsummary!J4:N4,"CCA")*100/P4)</f>
        <v>20</v>
      </c>
      <c r="K4">
        <f>IF(P4=0,0,COUNTIF(Transect1_imgsummary!J4:N4,"SD")*100/P4)</f>
        <v>0</v>
      </c>
      <c r="L4" s="29">
        <f>IF(P4=0,0,COUNTIF(Transect1_imgsummary!J4:N4,"FCA")*100/P4)</f>
        <v>20</v>
      </c>
      <c r="M4">
        <f>IF(P4=0,0,COUNTIF(Transect1_imgsummary!J4:N4,"CHRYS")*100/P4)</f>
        <v>0</v>
      </c>
      <c r="N4" s="29">
        <f>IF(P4=0,0,COUNTIF(Transect1_imgsummary!J4:N4,"T")*100/P4)</f>
        <v>20</v>
      </c>
      <c r="O4">
        <f>IF(P4=0,0,COUNTIF(Transect1_imgsummary!J4:N4,"TWS")*100/P4)</f>
        <v>0</v>
      </c>
      <c r="P4">
        <f>5-COUNTIF(Transect1_imgsummary!J4:N4,"TWS")</f>
        <v>5</v>
      </c>
      <c r="S4">
        <f>IF(P4=0,0,COUNTIF(Transect1_imgsummary!E4:I4,"ACAN")*100/P4)</f>
        <v>0</v>
      </c>
      <c r="T4">
        <f>IF(P4=0,0,COUNTIF(Transect1_imgsummary!E4:I4,"ACROP")*100/P4)</f>
        <v>0</v>
      </c>
      <c r="U4">
        <f>IF(P4=0,0,COUNTIF(Transect1_imgsummary!E4:I4,"ACROPARB")*100/P4)</f>
        <v>0</v>
      </c>
      <c r="V4">
        <f>IF(P4=0,0,COUNTIF(Transect1_imgsummary!E4:I4,"ACROST")*100/P4)</f>
        <v>0</v>
      </c>
      <c r="W4">
        <f>IF(P4=0,0,COUNTIF(Transect1_imgsummary!E4:I4,"ACROTBL")*100/P4)</f>
        <v>0</v>
      </c>
      <c r="X4">
        <f>IF(P4=0,0,COUNTIF(Transect1_imgsummary!E4:I4,"ASTRP")*100/P4)</f>
        <v>0</v>
      </c>
      <c r="Y4">
        <f>IF(P4=0,0,COUNTIF(Transect1_imgsummary!E4:I4,"CAUL")*100/P4)</f>
        <v>0</v>
      </c>
      <c r="Z4">
        <f>IF(P4=0,0,COUNTIF(Transect1_imgsummary!E4:I4,"COSC")*100/P4)</f>
        <v>0</v>
      </c>
      <c r="AA4">
        <f>IF(P4=0,0,COUNTIF(Transect1_imgsummary!E4:I4,"CTEN")*100/P4)</f>
        <v>0</v>
      </c>
      <c r="AB4">
        <f>IF(P4=0,0,COUNTIF(Transect1_imgsummary!E4:I4,"CYPH")*100/P4)</f>
        <v>0</v>
      </c>
      <c r="AC4">
        <f>IF(P4=0,0,COUNTIF(Transect1_imgsummary!E4:I4,"DIPLO")*100/P4)</f>
        <v>0</v>
      </c>
      <c r="AD4">
        <f>IF(P4=0,0,COUNTIF(Transect1_imgsummary!E4:I4,"ECHPO")*100/P4)</f>
        <v>0</v>
      </c>
      <c r="AE4">
        <f>IF(P4=0,0,COUNTIF(Transect1_imgsummary!E4:I4,"ECHPHY")*100/P4)</f>
        <v>0</v>
      </c>
      <c r="AF4">
        <f>IF(P4=0,0,COUNTIF(Transect1_imgsummary!E4:I4,"EUPH")*100/P4)</f>
        <v>0</v>
      </c>
      <c r="AG4">
        <f>IF(P4=0,0,COUNTIF(Transect1_imgsummary!E4:I4,"FAV")*100/P4)</f>
        <v>0</v>
      </c>
      <c r="AH4">
        <f>IF(P4=0,0,COUNTIF(Transect1_imgsummary!E4:I4,"FAVT")*100/P4)</f>
        <v>0</v>
      </c>
      <c r="AI4">
        <f>IF(P4=0,0,COUNTIF(Transect1_imgsummary!E4:I4,"FUNG")*100/P4)</f>
        <v>0</v>
      </c>
      <c r="AJ4">
        <f>IF(P4=0,0,COUNTIF(Transect1_imgsummary!E4:I4,"GAL")*100/P4)</f>
        <v>0</v>
      </c>
      <c r="AK4">
        <f>IF(P4=0,0,COUNTIF(Transect1_imgsummary!E4:I4,"GARD")*100/P4)</f>
        <v>0</v>
      </c>
      <c r="AL4">
        <f>IF(P4=0,0,COUNTIF(Transect1_imgsummary!E4:I4,"GON")*100/P4)</f>
        <v>0</v>
      </c>
      <c r="AM4">
        <f>IF(P4=0,0,COUNTIF(Transect1_imgsummary!E4:I4,"GONIO")*100/P4)</f>
        <v>0</v>
      </c>
      <c r="AN4">
        <f>IF(P4=0,0,COUNTIF(Transect1_imgsummary!E4:I4,"HELIO")*100/P4)</f>
        <v>0</v>
      </c>
      <c r="AO4">
        <f>IF(P4=0,0,COUNTIF(Transect1_imgsummary!E4:I4,"HERP")*100/P4)</f>
        <v>0</v>
      </c>
      <c r="AP4">
        <f>IF(P4=0,0,COUNTIF(Transect1_imgsummary!E4:I4,"HYD")*100/P4)</f>
        <v>0</v>
      </c>
      <c r="AQ4">
        <f>IF(P4=0,0,COUNTIF(Transect1_imgsummary!E4:I4,"ISOP")*100/P4)</f>
        <v>0</v>
      </c>
      <c r="AR4">
        <f>IF(P4=0,0,COUNTIF(Transect1_imgsummary!E4:I4,"LEPT")*100/P4)</f>
        <v>0</v>
      </c>
      <c r="AS4" s="29">
        <f>IF(P4=0,0,COUNTIF(Transect1_imgsummary!E4:I4,"LEPTOR")*100/P4)</f>
        <v>40</v>
      </c>
      <c r="AT4">
        <f>IF(P4=0,0,COUNTIF(Transect1_imgsummary!E4:I4,"LEPTOS")*100/P4)</f>
        <v>0</v>
      </c>
      <c r="AU4">
        <f>IF(P4=0,0,COUNTIF(Transect1_imgsummary!E4:I4,"LOBOPH")*100/P4)</f>
        <v>0</v>
      </c>
      <c r="AV4">
        <f>IF(P4=0,0,COUNTIF(Transect1_imgsummary!E4:I4,"MERU")*100/P4)</f>
        <v>0</v>
      </c>
      <c r="AW4">
        <f>IF(P4=0,0,COUNTIF(Transect1_imgsummary!E4:I4,"MILL")*100/P4)</f>
        <v>0</v>
      </c>
      <c r="AX4">
        <f>IF(P4=0,0,COUNTIF(Transect1_imgsummary!E4:I4,"MONT")*100/P4)</f>
        <v>0</v>
      </c>
      <c r="AY4">
        <f>IF(P4=0,0,COUNTIF(Transect1_imgsummary!E4:I4,"MONTI")*100/P4)</f>
        <v>0</v>
      </c>
      <c r="AZ4">
        <f>IF(P4=0,0,COUNTIF(Transect1_imgsummary!E4:I4,"MYCED")*100/P4)</f>
        <v>0</v>
      </c>
      <c r="BA4">
        <f>IF(P4=0,0,COUNTIF(Transect1_imgsummary!E4:I4,"OULO")*100/P4)</f>
        <v>0</v>
      </c>
      <c r="BB4">
        <f>IF(P4=0,0,COUNTIF(Transect1_imgsummary!E4:I4,"OXYP")*100/P4)</f>
        <v>0</v>
      </c>
      <c r="BC4">
        <f>IF(P4=0,0,COUNTIF(Transect1_imgsummary!E4:I4,"PLSIA")*100/P4)</f>
        <v>0</v>
      </c>
      <c r="BD4">
        <f>IF(P4=0,0,COUNTIF(Transect1_imgsummary!E4:I4,"PACHY")*100/P4)</f>
        <v>0</v>
      </c>
      <c r="BE4">
        <f>IF(P4=0,0,COUNTIF(Transect1_imgsummary!E4:I4,"PAV")*100/P4)</f>
        <v>0</v>
      </c>
      <c r="BF4">
        <f>IF(P4=0,0,COUNTIF(Transect1_imgsummary!E4:I4,"PECT")*100/P4)</f>
        <v>0</v>
      </c>
      <c r="BG4">
        <f>IF(P4=0,0,COUNTIF(Transect1_imgsummary!E4:I4,"PHYSO")*100/P4)</f>
        <v>0</v>
      </c>
      <c r="BH4">
        <f>IF(P4=0,0,COUNTIF(Transect1_imgsummary!E4:I4,"PLAT")*100/P4)</f>
        <v>0</v>
      </c>
      <c r="BI4">
        <f>IF(P4=0,0,COUNTIF(Transect1_imgsummary!E4:I4,"PLERO")*100/P4)</f>
        <v>0</v>
      </c>
      <c r="BJ4">
        <f>IF(P4=0,0,COUNTIF(Transect1_imgsummary!E4:I4,"POC")*100/P4)</f>
        <v>0</v>
      </c>
      <c r="BK4">
        <f>IF(P4=0,0,COUNTIF(Transect1_imgsummary!E4:I4,"POR")*100/P4)</f>
        <v>0</v>
      </c>
      <c r="BL4">
        <f>IF(P4=0,0,COUNTIF(Transect1_imgsummary!E4:I4,"PORCYL")*100/P4)</f>
        <v>0</v>
      </c>
      <c r="BM4">
        <f>IF(P4=0,0,COUNTIF(Transect1_imgsummary!E4:I4,"PORMAS")*100/P4)</f>
        <v>0</v>
      </c>
      <c r="BN4">
        <f>IF(P4=0,0,COUNTIF(Transect1_imgsummary!E4:I4,"PORRUS")*100/P4)</f>
        <v>0</v>
      </c>
      <c r="BO4">
        <f>IF(P4=0,0,COUNTIF(Transect1_imgsummary!E4:I4,"PSAM")*100/P4)</f>
        <v>0</v>
      </c>
      <c r="BP4">
        <f>IF(P4=0,0,COUNTIF(Transect1_imgsummary!E4:I4,"SANDO")*100/P4)</f>
        <v>0</v>
      </c>
      <c r="BQ4">
        <f>IF(P4=0,0,COUNTIF(Transect1_imgsummary!E4:I4,"SCAP")*100/P4)</f>
        <v>0</v>
      </c>
      <c r="BR4">
        <f>IF(P4=0,0,COUNTIF(Transect1_imgsummary!E4:I4,"SERIA")*100/P4)</f>
        <v>0</v>
      </c>
      <c r="BS4">
        <f>IF(P4=0,0,COUNTIF(Transect1_imgsummary!E4:I4,"STYLC")*100/P4)</f>
        <v>0</v>
      </c>
      <c r="BT4">
        <f>IF(P4=0,0,COUNTIF(Transect1_imgsummary!E4:I4,"STYLO")*100/P4)</f>
        <v>0</v>
      </c>
      <c r="BU4">
        <f>IF(P4=0,0,COUNTIF(Transect1_imgsummary!E4:I4,"SYMP")*100/P4)</f>
        <v>0</v>
      </c>
      <c r="BV4">
        <f>IF(P4=0,0,COUNTIF(Transect1_imgsummary!E4:I4,"TURBIN")*100/P4)</f>
        <v>0</v>
      </c>
      <c r="BX4">
        <f>IF(P4=0,0,COUNTIF(Transect1_imgsummary!E4:I4,"ANEM")*100/P4)</f>
        <v>0</v>
      </c>
      <c r="BY4">
        <f>IF(P4=0,0,COUNTIF(Transect1_imgsummary!E4:I4,"ASC")*100/P4)</f>
        <v>0</v>
      </c>
      <c r="BZ4">
        <f>IF(P4=0,0,COUNTIF(Transect1_imgsummary!E4:I4,"CUPS")*100/P4)</f>
        <v>0</v>
      </c>
      <c r="CA4">
        <f>IF(P4=0,0,COUNTIF(Transect1_imgsummary!E4:I4,"DISCO")*100/P4)</f>
        <v>0</v>
      </c>
      <c r="CB4">
        <f>IF(P4=0,0,COUNTIF(Transect1_imgsummary!E4:I4,"DYS")*100/P4)</f>
        <v>0</v>
      </c>
      <c r="CC4">
        <f>IF(P4=0,0,COUNTIF(Transect1_imgsummary!E4:I4,"G")*100/P4)</f>
        <v>0</v>
      </c>
      <c r="CD4">
        <f>IF(P4=0,0,COUNTIF(Transect1_imgsummary!E4:I4,"NoIDINV")*100/P4)</f>
        <v>0</v>
      </c>
      <c r="CE4">
        <f>IF(P4=0,0,COUNTIF(Transect1_imgsummary!E4:I4,"OLV")*100/P4)</f>
        <v>0</v>
      </c>
      <c r="CF4">
        <f>IF(P4=0,0,COUNTIF(Transect1_imgsummary!E4:I4,"SC")*100/P4)</f>
        <v>0</v>
      </c>
      <c r="CG4">
        <f>IF(P4=0,0,COUNTIF(Transect1_imgsummary!E4:I4,"S")*100/P4)</f>
        <v>0</v>
      </c>
      <c r="CH4">
        <f>IF(P4=0,0,COUNTIF(Transect1_imgsummary!E4:I4,"TERPS")*100/P4)</f>
        <v>0</v>
      </c>
      <c r="CI4">
        <f>IF(P4=0,0,COUNTIF(Transect1_imgsummary!E4:I4,"Z")*100/P4)</f>
        <v>0</v>
      </c>
      <c r="CK4">
        <f>IF(P4=0,0,COUNTIF(Transect1_imgsummary!E4:I4,"ASP")*100/P4)</f>
        <v>0</v>
      </c>
      <c r="CL4">
        <f>IF(P4=0,0,COUNTIF(Transect1_imgsummary!E4:I4,"BG")*100/P4)</f>
        <v>0</v>
      </c>
      <c r="CM4">
        <f>IF(P4=0,0,COUNTIF(Transect1_imgsummary!E4:I4,"Bood")*100/P4)</f>
        <v>0</v>
      </c>
      <c r="CN4">
        <f>IF(P4=0,0,COUNTIF(Transect1_imgsummary!E4:I4,"BRYP")*100/P4)</f>
        <v>0</v>
      </c>
      <c r="CO4">
        <f>IF(P4=0,0,COUNTIF(Transect1_imgsummary!E4:I4,"CLP")*100/P4)</f>
        <v>0</v>
      </c>
      <c r="CP4">
        <f>IF(P4=0,0,COUNTIF(Transect1_imgsummary!E4:I4,"CHLDES")*100/P4)</f>
        <v>0</v>
      </c>
      <c r="CQ4">
        <f>IF(P4=0,0,COUNTIF(Transect1_imgsummary!E4:I4,"DYCTY")*100/P4)</f>
        <v>0</v>
      </c>
      <c r="CR4">
        <f>IF(P4=0,0,COUNTIF(Transect1_imgsummary!E4:I4,"DICT")*100/P4)</f>
        <v>0</v>
      </c>
      <c r="CS4">
        <f>IF(P4=0,0,COUNTIF(Transect1_imgsummary!E4:I4,"GLXU")*100/P4)</f>
        <v>0</v>
      </c>
      <c r="CT4">
        <f>IF(P4=0,0,COUNTIF(Transect1_imgsummary!E4:I4,"HALI")*100/P4)</f>
        <v>0</v>
      </c>
      <c r="CU4">
        <f>IF(P4=0,0,COUNTIF(Transect1_imgsummary!E4:I4,"LIAG")*100/P4)</f>
        <v>0</v>
      </c>
      <c r="CV4">
        <f>IF(P4=0,0,COUNTIF(Transect1_imgsummary!E4:I4,"LOBO")*100/P4)</f>
        <v>0</v>
      </c>
      <c r="CW4">
        <f>IF(P4=0,0,COUNTIF(Transect1_imgsummary!E4:I4,"MAST")*100/P4)</f>
        <v>0</v>
      </c>
      <c r="CX4">
        <f>IF(P4=0,0,COUNTIF(Transect1_imgsummary!E4:I4,"MICDTY")*100/P4)</f>
        <v>0</v>
      </c>
      <c r="CY4">
        <f>IF(P4=0,0,COUNTIF(Transect1_imgsummary!E4:I4,"NEOM")*100/P4)</f>
        <v>0</v>
      </c>
      <c r="CZ4">
        <f>IF(P4=0,0,COUNTIF(Transect1_imgsummary!E4:I4,"NOIDMAC")*100/P4)</f>
        <v>0</v>
      </c>
      <c r="DA4">
        <f>IF(P4=0,0,COUNTIF(Transect1_imgsummary!E4:I4,"PAD")*100/P4)</f>
        <v>0</v>
      </c>
      <c r="DB4">
        <f>IF(P4=0,0,COUNTIF(Transect1_imgsummary!E4:I4,"SARG")*100/P4)</f>
        <v>0</v>
      </c>
      <c r="DC4">
        <f>IF(P4=0,0,COUNTIF(Transect1_imgsummary!E4:I4,"SCHIZ")*100/P4)</f>
        <v>0</v>
      </c>
      <c r="DD4">
        <f>IF(P4=0,0,COUNTIF(Transect1_imgsummary!E4:I4,"TURB")*100/P4)</f>
        <v>0</v>
      </c>
      <c r="DE4">
        <f>IF(P4=0,0,COUNTIF(Transect1_imgsummary!E4:I4,"TYDM")*100/P4)</f>
        <v>0</v>
      </c>
      <c r="DG4">
        <f>IF(P4=0,0,COUNTIF(Transect1_imgsummary!E4:I4,"AMP")*100/P4)</f>
        <v>0</v>
      </c>
      <c r="DH4">
        <f>IF(P4=0,0,COUNTIF(Transect1_imgsummary!E4:I4,"BCA1")*100/P4)</f>
        <v>0</v>
      </c>
      <c r="DI4">
        <f>IF(P4=0,0,COUNTIF(Transect1_imgsummary!E4:I4,"JAN")*100/P4)</f>
        <v>0</v>
      </c>
      <c r="DK4" s="29">
        <f>IF(P4=0,0,COUNTIF(Transect1_imgsummary!E4:I4,"CCA1")*100/P4)</f>
        <v>20</v>
      </c>
      <c r="DM4">
        <f>IF(P4=0,0,COUNTIF(Transect1_imgsummary!E4:I4,"Sand")*100/P4)</f>
        <v>0</v>
      </c>
      <c r="DO4" s="29">
        <f>IF(P4=0,0,COUNTIF(Transect1_imgsummary!E4:I4,"FCA1")*100/P4)</f>
        <v>20</v>
      </c>
      <c r="DQ4">
        <f>IF(P4=0,0,COUNTIF(Transect1_imgsummary!E4:I4,"CHRYOBRN")*100/P4)</f>
        <v>0</v>
      </c>
      <c r="DS4" s="29">
        <f>IF(P4=0,0,COUNTIF(Transect1_imgsummary!E4:I4,"TURF")*100/P4)</f>
        <v>20</v>
      </c>
      <c r="DU4">
        <f>COUNTIF(Transect1_imgsummary!E4:I4,"Shadow")*100/5</f>
        <v>0</v>
      </c>
      <c r="DV4">
        <f>COUNTIF(Transect1_imgsummary!E4:I4,"Tape")*100/5</f>
        <v>0</v>
      </c>
      <c r="DW4">
        <f>COUNTIF(Transect1_imgsummary!E4:I4,"Wand")*100/5</f>
        <v>0</v>
      </c>
      <c r="DY4">
        <f>IF(P4=0,0,COUNTIF(Transect1_imgsummary!O4:S4,"BC")*100/P4)</f>
        <v>0</v>
      </c>
    </row>
    <row r="5" spans="1:129">
      <c r="A5">
        <v>3</v>
      </c>
      <c r="B5" t="s">
        <v>32</v>
      </c>
      <c r="F5" s="29">
        <f>IF(P5=0,0,COUNTIF(Transect1_imgsummary!J5:N5,"C")*100/P5)</f>
        <v>60</v>
      </c>
      <c r="G5">
        <f>IF(P5=0,0,COUNTIF(Transect1_imgsummary!J5:N5,"OI")*100/P5)</f>
        <v>0</v>
      </c>
      <c r="H5">
        <f>IF(P5=0,0,COUNTIF(Transect1_imgsummary!J5:N5,"MA")*100/P5)</f>
        <v>0</v>
      </c>
      <c r="I5">
        <f>IF(P5=0,0,COUNTIF(Transect1_imgsummary!J5:N5,"BCA")*100/P5)</f>
        <v>0</v>
      </c>
      <c r="J5">
        <f>IF(P5=0,0,COUNTIF(Transect1_imgsummary!J5:N5,"CCA")*100/P5)</f>
        <v>0</v>
      </c>
      <c r="K5">
        <f>IF(P5=0,0,COUNTIF(Transect1_imgsummary!J5:N5,"SD")*100/P5)</f>
        <v>0</v>
      </c>
      <c r="L5" s="29">
        <f>IF(P5=0,0,COUNTIF(Transect1_imgsummary!J5:N5,"FCA")*100/P5)</f>
        <v>40</v>
      </c>
      <c r="M5">
        <f>IF(P5=0,0,COUNTIF(Transect1_imgsummary!J5:N5,"CHRYS")*100/P5)</f>
        <v>0</v>
      </c>
      <c r="N5">
        <f>IF(P5=0,0,COUNTIF(Transect1_imgsummary!J5:N5,"T")*100/P5)</f>
        <v>0</v>
      </c>
      <c r="O5">
        <f>IF(P5=0,0,COUNTIF(Transect1_imgsummary!J5:N5,"TWS")*100/P5)</f>
        <v>0</v>
      </c>
      <c r="P5">
        <f>5-COUNTIF(Transect1_imgsummary!J5:N5,"TWS")</f>
        <v>5</v>
      </c>
      <c r="S5">
        <f>IF(P5=0,0,COUNTIF(Transect1_imgsummary!E5:I5,"ACAN")*100/P5)</f>
        <v>0</v>
      </c>
      <c r="T5">
        <f>IF(P5=0,0,COUNTIF(Transect1_imgsummary!E5:I5,"ACROP")*100/P5)</f>
        <v>0</v>
      </c>
      <c r="U5">
        <f>IF(P5=0,0,COUNTIF(Transect1_imgsummary!E5:I5,"ACROPARB")*100/P5)</f>
        <v>0</v>
      </c>
      <c r="V5">
        <f>IF(P5=0,0,COUNTIF(Transect1_imgsummary!E5:I5,"ACROST")*100/P5)</f>
        <v>0</v>
      </c>
      <c r="W5">
        <f>IF(P5=0,0,COUNTIF(Transect1_imgsummary!E5:I5,"ACROTBL")*100/P5)</f>
        <v>0</v>
      </c>
      <c r="X5">
        <f>IF(P5=0,0,COUNTIF(Transect1_imgsummary!E5:I5,"ASTRP")*100/P5)</f>
        <v>0</v>
      </c>
      <c r="Y5">
        <f>IF(P5=0,0,COUNTIF(Transect1_imgsummary!E5:I5,"CAUL")*100/P5)</f>
        <v>0</v>
      </c>
      <c r="Z5">
        <f>IF(P5=0,0,COUNTIF(Transect1_imgsummary!E5:I5,"COSC")*100/P5)</f>
        <v>0</v>
      </c>
      <c r="AA5">
        <f>IF(P5=0,0,COUNTIF(Transect1_imgsummary!E5:I5,"CTEN")*100/P5)</f>
        <v>0</v>
      </c>
      <c r="AB5">
        <f>IF(P5=0,0,COUNTIF(Transect1_imgsummary!E5:I5,"CYPH")*100/P5)</f>
        <v>0</v>
      </c>
      <c r="AC5">
        <f>IF(P5=0,0,COUNTIF(Transect1_imgsummary!E5:I5,"DIPLO")*100/P5)</f>
        <v>0</v>
      </c>
      <c r="AD5">
        <f>IF(P5=0,0,COUNTIF(Transect1_imgsummary!E5:I5,"ECHPO")*100/P5)</f>
        <v>0</v>
      </c>
      <c r="AE5">
        <f>IF(P5=0,0,COUNTIF(Transect1_imgsummary!E5:I5,"ECHPHY")*100/P5)</f>
        <v>0</v>
      </c>
      <c r="AF5">
        <f>IF(P5=0,0,COUNTIF(Transect1_imgsummary!E5:I5,"EUPH")*100/P5)</f>
        <v>0</v>
      </c>
      <c r="AG5">
        <f>IF(P5=0,0,COUNTIF(Transect1_imgsummary!E5:I5,"FAV")*100/P5)</f>
        <v>0</v>
      </c>
      <c r="AH5">
        <f>IF(P5=0,0,COUNTIF(Transect1_imgsummary!E5:I5,"FAVT")*100/P5)</f>
        <v>0</v>
      </c>
      <c r="AI5">
        <f>IF(P5=0,0,COUNTIF(Transect1_imgsummary!E5:I5,"FUNG")*100/P5)</f>
        <v>0</v>
      </c>
      <c r="AJ5">
        <f>IF(P5=0,0,COUNTIF(Transect1_imgsummary!E5:I5,"GAL")*100/P5)</f>
        <v>0</v>
      </c>
      <c r="AK5">
        <f>IF(P5=0,0,COUNTIF(Transect1_imgsummary!E5:I5,"GARD")*100/P5)</f>
        <v>0</v>
      </c>
      <c r="AL5">
        <f>IF(P5=0,0,COUNTIF(Transect1_imgsummary!E5:I5,"GON")*100/P5)</f>
        <v>0</v>
      </c>
      <c r="AM5">
        <f>IF(P5=0,0,COUNTIF(Transect1_imgsummary!E5:I5,"GONIO")*100/P5)</f>
        <v>0</v>
      </c>
      <c r="AN5">
        <f>IF(P5=0,0,COUNTIF(Transect1_imgsummary!E5:I5,"HELIO")*100/P5)</f>
        <v>0</v>
      </c>
      <c r="AO5">
        <f>IF(P5=0,0,COUNTIF(Transect1_imgsummary!E5:I5,"HERP")*100/P5)</f>
        <v>0</v>
      </c>
      <c r="AP5">
        <f>IF(P5=0,0,COUNTIF(Transect1_imgsummary!E5:I5,"HYD")*100/P5)</f>
        <v>0</v>
      </c>
      <c r="AQ5">
        <f>IF(P5=0,0,COUNTIF(Transect1_imgsummary!E5:I5,"ISOP")*100/P5)</f>
        <v>0</v>
      </c>
      <c r="AR5">
        <f>IF(P5=0,0,COUNTIF(Transect1_imgsummary!E5:I5,"LEPT")*100/P5)</f>
        <v>0</v>
      </c>
      <c r="AS5">
        <f>IF(P5=0,0,COUNTIF(Transect1_imgsummary!E5:I5,"LEPTOR")*100/P5)</f>
        <v>0</v>
      </c>
      <c r="AT5">
        <f>IF(P5=0,0,COUNTIF(Transect1_imgsummary!E5:I5,"LEPTOS")*100/P5)</f>
        <v>0</v>
      </c>
      <c r="AU5">
        <f>IF(P5=0,0,COUNTIF(Transect1_imgsummary!E5:I5,"LOBOPH")*100/P5)</f>
        <v>0</v>
      </c>
      <c r="AV5">
        <f>IF(P5=0,0,COUNTIF(Transect1_imgsummary!E5:I5,"MERU")*100/P5)</f>
        <v>0</v>
      </c>
      <c r="AW5">
        <f>IF(P5=0,0,COUNTIF(Transect1_imgsummary!E5:I5,"MILL")*100/P5)</f>
        <v>0</v>
      </c>
      <c r="AX5">
        <f>IF(P5=0,0,COUNTIF(Transect1_imgsummary!E5:I5,"MONT")*100/P5)</f>
        <v>0</v>
      </c>
      <c r="AY5">
        <f>IF(P5=0,0,COUNTIF(Transect1_imgsummary!E5:I5,"MONTI")*100/P5)</f>
        <v>0</v>
      </c>
      <c r="AZ5">
        <f>IF(P5=0,0,COUNTIF(Transect1_imgsummary!E5:I5,"MYCED")*100/P5)</f>
        <v>0</v>
      </c>
      <c r="BA5">
        <f>IF(P5=0,0,COUNTIF(Transect1_imgsummary!E5:I5,"OULO")*100/P5)</f>
        <v>0</v>
      </c>
      <c r="BB5">
        <f>IF(P5=0,0,COUNTIF(Transect1_imgsummary!E5:I5,"OXYP")*100/P5)</f>
        <v>0</v>
      </c>
      <c r="BC5">
        <f>IF(P5=0,0,COUNTIF(Transect1_imgsummary!E5:I5,"PLSIA")*100/P5)</f>
        <v>0</v>
      </c>
      <c r="BD5" s="29">
        <f>IF(P5=0,0,COUNTIF(Transect1_imgsummary!E5:I5,"PACHY")*100/P5)</f>
        <v>60</v>
      </c>
      <c r="BE5">
        <f>IF(P5=0,0,COUNTIF(Transect1_imgsummary!E5:I5,"PAV")*100/P5)</f>
        <v>0</v>
      </c>
      <c r="BF5">
        <f>IF(P5=0,0,COUNTIF(Transect1_imgsummary!E5:I5,"PECT")*100/P5)</f>
        <v>0</v>
      </c>
      <c r="BG5">
        <f>IF(P5=0,0,COUNTIF(Transect1_imgsummary!E5:I5,"PHYSO")*100/P5)</f>
        <v>0</v>
      </c>
      <c r="BH5">
        <f>IF(P5=0,0,COUNTIF(Transect1_imgsummary!E5:I5,"PLAT")*100/P5)</f>
        <v>0</v>
      </c>
      <c r="BI5">
        <f>IF(P5=0,0,COUNTIF(Transect1_imgsummary!E5:I5,"PLERO")*100/P5)</f>
        <v>0</v>
      </c>
      <c r="BJ5">
        <f>IF(P5=0,0,COUNTIF(Transect1_imgsummary!E5:I5,"POC")*100/P5)</f>
        <v>0</v>
      </c>
      <c r="BK5">
        <f>IF(P5=0,0,COUNTIF(Transect1_imgsummary!E5:I5,"POR")*100/P5)</f>
        <v>0</v>
      </c>
      <c r="BL5">
        <f>IF(P5=0,0,COUNTIF(Transect1_imgsummary!E5:I5,"PORCYL")*100/P5)</f>
        <v>0</v>
      </c>
      <c r="BM5">
        <f>IF(P5=0,0,COUNTIF(Transect1_imgsummary!E5:I5,"PORMAS")*100/P5)</f>
        <v>0</v>
      </c>
      <c r="BN5">
        <f>IF(P5=0,0,COUNTIF(Transect1_imgsummary!E5:I5,"PORRUS")*100/P5)</f>
        <v>0</v>
      </c>
      <c r="BO5">
        <f>IF(P5=0,0,COUNTIF(Transect1_imgsummary!E5:I5,"PSAM")*100/P5)</f>
        <v>0</v>
      </c>
      <c r="BP5">
        <f>IF(P5=0,0,COUNTIF(Transect1_imgsummary!E5:I5,"SANDO")*100/P5)</f>
        <v>0</v>
      </c>
      <c r="BQ5">
        <f>IF(P5=0,0,COUNTIF(Transect1_imgsummary!E5:I5,"SCAP")*100/P5)</f>
        <v>0</v>
      </c>
      <c r="BR5">
        <f>IF(P5=0,0,COUNTIF(Transect1_imgsummary!E5:I5,"SERIA")*100/P5)</f>
        <v>0</v>
      </c>
      <c r="BS5">
        <f>IF(P5=0,0,COUNTIF(Transect1_imgsummary!E5:I5,"STYLC")*100/P5)</f>
        <v>0</v>
      </c>
      <c r="BT5">
        <f>IF(P5=0,0,COUNTIF(Transect1_imgsummary!E5:I5,"STYLO")*100/P5)</f>
        <v>0</v>
      </c>
      <c r="BU5">
        <f>IF(P5=0,0,COUNTIF(Transect1_imgsummary!E5:I5,"SYMP")*100/P5)</f>
        <v>0</v>
      </c>
      <c r="BV5">
        <f>IF(P5=0,0,COUNTIF(Transect1_imgsummary!E5:I5,"TURBIN")*100/P5)</f>
        <v>0</v>
      </c>
      <c r="BX5">
        <f>IF(P5=0,0,COUNTIF(Transect1_imgsummary!E5:I5,"ANEM")*100/P5)</f>
        <v>0</v>
      </c>
      <c r="BY5">
        <f>IF(P5=0,0,COUNTIF(Transect1_imgsummary!E5:I5,"ASC")*100/P5)</f>
        <v>0</v>
      </c>
      <c r="BZ5">
        <f>IF(P5=0,0,COUNTIF(Transect1_imgsummary!E5:I5,"CUPS")*100/P5)</f>
        <v>0</v>
      </c>
      <c r="CA5">
        <f>IF(P5=0,0,COUNTIF(Transect1_imgsummary!E5:I5,"DISCO")*100/P5)</f>
        <v>0</v>
      </c>
      <c r="CB5">
        <f>IF(P5=0,0,COUNTIF(Transect1_imgsummary!E5:I5,"DYS")*100/P5)</f>
        <v>0</v>
      </c>
      <c r="CC5">
        <f>IF(P5=0,0,COUNTIF(Transect1_imgsummary!E5:I5,"G")*100/P5)</f>
        <v>0</v>
      </c>
      <c r="CD5">
        <f>IF(P5=0,0,COUNTIF(Transect1_imgsummary!E5:I5,"NoIDINV")*100/P5)</f>
        <v>0</v>
      </c>
      <c r="CE5">
        <f>IF(P5=0,0,COUNTIF(Transect1_imgsummary!E5:I5,"OLV")*100/P5)</f>
        <v>0</v>
      </c>
      <c r="CF5">
        <f>IF(P5=0,0,COUNTIF(Transect1_imgsummary!E5:I5,"SC")*100/P5)</f>
        <v>0</v>
      </c>
      <c r="CG5">
        <f>IF(P5=0,0,COUNTIF(Transect1_imgsummary!E5:I5,"S")*100/P5)</f>
        <v>0</v>
      </c>
      <c r="CH5">
        <f>IF(P5=0,0,COUNTIF(Transect1_imgsummary!E5:I5,"TERPS")*100/P5)</f>
        <v>0</v>
      </c>
      <c r="CI5">
        <f>IF(P5=0,0,COUNTIF(Transect1_imgsummary!E5:I5,"Z")*100/P5)</f>
        <v>0</v>
      </c>
      <c r="CK5">
        <f>IF(P5=0,0,COUNTIF(Transect1_imgsummary!E5:I5,"ASP")*100/P5)</f>
        <v>0</v>
      </c>
      <c r="CL5">
        <f>IF(P5=0,0,COUNTIF(Transect1_imgsummary!E5:I5,"BG")*100/P5)</f>
        <v>0</v>
      </c>
      <c r="CM5">
        <f>IF(P5=0,0,COUNTIF(Transect1_imgsummary!E5:I5,"Bood")*100/P5)</f>
        <v>0</v>
      </c>
      <c r="CN5">
        <f>IF(P5=0,0,COUNTIF(Transect1_imgsummary!E5:I5,"BRYP")*100/P5)</f>
        <v>0</v>
      </c>
      <c r="CO5">
        <f>IF(P5=0,0,COUNTIF(Transect1_imgsummary!E5:I5,"CLP")*100/P5)</f>
        <v>0</v>
      </c>
      <c r="CP5">
        <f>IF(P5=0,0,COUNTIF(Transect1_imgsummary!E5:I5,"CHLDES")*100/P5)</f>
        <v>0</v>
      </c>
      <c r="CQ5">
        <f>IF(P5=0,0,COUNTIF(Transect1_imgsummary!E5:I5,"DYCTY")*100/P5)</f>
        <v>0</v>
      </c>
      <c r="CR5">
        <f>IF(P5=0,0,COUNTIF(Transect1_imgsummary!E5:I5,"DICT")*100/P5)</f>
        <v>0</v>
      </c>
      <c r="CS5">
        <f>IF(P5=0,0,COUNTIF(Transect1_imgsummary!E5:I5,"GLXU")*100/P5)</f>
        <v>0</v>
      </c>
      <c r="CT5">
        <f>IF(P5=0,0,COUNTIF(Transect1_imgsummary!E5:I5,"HALI")*100/P5)</f>
        <v>0</v>
      </c>
      <c r="CU5">
        <f>IF(P5=0,0,COUNTIF(Transect1_imgsummary!E5:I5,"LIAG")*100/P5)</f>
        <v>0</v>
      </c>
      <c r="CV5">
        <f>IF(P5=0,0,COUNTIF(Transect1_imgsummary!E5:I5,"LOBO")*100/P5)</f>
        <v>0</v>
      </c>
      <c r="CW5">
        <f>IF(P5=0,0,COUNTIF(Transect1_imgsummary!E5:I5,"MAST")*100/P5)</f>
        <v>0</v>
      </c>
      <c r="CX5">
        <f>IF(P5=0,0,COUNTIF(Transect1_imgsummary!E5:I5,"MICDTY")*100/P5)</f>
        <v>0</v>
      </c>
      <c r="CY5">
        <f>IF(P5=0,0,COUNTIF(Transect1_imgsummary!E5:I5,"NEOM")*100/P5)</f>
        <v>0</v>
      </c>
      <c r="CZ5">
        <f>IF(P5=0,0,COUNTIF(Transect1_imgsummary!E5:I5,"NOIDMAC")*100/P5)</f>
        <v>0</v>
      </c>
      <c r="DA5">
        <f>IF(P5=0,0,COUNTIF(Transect1_imgsummary!E5:I5,"PAD")*100/P5)</f>
        <v>0</v>
      </c>
      <c r="DB5">
        <f>IF(P5=0,0,COUNTIF(Transect1_imgsummary!E5:I5,"SARG")*100/P5)</f>
        <v>0</v>
      </c>
      <c r="DC5">
        <f>IF(P5=0,0,COUNTIF(Transect1_imgsummary!E5:I5,"SCHIZ")*100/P5)</f>
        <v>0</v>
      </c>
      <c r="DD5">
        <f>IF(P5=0,0,COUNTIF(Transect1_imgsummary!E5:I5,"TURB")*100/P5)</f>
        <v>0</v>
      </c>
      <c r="DE5">
        <f>IF(P5=0,0,COUNTIF(Transect1_imgsummary!E5:I5,"TYDM")*100/P5)</f>
        <v>0</v>
      </c>
      <c r="DG5">
        <f>IF(P5=0,0,COUNTIF(Transect1_imgsummary!E5:I5,"AMP")*100/P5)</f>
        <v>0</v>
      </c>
      <c r="DH5">
        <f>IF(P5=0,0,COUNTIF(Transect1_imgsummary!E5:I5,"BCA1")*100/P5)</f>
        <v>0</v>
      </c>
      <c r="DI5">
        <f>IF(P5=0,0,COUNTIF(Transect1_imgsummary!E5:I5,"JAN")*100/P5)</f>
        <v>0</v>
      </c>
      <c r="DK5">
        <f>IF(P5=0,0,COUNTIF(Transect1_imgsummary!E5:I5,"CCA1")*100/P5)</f>
        <v>0</v>
      </c>
      <c r="DM5">
        <f>IF(P5=0,0,COUNTIF(Transect1_imgsummary!E5:I5,"Sand")*100/P5)</f>
        <v>0</v>
      </c>
      <c r="DO5" s="29">
        <f>IF(P5=0,0,COUNTIF(Transect1_imgsummary!E5:I5,"FCA1")*100/P5)</f>
        <v>40</v>
      </c>
      <c r="DQ5">
        <f>IF(P5=0,0,COUNTIF(Transect1_imgsummary!E5:I5,"CHRYOBRN")*100/P5)</f>
        <v>0</v>
      </c>
      <c r="DS5">
        <f>IF(P5=0,0,COUNTIF(Transect1_imgsummary!E5:I5,"TURF")*100/P5)</f>
        <v>0</v>
      </c>
      <c r="DU5">
        <f>COUNTIF(Transect1_imgsummary!E5:I5,"Shadow")*100/5</f>
        <v>0</v>
      </c>
      <c r="DV5">
        <f>COUNTIF(Transect1_imgsummary!E5:I5,"Tape")*100/5</f>
        <v>0</v>
      </c>
      <c r="DW5">
        <f>COUNTIF(Transect1_imgsummary!E5:I5,"Wand")*100/5</f>
        <v>0</v>
      </c>
      <c r="DY5">
        <f>IF(P5=0,0,COUNTIF(Transect1_imgsummary!O5:S5,"BC")*100/P5)</f>
        <v>0</v>
      </c>
    </row>
    <row r="6" spans="1:129">
      <c r="A6">
        <v>4</v>
      </c>
      <c r="B6" t="s">
        <v>34</v>
      </c>
      <c r="F6" s="29">
        <f>IF(P6=0,0,COUNTIF(Transect1_imgsummary!J6:N6,"C")*100/P6)</f>
        <v>40</v>
      </c>
      <c r="G6">
        <f>IF(P6=0,0,COUNTIF(Transect1_imgsummary!J6:N6,"OI")*100/P6)</f>
        <v>0</v>
      </c>
      <c r="H6">
        <f>IF(P6=0,0,COUNTIF(Transect1_imgsummary!J6:N6,"MA")*100/P6)</f>
        <v>0</v>
      </c>
      <c r="I6">
        <f>IF(P6=0,0,COUNTIF(Transect1_imgsummary!J6:N6,"BCA")*100/P6)</f>
        <v>0</v>
      </c>
      <c r="J6" s="29">
        <f>IF(P6=0,0,COUNTIF(Transect1_imgsummary!J6:N6,"CCA")*100/P6)</f>
        <v>40</v>
      </c>
      <c r="K6">
        <f>IF(P6=0,0,COUNTIF(Transect1_imgsummary!J6:N6,"SD")*100/P6)</f>
        <v>0</v>
      </c>
      <c r="L6">
        <f>IF(P6=0,0,COUNTIF(Transect1_imgsummary!J6:N6,"FCA")*100/P6)</f>
        <v>0</v>
      </c>
      <c r="M6">
        <f>IF(P6=0,0,COUNTIF(Transect1_imgsummary!J6:N6,"CHRYS")*100/P6)</f>
        <v>0</v>
      </c>
      <c r="N6" s="29">
        <f>IF(P6=0,0,COUNTIF(Transect1_imgsummary!J6:N6,"T")*100/P6)</f>
        <v>20</v>
      </c>
      <c r="O6">
        <f>IF(P6=0,0,COUNTIF(Transect1_imgsummary!J6:N6,"TWS")*100/P6)</f>
        <v>0</v>
      </c>
      <c r="P6">
        <f>5-COUNTIF(Transect1_imgsummary!J6:N6,"TWS")</f>
        <v>5</v>
      </c>
      <c r="S6">
        <f>IF(P6=0,0,COUNTIF(Transect1_imgsummary!E6:I6,"ACAN")*100/P6)</f>
        <v>0</v>
      </c>
      <c r="T6">
        <f>IF(P6=0,0,COUNTIF(Transect1_imgsummary!E6:I6,"ACROP")*100/P6)</f>
        <v>0</v>
      </c>
      <c r="U6">
        <f>IF(P6=0,0,COUNTIF(Transect1_imgsummary!E6:I6,"ACROPARB")*100/P6)</f>
        <v>0</v>
      </c>
      <c r="V6">
        <f>IF(P6=0,0,COUNTIF(Transect1_imgsummary!E6:I6,"ACROST")*100/P6)</f>
        <v>0</v>
      </c>
      <c r="W6">
        <f>IF(P6=0,0,COUNTIF(Transect1_imgsummary!E6:I6,"ACROTBL")*100/P6)</f>
        <v>0</v>
      </c>
      <c r="X6">
        <f>IF(P6=0,0,COUNTIF(Transect1_imgsummary!E6:I6,"ASTRP")*100/P6)</f>
        <v>0</v>
      </c>
      <c r="Y6">
        <f>IF(P6=0,0,COUNTIF(Transect1_imgsummary!E6:I6,"CAUL")*100/P6)</f>
        <v>0</v>
      </c>
      <c r="Z6">
        <f>IF(P6=0,0,COUNTIF(Transect1_imgsummary!E6:I6,"COSC")*100/P6)</f>
        <v>0</v>
      </c>
      <c r="AA6">
        <f>IF(P6=0,0,COUNTIF(Transect1_imgsummary!E6:I6,"CTEN")*100/P6)</f>
        <v>0</v>
      </c>
      <c r="AB6">
        <f>IF(P6=0,0,COUNTIF(Transect1_imgsummary!E6:I6,"CYPH")*100/P6)</f>
        <v>0</v>
      </c>
      <c r="AC6">
        <f>IF(P6=0,0,COUNTIF(Transect1_imgsummary!E6:I6,"DIPLO")*100/P6)</f>
        <v>0</v>
      </c>
      <c r="AD6" s="29">
        <f>IF(P6=0,0,COUNTIF(Transect1_imgsummary!E6:I6,"ECHPO")*100/P6)</f>
        <v>20</v>
      </c>
      <c r="AE6">
        <f>IF(P6=0,0,COUNTIF(Transect1_imgsummary!E6:I6,"ECHPHY")*100/P6)</f>
        <v>0</v>
      </c>
      <c r="AF6">
        <f>IF(P6=0,0,COUNTIF(Transect1_imgsummary!E6:I6,"EUPH")*100/P6)</f>
        <v>0</v>
      </c>
      <c r="AG6">
        <f>IF(P6=0,0,COUNTIF(Transect1_imgsummary!E6:I6,"FAV")*100/P6)</f>
        <v>0</v>
      </c>
      <c r="AH6">
        <f>IF(P6=0,0,COUNTIF(Transect1_imgsummary!E6:I6,"FAVT")*100/P6)</f>
        <v>0</v>
      </c>
      <c r="AI6">
        <f>IF(P6=0,0,COUNTIF(Transect1_imgsummary!E6:I6,"FUNG")*100/P6)</f>
        <v>0</v>
      </c>
      <c r="AJ6">
        <f>IF(P6=0,0,COUNTIF(Transect1_imgsummary!E6:I6,"GAL")*100/P6)</f>
        <v>0</v>
      </c>
      <c r="AK6">
        <f>IF(P6=0,0,COUNTIF(Transect1_imgsummary!E6:I6,"GARD")*100/P6)</f>
        <v>0</v>
      </c>
      <c r="AL6">
        <f>IF(P6=0,0,COUNTIF(Transect1_imgsummary!E6:I6,"GON")*100/P6)</f>
        <v>0</v>
      </c>
      <c r="AM6">
        <f>IF(P6=0,0,COUNTIF(Transect1_imgsummary!E6:I6,"GONIO")*100/P6)</f>
        <v>0</v>
      </c>
      <c r="AN6">
        <f>IF(P6=0,0,COUNTIF(Transect1_imgsummary!E6:I6,"HELIO")*100/P6)</f>
        <v>0</v>
      </c>
      <c r="AO6">
        <f>IF(P6=0,0,COUNTIF(Transect1_imgsummary!E6:I6,"HERP")*100/P6)</f>
        <v>0</v>
      </c>
      <c r="AP6">
        <f>IF(P6=0,0,COUNTIF(Transect1_imgsummary!E6:I6,"HYD")*100/P6)</f>
        <v>0</v>
      </c>
      <c r="AQ6">
        <f>IF(P6=0,0,COUNTIF(Transect1_imgsummary!E6:I6,"ISOP")*100/P6)</f>
        <v>0</v>
      </c>
      <c r="AR6">
        <f>IF(P6=0,0,COUNTIF(Transect1_imgsummary!E6:I6,"LEPT")*100/P6)</f>
        <v>0</v>
      </c>
      <c r="AS6" s="29">
        <f>IF(P6=0,0,COUNTIF(Transect1_imgsummary!E6:I6,"LEPTOR")*100/P6)</f>
        <v>20</v>
      </c>
      <c r="AT6">
        <f>IF(P6=0,0,COUNTIF(Transect1_imgsummary!E6:I6,"LEPTOS")*100/P6)</f>
        <v>0</v>
      </c>
      <c r="AU6">
        <f>IF(P6=0,0,COUNTIF(Transect1_imgsummary!E6:I6,"LOBOPH")*100/P6)</f>
        <v>0</v>
      </c>
      <c r="AV6">
        <f>IF(P6=0,0,COUNTIF(Transect1_imgsummary!E6:I6,"MERU")*100/P6)</f>
        <v>0</v>
      </c>
      <c r="AW6">
        <f>IF(P6=0,0,COUNTIF(Transect1_imgsummary!E6:I6,"MILL")*100/P6)</f>
        <v>0</v>
      </c>
      <c r="AX6">
        <f>IF(P6=0,0,COUNTIF(Transect1_imgsummary!E6:I6,"MONT")*100/P6)</f>
        <v>0</v>
      </c>
      <c r="AY6">
        <f>IF(P6=0,0,COUNTIF(Transect1_imgsummary!E6:I6,"MONTI")*100/P6)</f>
        <v>0</v>
      </c>
      <c r="AZ6">
        <f>IF(P6=0,0,COUNTIF(Transect1_imgsummary!E6:I6,"MYCED")*100/P6)</f>
        <v>0</v>
      </c>
      <c r="BA6">
        <f>IF(P6=0,0,COUNTIF(Transect1_imgsummary!E6:I6,"OULO")*100/P6)</f>
        <v>0</v>
      </c>
      <c r="BB6">
        <f>IF(P6=0,0,COUNTIF(Transect1_imgsummary!E6:I6,"OXYP")*100/P6)</f>
        <v>0</v>
      </c>
      <c r="BC6">
        <f>IF(P6=0,0,COUNTIF(Transect1_imgsummary!E6:I6,"PLSIA")*100/P6)</f>
        <v>0</v>
      </c>
      <c r="BD6">
        <f>IF(P6=0,0,COUNTIF(Transect1_imgsummary!E6:I6,"PACHY")*100/P6)</f>
        <v>0</v>
      </c>
      <c r="BE6">
        <f>IF(P6=0,0,COUNTIF(Transect1_imgsummary!E6:I6,"PAV")*100/P6)</f>
        <v>0</v>
      </c>
      <c r="BF6">
        <f>IF(P6=0,0,COUNTIF(Transect1_imgsummary!E6:I6,"PECT")*100/P6)</f>
        <v>0</v>
      </c>
      <c r="BG6">
        <f>IF(P6=0,0,COUNTIF(Transect1_imgsummary!E6:I6,"PHYSO")*100/P6)</f>
        <v>0</v>
      </c>
      <c r="BH6">
        <f>IF(P6=0,0,COUNTIF(Transect1_imgsummary!E6:I6,"PLAT")*100/P6)</f>
        <v>0</v>
      </c>
      <c r="BI6">
        <f>IF(P6=0,0,COUNTIF(Transect1_imgsummary!E6:I6,"PLERO")*100/P6)</f>
        <v>0</v>
      </c>
      <c r="BJ6">
        <f>IF(P6=0,0,COUNTIF(Transect1_imgsummary!E6:I6,"POC")*100/P6)</f>
        <v>0</v>
      </c>
      <c r="BK6">
        <f>IF(P6=0,0,COUNTIF(Transect1_imgsummary!E6:I6,"POR")*100/P6)</f>
        <v>0</v>
      </c>
      <c r="BL6">
        <f>IF(P6=0,0,COUNTIF(Transect1_imgsummary!E6:I6,"PORCYL")*100/P6)</f>
        <v>0</v>
      </c>
      <c r="BM6">
        <f>IF(P6=0,0,COUNTIF(Transect1_imgsummary!E6:I6,"PORMAS")*100/P6)</f>
        <v>0</v>
      </c>
      <c r="BN6">
        <f>IF(P6=0,0,COUNTIF(Transect1_imgsummary!E6:I6,"PORRUS")*100/P6)</f>
        <v>0</v>
      </c>
      <c r="BO6">
        <f>IF(P6=0,0,COUNTIF(Transect1_imgsummary!E6:I6,"PSAM")*100/P6)</f>
        <v>0</v>
      </c>
      <c r="BP6">
        <f>IF(P6=0,0,COUNTIF(Transect1_imgsummary!E6:I6,"SANDO")*100/P6)</f>
        <v>0</v>
      </c>
      <c r="BQ6">
        <f>IF(P6=0,0,COUNTIF(Transect1_imgsummary!E6:I6,"SCAP")*100/P6)</f>
        <v>0</v>
      </c>
      <c r="BR6">
        <f>IF(P6=0,0,COUNTIF(Transect1_imgsummary!E6:I6,"SERIA")*100/P6)</f>
        <v>0</v>
      </c>
      <c r="BS6">
        <f>IF(P6=0,0,COUNTIF(Transect1_imgsummary!E6:I6,"STYLC")*100/P6)</f>
        <v>0</v>
      </c>
      <c r="BT6">
        <f>IF(P6=0,0,COUNTIF(Transect1_imgsummary!E6:I6,"STYLO")*100/P6)</f>
        <v>0</v>
      </c>
      <c r="BU6">
        <f>IF(P6=0,0,COUNTIF(Transect1_imgsummary!E6:I6,"SYMP")*100/P6)</f>
        <v>0</v>
      </c>
      <c r="BV6">
        <f>IF(P6=0,0,COUNTIF(Transect1_imgsummary!E6:I6,"TURBIN")*100/P6)</f>
        <v>0</v>
      </c>
      <c r="BX6">
        <f>IF(P6=0,0,COUNTIF(Transect1_imgsummary!E6:I6,"ANEM")*100/P6)</f>
        <v>0</v>
      </c>
      <c r="BY6">
        <f>IF(P6=0,0,COUNTIF(Transect1_imgsummary!E6:I6,"ASC")*100/P6)</f>
        <v>0</v>
      </c>
      <c r="BZ6">
        <f>IF(P6=0,0,COUNTIF(Transect1_imgsummary!E6:I6,"CUPS")*100/P6)</f>
        <v>0</v>
      </c>
      <c r="CA6">
        <f>IF(P6=0,0,COUNTIF(Transect1_imgsummary!E6:I6,"DISCO")*100/P6)</f>
        <v>0</v>
      </c>
      <c r="CB6">
        <f>IF(P6=0,0,COUNTIF(Transect1_imgsummary!E6:I6,"DYS")*100/P6)</f>
        <v>0</v>
      </c>
      <c r="CC6">
        <f>IF(P6=0,0,COUNTIF(Transect1_imgsummary!E6:I6,"G")*100/P6)</f>
        <v>0</v>
      </c>
      <c r="CD6">
        <f>IF(P6=0,0,COUNTIF(Transect1_imgsummary!E6:I6,"NoIDINV")*100/P6)</f>
        <v>0</v>
      </c>
      <c r="CE6">
        <f>IF(P6=0,0,COUNTIF(Transect1_imgsummary!E6:I6,"OLV")*100/P6)</f>
        <v>0</v>
      </c>
      <c r="CF6">
        <f>IF(P6=0,0,COUNTIF(Transect1_imgsummary!E6:I6,"SC")*100/P6)</f>
        <v>0</v>
      </c>
      <c r="CG6">
        <f>IF(P6=0,0,COUNTIF(Transect1_imgsummary!E6:I6,"S")*100/P6)</f>
        <v>0</v>
      </c>
      <c r="CH6">
        <f>IF(P6=0,0,COUNTIF(Transect1_imgsummary!E6:I6,"TERPS")*100/P6)</f>
        <v>0</v>
      </c>
      <c r="CI6">
        <f>IF(P6=0,0,COUNTIF(Transect1_imgsummary!E6:I6,"Z")*100/P6)</f>
        <v>0</v>
      </c>
      <c r="CK6">
        <f>IF(P6=0,0,COUNTIF(Transect1_imgsummary!E6:I6,"ASP")*100/P6)</f>
        <v>0</v>
      </c>
      <c r="CL6">
        <f>IF(P6=0,0,COUNTIF(Transect1_imgsummary!E6:I6,"BG")*100/P6)</f>
        <v>0</v>
      </c>
      <c r="CM6">
        <f>IF(P6=0,0,COUNTIF(Transect1_imgsummary!E6:I6,"Bood")*100/P6)</f>
        <v>0</v>
      </c>
      <c r="CN6">
        <f>IF(P6=0,0,COUNTIF(Transect1_imgsummary!E6:I6,"BRYP")*100/P6)</f>
        <v>0</v>
      </c>
      <c r="CO6">
        <f>IF(P6=0,0,COUNTIF(Transect1_imgsummary!E6:I6,"CLP")*100/P6)</f>
        <v>0</v>
      </c>
      <c r="CP6">
        <f>IF(P6=0,0,COUNTIF(Transect1_imgsummary!E6:I6,"CHLDES")*100/P6)</f>
        <v>0</v>
      </c>
      <c r="CQ6">
        <f>IF(P6=0,0,COUNTIF(Transect1_imgsummary!E6:I6,"DYCTY")*100/P6)</f>
        <v>0</v>
      </c>
      <c r="CR6">
        <f>IF(P6=0,0,COUNTIF(Transect1_imgsummary!E6:I6,"DICT")*100/P6)</f>
        <v>0</v>
      </c>
      <c r="CS6">
        <f>IF(P6=0,0,COUNTIF(Transect1_imgsummary!E6:I6,"GLXU")*100/P6)</f>
        <v>0</v>
      </c>
      <c r="CT6">
        <f>IF(P6=0,0,COUNTIF(Transect1_imgsummary!E6:I6,"HALI")*100/P6)</f>
        <v>0</v>
      </c>
      <c r="CU6">
        <f>IF(P6=0,0,COUNTIF(Transect1_imgsummary!E6:I6,"LIAG")*100/P6)</f>
        <v>0</v>
      </c>
      <c r="CV6">
        <f>IF(P6=0,0,COUNTIF(Transect1_imgsummary!E6:I6,"LOBO")*100/P6)</f>
        <v>0</v>
      </c>
      <c r="CW6">
        <f>IF(P6=0,0,COUNTIF(Transect1_imgsummary!E6:I6,"MAST")*100/P6)</f>
        <v>0</v>
      </c>
      <c r="CX6">
        <f>IF(P6=0,0,COUNTIF(Transect1_imgsummary!E6:I6,"MICDTY")*100/P6)</f>
        <v>0</v>
      </c>
      <c r="CY6">
        <f>IF(P6=0,0,COUNTIF(Transect1_imgsummary!E6:I6,"NEOM")*100/P6)</f>
        <v>0</v>
      </c>
      <c r="CZ6">
        <f>IF(P6=0,0,COUNTIF(Transect1_imgsummary!E6:I6,"NOIDMAC")*100/P6)</f>
        <v>0</v>
      </c>
      <c r="DA6">
        <f>IF(P6=0,0,COUNTIF(Transect1_imgsummary!E6:I6,"PAD")*100/P6)</f>
        <v>0</v>
      </c>
      <c r="DB6">
        <f>IF(P6=0,0,COUNTIF(Transect1_imgsummary!E6:I6,"SARG")*100/P6)</f>
        <v>0</v>
      </c>
      <c r="DC6">
        <f>IF(P6=0,0,COUNTIF(Transect1_imgsummary!E6:I6,"SCHIZ")*100/P6)</f>
        <v>0</v>
      </c>
      <c r="DD6">
        <f>IF(P6=0,0,COUNTIF(Transect1_imgsummary!E6:I6,"TURB")*100/P6)</f>
        <v>0</v>
      </c>
      <c r="DE6">
        <f>IF(P6=0,0,COUNTIF(Transect1_imgsummary!E6:I6,"TYDM")*100/P6)</f>
        <v>0</v>
      </c>
      <c r="DG6">
        <f>IF(P6=0,0,COUNTIF(Transect1_imgsummary!E6:I6,"AMP")*100/P6)</f>
        <v>0</v>
      </c>
      <c r="DH6">
        <f>IF(P6=0,0,COUNTIF(Transect1_imgsummary!E6:I6,"BCA1")*100/P6)</f>
        <v>0</v>
      </c>
      <c r="DI6">
        <f>IF(P6=0,0,COUNTIF(Transect1_imgsummary!E6:I6,"JAN")*100/P6)</f>
        <v>0</v>
      </c>
      <c r="DK6" s="29">
        <f>IF(P6=0,0,COUNTIF(Transect1_imgsummary!E6:I6,"CCA1")*100/P6)</f>
        <v>40</v>
      </c>
      <c r="DM6">
        <f>IF(P6=0,0,COUNTIF(Transect1_imgsummary!E6:I6,"Sand")*100/P6)</f>
        <v>0</v>
      </c>
      <c r="DO6">
        <f>IF(P6=0,0,COUNTIF(Transect1_imgsummary!E6:I6,"FCA1")*100/P6)</f>
        <v>0</v>
      </c>
      <c r="DQ6">
        <f>IF(P6=0,0,COUNTIF(Transect1_imgsummary!E6:I6,"CHRYOBRN")*100/P6)</f>
        <v>0</v>
      </c>
      <c r="DS6" s="29">
        <f>IF(P6=0,0,COUNTIF(Transect1_imgsummary!E6:I6,"TURF")*100/P6)</f>
        <v>20</v>
      </c>
      <c r="DU6">
        <f>COUNTIF(Transect1_imgsummary!E6:I6,"Shadow")*100/5</f>
        <v>0</v>
      </c>
      <c r="DV6">
        <f>COUNTIF(Transect1_imgsummary!E6:I6,"Tape")*100/5</f>
        <v>0</v>
      </c>
      <c r="DW6">
        <f>COUNTIF(Transect1_imgsummary!E6:I6,"Wand")*100/5</f>
        <v>0</v>
      </c>
      <c r="DY6">
        <f>IF(P6=0,0,COUNTIF(Transect1_imgsummary!O6:S6,"BC")*100/P6)</f>
        <v>0</v>
      </c>
    </row>
    <row r="7" spans="1:129">
      <c r="A7">
        <v>5</v>
      </c>
      <c r="B7" t="s">
        <v>36</v>
      </c>
      <c r="F7" s="29">
        <f>IF(P7=0,0,COUNTIF(Transect1_imgsummary!J7:N7,"C")*100/P7)</f>
        <v>100</v>
      </c>
      <c r="G7">
        <f>IF(P7=0,0,COUNTIF(Transect1_imgsummary!J7:N7,"OI")*100/P7)</f>
        <v>0</v>
      </c>
      <c r="H7">
        <f>IF(P7=0,0,COUNTIF(Transect1_imgsummary!J7:N7,"MA")*100/P7)</f>
        <v>0</v>
      </c>
      <c r="I7">
        <f>IF(P7=0,0,COUNTIF(Transect1_imgsummary!J7:N7,"BCA")*100/P7)</f>
        <v>0</v>
      </c>
      <c r="J7">
        <f>IF(P7=0,0,COUNTIF(Transect1_imgsummary!J7:N7,"CCA")*100/P7)</f>
        <v>0</v>
      </c>
      <c r="K7">
        <f>IF(P7=0,0,COUNTIF(Transect1_imgsummary!J7:N7,"SD")*100/P7)</f>
        <v>0</v>
      </c>
      <c r="L7">
        <f>IF(P7=0,0,COUNTIF(Transect1_imgsummary!J7:N7,"FCA")*100/P7)</f>
        <v>0</v>
      </c>
      <c r="M7">
        <f>IF(P7=0,0,COUNTIF(Transect1_imgsummary!J7:N7,"CHRYS")*100/P7)</f>
        <v>0</v>
      </c>
      <c r="N7">
        <f>IF(P7=0,0,COUNTIF(Transect1_imgsummary!J7:N7,"T")*100/P7)</f>
        <v>0</v>
      </c>
      <c r="O7">
        <f>IF(P7=0,0,COUNTIF(Transect1_imgsummary!J7:N7,"TWS")*100/P7)</f>
        <v>0</v>
      </c>
      <c r="P7">
        <f>5-COUNTIF(Transect1_imgsummary!J7:N7,"TWS")</f>
        <v>5</v>
      </c>
      <c r="S7">
        <f>IF(P7=0,0,COUNTIF(Transect1_imgsummary!E7:I7,"ACAN")*100/P7)</f>
        <v>0</v>
      </c>
      <c r="T7">
        <f>IF(P7=0,0,COUNTIF(Transect1_imgsummary!E7:I7,"ACROP")*100/P7)</f>
        <v>0</v>
      </c>
      <c r="U7">
        <f>IF(P7=0,0,COUNTIF(Transect1_imgsummary!E7:I7,"ACROPARB")*100/P7)</f>
        <v>0</v>
      </c>
      <c r="V7">
        <f>IF(P7=0,0,COUNTIF(Transect1_imgsummary!E7:I7,"ACROST")*100/P7)</f>
        <v>0</v>
      </c>
      <c r="W7">
        <f>IF(P7=0,0,COUNTIF(Transect1_imgsummary!E7:I7,"ACROTBL")*100/P7)</f>
        <v>0</v>
      </c>
      <c r="X7">
        <f>IF(P7=0,0,COUNTIF(Transect1_imgsummary!E7:I7,"ASTRP")*100/P7)</f>
        <v>0</v>
      </c>
      <c r="Y7">
        <f>IF(P7=0,0,COUNTIF(Transect1_imgsummary!E7:I7,"CAUL")*100/P7)</f>
        <v>0</v>
      </c>
      <c r="Z7">
        <f>IF(P7=0,0,COUNTIF(Transect1_imgsummary!E7:I7,"COSC")*100/P7)</f>
        <v>0</v>
      </c>
      <c r="AA7">
        <f>IF(P7=0,0,COUNTIF(Transect1_imgsummary!E7:I7,"CTEN")*100/P7)</f>
        <v>0</v>
      </c>
      <c r="AB7">
        <f>IF(P7=0,0,COUNTIF(Transect1_imgsummary!E7:I7,"CYPH")*100/P7)</f>
        <v>0</v>
      </c>
      <c r="AC7">
        <f>IF(P7=0,0,COUNTIF(Transect1_imgsummary!E7:I7,"DIPLO")*100/P7)</f>
        <v>0</v>
      </c>
      <c r="AD7">
        <f>IF(P7=0,0,COUNTIF(Transect1_imgsummary!E7:I7,"ECHPO")*100/P7)</f>
        <v>0</v>
      </c>
      <c r="AE7">
        <f>IF(P7=0,0,COUNTIF(Transect1_imgsummary!E7:I7,"ECHPHY")*100/P7)</f>
        <v>0</v>
      </c>
      <c r="AF7">
        <f>IF(P7=0,0,COUNTIF(Transect1_imgsummary!E7:I7,"EUPH")*100/P7)</f>
        <v>0</v>
      </c>
      <c r="AG7">
        <f>IF(P7=0,0,COUNTIF(Transect1_imgsummary!E7:I7,"FAV")*100/P7)</f>
        <v>0</v>
      </c>
      <c r="AH7">
        <f>IF(P7=0,0,COUNTIF(Transect1_imgsummary!E7:I7,"FAVT")*100/P7)</f>
        <v>0</v>
      </c>
      <c r="AI7">
        <f>IF(P7=0,0,COUNTIF(Transect1_imgsummary!E7:I7,"FUNG")*100/P7)</f>
        <v>0</v>
      </c>
      <c r="AJ7" s="29">
        <f>IF(P7=0,0,COUNTIF(Transect1_imgsummary!E7:I7,"GAL")*100/P7)</f>
        <v>20</v>
      </c>
      <c r="AK7">
        <f>IF(P7=0,0,COUNTIF(Transect1_imgsummary!E7:I7,"GARD")*100/P7)</f>
        <v>0</v>
      </c>
      <c r="AL7">
        <f>IF(P7=0,0,COUNTIF(Transect1_imgsummary!E7:I7,"GON")*100/P7)</f>
        <v>0</v>
      </c>
      <c r="AM7">
        <f>IF(P7=0,0,COUNTIF(Transect1_imgsummary!E7:I7,"GONIO")*100/P7)</f>
        <v>0</v>
      </c>
      <c r="AN7">
        <f>IF(P7=0,0,COUNTIF(Transect1_imgsummary!E7:I7,"HELIO")*100/P7)</f>
        <v>0</v>
      </c>
      <c r="AO7">
        <f>IF(P7=0,0,COUNTIF(Transect1_imgsummary!E7:I7,"HERP")*100/P7)</f>
        <v>0</v>
      </c>
      <c r="AP7">
        <f>IF(P7=0,0,COUNTIF(Transect1_imgsummary!E7:I7,"HYD")*100/P7)</f>
        <v>0</v>
      </c>
      <c r="AQ7">
        <f>IF(P7=0,0,COUNTIF(Transect1_imgsummary!E7:I7,"ISOP")*100/P7)</f>
        <v>0</v>
      </c>
      <c r="AR7">
        <f>IF(P7=0,0,COUNTIF(Transect1_imgsummary!E7:I7,"LEPT")*100/P7)</f>
        <v>0</v>
      </c>
      <c r="AS7">
        <f>IF(P7=0,0,COUNTIF(Transect1_imgsummary!E7:I7,"LEPTOR")*100/P7)</f>
        <v>0</v>
      </c>
      <c r="AT7">
        <f>IF(P7=0,0,COUNTIF(Transect1_imgsummary!E7:I7,"LEPTOS")*100/P7)</f>
        <v>0</v>
      </c>
      <c r="AU7">
        <f>IF(P7=0,0,COUNTIF(Transect1_imgsummary!E7:I7,"LOBOPH")*100/P7)</f>
        <v>0</v>
      </c>
      <c r="AV7" s="29">
        <f>IF(P7=0,0,COUNTIF(Transect1_imgsummary!E7:I7,"MERU")*100/P7)</f>
        <v>80</v>
      </c>
      <c r="AW7">
        <f>IF(P7=0,0,COUNTIF(Transect1_imgsummary!E7:I7,"MILL")*100/P7)</f>
        <v>0</v>
      </c>
      <c r="AX7">
        <f>IF(P7=0,0,COUNTIF(Transect1_imgsummary!E7:I7,"MONT")*100/P7)</f>
        <v>0</v>
      </c>
      <c r="AY7">
        <f>IF(P7=0,0,COUNTIF(Transect1_imgsummary!E7:I7,"MONTI")*100/P7)</f>
        <v>0</v>
      </c>
      <c r="AZ7">
        <f>IF(P7=0,0,COUNTIF(Transect1_imgsummary!E7:I7,"MYCED")*100/P7)</f>
        <v>0</v>
      </c>
      <c r="BA7">
        <f>IF(P7=0,0,COUNTIF(Transect1_imgsummary!E7:I7,"OULO")*100/P7)</f>
        <v>0</v>
      </c>
      <c r="BB7">
        <f>IF(P7=0,0,COUNTIF(Transect1_imgsummary!E7:I7,"OXYP")*100/P7)</f>
        <v>0</v>
      </c>
      <c r="BC7">
        <f>IF(P7=0,0,COUNTIF(Transect1_imgsummary!E7:I7,"PLSIA")*100/P7)</f>
        <v>0</v>
      </c>
      <c r="BD7">
        <f>IF(P7=0,0,COUNTIF(Transect1_imgsummary!E7:I7,"PACHY")*100/P7)</f>
        <v>0</v>
      </c>
      <c r="BE7">
        <f>IF(P7=0,0,COUNTIF(Transect1_imgsummary!E7:I7,"PAV")*100/P7)</f>
        <v>0</v>
      </c>
      <c r="BF7">
        <f>IF(P7=0,0,COUNTIF(Transect1_imgsummary!E7:I7,"PECT")*100/P7)</f>
        <v>0</v>
      </c>
      <c r="BG7">
        <f>IF(P7=0,0,COUNTIF(Transect1_imgsummary!E7:I7,"PHYSO")*100/P7)</f>
        <v>0</v>
      </c>
      <c r="BH7">
        <f>IF(P7=0,0,COUNTIF(Transect1_imgsummary!E7:I7,"PLAT")*100/P7)</f>
        <v>0</v>
      </c>
      <c r="BI7">
        <f>IF(P7=0,0,COUNTIF(Transect1_imgsummary!E7:I7,"PLERO")*100/P7)</f>
        <v>0</v>
      </c>
      <c r="BJ7">
        <f>IF(P7=0,0,COUNTIF(Transect1_imgsummary!E7:I7,"POC")*100/P7)</f>
        <v>0</v>
      </c>
      <c r="BK7">
        <f>IF(P7=0,0,COUNTIF(Transect1_imgsummary!E7:I7,"POR")*100/P7)</f>
        <v>0</v>
      </c>
      <c r="BL7">
        <f>IF(P7=0,0,COUNTIF(Transect1_imgsummary!E7:I7,"PORCYL")*100/P7)</f>
        <v>0</v>
      </c>
      <c r="BM7">
        <f>IF(P7=0,0,COUNTIF(Transect1_imgsummary!E7:I7,"PORMAS")*100/P7)</f>
        <v>0</v>
      </c>
      <c r="BN7">
        <f>IF(P7=0,0,COUNTIF(Transect1_imgsummary!E7:I7,"PORRUS")*100/P7)</f>
        <v>0</v>
      </c>
      <c r="BO7">
        <f>IF(P7=0,0,COUNTIF(Transect1_imgsummary!E7:I7,"PSAM")*100/P7)</f>
        <v>0</v>
      </c>
      <c r="BP7">
        <f>IF(P7=0,0,COUNTIF(Transect1_imgsummary!E7:I7,"SANDO")*100/P7)</f>
        <v>0</v>
      </c>
      <c r="BQ7">
        <f>IF(P7=0,0,COUNTIF(Transect1_imgsummary!E7:I7,"SCAP")*100/P7)</f>
        <v>0</v>
      </c>
      <c r="BR7">
        <f>IF(P7=0,0,COUNTIF(Transect1_imgsummary!E7:I7,"SERIA")*100/P7)</f>
        <v>0</v>
      </c>
      <c r="BS7">
        <f>IF(P7=0,0,COUNTIF(Transect1_imgsummary!E7:I7,"STYLC")*100/P7)</f>
        <v>0</v>
      </c>
      <c r="BT7">
        <f>IF(P7=0,0,COUNTIF(Transect1_imgsummary!E7:I7,"STYLO")*100/P7)</f>
        <v>0</v>
      </c>
      <c r="BU7">
        <f>IF(P7=0,0,COUNTIF(Transect1_imgsummary!E7:I7,"SYMP")*100/P7)</f>
        <v>0</v>
      </c>
      <c r="BV7">
        <f>IF(P7=0,0,COUNTIF(Transect1_imgsummary!E7:I7,"TURBIN")*100/P7)</f>
        <v>0</v>
      </c>
      <c r="BX7">
        <f>IF(P7=0,0,COUNTIF(Transect1_imgsummary!E7:I7,"ANEM")*100/P7)</f>
        <v>0</v>
      </c>
      <c r="BY7">
        <f>IF(P7=0,0,COUNTIF(Transect1_imgsummary!E7:I7,"ASC")*100/P7)</f>
        <v>0</v>
      </c>
      <c r="BZ7">
        <f>IF(P7=0,0,COUNTIF(Transect1_imgsummary!E7:I7,"CUPS")*100/P7)</f>
        <v>0</v>
      </c>
      <c r="CA7">
        <f>IF(P7=0,0,COUNTIF(Transect1_imgsummary!E7:I7,"DISCO")*100/P7)</f>
        <v>0</v>
      </c>
      <c r="CB7">
        <f>IF(P7=0,0,COUNTIF(Transect1_imgsummary!E7:I7,"DYS")*100/P7)</f>
        <v>0</v>
      </c>
      <c r="CC7">
        <f>IF(P7=0,0,COUNTIF(Transect1_imgsummary!E7:I7,"G")*100/P7)</f>
        <v>0</v>
      </c>
      <c r="CD7">
        <f>IF(P7=0,0,COUNTIF(Transect1_imgsummary!E7:I7,"NoIDINV")*100/P7)</f>
        <v>0</v>
      </c>
      <c r="CE7">
        <f>IF(P7=0,0,COUNTIF(Transect1_imgsummary!E7:I7,"OLV")*100/P7)</f>
        <v>0</v>
      </c>
      <c r="CF7">
        <f>IF(P7=0,0,COUNTIF(Transect1_imgsummary!E7:I7,"SC")*100/P7)</f>
        <v>0</v>
      </c>
      <c r="CG7">
        <f>IF(P7=0,0,COUNTIF(Transect1_imgsummary!E7:I7,"S")*100/P7)</f>
        <v>0</v>
      </c>
      <c r="CH7">
        <f>IF(P7=0,0,COUNTIF(Transect1_imgsummary!E7:I7,"TERPS")*100/P7)</f>
        <v>0</v>
      </c>
      <c r="CI7">
        <f>IF(P7=0,0,COUNTIF(Transect1_imgsummary!E7:I7,"Z")*100/P7)</f>
        <v>0</v>
      </c>
      <c r="CK7">
        <f>IF(P7=0,0,COUNTIF(Transect1_imgsummary!E7:I7,"ASP")*100/P7)</f>
        <v>0</v>
      </c>
      <c r="CL7">
        <f>IF(P7=0,0,COUNTIF(Transect1_imgsummary!E7:I7,"BG")*100/P7)</f>
        <v>0</v>
      </c>
      <c r="CM7">
        <f>IF(P7=0,0,COUNTIF(Transect1_imgsummary!E7:I7,"Bood")*100/P7)</f>
        <v>0</v>
      </c>
      <c r="CN7">
        <f>IF(P7=0,0,COUNTIF(Transect1_imgsummary!E7:I7,"BRYP")*100/P7)</f>
        <v>0</v>
      </c>
      <c r="CO7">
        <f>IF(P7=0,0,COUNTIF(Transect1_imgsummary!E7:I7,"CLP")*100/P7)</f>
        <v>0</v>
      </c>
      <c r="CP7">
        <f>IF(P7=0,0,COUNTIF(Transect1_imgsummary!E7:I7,"CHLDES")*100/P7)</f>
        <v>0</v>
      </c>
      <c r="CQ7">
        <f>IF(P7=0,0,COUNTIF(Transect1_imgsummary!E7:I7,"DYCTY")*100/P7)</f>
        <v>0</v>
      </c>
      <c r="CR7">
        <f>IF(P7=0,0,COUNTIF(Transect1_imgsummary!E7:I7,"DICT")*100/P7)</f>
        <v>0</v>
      </c>
      <c r="CS7">
        <f>IF(P7=0,0,COUNTIF(Transect1_imgsummary!E7:I7,"GLXU")*100/P7)</f>
        <v>0</v>
      </c>
      <c r="CT7">
        <f>IF(P7=0,0,COUNTIF(Transect1_imgsummary!E7:I7,"HALI")*100/P7)</f>
        <v>0</v>
      </c>
      <c r="CU7">
        <f>IF(P7=0,0,COUNTIF(Transect1_imgsummary!E7:I7,"LIAG")*100/P7)</f>
        <v>0</v>
      </c>
      <c r="CV7">
        <f>IF(P7=0,0,COUNTIF(Transect1_imgsummary!E7:I7,"LOBO")*100/P7)</f>
        <v>0</v>
      </c>
      <c r="CW7">
        <f>IF(P7=0,0,COUNTIF(Transect1_imgsummary!E7:I7,"MAST")*100/P7)</f>
        <v>0</v>
      </c>
      <c r="CX7">
        <f>IF(P7=0,0,COUNTIF(Transect1_imgsummary!E7:I7,"MICDTY")*100/P7)</f>
        <v>0</v>
      </c>
      <c r="CY7">
        <f>IF(P7=0,0,COUNTIF(Transect1_imgsummary!E7:I7,"NEOM")*100/P7)</f>
        <v>0</v>
      </c>
      <c r="CZ7">
        <f>IF(P7=0,0,COUNTIF(Transect1_imgsummary!E7:I7,"NOIDMAC")*100/P7)</f>
        <v>0</v>
      </c>
      <c r="DA7">
        <f>IF(P7=0,0,COUNTIF(Transect1_imgsummary!E7:I7,"PAD")*100/P7)</f>
        <v>0</v>
      </c>
      <c r="DB7">
        <f>IF(P7=0,0,COUNTIF(Transect1_imgsummary!E7:I7,"SARG")*100/P7)</f>
        <v>0</v>
      </c>
      <c r="DC7">
        <f>IF(P7=0,0,COUNTIF(Transect1_imgsummary!E7:I7,"SCHIZ")*100/P7)</f>
        <v>0</v>
      </c>
      <c r="DD7">
        <f>IF(P7=0,0,COUNTIF(Transect1_imgsummary!E7:I7,"TURB")*100/P7)</f>
        <v>0</v>
      </c>
      <c r="DE7">
        <f>IF(P7=0,0,COUNTIF(Transect1_imgsummary!E7:I7,"TYDM")*100/P7)</f>
        <v>0</v>
      </c>
      <c r="DG7">
        <f>IF(P7=0,0,COUNTIF(Transect1_imgsummary!E7:I7,"AMP")*100/P7)</f>
        <v>0</v>
      </c>
      <c r="DH7">
        <f>IF(P7=0,0,COUNTIF(Transect1_imgsummary!E7:I7,"BCA1")*100/P7)</f>
        <v>0</v>
      </c>
      <c r="DI7">
        <f>IF(P7=0,0,COUNTIF(Transect1_imgsummary!E7:I7,"JAN")*100/P7)</f>
        <v>0</v>
      </c>
      <c r="DK7">
        <f>IF(P7=0,0,COUNTIF(Transect1_imgsummary!E7:I7,"CCA1")*100/P7)</f>
        <v>0</v>
      </c>
      <c r="DM7">
        <f>IF(P7=0,0,COUNTIF(Transect1_imgsummary!E7:I7,"Sand")*100/P7)</f>
        <v>0</v>
      </c>
      <c r="DO7">
        <f>IF(P7=0,0,COUNTIF(Transect1_imgsummary!E7:I7,"FCA1")*100/P7)</f>
        <v>0</v>
      </c>
      <c r="DQ7">
        <f>IF(P7=0,0,COUNTIF(Transect1_imgsummary!E7:I7,"CHRYOBRN")*100/P7)</f>
        <v>0</v>
      </c>
      <c r="DS7">
        <f>IF(P7=0,0,COUNTIF(Transect1_imgsummary!E7:I7,"TURF")*100/P7)</f>
        <v>0</v>
      </c>
      <c r="DU7">
        <f>COUNTIF(Transect1_imgsummary!E7:I7,"Shadow")*100/5</f>
        <v>0</v>
      </c>
      <c r="DV7">
        <f>COUNTIF(Transect1_imgsummary!E7:I7,"Tape")*100/5</f>
        <v>0</v>
      </c>
      <c r="DW7">
        <f>COUNTIF(Transect1_imgsummary!E7:I7,"Wand")*100/5</f>
        <v>0</v>
      </c>
      <c r="DY7">
        <f>IF(P7=0,0,COUNTIF(Transect1_imgsummary!O7:S7,"BC")*100/P7)</f>
        <v>0</v>
      </c>
    </row>
    <row r="8" spans="1:129">
      <c r="A8">
        <v>6</v>
      </c>
      <c r="B8" t="s">
        <v>39</v>
      </c>
      <c r="F8" s="29">
        <f>IF(P8=0,0,COUNTIF(Transect1_imgsummary!J8:N8,"C")*100/P8)</f>
        <v>60</v>
      </c>
      <c r="G8">
        <f>IF(P8=0,0,COUNTIF(Transect1_imgsummary!J8:N8,"OI")*100/P8)</f>
        <v>0</v>
      </c>
      <c r="H8">
        <f>IF(P8=0,0,COUNTIF(Transect1_imgsummary!J8:N8,"MA")*100/P8)</f>
        <v>0</v>
      </c>
      <c r="I8">
        <f>IF(P8=0,0,COUNTIF(Transect1_imgsummary!J8:N8,"BCA")*100/P8)</f>
        <v>0</v>
      </c>
      <c r="J8" s="29">
        <f>IF(P8=0,0,COUNTIF(Transect1_imgsummary!J8:N8,"CCA")*100/P8)</f>
        <v>40</v>
      </c>
      <c r="K8">
        <f>IF(P8=0,0,COUNTIF(Transect1_imgsummary!J8:N8,"SD")*100/P8)</f>
        <v>0</v>
      </c>
      <c r="L8">
        <f>IF(P8=0,0,COUNTIF(Transect1_imgsummary!J8:N8,"FCA")*100/P8)</f>
        <v>0</v>
      </c>
      <c r="M8">
        <f>IF(P8=0,0,COUNTIF(Transect1_imgsummary!J8:N8,"CHRYS")*100/P8)</f>
        <v>0</v>
      </c>
      <c r="N8">
        <f>IF(P8=0,0,COUNTIF(Transect1_imgsummary!J8:N8,"T")*100/P8)</f>
        <v>0</v>
      </c>
      <c r="O8">
        <f>IF(P8=0,0,COUNTIF(Transect1_imgsummary!J8:N8,"TWS")*100/P8)</f>
        <v>0</v>
      </c>
      <c r="P8">
        <f>5-COUNTIF(Transect1_imgsummary!J8:N8,"TWS")</f>
        <v>5</v>
      </c>
      <c r="S8">
        <f>IF(P8=0,0,COUNTIF(Transect1_imgsummary!E8:I8,"ACAN")*100/P8)</f>
        <v>0</v>
      </c>
      <c r="T8">
        <f>IF(P8=0,0,COUNTIF(Transect1_imgsummary!E8:I8,"ACROP")*100/P8)</f>
        <v>0</v>
      </c>
      <c r="U8">
        <f>IF(P8=0,0,COUNTIF(Transect1_imgsummary!E8:I8,"ACROPARB")*100/P8)</f>
        <v>0</v>
      </c>
      <c r="V8">
        <f>IF(P8=0,0,COUNTIF(Transect1_imgsummary!E8:I8,"ACROST")*100/P8)</f>
        <v>0</v>
      </c>
      <c r="W8">
        <f>IF(P8=0,0,COUNTIF(Transect1_imgsummary!E8:I8,"ACROTBL")*100/P8)</f>
        <v>0</v>
      </c>
      <c r="X8">
        <f>IF(P8=0,0,COUNTIF(Transect1_imgsummary!E8:I8,"ASTRP")*100/P8)</f>
        <v>0</v>
      </c>
      <c r="Y8">
        <f>IF(P8=0,0,COUNTIF(Transect1_imgsummary!E8:I8,"CAUL")*100/P8)</f>
        <v>0</v>
      </c>
      <c r="Z8">
        <f>IF(P8=0,0,COUNTIF(Transect1_imgsummary!E8:I8,"COSC")*100/P8)</f>
        <v>0</v>
      </c>
      <c r="AA8">
        <f>IF(P8=0,0,COUNTIF(Transect1_imgsummary!E8:I8,"CTEN")*100/P8)</f>
        <v>0</v>
      </c>
      <c r="AB8">
        <f>IF(P8=0,0,COUNTIF(Transect1_imgsummary!E8:I8,"CYPH")*100/P8)</f>
        <v>0</v>
      </c>
      <c r="AC8">
        <f>IF(P8=0,0,COUNTIF(Transect1_imgsummary!E8:I8,"DIPLO")*100/P8)</f>
        <v>0</v>
      </c>
      <c r="AD8" s="29">
        <f>IF(P8=0,0,COUNTIF(Transect1_imgsummary!E8:I8,"ECHPO")*100/P8)</f>
        <v>20</v>
      </c>
      <c r="AE8">
        <f>IF(P8=0,0,COUNTIF(Transect1_imgsummary!E8:I8,"ECHPHY")*100/P8)</f>
        <v>0</v>
      </c>
      <c r="AF8">
        <f>IF(P8=0,0,COUNTIF(Transect1_imgsummary!E8:I8,"EUPH")*100/P8)</f>
        <v>0</v>
      </c>
      <c r="AG8">
        <f>IF(P8=0,0,COUNTIF(Transect1_imgsummary!E8:I8,"FAV")*100/P8)</f>
        <v>0</v>
      </c>
      <c r="AH8">
        <f>IF(P8=0,0,COUNTIF(Transect1_imgsummary!E8:I8,"FAVT")*100/P8)</f>
        <v>0</v>
      </c>
      <c r="AI8">
        <f>IF(P8=0,0,COUNTIF(Transect1_imgsummary!E8:I8,"FUNG")*100/P8)</f>
        <v>0</v>
      </c>
      <c r="AJ8">
        <f>IF(P8=0,0,COUNTIF(Transect1_imgsummary!E8:I8,"GAL")*100/P8)</f>
        <v>0</v>
      </c>
      <c r="AK8">
        <f>IF(P8=0,0,COUNTIF(Transect1_imgsummary!E8:I8,"GARD")*100/P8)</f>
        <v>0</v>
      </c>
      <c r="AL8">
        <f>IF(P8=0,0,COUNTIF(Transect1_imgsummary!E8:I8,"GON")*100/P8)</f>
        <v>0</v>
      </c>
      <c r="AM8">
        <f>IF(P8=0,0,COUNTIF(Transect1_imgsummary!E8:I8,"GONIO")*100/P8)</f>
        <v>0</v>
      </c>
      <c r="AN8">
        <f>IF(P8=0,0,COUNTIF(Transect1_imgsummary!E8:I8,"HELIO")*100/P8)</f>
        <v>0</v>
      </c>
      <c r="AO8">
        <f>IF(P8=0,0,COUNTIF(Transect1_imgsummary!E8:I8,"HERP")*100/P8)</f>
        <v>0</v>
      </c>
      <c r="AP8">
        <f>IF(P8=0,0,COUNTIF(Transect1_imgsummary!E8:I8,"HYD")*100/P8)</f>
        <v>0</v>
      </c>
      <c r="AQ8">
        <f>IF(P8=0,0,COUNTIF(Transect1_imgsummary!E8:I8,"ISOP")*100/P8)</f>
        <v>0</v>
      </c>
      <c r="AR8">
        <f>IF(P8=0,0,COUNTIF(Transect1_imgsummary!E8:I8,"LEPT")*100/P8)</f>
        <v>0</v>
      </c>
      <c r="AS8" s="29">
        <f>IF(P8=0,0,COUNTIF(Transect1_imgsummary!E8:I8,"LEPTOR")*100/P8)</f>
        <v>40</v>
      </c>
      <c r="AT8">
        <f>IF(P8=0,0,COUNTIF(Transect1_imgsummary!E8:I8,"LEPTOS")*100/P8)</f>
        <v>0</v>
      </c>
      <c r="AU8">
        <f>IF(P8=0,0,COUNTIF(Transect1_imgsummary!E8:I8,"LOBOPH")*100/P8)</f>
        <v>0</v>
      </c>
      <c r="AV8">
        <f>IF(P8=0,0,COUNTIF(Transect1_imgsummary!E8:I8,"MERU")*100/P8)</f>
        <v>0</v>
      </c>
      <c r="AW8">
        <f>IF(P8=0,0,COUNTIF(Transect1_imgsummary!E8:I8,"MILL")*100/P8)</f>
        <v>0</v>
      </c>
      <c r="AX8">
        <f>IF(P8=0,0,COUNTIF(Transect1_imgsummary!E8:I8,"MONT")*100/P8)</f>
        <v>0</v>
      </c>
      <c r="AY8">
        <f>IF(P8=0,0,COUNTIF(Transect1_imgsummary!E8:I8,"MONTI")*100/P8)</f>
        <v>0</v>
      </c>
      <c r="AZ8">
        <f>IF(P8=0,0,COUNTIF(Transect1_imgsummary!E8:I8,"MYCED")*100/P8)</f>
        <v>0</v>
      </c>
      <c r="BA8">
        <f>IF(P8=0,0,COUNTIF(Transect1_imgsummary!E8:I8,"OULO")*100/P8)</f>
        <v>0</v>
      </c>
      <c r="BB8">
        <f>IF(P8=0,0,COUNTIF(Transect1_imgsummary!E8:I8,"OXYP")*100/P8)</f>
        <v>0</v>
      </c>
      <c r="BC8">
        <f>IF(P8=0,0,COUNTIF(Transect1_imgsummary!E8:I8,"PLSIA")*100/P8)</f>
        <v>0</v>
      </c>
      <c r="BD8">
        <f>IF(P8=0,0,COUNTIF(Transect1_imgsummary!E8:I8,"PACHY")*100/P8)</f>
        <v>0</v>
      </c>
      <c r="BE8">
        <f>IF(P8=0,0,COUNTIF(Transect1_imgsummary!E8:I8,"PAV")*100/P8)</f>
        <v>0</v>
      </c>
      <c r="BF8">
        <f>IF(P8=0,0,COUNTIF(Transect1_imgsummary!E8:I8,"PECT")*100/P8)</f>
        <v>0</v>
      </c>
      <c r="BG8">
        <f>IF(P8=0,0,COUNTIF(Transect1_imgsummary!E8:I8,"PHYSO")*100/P8)</f>
        <v>0</v>
      </c>
      <c r="BH8">
        <f>IF(P8=0,0,COUNTIF(Transect1_imgsummary!E8:I8,"PLAT")*100/P8)</f>
        <v>0</v>
      </c>
      <c r="BI8">
        <f>IF(P8=0,0,COUNTIF(Transect1_imgsummary!E8:I8,"PLERO")*100/P8)</f>
        <v>0</v>
      </c>
      <c r="BJ8">
        <f>IF(P8=0,0,COUNTIF(Transect1_imgsummary!E8:I8,"POC")*100/P8)</f>
        <v>0</v>
      </c>
      <c r="BK8">
        <f>IF(P8=0,0,COUNTIF(Transect1_imgsummary!E8:I8,"POR")*100/P8)</f>
        <v>0</v>
      </c>
      <c r="BL8">
        <f>IF(P8=0,0,COUNTIF(Transect1_imgsummary!E8:I8,"PORCYL")*100/P8)</f>
        <v>0</v>
      </c>
      <c r="BM8">
        <f>IF(P8=0,0,COUNTIF(Transect1_imgsummary!E8:I8,"PORMAS")*100/P8)</f>
        <v>0</v>
      </c>
      <c r="BN8">
        <f>IF(P8=0,0,COUNTIF(Transect1_imgsummary!E8:I8,"PORRUS")*100/P8)</f>
        <v>0</v>
      </c>
      <c r="BO8">
        <f>IF(P8=0,0,COUNTIF(Transect1_imgsummary!E8:I8,"PSAM")*100/P8)</f>
        <v>0</v>
      </c>
      <c r="BP8">
        <f>IF(P8=0,0,COUNTIF(Transect1_imgsummary!E8:I8,"SANDO")*100/P8)</f>
        <v>0</v>
      </c>
      <c r="BQ8">
        <f>IF(P8=0,0,COUNTIF(Transect1_imgsummary!E8:I8,"SCAP")*100/P8)</f>
        <v>0</v>
      </c>
      <c r="BR8">
        <f>IF(P8=0,0,COUNTIF(Transect1_imgsummary!E8:I8,"SERIA")*100/P8)</f>
        <v>0</v>
      </c>
      <c r="BS8">
        <f>IF(P8=0,0,COUNTIF(Transect1_imgsummary!E8:I8,"STYLC")*100/P8)</f>
        <v>0</v>
      </c>
      <c r="BT8">
        <f>IF(P8=0,0,COUNTIF(Transect1_imgsummary!E8:I8,"STYLO")*100/P8)</f>
        <v>0</v>
      </c>
      <c r="BU8">
        <f>IF(P8=0,0,COUNTIF(Transect1_imgsummary!E8:I8,"SYMP")*100/P8)</f>
        <v>0</v>
      </c>
      <c r="BV8">
        <f>IF(P8=0,0,COUNTIF(Transect1_imgsummary!E8:I8,"TURBIN")*100/P8)</f>
        <v>0</v>
      </c>
      <c r="BX8">
        <f>IF(P8=0,0,COUNTIF(Transect1_imgsummary!E8:I8,"ANEM")*100/P8)</f>
        <v>0</v>
      </c>
      <c r="BY8">
        <f>IF(P8=0,0,COUNTIF(Transect1_imgsummary!E8:I8,"ASC")*100/P8)</f>
        <v>0</v>
      </c>
      <c r="BZ8">
        <f>IF(P8=0,0,COUNTIF(Transect1_imgsummary!E8:I8,"CUPS")*100/P8)</f>
        <v>0</v>
      </c>
      <c r="CA8">
        <f>IF(P8=0,0,COUNTIF(Transect1_imgsummary!E8:I8,"DISCO")*100/P8)</f>
        <v>0</v>
      </c>
      <c r="CB8">
        <f>IF(P8=0,0,COUNTIF(Transect1_imgsummary!E8:I8,"DYS")*100/P8)</f>
        <v>0</v>
      </c>
      <c r="CC8">
        <f>IF(P8=0,0,COUNTIF(Transect1_imgsummary!E8:I8,"G")*100/P8)</f>
        <v>0</v>
      </c>
      <c r="CD8">
        <f>IF(P8=0,0,COUNTIF(Transect1_imgsummary!E8:I8,"NoIDINV")*100/P8)</f>
        <v>0</v>
      </c>
      <c r="CE8">
        <f>IF(P8=0,0,COUNTIF(Transect1_imgsummary!E8:I8,"OLV")*100/P8)</f>
        <v>0</v>
      </c>
      <c r="CF8">
        <f>IF(P8=0,0,COUNTIF(Transect1_imgsummary!E8:I8,"SC")*100/P8)</f>
        <v>0</v>
      </c>
      <c r="CG8">
        <f>IF(P8=0,0,COUNTIF(Transect1_imgsummary!E8:I8,"S")*100/P8)</f>
        <v>0</v>
      </c>
      <c r="CH8">
        <f>IF(P8=0,0,COUNTIF(Transect1_imgsummary!E8:I8,"TERPS")*100/P8)</f>
        <v>0</v>
      </c>
      <c r="CI8">
        <f>IF(P8=0,0,COUNTIF(Transect1_imgsummary!E8:I8,"Z")*100/P8)</f>
        <v>0</v>
      </c>
      <c r="CK8">
        <f>IF(P8=0,0,COUNTIF(Transect1_imgsummary!E8:I8,"ASP")*100/P8)</f>
        <v>0</v>
      </c>
      <c r="CL8">
        <f>IF(P8=0,0,COUNTIF(Transect1_imgsummary!E8:I8,"BG")*100/P8)</f>
        <v>0</v>
      </c>
      <c r="CM8">
        <f>IF(P8=0,0,COUNTIF(Transect1_imgsummary!E8:I8,"Bood")*100/P8)</f>
        <v>0</v>
      </c>
      <c r="CN8">
        <f>IF(P8=0,0,COUNTIF(Transect1_imgsummary!E8:I8,"BRYP")*100/P8)</f>
        <v>0</v>
      </c>
      <c r="CO8">
        <f>IF(P8=0,0,COUNTIF(Transect1_imgsummary!E8:I8,"CLP")*100/P8)</f>
        <v>0</v>
      </c>
      <c r="CP8">
        <f>IF(P8=0,0,COUNTIF(Transect1_imgsummary!E8:I8,"CHLDES")*100/P8)</f>
        <v>0</v>
      </c>
      <c r="CQ8">
        <f>IF(P8=0,0,COUNTIF(Transect1_imgsummary!E8:I8,"DYCTY")*100/P8)</f>
        <v>0</v>
      </c>
      <c r="CR8">
        <f>IF(P8=0,0,COUNTIF(Transect1_imgsummary!E8:I8,"DICT")*100/P8)</f>
        <v>0</v>
      </c>
      <c r="CS8">
        <f>IF(P8=0,0,COUNTIF(Transect1_imgsummary!E8:I8,"GLXU")*100/P8)</f>
        <v>0</v>
      </c>
      <c r="CT8">
        <f>IF(P8=0,0,COUNTIF(Transect1_imgsummary!E8:I8,"HALI")*100/P8)</f>
        <v>0</v>
      </c>
      <c r="CU8">
        <f>IF(P8=0,0,COUNTIF(Transect1_imgsummary!E8:I8,"LIAG")*100/P8)</f>
        <v>0</v>
      </c>
      <c r="CV8">
        <f>IF(P8=0,0,COUNTIF(Transect1_imgsummary!E8:I8,"LOBO")*100/P8)</f>
        <v>0</v>
      </c>
      <c r="CW8">
        <f>IF(P8=0,0,COUNTIF(Transect1_imgsummary!E8:I8,"MAST")*100/P8)</f>
        <v>0</v>
      </c>
      <c r="CX8">
        <f>IF(P8=0,0,COUNTIF(Transect1_imgsummary!E8:I8,"MICDTY")*100/P8)</f>
        <v>0</v>
      </c>
      <c r="CY8">
        <f>IF(P8=0,0,COUNTIF(Transect1_imgsummary!E8:I8,"NEOM")*100/P8)</f>
        <v>0</v>
      </c>
      <c r="CZ8">
        <f>IF(P8=0,0,COUNTIF(Transect1_imgsummary!E8:I8,"NOIDMAC")*100/P8)</f>
        <v>0</v>
      </c>
      <c r="DA8">
        <f>IF(P8=0,0,COUNTIF(Transect1_imgsummary!E8:I8,"PAD")*100/P8)</f>
        <v>0</v>
      </c>
      <c r="DB8">
        <f>IF(P8=0,0,COUNTIF(Transect1_imgsummary!E8:I8,"SARG")*100/P8)</f>
        <v>0</v>
      </c>
      <c r="DC8">
        <f>IF(P8=0,0,COUNTIF(Transect1_imgsummary!E8:I8,"SCHIZ")*100/P8)</f>
        <v>0</v>
      </c>
      <c r="DD8">
        <f>IF(P8=0,0,COUNTIF(Transect1_imgsummary!E8:I8,"TURB")*100/P8)</f>
        <v>0</v>
      </c>
      <c r="DE8">
        <f>IF(P8=0,0,COUNTIF(Transect1_imgsummary!E8:I8,"TYDM")*100/P8)</f>
        <v>0</v>
      </c>
      <c r="DG8">
        <f>IF(P8=0,0,COUNTIF(Transect1_imgsummary!E8:I8,"AMP")*100/P8)</f>
        <v>0</v>
      </c>
      <c r="DH8">
        <f>IF(P8=0,0,COUNTIF(Transect1_imgsummary!E8:I8,"BCA1")*100/P8)</f>
        <v>0</v>
      </c>
      <c r="DI8">
        <f>IF(P8=0,0,COUNTIF(Transect1_imgsummary!E8:I8,"JAN")*100/P8)</f>
        <v>0</v>
      </c>
      <c r="DK8" s="29">
        <f>IF(P8=0,0,COUNTIF(Transect1_imgsummary!E8:I8,"CCA1")*100/P8)</f>
        <v>40</v>
      </c>
      <c r="DM8">
        <f>IF(P8=0,0,COUNTIF(Transect1_imgsummary!E8:I8,"Sand")*100/P8)</f>
        <v>0</v>
      </c>
      <c r="DO8">
        <f>IF(P8=0,0,COUNTIF(Transect1_imgsummary!E8:I8,"FCA1")*100/P8)</f>
        <v>0</v>
      </c>
      <c r="DQ8">
        <f>IF(P8=0,0,COUNTIF(Transect1_imgsummary!E8:I8,"CHRYOBRN")*100/P8)</f>
        <v>0</v>
      </c>
      <c r="DS8">
        <f>IF(P8=0,0,COUNTIF(Transect1_imgsummary!E8:I8,"TURF")*100/P8)</f>
        <v>0</v>
      </c>
      <c r="DU8">
        <f>COUNTIF(Transect1_imgsummary!E8:I8,"Shadow")*100/5</f>
        <v>0</v>
      </c>
      <c r="DV8">
        <f>COUNTIF(Transect1_imgsummary!E8:I8,"Tape")*100/5</f>
        <v>0</v>
      </c>
      <c r="DW8">
        <f>COUNTIF(Transect1_imgsummary!E8:I8,"Wand")*100/5</f>
        <v>0</v>
      </c>
      <c r="DY8">
        <f>IF(P8=0,0,COUNTIF(Transect1_imgsummary!O8:S8,"BC")*100/P8)</f>
        <v>0</v>
      </c>
    </row>
    <row r="9" spans="1:129">
      <c r="A9">
        <v>7</v>
      </c>
      <c r="B9" t="s">
        <v>40</v>
      </c>
      <c r="F9" s="29">
        <f>IF(P9=0,0,COUNTIF(Transect1_imgsummary!J9:N9,"C")*100/P9)</f>
        <v>20</v>
      </c>
      <c r="G9">
        <f>IF(P9=0,0,COUNTIF(Transect1_imgsummary!J9:N9,"OI")*100/P9)</f>
        <v>0</v>
      </c>
      <c r="H9">
        <f>IF(P9=0,0,COUNTIF(Transect1_imgsummary!J9:N9,"MA")*100/P9)</f>
        <v>0</v>
      </c>
      <c r="I9" s="29">
        <f>IF(P9=0,0,COUNTIF(Transect1_imgsummary!J9:N9,"BCA")*100/P9)</f>
        <v>20</v>
      </c>
      <c r="J9" s="29">
        <f>IF(P9=0,0,COUNTIF(Transect1_imgsummary!J9:N9,"CCA")*100/P9)</f>
        <v>40</v>
      </c>
      <c r="K9">
        <f>IF(P9=0,0,COUNTIF(Transect1_imgsummary!J9:N9,"SD")*100/P9)</f>
        <v>0</v>
      </c>
      <c r="L9">
        <f>IF(P9=0,0,COUNTIF(Transect1_imgsummary!J9:N9,"FCA")*100/P9)</f>
        <v>0</v>
      </c>
      <c r="M9">
        <f>IF(P9=0,0,COUNTIF(Transect1_imgsummary!J9:N9,"CHRYS")*100/P9)</f>
        <v>0</v>
      </c>
      <c r="N9" s="29">
        <f>IF(P9=0,0,COUNTIF(Transect1_imgsummary!J9:N9,"T")*100/P9)</f>
        <v>20</v>
      </c>
      <c r="O9">
        <f>IF(P9=0,0,COUNTIF(Transect1_imgsummary!J9:N9,"TWS")*100/P9)</f>
        <v>0</v>
      </c>
      <c r="P9">
        <f>5-COUNTIF(Transect1_imgsummary!J9:N9,"TWS")</f>
        <v>5</v>
      </c>
      <c r="S9">
        <f>IF(P9=0,0,COUNTIF(Transect1_imgsummary!E9:I9,"ACAN")*100/P9)</f>
        <v>0</v>
      </c>
      <c r="T9">
        <f>IF(P9=0,0,COUNTIF(Transect1_imgsummary!E9:I9,"ACROP")*100/P9)</f>
        <v>0</v>
      </c>
      <c r="U9">
        <f>IF(P9=0,0,COUNTIF(Transect1_imgsummary!E9:I9,"ACROPARB")*100/P9)</f>
        <v>0</v>
      </c>
      <c r="V9">
        <f>IF(P9=0,0,COUNTIF(Transect1_imgsummary!E9:I9,"ACROST")*100/P9)</f>
        <v>0</v>
      </c>
      <c r="W9">
        <f>IF(P9=0,0,COUNTIF(Transect1_imgsummary!E9:I9,"ACROTBL")*100/P9)</f>
        <v>0</v>
      </c>
      <c r="X9">
        <f>IF(P9=0,0,COUNTIF(Transect1_imgsummary!E9:I9,"ASTRP")*100/P9)</f>
        <v>0</v>
      </c>
      <c r="Y9">
        <f>IF(P9=0,0,COUNTIF(Transect1_imgsummary!E9:I9,"CAUL")*100/P9)</f>
        <v>0</v>
      </c>
      <c r="Z9">
        <f>IF(P9=0,0,COUNTIF(Transect1_imgsummary!E9:I9,"COSC")*100/P9)</f>
        <v>0</v>
      </c>
      <c r="AA9">
        <f>IF(P9=0,0,COUNTIF(Transect1_imgsummary!E9:I9,"CTEN")*100/P9)</f>
        <v>0</v>
      </c>
      <c r="AB9">
        <f>IF(P9=0,0,COUNTIF(Transect1_imgsummary!E9:I9,"CYPH")*100/P9)</f>
        <v>0</v>
      </c>
      <c r="AC9">
        <f>IF(P9=0,0,COUNTIF(Transect1_imgsummary!E9:I9,"DIPLO")*100/P9)</f>
        <v>0</v>
      </c>
      <c r="AD9" s="29">
        <f>IF(P9=0,0,COUNTIF(Transect1_imgsummary!E9:I9,"ECHPO")*100/P9)</f>
        <v>20</v>
      </c>
      <c r="AE9">
        <f>IF(P9=0,0,COUNTIF(Transect1_imgsummary!E9:I9,"ECHPHY")*100/P9)</f>
        <v>0</v>
      </c>
      <c r="AF9">
        <f>IF(P9=0,0,COUNTIF(Transect1_imgsummary!E9:I9,"EUPH")*100/P9)</f>
        <v>0</v>
      </c>
      <c r="AG9">
        <f>IF(P9=0,0,COUNTIF(Transect1_imgsummary!E9:I9,"FAV")*100/P9)</f>
        <v>0</v>
      </c>
      <c r="AH9">
        <f>IF(P9=0,0,COUNTIF(Transect1_imgsummary!E9:I9,"FAVT")*100/P9)</f>
        <v>0</v>
      </c>
      <c r="AI9">
        <f>IF(P9=0,0,COUNTIF(Transect1_imgsummary!E9:I9,"FUNG")*100/P9)</f>
        <v>0</v>
      </c>
      <c r="AJ9">
        <f>IF(P9=0,0,COUNTIF(Transect1_imgsummary!E9:I9,"GAL")*100/P9)</f>
        <v>0</v>
      </c>
      <c r="AK9">
        <f>IF(P9=0,0,COUNTIF(Transect1_imgsummary!E9:I9,"GARD")*100/P9)</f>
        <v>0</v>
      </c>
      <c r="AL9">
        <f>IF(P9=0,0,COUNTIF(Transect1_imgsummary!E9:I9,"GON")*100/P9)</f>
        <v>0</v>
      </c>
      <c r="AM9">
        <f>IF(P9=0,0,COUNTIF(Transect1_imgsummary!E9:I9,"GONIO")*100/P9)</f>
        <v>0</v>
      </c>
      <c r="AN9">
        <f>IF(P9=0,0,COUNTIF(Transect1_imgsummary!E9:I9,"HELIO")*100/P9)</f>
        <v>0</v>
      </c>
      <c r="AO9">
        <f>IF(P9=0,0,COUNTIF(Transect1_imgsummary!E9:I9,"HERP")*100/P9)</f>
        <v>0</v>
      </c>
      <c r="AP9">
        <f>IF(P9=0,0,COUNTIF(Transect1_imgsummary!E9:I9,"HYD")*100/P9)</f>
        <v>0</v>
      </c>
      <c r="AQ9">
        <f>IF(P9=0,0,COUNTIF(Transect1_imgsummary!E9:I9,"ISOP")*100/P9)</f>
        <v>0</v>
      </c>
      <c r="AR9">
        <f>IF(P9=0,0,COUNTIF(Transect1_imgsummary!E9:I9,"LEPT")*100/P9)</f>
        <v>0</v>
      </c>
      <c r="AS9">
        <f>IF(P9=0,0,COUNTIF(Transect1_imgsummary!E9:I9,"LEPTOR")*100/P9)</f>
        <v>0</v>
      </c>
      <c r="AT9">
        <f>IF(P9=0,0,COUNTIF(Transect1_imgsummary!E9:I9,"LEPTOS")*100/P9)</f>
        <v>0</v>
      </c>
      <c r="AU9">
        <f>IF(P9=0,0,COUNTIF(Transect1_imgsummary!E9:I9,"LOBOPH")*100/P9)</f>
        <v>0</v>
      </c>
      <c r="AV9">
        <f>IF(P9=0,0,COUNTIF(Transect1_imgsummary!E9:I9,"MERU")*100/P9)</f>
        <v>0</v>
      </c>
      <c r="AW9">
        <f>IF(P9=0,0,COUNTIF(Transect1_imgsummary!E9:I9,"MILL")*100/P9)</f>
        <v>0</v>
      </c>
      <c r="AX9">
        <f>IF(P9=0,0,COUNTIF(Transect1_imgsummary!E9:I9,"MONT")*100/P9)</f>
        <v>0</v>
      </c>
      <c r="AY9">
        <f>IF(P9=0,0,COUNTIF(Transect1_imgsummary!E9:I9,"MONTI")*100/P9)</f>
        <v>0</v>
      </c>
      <c r="AZ9">
        <f>IF(P9=0,0,COUNTIF(Transect1_imgsummary!E9:I9,"MYCED")*100/P9)</f>
        <v>0</v>
      </c>
      <c r="BA9">
        <f>IF(P9=0,0,COUNTIF(Transect1_imgsummary!E9:I9,"OULO")*100/P9)</f>
        <v>0</v>
      </c>
      <c r="BB9">
        <f>IF(P9=0,0,COUNTIF(Transect1_imgsummary!E9:I9,"OXYP")*100/P9)</f>
        <v>0</v>
      </c>
      <c r="BC9">
        <f>IF(P9=0,0,COUNTIF(Transect1_imgsummary!E9:I9,"PLSIA")*100/P9)</f>
        <v>0</v>
      </c>
      <c r="BD9">
        <f>IF(P9=0,0,COUNTIF(Transect1_imgsummary!E9:I9,"PACHY")*100/P9)</f>
        <v>0</v>
      </c>
      <c r="BE9">
        <f>IF(P9=0,0,COUNTIF(Transect1_imgsummary!E9:I9,"PAV")*100/P9)</f>
        <v>0</v>
      </c>
      <c r="BF9">
        <f>IF(P9=0,0,COUNTIF(Transect1_imgsummary!E9:I9,"PECT")*100/P9)</f>
        <v>0</v>
      </c>
      <c r="BG9">
        <f>IF(P9=0,0,COUNTIF(Transect1_imgsummary!E9:I9,"PHYSO")*100/P9)</f>
        <v>0</v>
      </c>
      <c r="BH9">
        <f>IF(P9=0,0,COUNTIF(Transect1_imgsummary!E9:I9,"PLAT")*100/P9)</f>
        <v>0</v>
      </c>
      <c r="BI9">
        <f>IF(P9=0,0,COUNTIF(Transect1_imgsummary!E9:I9,"PLERO")*100/P9)</f>
        <v>0</v>
      </c>
      <c r="BJ9">
        <f>IF(P9=0,0,COUNTIF(Transect1_imgsummary!E9:I9,"POC")*100/P9)</f>
        <v>0</v>
      </c>
      <c r="BK9">
        <f>IF(P9=0,0,COUNTIF(Transect1_imgsummary!E9:I9,"POR")*100/P9)</f>
        <v>0</v>
      </c>
      <c r="BL9">
        <f>IF(P9=0,0,COUNTIF(Transect1_imgsummary!E9:I9,"PORCYL")*100/P9)</f>
        <v>0</v>
      </c>
      <c r="BM9">
        <f>IF(P9=0,0,COUNTIF(Transect1_imgsummary!E9:I9,"PORMAS")*100/P9)</f>
        <v>0</v>
      </c>
      <c r="BN9">
        <f>IF(P9=0,0,COUNTIF(Transect1_imgsummary!E9:I9,"PORRUS")*100/P9)</f>
        <v>0</v>
      </c>
      <c r="BO9">
        <f>IF(P9=0,0,COUNTIF(Transect1_imgsummary!E9:I9,"PSAM")*100/P9)</f>
        <v>0</v>
      </c>
      <c r="BP9">
        <f>IF(P9=0,0,COUNTIF(Transect1_imgsummary!E9:I9,"SANDO")*100/P9)</f>
        <v>0</v>
      </c>
      <c r="BQ9">
        <f>IF(P9=0,0,COUNTIF(Transect1_imgsummary!E9:I9,"SCAP")*100/P9)</f>
        <v>0</v>
      </c>
      <c r="BR9">
        <f>IF(P9=0,0,COUNTIF(Transect1_imgsummary!E9:I9,"SERIA")*100/P9)</f>
        <v>0</v>
      </c>
      <c r="BS9">
        <f>IF(P9=0,0,COUNTIF(Transect1_imgsummary!E9:I9,"STYLC")*100/P9)</f>
        <v>0</v>
      </c>
      <c r="BT9">
        <f>IF(P9=0,0,COUNTIF(Transect1_imgsummary!E9:I9,"STYLO")*100/P9)</f>
        <v>0</v>
      </c>
      <c r="BU9">
        <f>IF(P9=0,0,COUNTIF(Transect1_imgsummary!E9:I9,"SYMP")*100/P9)</f>
        <v>0</v>
      </c>
      <c r="BV9">
        <f>IF(P9=0,0,COUNTIF(Transect1_imgsummary!E9:I9,"TURBIN")*100/P9)</f>
        <v>0</v>
      </c>
      <c r="BX9">
        <f>IF(P9=0,0,COUNTIF(Transect1_imgsummary!E9:I9,"ANEM")*100/P9)</f>
        <v>0</v>
      </c>
      <c r="BY9">
        <f>IF(P9=0,0,COUNTIF(Transect1_imgsummary!E9:I9,"ASC")*100/P9)</f>
        <v>0</v>
      </c>
      <c r="BZ9">
        <f>IF(P9=0,0,COUNTIF(Transect1_imgsummary!E9:I9,"CUPS")*100/P9)</f>
        <v>0</v>
      </c>
      <c r="CA9">
        <f>IF(P9=0,0,COUNTIF(Transect1_imgsummary!E9:I9,"DISCO")*100/P9)</f>
        <v>0</v>
      </c>
      <c r="CB9">
        <f>IF(P9=0,0,COUNTIF(Transect1_imgsummary!E9:I9,"DYS")*100/P9)</f>
        <v>0</v>
      </c>
      <c r="CC9">
        <f>IF(P9=0,0,COUNTIF(Transect1_imgsummary!E9:I9,"G")*100/P9)</f>
        <v>0</v>
      </c>
      <c r="CD9">
        <f>IF(P9=0,0,COUNTIF(Transect1_imgsummary!E9:I9,"NoIDINV")*100/P9)</f>
        <v>0</v>
      </c>
      <c r="CE9">
        <f>IF(P9=0,0,COUNTIF(Transect1_imgsummary!E9:I9,"OLV")*100/P9)</f>
        <v>0</v>
      </c>
      <c r="CF9">
        <f>IF(P9=0,0,COUNTIF(Transect1_imgsummary!E9:I9,"SC")*100/P9)</f>
        <v>0</v>
      </c>
      <c r="CG9">
        <f>IF(P9=0,0,COUNTIF(Transect1_imgsummary!E9:I9,"S")*100/P9)</f>
        <v>0</v>
      </c>
      <c r="CH9">
        <f>IF(P9=0,0,COUNTIF(Transect1_imgsummary!E9:I9,"TERPS")*100/P9)</f>
        <v>0</v>
      </c>
      <c r="CI9">
        <f>IF(P9=0,0,COUNTIF(Transect1_imgsummary!E9:I9,"Z")*100/P9)</f>
        <v>0</v>
      </c>
      <c r="CK9">
        <f>IF(P9=0,0,COUNTIF(Transect1_imgsummary!E9:I9,"ASP")*100/P9)</f>
        <v>0</v>
      </c>
      <c r="CL9">
        <f>IF(P9=0,0,COUNTIF(Transect1_imgsummary!E9:I9,"BG")*100/P9)</f>
        <v>0</v>
      </c>
      <c r="CM9">
        <f>IF(P9=0,0,COUNTIF(Transect1_imgsummary!E9:I9,"Bood")*100/P9)</f>
        <v>0</v>
      </c>
      <c r="CN9">
        <f>IF(P9=0,0,COUNTIF(Transect1_imgsummary!E9:I9,"BRYP")*100/P9)</f>
        <v>0</v>
      </c>
      <c r="CO9">
        <f>IF(P9=0,0,COUNTIF(Transect1_imgsummary!E9:I9,"CLP")*100/P9)</f>
        <v>0</v>
      </c>
      <c r="CP9">
        <f>IF(P9=0,0,COUNTIF(Transect1_imgsummary!E9:I9,"CHLDES")*100/P9)</f>
        <v>0</v>
      </c>
      <c r="CQ9">
        <f>IF(P9=0,0,COUNTIF(Transect1_imgsummary!E9:I9,"DYCTY")*100/P9)</f>
        <v>0</v>
      </c>
      <c r="CR9">
        <f>IF(P9=0,0,COUNTIF(Transect1_imgsummary!E9:I9,"DICT")*100/P9)</f>
        <v>0</v>
      </c>
      <c r="CS9">
        <f>IF(P9=0,0,COUNTIF(Transect1_imgsummary!E9:I9,"GLXU")*100/P9)</f>
        <v>0</v>
      </c>
      <c r="CT9">
        <f>IF(P9=0,0,COUNTIF(Transect1_imgsummary!E9:I9,"HALI")*100/P9)</f>
        <v>0</v>
      </c>
      <c r="CU9">
        <f>IF(P9=0,0,COUNTIF(Transect1_imgsummary!E9:I9,"LIAG")*100/P9)</f>
        <v>0</v>
      </c>
      <c r="CV9">
        <f>IF(P9=0,0,COUNTIF(Transect1_imgsummary!E9:I9,"LOBO")*100/P9)</f>
        <v>0</v>
      </c>
      <c r="CW9">
        <f>IF(P9=0,0,COUNTIF(Transect1_imgsummary!E9:I9,"MAST")*100/P9)</f>
        <v>0</v>
      </c>
      <c r="CX9">
        <f>IF(P9=0,0,COUNTIF(Transect1_imgsummary!E9:I9,"MICDTY")*100/P9)</f>
        <v>0</v>
      </c>
      <c r="CY9">
        <f>IF(P9=0,0,COUNTIF(Transect1_imgsummary!E9:I9,"NEOM")*100/P9)</f>
        <v>0</v>
      </c>
      <c r="CZ9">
        <f>IF(P9=0,0,COUNTIF(Transect1_imgsummary!E9:I9,"NOIDMAC")*100/P9)</f>
        <v>0</v>
      </c>
      <c r="DA9">
        <f>IF(P9=0,0,COUNTIF(Transect1_imgsummary!E9:I9,"PAD")*100/P9)</f>
        <v>0</v>
      </c>
      <c r="DB9">
        <f>IF(P9=0,0,COUNTIF(Transect1_imgsummary!E9:I9,"SARG")*100/P9)</f>
        <v>0</v>
      </c>
      <c r="DC9">
        <f>IF(P9=0,0,COUNTIF(Transect1_imgsummary!E9:I9,"SCHIZ")*100/P9)</f>
        <v>0</v>
      </c>
      <c r="DD9">
        <f>IF(P9=0,0,COUNTIF(Transect1_imgsummary!E9:I9,"TURB")*100/P9)</f>
        <v>0</v>
      </c>
      <c r="DE9">
        <f>IF(P9=0,0,COUNTIF(Transect1_imgsummary!E9:I9,"TYDM")*100/P9)</f>
        <v>0</v>
      </c>
      <c r="DG9">
        <f>IF(P9=0,0,COUNTIF(Transect1_imgsummary!E9:I9,"AMP")*100/P9)</f>
        <v>0</v>
      </c>
      <c r="DH9" s="29">
        <f>IF(P9=0,0,COUNTIF(Transect1_imgsummary!E9:I9,"BCA1")*100/P9)</f>
        <v>20</v>
      </c>
      <c r="DI9">
        <f>IF(P9=0,0,COUNTIF(Transect1_imgsummary!E9:I9,"JAN")*100/P9)</f>
        <v>0</v>
      </c>
      <c r="DK9" s="29">
        <f>IF(P9=0,0,COUNTIF(Transect1_imgsummary!E9:I9,"CCA1")*100/P9)</f>
        <v>40</v>
      </c>
      <c r="DM9">
        <f>IF(P9=0,0,COUNTIF(Transect1_imgsummary!E9:I9,"Sand")*100/P9)</f>
        <v>0</v>
      </c>
      <c r="DO9">
        <f>IF(P9=0,0,COUNTIF(Transect1_imgsummary!E9:I9,"FCA1")*100/P9)</f>
        <v>0</v>
      </c>
      <c r="DQ9">
        <f>IF(P9=0,0,COUNTIF(Transect1_imgsummary!E9:I9,"CHRYOBRN")*100/P9)</f>
        <v>0</v>
      </c>
      <c r="DS9" s="29">
        <f>IF(P9=0,0,COUNTIF(Transect1_imgsummary!E9:I9,"TURF")*100/P9)</f>
        <v>20</v>
      </c>
      <c r="DU9">
        <f>COUNTIF(Transect1_imgsummary!E9:I9,"Shadow")*100/5</f>
        <v>0</v>
      </c>
      <c r="DV9">
        <f>COUNTIF(Transect1_imgsummary!E9:I9,"Tape")*100/5</f>
        <v>0</v>
      </c>
      <c r="DW9">
        <f>COUNTIF(Transect1_imgsummary!E9:I9,"Wand")*100/5</f>
        <v>0</v>
      </c>
      <c r="DY9">
        <f>IF(P9=0,0,COUNTIF(Transect1_imgsummary!O9:S9,"BC")*100/P9)</f>
        <v>0</v>
      </c>
    </row>
    <row r="10" spans="1:129">
      <c r="A10">
        <v>8</v>
      </c>
      <c r="B10" t="s">
        <v>43</v>
      </c>
      <c r="F10" s="29">
        <f>IF(P10=0,0,COUNTIF(Transect1_imgsummary!J10:N10,"C")*100/P10)</f>
        <v>25</v>
      </c>
      <c r="G10">
        <f>IF(P10=0,0,COUNTIF(Transect1_imgsummary!J10:N10,"OI")*100/P10)</f>
        <v>0</v>
      </c>
      <c r="H10">
        <f>IF(P10=0,0,COUNTIF(Transect1_imgsummary!J10:N10,"MA")*100/P10)</f>
        <v>0</v>
      </c>
      <c r="I10">
        <f>IF(P10=0,0,COUNTIF(Transect1_imgsummary!J10:N10,"BCA")*100/P10)</f>
        <v>0</v>
      </c>
      <c r="J10" s="29">
        <f>IF(P10=0,0,COUNTIF(Transect1_imgsummary!J10:N10,"CCA")*100/P10)</f>
        <v>25</v>
      </c>
      <c r="K10">
        <f>IF(P10=0,0,COUNTIF(Transect1_imgsummary!J10:N10,"SD")*100/P10)</f>
        <v>0</v>
      </c>
      <c r="L10">
        <f>IF(P10=0,0,COUNTIF(Transect1_imgsummary!J10:N10,"FCA")*100/P10)</f>
        <v>0</v>
      </c>
      <c r="M10">
        <f>IF(P10=0,0,COUNTIF(Transect1_imgsummary!J10:N10,"CHRYS")*100/P10)</f>
        <v>0</v>
      </c>
      <c r="N10" s="29">
        <f>IF(P10=0,0,COUNTIF(Transect1_imgsummary!J10:N10,"T")*100/P10)</f>
        <v>50</v>
      </c>
      <c r="O10" s="29">
        <f>IF(P10=0,0,COUNTIF(Transect1_imgsummary!J10:N10,"TWS")*100/P10)</f>
        <v>25</v>
      </c>
      <c r="P10">
        <f>5-COUNTIF(Transect1_imgsummary!J10:N10,"TWS")</f>
        <v>4</v>
      </c>
      <c r="S10">
        <f>IF(P10=0,0,COUNTIF(Transect1_imgsummary!E10:I10,"ACAN")*100/P10)</f>
        <v>0</v>
      </c>
      <c r="T10">
        <f>IF(P10=0,0,COUNTIF(Transect1_imgsummary!E10:I10,"ACROP")*100/P10)</f>
        <v>0</v>
      </c>
      <c r="U10">
        <f>IF(P10=0,0,COUNTIF(Transect1_imgsummary!E10:I10,"ACROPARB")*100/P10)</f>
        <v>0</v>
      </c>
      <c r="V10">
        <f>IF(P10=0,0,COUNTIF(Transect1_imgsummary!E10:I10,"ACROST")*100/P10)</f>
        <v>0</v>
      </c>
      <c r="W10">
        <f>IF(P10=0,0,COUNTIF(Transect1_imgsummary!E10:I10,"ACROTBL")*100/P10)</f>
        <v>0</v>
      </c>
      <c r="X10">
        <f>IF(P10=0,0,COUNTIF(Transect1_imgsummary!E10:I10,"ASTRP")*100/P10)</f>
        <v>0</v>
      </c>
      <c r="Y10">
        <f>IF(P10=0,0,COUNTIF(Transect1_imgsummary!E10:I10,"CAUL")*100/P10)</f>
        <v>0</v>
      </c>
      <c r="Z10">
        <f>IF(P10=0,0,COUNTIF(Transect1_imgsummary!E10:I10,"COSC")*100/P10)</f>
        <v>0</v>
      </c>
      <c r="AA10">
        <f>IF(P10=0,0,COUNTIF(Transect1_imgsummary!E10:I10,"CTEN")*100/P10)</f>
        <v>0</v>
      </c>
      <c r="AB10">
        <f>IF(P10=0,0,COUNTIF(Transect1_imgsummary!E10:I10,"CYPH")*100/P10)</f>
        <v>0</v>
      </c>
      <c r="AC10">
        <f>IF(P10=0,0,COUNTIF(Transect1_imgsummary!E10:I10,"DIPLO")*100/P10)</f>
        <v>0</v>
      </c>
      <c r="AD10" s="29">
        <f>IF(P10=0,0,COUNTIF(Transect1_imgsummary!E10:I10,"ECHPO")*100/P10)</f>
        <v>25</v>
      </c>
      <c r="AE10">
        <f>IF(P10=0,0,COUNTIF(Transect1_imgsummary!E10:I10,"ECHPHY")*100/P10)</f>
        <v>0</v>
      </c>
      <c r="AF10">
        <f>IF(P10=0,0,COUNTIF(Transect1_imgsummary!E10:I10,"EUPH")*100/P10)</f>
        <v>0</v>
      </c>
      <c r="AG10">
        <f>IF(P10=0,0,COUNTIF(Transect1_imgsummary!E10:I10,"FAV")*100/P10)</f>
        <v>0</v>
      </c>
      <c r="AH10">
        <f>IF(P10=0,0,COUNTIF(Transect1_imgsummary!E10:I10,"FAVT")*100/P10)</f>
        <v>0</v>
      </c>
      <c r="AI10">
        <f>IF(P10=0,0,COUNTIF(Transect1_imgsummary!E10:I10,"FUNG")*100/P10)</f>
        <v>0</v>
      </c>
      <c r="AJ10">
        <f>IF(P10=0,0,COUNTIF(Transect1_imgsummary!E10:I10,"GAL")*100/P10)</f>
        <v>0</v>
      </c>
      <c r="AK10">
        <f>IF(P10=0,0,COUNTIF(Transect1_imgsummary!E10:I10,"GARD")*100/P10)</f>
        <v>0</v>
      </c>
      <c r="AL10">
        <f>IF(P10=0,0,COUNTIF(Transect1_imgsummary!E10:I10,"GON")*100/P10)</f>
        <v>0</v>
      </c>
      <c r="AM10">
        <f>IF(P10=0,0,COUNTIF(Transect1_imgsummary!E10:I10,"GONIO")*100/P10)</f>
        <v>0</v>
      </c>
      <c r="AN10">
        <f>IF(P10=0,0,COUNTIF(Transect1_imgsummary!E10:I10,"HELIO")*100/P10)</f>
        <v>0</v>
      </c>
      <c r="AO10">
        <f>IF(P10=0,0,COUNTIF(Transect1_imgsummary!E10:I10,"HERP")*100/P10)</f>
        <v>0</v>
      </c>
      <c r="AP10">
        <f>IF(P10=0,0,COUNTIF(Transect1_imgsummary!E10:I10,"HYD")*100/P10)</f>
        <v>0</v>
      </c>
      <c r="AQ10">
        <f>IF(P10=0,0,COUNTIF(Transect1_imgsummary!E10:I10,"ISOP")*100/P10)</f>
        <v>0</v>
      </c>
      <c r="AR10">
        <f>IF(P10=0,0,COUNTIF(Transect1_imgsummary!E10:I10,"LEPT")*100/P10)</f>
        <v>0</v>
      </c>
      <c r="AS10">
        <f>IF(P10=0,0,COUNTIF(Transect1_imgsummary!E10:I10,"LEPTOR")*100/P10)</f>
        <v>0</v>
      </c>
      <c r="AT10">
        <f>IF(P10=0,0,COUNTIF(Transect1_imgsummary!E10:I10,"LEPTOS")*100/P10)</f>
        <v>0</v>
      </c>
      <c r="AU10">
        <f>IF(P10=0,0,COUNTIF(Transect1_imgsummary!E10:I10,"LOBOPH")*100/P10)</f>
        <v>0</v>
      </c>
      <c r="AV10">
        <f>IF(P10=0,0,COUNTIF(Transect1_imgsummary!E10:I10,"MERU")*100/P10)</f>
        <v>0</v>
      </c>
      <c r="AW10">
        <f>IF(P10=0,0,COUNTIF(Transect1_imgsummary!E10:I10,"MILL")*100/P10)</f>
        <v>0</v>
      </c>
      <c r="AX10">
        <f>IF(P10=0,0,COUNTIF(Transect1_imgsummary!E10:I10,"MONT")*100/P10)</f>
        <v>0</v>
      </c>
      <c r="AY10">
        <f>IF(P10=0,0,COUNTIF(Transect1_imgsummary!E10:I10,"MONTI")*100/P10)</f>
        <v>0</v>
      </c>
      <c r="AZ10">
        <f>IF(P10=0,0,COUNTIF(Transect1_imgsummary!E10:I10,"MYCED")*100/P10)</f>
        <v>0</v>
      </c>
      <c r="BA10">
        <f>IF(P10=0,0,COUNTIF(Transect1_imgsummary!E10:I10,"OULO")*100/P10)</f>
        <v>0</v>
      </c>
      <c r="BB10">
        <f>IF(P10=0,0,COUNTIF(Transect1_imgsummary!E10:I10,"OXYP")*100/P10)</f>
        <v>0</v>
      </c>
      <c r="BC10">
        <f>IF(P10=0,0,COUNTIF(Transect1_imgsummary!E10:I10,"PLSIA")*100/P10)</f>
        <v>0</v>
      </c>
      <c r="BD10">
        <f>IF(P10=0,0,COUNTIF(Transect1_imgsummary!E10:I10,"PACHY")*100/P10)</f>
        <v>0</v>
      </c>
      <c r="BE10">
        <f>IF(P10=0,0,COUNTIF(Transect1_imgsummary!E10:I10,"PAV")*100/P10)</f>
        <v>0</v>
      </c>
      <c r="BF10">
        <f>IF(P10=0,0,COUNTIF(Transect1_imgsummary!E10:I10,"PECT")*100/P10)</f>
        <v>0</v>
      </c>
      <c r="BG10">
        <f>IF(P10=0,0,COUNTIF(Transect1_imgsummary!E10:I10,"PHYSO")*100/P10)</f>
        <v>0</v>
      </c>
      <c r="BH10">
        <f>IF(P10=0,0,COUNTIF(Transect1_imgsummary!E10:I10,"PLAT")*100/P10)</f>
        <v>0</v>
      </c>
      <c r="BI10">
        <f>IF(P10=0,0,COUNTIF(Transect1_imgsummary!E10:I10,"PLERO")*100/P10)</f>
        <v>0</v>
      </c>
      <c r="BJ10">
        <f>IF(P10=0,0,COUNTIF(Transect1_imgsummary!E10:I10,"POC")*100/P10)</f>
        <v>0</v>
      </c>
      <c r="BK10">
        <f>IF(P10=0,0,COUNTIF(Transect1_imgsummary!E10:I10,"POR")*100/P10)</f>
        <v>0</v>
      </c>
      <c r="BL10">
        <f>IF(P10=0,0,COUNTIF(Transect1_imgsummary!E10:I10,"PORCYL")*100/P10)</f>
        <v>0</v>
      </c>
      <c r="BM10">
        <f>IF(P10=0,0,COUNTIF(Transect1_imgsummary!E10:I10,"PORMAS")*100/P10)</f>
        <v>0</v>
      </c>
      <c r="BN10">
        <f>IF(P10=0,0,COUNTIF(Transect1_imgsummary!E10:I10,"PORRUS")*100/P10)</f>
        <v>0</v>
      </c>
      <c r="BO10">
        <f>IF(P10=0,0,COUNTIF(Transect1_imgsummary!E10:I10,"PSAM")*100/P10)</f>
        <v>0</v>
      </c>
      <c r="BP10">
        <f>IF(P10=0,0,COUNTIF(Transect1_imgsummary!E10:I10,"SANDO")*100/P10)</f>
        <v>0</v>
      </c>
      <c r="BQ10">
        <f>IF(P10=0,0,COUNTIF(Transect1_imgsummary!E10:I10,"SCAP")*100/P10)</f>
        <v>0</v>
      </c>
      <c r="BR10">
        <f>IF(P10=0,0,COUNTIF(Transect1_imgsummary!E10:I10,"SERIA")*100/P10)</f>
        <v>0</v>
      </c>
      <c r="BS10">
        <f>IF(P10=0,0,COUNTIF(Transect1_imgsummary!E10:I10,"STYLC")*100/P10)</f>
        <v>0</v>
      </c>
      <c r="BT10">
        <f>IF(P10=0,0,COUNTIF(Transect1_imgsummary!E10:I10,"STYLO")*100/P10)</f>
        <v>0</v>
      </c>
      <c r="BU10">
        <f>IF(P10=0,0,COUNTIF(Transect1_imgsummary!E10:I10,"SYMP")*100/P10)</f>
        <v>0</v>
      </c>
      <c r="BV10">
        <f>IF(P10=0,0,COUNTIF(Transect1_imgsummary!E10:I10,"TURBIN")*100/P10)</f>
        <v>0</v>
      </c>
      <c r="BX10">
        <f>IF(P10=0,0,COUNTIF(Transect1_imgsummary!E10:I10,"ANEM")*100/P10)</f>
        <v>0</v>
      </c>
      <c r="BY10">
        <f>IF(P10=0,0,COUNTIF(Transect1_imgsummary!E10:I10,"ASC")*100/P10)</f>
        <v>0</v>
      </c>
      <c r="BZ10">
        <f>IF(P10=0,0,COUNTIF(Transect1_imgsummary!E10:I10,"CUPS")*100/P10)</f>
        <v>0</v>
      </c>
      <c r="CA10">
        <f>IF(P10=0,0,COUNTIF(Transect1_imgsummary!E10:I10,"DISCO")*100/P10)</f>
        <v>0</v>
      </c>
      <c r="CB10">
        <f>IF(P10=0,0,COUNTIF(Transect1_imgsummary!E10:I10,"DYS")*100/P10)</f>
        <v>0</v>
      </c>
      <c r="CC10">
        <f>IF(P10=0,0,COUNTIF(Transect1_imgsummary!E10:I10,"G")*100/P10)</f>
        <v>0</v>
      </c>
      <c r="CD10">
        <f>IF(P10=0,0,COUNTIF(Transect1_imgsummary!E10:I10,"NoIDINV")*100/P10)</f>
        <v>0</v>
      </c>
      <c r="CE10">
        <f>IF(P10=0,0,COUNTIF(Transect1_imgsummary!E10:I10,"OLV")*100/P10)</f>
        <v>0</v>
      </c>
      <c r="CF10">
        <f>IF(P10=0,0,COUNTIF(Transect1_imgsummary!E10:I10,"SC")*100/P10)</f>
        <v>0</v>
      </c>
      <c r="CG10">
        <f>IF(P10=0,0,COUNTIF(Transect1_imgsummary!E10:I10,"S")*100/P10)</f>
        <v>0</v>
      </c>
      <c r="CH10">
        <f>IF(P10=0,0,COUNTIF(Transect1_imgsummary!E10:I10,"TERPS")*100/P10)</f>
        <v>0</v>
      </c>
      <c r="CI10">
        <f>IF(P10=0,0,COUNTIF(Transect1_imgsummary!E10:I10,"Z")*100/P10)</f>
        <v>0</v>
      </c>
      <c r="CK10">
        <f>IF(P10=0,0,COUNTIF(Transect1_imgsummary!E10:I10,"ASP")*100/P10)</f>
        <v>0</v>
      </c>
      <c r="CL10">
        <f>IF(P10=0,0,COUNTIF(Transect1_imgsummary!E10:I10,"BG")*100/P10)</f>
        <v>0</v>
      </c>
      <c r="CM10">
        <f>IF(P10=0,0,COUNTIF(Transect1_imgsummary!E10:I10,"Bood")*100/P10)</f>
        <v>0</v>
      </c>
      <c r="CN10">
        <f>IF(P10=0,0,COUNTIF(Transect1_imgsummary!E10:I10,"BRYP")*100/P10)</f>
        <v>0</v>
      </c>
      <c r="CO10">
        <f>IF(P10=0,0,COUNTIF(Transect1_imgsummary!E10:I10,"CLP")*100/P10)</f>
        <v>0</v>
      </c>
      <c r="CP10">
        <f>IF(P10=0,0,COUNTIF(Transect1_imgsummary!E10:I10,"CHLDES")*100/P10)</f>
        <v>0</v>
      </c>
      <c r="CQ10">
        <f>IF(P10=0,0,COUNTIF(Transect1_imgsummary!E10:I10,"DYCTY")*100/P10)</f>
        <v>0</v>
      </c>
      <c r="CR10">
        <f>IF(P10=0,0,COUNTIF(Transect1_imgsummary!E10:I10,"DICT")*100/P10)</f>
        <v>0</v>
      </c>
      <c r="CS10">
        <f>IF(P10=0,0,COUNTIF(Transect1_imgsummary!E10:I10,"GLXU")*100/P10)</f>
        <v>0</v>
      </c>
      <c r="CT10">
        <f>IF(P10=0,0,COUNTIF(Transect1_imgsummary!E10:I10,"HALI")*100/P10)</f>
        <v>0</v>
      </c>
      <c r="CU10">
        <f>IF(P10=0,0,COUNTIF(Transect1_imgsummary!E10:I10,"LIAG")*100/P10)</f>
        <v>0</v>
      </c>
      <c r="CV10">
        <f>IF(P10=0,0,COUNTIF(Transect1_imgsummary!E10:I10,"LOBO")*100/P10)</f>
        <v>0</v>
      </c>
      <c r="CW10">
        <f>IF(P10=0,0,COUNTIF(Transect1_imgsummary!E10:I10,"MAST")*100/P10)</f>
        <v>0</v>
      </c>
      <c r="CX10">
        <f>IF(P10=0,0,COUNTIF(Transect1_imgsummary!E10:I10,"MICDTY")*100/P10)</f>
        <v>0</v>
      </c>
      <c r="CY10">
        <f>IF(P10=0,0,COUNTIF(Transect1_imgsummary!E10:I10,"NEOM")*100/P10)</f>
        <v>0</v>
      </c>
      <c r="CZ10">
        <f>IF(P10=0,0,COUNTIF(Transect1_imgsummary!E10:I10,"NOIDMAC")*100/P10)</f>
        <v>0</v>
      </c>
      <c r="DA10">
        <f>IF(P10=0,0,COUNTIF(Transect1_imgsummary!E10:I10,"PAD")*100/P10)</f>
        <v>0</v>
      </c>
      <c r="DB10">
        <f>IF(P10=0,0,COUNTIF(Transect1_imgsummary!E10:I10,"SARG")*100/P10)</f>
        <v>0</v>
      </c>
      <c r="DC10">
        <f>IF(P10=0,0,COUNTIF(Transect1_imgsummary!E10:I10,"SCHIZ")*100/P10)</f>
        <v>0</v>
      </c>
      <c r="DD10">
        <f>IF(P10=0,0,COUNTIF(Transect1_imgsummary!E10:I10,"TURB")*100/P10)</f>
        <v>0</v>
      </c>
      <c r="DE10">
        <f>IF(P10=0,0,COUNTIF(Transect1_imgsummary!E10:I10,"TYDM")*100/P10)</f>
        <v>0</v>
      </c>
      <c r="DG10">
        <f>IF(P10=0,0,COUNTIF(Transect1_imgsummary!E10:I10,"AMP")*100/P10)</f>
        <v>0</v>
      </c>
      <c r="DH10">
        <f>IF(P10=0,0,COUNTIF(Transect1_imgsummary!E10:I10,"BCA1")*100/P10)</f>
        <v>0</v>
      </c>
      <c r="DI10">
        <f>IF(P10=0,0,COUNTIF(Transect1_imgsummary!E10:I10,"JAN")*100/P10)</f>
        <v>0</v>
      </c>
      <c r="DK10" s="29">
        <f>IF(P10=0,0,COUNTIF(Transect1_imgsummary!E10:I10,"CCA1")*100/P10)</f>
        <v>25</v>
      </c>
      <c r="DM10">
        <f>IF(P10=0,0,COUNTIF(Transect1_imgsummary!E10:I10,"Sand")*100/P10)</f>
        <v>0</v>
      </c>
      <c r="DO10">
        <f>IF(P10=0,0,COUNTIF(Transect1_imgsummary!E10:I10,"FCA1")*100/P10)</f>
        <v>0</v>
      </c>
      <c r="DQ10">
        <f>IF(P10=0,0,COUNTIF(Transect1_imgsummary!E10:I10,"CHRYOBRN")*100/P10)</f>
        <v>0</v>
      </c>
      <c r="DS10" s="29">
        <f>IF(P10=0,0,COUNTIF(Transect1_imgsummary!E10:I10,"TURF")*100/P10)</f>
        <v>50</v>
      </c>
      <c r="DU10" s="29">
        <f>COUNTIF(Transect1_imgsummary!E10:I10,"Shadow")*100/5</f>
        <v>20</v>
      </c>
      <c r="DV10">
        <f>COUNTIF(Transect1_imgsummary!E10:I10,"Tape")*100/5</f>
        <v>0</v>
      </c>
      <c r="DW10">
        <f>COUNTIF(Transect1_imgsummary!E10:I10,"Wand")*100/5</f>
        <v>0</v>
      </c>
      <c r="DY10">
        <f>IF(P10=0,0,COUNTIF(Transect1_imgsummary!O10:S10,"BC")*100/P10)</f>
        <v>0</v>
      </c>
    </row>
    <row r="11" spans="1:129">
      <c r="A11">
        <v>9</v>
      </c>
      <c r="B11" t="s">
        <v>46</v>
      </c>
      <c r="F11" s="29">
        <f>IF(P11=0,0,COUNTIF(Transect1_imgsummary!J11:N11,"C")*100/P11)</f>
        <v>80</v>
      </c>
      <c r="G11">
        <f>IF(P11=0,0,COUNTIF(Transect1_imgsummary!J11:N11,"OI")*100/P11)</f>
        <v>0</v>
      </c>
      <c r="H11">
        <f>IF(P11=0,0,COUNTIF(Transect1_imgsummary!J11:N11,"MA")*100/P11)</f>
        <v>0</v>
      </c>
      <c r="I11">
        <f>IF(P11=0,0,COUNTIF(Transect1_imgsummary!J11:N11,"BCA")*100/P11)</f>
        <v>0</v>
      </c>
      <c r="J11" s="29">
        <f>IF(P11=0,0,COUNTIF(Transect1_imgsummary!J11:N11,"CCA")*100/P11)</f>
        <v>20</v>
      </c>
      <c r="K11">
        <f>IF(P11=0,0,COUNTIF(Transect1_imgsummary!J11:N11,"SD")*100/P11)</f>
        <v>0</v>
      </c>
      <c r="L11">
        <f>IF(P11=0,0,COUNTIF(Transect1_imgsummary!J11:N11,"FCA")*100/P11)</f>
        <v>0</v>
      </c>
      <c r="M11">
        <f>IF(P11=0,0,COUNTIF(Transect1_imgsummary!J11:N11,"CHRYS")*100/P11)</f>
        <v>0</v>
      </c>
      <c r="N11">
        <f>IF(P11=0,0,COUNTIF(Transect1_imgsummary!J11:N11,"T")*100/P11)</f>
        <v>0</v>
      </c>
      <c r="O11">
        <f>IF(P11=0,0,COUNTIF(Transect1_imgsummary!J11:N11,"TWS")*100/P11)</f>
        <v>0</v>
      </c>
      <c r="P11">
        <f>5-COUNTIF(Transect1_imgsummary!J11:N11,"TWS")</f>
        <v>5</v>
      </c>
      <c r="S11">
        <f>IF(P11=0,0,COUNTIF(Transect1_imgsummary!E11:I11,"ACAN")*100/P11)</f>
        <v>0</v>
      </c>
      <c r="T11">
        <f>IF(P11=0,0,COUNTIF(Transect1_imgsummary!E11:I11,"ACROP")*100/P11)</f>
        <v>0</v>
      </c>
      <c r="U11">
        <f>IF(P11=0,0,COUNTIF(Transect1_imgsummary!E11:I11,"ACROPARB")*100/P11)</f>
        <v>0</v>
      </c>
      <c r="V11">
        <f>IF(P11=0,0,COUNTIF(Transect1_imgsummary!E11:I11,"ACROST")*100/P11)</f>
        <v>0</v>
      </c>
      <c r="W11" s="29">
        <f>IF(P11=0,0,COUNTIF(Transect1_imgsummary!E11:I11,"ACROTBL")*100/P11)</f>
        <v>80</v>
      </c>
      <c r="X11">
        <f>IF(P11=0,0,COUNTIF(Transect1_imgsummary!E11:I11,"ASTRP")*100/P11)</f>
        <v>0</v>
      </c>
      <c r="Y11">
        <f>IF(P11=0,0,COUNTIF(Transect1_imgsummary!E11:I11,"CAUL")*100/P11)</f>
        <v>0</v>
      </c>
      <c r="Z11">
        <f>IF(P11=0,0,COUNTIF(Transect1_imgsummary!E11:I11,"COSC")*100/P11)</f>
        <v>0</v>
      </c>
      <c r="AA11">
        <f>IF(P11=0,0,COUNTIF(Transect1_imgsummary!E11:I11,"CTEN")*100/P11)</f>
        <v>0</v>
      </c>
      <c r="AB11">
        <f>IF(P11=0,0,COUNTIF(Transect1_imgsummary!E11:I11,"CYPH")*100/P11)</f>
        <v>0</v>
      </c>
      <c r="AC11">
        <f>IF(P11=0,0,COUNTIF(Transect1_imgsummary!E11:I11,"DIPLO")*100/P11)</f>
        <v>0</v>
      </c>
      <c r="AD11">
        <f>IF(P11=0,0,COUNTIF(Transect1_imgsummary!E11:I11,"ECHPO")*100/P11)</f>
        <v>0</v>
      </c>
      <c r="AE11">
        <f>IF(P11=0,0,COUNTIF(Transect1_imgsummary!E11:I11,"ECHPHY")*100/P11)</f>
        <v>0</v>
      </c>
      <c r="AF11">
        <f>IF(P11=0,0,COUNTIF(Transect1_imgsummary!E11:I11,"EUPH")*100/P11)</f>
        <v>0</v>
      </c>
      <c r="AG11">
        <f>IF(P11=0,0,COUNTIF(Transect1_imgsummary!E11:I11,"FAV")*100/P11)</f>
        <v>0</v>
      </c>
      <c r="AH11">
        <f>IF(P11=0,0,COUNTIF(Transect1_imgsummary!E11:I11,"FAVT")*100/P11)</f>
        <v>0</v>
      </c>
      <c r="AI11">
        <f>IF(P11=0,0,COUNTIF(Transect1_imgsummary!E11:I11,"FUNG")*100/P11)</f>
        <v>0</v>
      </c>
      <c r="AJ11">
        <f>IF(P11=0,0,COUNTIF(Transect1_imgsummary!E11:I11,"GAL")*100/P11)</f>
        <v>0</v>
      </c>
      <c r="AK11">
        <f>IF(P11=0,0,COUNTIF(Transect1_imgsummary!E11:I11,"GARD")*100/P11)</f>
        <v>0</v>
      </c>
      <c r="AL11">
        <f>IF(P11=0,0,COUNTIF(Transect1_imgsummary!E11:I11,"GON")*100/P11)</f>
        <v>0</v>
      </c>
      <c r="AM11">
        <f>IF(P11=0,0,COUNTIF(Transect1_imgsummary!E11:I11,"GONIO")*100/P11)</f>
        <v>0</v>
      </c>
      <c r="AN11">
        <f>IF(P11=0,0,COUNTIF(Transect1_imgsummary!E11:I11,"HELIO")*100/P11)</f>
        <v>0</v>
      </c>
      <c r="AO11">
        <f>IF(P11=0,0,COUNTIF(Transect1_imgsummary!E11:I11,"HERP")*100/P11)</f>
        <v>0</v>
      </c>
      <c r="AP11">
        <f>IF(P11=0,0,COUNTIF(Transect1_imgsummary!E11:I11,"HYD")*100/P11)</f>
        <v>0</v>
      </c>
      <c r="AQ11">
        <f>IF(P11=0,0,COUNTIF(Transect1_imgsummary!E11:I11,"ISOP")*100/P11)</f>
        <v>0</v>
      </c>
      <c r="AR11">
        <f>IF(P11=0,0,COUNTIF(Transect1_imgsummary!E11:I11,"LEPT")*100/P11)</f>
        <v>0</v>
      </c>
      <c r="AS11">
        <f>IF(P11=0,0,COUNTIF(Transect1_imgsummary!E11:I11,"LEPTOR")*100/P11)</f>
        <v>0</v>
      </c>
      <c r="AT11">
        <f>IF(P11=0,0,COUNTIF(Transect1_imgsummary!E11:I11,"LEPTOS")*100/P11)</f>
        <v>0</v>
      </c>
      <c r="AU11">
        <f>IF(P11=0,0,COUNTIF(Transect1_imgsummary!E11:I11,"LOBOPH")*100/P11)</f>
        <v>0</v>
      </c>
      <c r="AV11">
        <f>IF(P11=0,0,COUNTIF(Transect1_imgsummary!E11:I11,"MERU")*100/P11)</f>
        <v>0</v>
      </c>
      <c r="AW11">
        <f>IF(P11=0,0,COUNTIF(Transect1_imgsummary!E11:I11,"MILL")*100/P11)</f>
        <v>0</v>
      </c>
      <c r="AX11">
        <f>IF(P11=0,0,COUNTIF(Transect1_imgsummary!E11:I11,"MONT")*100/P11)</f>
        <v>0</v>
      </c>
      <c r="AY11">
        <f>IF(P11=0,0,COUNTIF(Transect1_imgsummary!E11:I11,"MONTI")*100/P11)</f>
        <v>0</v>
      </c>
      <c r="AZ11">
        <f>IF(P11=0,0,COUNTIF(Transect1_imgsummary!E11:I11,"MYCED")*100/P11)</f>
        <v>0</v>
      </c>
      <c r="BA11">
        <f>IF(P11=0,0,COUNTIF(Transect1_imgsummary!E11:I11,"OULO")*100/P11)</f>
        <v>0</v>
      </c>
      <c r="BB11">
        <f>IF(P11=0,0,COUNTIF(Transect1_imgsummary!E11:I11,"OXYP")*100/P11)</f>
        <v>0</v>
      </c>
      <c r="BC11">
        <f>IF(P11=0,0,COUNTIF(Transect1_imgsummary!E11:I11,"PLSIA")*100/P11)</f>
        <v>0</v>
      </c>
      <c r="BD11">
        <f>IF(P11=0,0,COUNTIF(Transect1_imgsummary!E11:I11,"PACHY")*100/P11)</f>
        <v>0</v>
      </c>
      <c r="BE11">
        <f>IF(P11=0,0,COUNTIF(Transect1_imgsummary!E11:I11,"PAV")*100/P11)</f>
        <v>0</v>
      </c>
      <c r="BF11">
        <f>IF(P11=0,0,COUNTIF(Transect1_imgsummary!E11:I11,"PECT")*100/P11)</f>
        <v>0</v>
      </c>
      <c r="BG11">
        <f>IF(P11=0,0,COUNTIF(Transect1_imgsummary!E11:I11,"PHYSO")*100/P11)</f>
        <v>0</v>
      </c>
      <c r="BH11">
        <f>IF(P11=0,0,COUNTIF(Transect1_imgsummary!E11:I11,"PLAT")*100/P11)</f>
        <v>0</v>
      </c>
      <c r="BI11">
        <f>IF(P11=0,0,COUNTIF(Transect1_imgsummary!E11:I11,"PLERO")*100/P11)</f>
        <v>0</v>
      </c>
      <c r="BJ11">
        <f>IF(P11=0,0,COUNTIF(Transect1_imgsummary!E11:I11,"POC")*100/P11)</f>
        <v>0</v>
      </c>
      <c r="BK11">
        <f>IF(P11=0,0,COUNTIF(Transect1_imgsummary!E11:I11,"POR")*100/P11)</f>
        <v>0</v>
      </c>
      <c r="BL11">
        <f>IF(P11=0,0,COUNTIF(Transect1_imgsummary!E11:I11,"PORCYL")*100/P11)</f>
        <v>0</v>
      </c>
      <c r="BM11">
        <f>IF(P11=0,0,COUNTIF(Transect1_imgsummary!E11:I11,"PORMAS")*100/P11)</f>
        <v>0</v>
      </c>
      <c r="BN11">
        <f>IF(P11=0,0,COUNTIF(Transect1_imgsummary!E11:I11,"PORRUS")*100/P11)</f>
        <v>0</v>
      </c>
      <c r="BO11">
        <f>IF(P11=0,0,COUNTIF(Transect1_imgsummary!E11:I11,"PSAM")*100/P11)</f>
        <v>0</v>
      </c>
      <c r="BP11">
        <f>IF(P11=0,0,COUNTIF(Transect1_imgsummary!E11:I11,"SANDO")*100/P11)</f>
        <v>0</v>
      </c>
      <c r="BQ11">
        <f>IF(P11=0,0,COUNTIF(Transect1_imgsummary!E11:I11,"SCAP")*100/P11)</f>
        <v>0</v>
      </c>
      <c r="BR11">
        <f>IF(P11=0,0,COUNTIF(Transect1_imgsummary!E11:I11,"SERIA")*100/P11)</f>
        <v>0</v>
      </c>
      <c r="BS11">
        <f>IF(P11=0,0,COUNTIF(Transect1_imgsummary!E11:I11,"STYLC")*100/P11)</f>
        <v>0</v>
      </c>
      <c r="BT11">
        <f>IF(P11=0,0,COUNTIF(Transect1_imgsummary!E11:I11,"STYLO")*100/P11)</f>
        <v>0</v>
      </c>
      <c r="BU11">
        <f>IF(P11=0,0,COUNTIF(Transect1_imgsummary!E11:I11,"SYMP")*100/P11)</f>
        <v>0</v>
      </c>
      <c r="BV11">
        <f>IF(P11=0,0,COUNTIF(Transect1_imgsummary!E11:I11,"TURBIN")*100/P11)</f>
        <v>0</v>
      </c>
      <c r="BX11">
        <f>IF(P11=0,0,COUNTIF(Transect1_imgsummary!E11:I11,"ANEM")*100/P11)</f>
        <v>0</v>
      </c>
      <c r="BY11">
        <f>IF(P11=0,0,COUNTIF(Transect1_imgsummary!E11:I11,"ASC")*100/P11)</f>
        <v>0</v>
      </c>
      <c r="BZ11">
        <f>IF(P11=0,0,COUNTIF(Transect1_imgsummary!E11:I11,"CUPS")*100/P11)</f>
        <v>0</v>
      </c>
      <c r="CA11">
        <f>IF(P11=0,0,COUNTIF(Transect1_imgsummary!E11:I11,"DISCO")*100/P11)</f>
        <v>0</v>
      </c>
      <c r="CB11">
        <f>IF(P11=0,0,COUNTIF(Transect1_imgsummary!E11:I11,"DYS")*100/P11)</f>
        <v>0</v>
      </c>
      <c r="CC11">
        <f>IF(P11=0,0,COUNTIF(Transect1_imgsummary!E11:I11,"G")*100/P11)</f>
        <v>0</v>
      </c>
      <c r="CD11">
        <f>IF(P11=0,0,COUNTIF(Transect1_imgsummary!E11:I11,"NoIDINV")*100/P11)</f>
        <v>0</v>
      </c>
      <c r="CE11">
        <f>IF(P11=0,0,COUNTIF(Transect1_imgsummary!E11:I11,"OLV")*100/P11)</f>
        <v>0</v>
      </c>
      <c r="CF11">
        <f>IF(P11=0,0,COUNTIF(Transect1_imgsummary!E11:I11,"SC")*100/P11)</f>
        <v>0</v>
      </c>
      <c r="CG11">
        <f>IF(P11=0,0,COUNTIF(Transect1_imgsummary!E11:I11,"S")*100/P11)</f>
        <v>0</v>
      </c>
      <c r="CH11">
        <f>IF(P11=0,0,COUNTIF(Transect1_imgsummary!E11:I11,"TERPS")*100/P11)</f>
        <v>0</v>
      </c>
      <c r="CI11">
        <f>IF(P11=0,0,COUNTIF(Transect1_imgsummary!E11:I11,"Z")*100/P11)</f>
        <v>0</v>
      </c>
      <c r="CK11">
        <f>IF(P11=0,0,COUNTIF(Transect1_imgsummary!E11:I11,"ASP")*100/P11)</f>
        <v>0</v>
      </c>
      <c r="CL11">
        <f>IF(P11=0,0,COUNTIF(Transect1_imgsummary!E11:I11,"BG")*100/P11)</f>
        <v>0</v>
      </c>
      <c r="CM11">
        <f>IF(P11=0,0,COUNTIF(Transect1_imgsummary!E11:I11,"Bood")*100/P11)</f>
        <v>0</v>
      </c>
      <c r="CN11">
        <f>IF(P11=0,0,COUNTIF(Transect1_imgsummary!E11:I11,"BRYP")*100/P11)</f>
        <v>0</v>
      </c>
      <c r="CO11">
        <f>IF(P11=0,0,COUNTIF(Transect1_imgsummary!E11:I11,"CLP")*100/P11)</f>
        <v>0</v>
      </c>
      <c r="CP11">
        <f>IF(P11=0,0,COUNTIF(Transect1_imgsummary!E11:I11,"CHLDES")*100/P11)</f>
        <v>0</v>
      </c>
      <c r="CQ11">
        <f>IF(P11=0,0,COUNTIF(Transect1_imgsummary!E11:I11,"DYCTY")*100/P11)</f>
        <v>0</v>
      </c>
      <c r="CR11">
        <f>IF(P11=0,0,COUNTIF(Transect1_imgsummary!E11:I11,"DICT")*100/P11)</f>
        <v>0</v>
      </c>
      <c r="CS11">
        <f>IF(P11=0,0,COUNTIF(Transect1_imgsummary!E11:I11,"GLXU")*100/P11)</f>
        <v>0</v>
      </c>
      <c r="CT11">
        <f>IF(P11=0,0,COUNTIF(Transect1_imgsummary!E11:I11,"HALI")*100/P11)</f>
        <v>0</v>
      </c>
      <c r="CU11">
        <f>IF(P11=0,0,COUNTIF(Transect1_imgsummary!E11:I11,"LIAG")*100/P11)</f>
        <v>0</v>
      </c>
      <c r="CV11">
        <f>IF(P11=0,0,COUNTIF(Transect1_imgsummary!E11:I11,"LOBO")*100/P11)</f>
        <v>0</v>
      </c>
      <c r="CW11">
        <f>IF(P11=0,0,COUNTIF(Transect1_imgsummary!E11:I11,"MAST")*100/P11)</f>
        <v>0</v>
      </c>
      <c r="CX11">
        <f>IF(P11=0,0,COUNTIF(Transect1_imgsummary!E11:I11,"MICDTY")*100/P11)</f>
        <v>0</v>
      </c>
      <c r="CY11">
        <f>IF(P11=0,0,COUNTIF(Transect1_imgsummary!E11:I11,"NEOM")*100/P11)</f>
        <v>0</v>
      </c>
      <c r="CZ11">
        <f>IF(P11=0,0,COUNTIF(Transect1_imgsummary!E11:I11,"NOIDMAC")*100/P11)</f>
        <v>0</v>
      </c>
      <c r="DA11">
        <f>IF(P11=0,0,COUNTIF(Transect1_imgsummary!E11:I11,"PAD")*100/P11)</f>
        <v>0</v>
      </c>
      <c r="DB11">
        <f>IF(P11=0,0,COUNTIF(Transect1_imgsummary!E11:I11,"SARG")*100/P11)</f>
        <v>0</v>
      </c>
      <c r="DC11">
        <f>IF(P11=0,0,COUNTIF(Transect1_imgsummary!E11:I11,"SCHIZ")*100/P11)</f>
        <v>0</v>
      </c>
      <c r="DD11">
        <f>IF(P11=0,0,COUNTIF(Transect1_imgsummary!E11:I11,"TURB")*100/P11)</f>
        <v>0</v>
      </c>
      <c r="DE11">
        <f>IF(P11=0,0,COUNTIF(Transect1_imgsummary!E11:I11,"TYDM")*100/P11)</f>
        <v>0</v>
      </c>
      <c r="DG11">
        <f>IF(P11=0,0,COUNTIF(Transect1_imgsummary!E11:I11,"AMP")*100/P11)</f>
        <v>0</v>
      </c>
      <c r="DH11">
        <f>IF(P11=0,0,COUNTIF(Transect1_imgsummary!E11:I11,"BCA1")*100/P11)</f>
        <v>0</v>
      </c>
      <c r="DI11">
        <f>IF(P11=0,0,COUNTIF(Transect1_imgsummary!E11:I11,"JAN")*100/P11)</f>
        <v>0</v>
      </c>
      <c r="DK11" s="29">
        <f>IF(P11=0,0,COUNTIF(Transect1_imgsummary!E11:I11,"CCA1")*100/P11)</f>
        <v>20</v>
      </c>
      <c r="DM11">
        <f>IF(P11=0,0,COUNTIF(Transect1_imgsummary!E11:I11,"Sand")*100/P11)</f>
        <v>0</v>
      </c>
      <c r="DO11">
        <f>IF(P11=0,0,COUNTIF(Transect1_imgsummary!E11:I11,"FCA1")*100/P11)</f>
        <v>0</v>
      </c>
      <c r="DQ11">
        <f>IF(P11=0,0,COUNTIF(Transect1_imgsummary!E11:I11,"CHRYOBRN")*100/P11)</f>
        <v>0</v>
      </c>
      <c r="DS11">
        <f>IF(P11=0,0,COUNTIF(Transect1_imgsummary!E11:I11,"TURF")*100/P11)</f>
        <v>0</v>
      </c>
      <c r="DU11">
        <f>COUNTIF(Transect1_imgsummary!E11:I11,"Shadow")*100/5</f>
        <v>0</v>
      </c>
      <c r="DV11">
        <f>COUNTIF(Transect1_imgsummary!E11:I11,"Tape")*100/5</f>
        <v>0</v>
      </c>
      <c r="DW11">
        <f>COUNTIF(Transect1_imgsummary!E11:I11,"Wand")*100/5</f>
        <v>0</v>
      </c>
      <c r="DY11">
        <f>IF(P11=0,0,COUNTIF(Transect1_imgsummary!O11:S11,"BC")*100/P11)</f>
        <v>0</v>
      </c>
    </row>
    <row r="12" spans="1:129">
      <c r="A12">
        <v>10</v>
      </c>
      <c r="B12" t="s">
        <v>47</v>
      </c>
      <c r="F12" s="29">
        <f>IF(P12=0,0,COUNTIF(Transect1_imgsummary!J12:N12,"C")*100/P12)</f>
        <v>40</v>
      </c>
      <c r="G12">
        <f>IF(P12=0,0,COUNTIF(Transect1_imgsummary!J12:N12,"OI")*100/P12)</f>
        <v>0</v>
      </c>
      <c r="H12">
        <f>IF(P12=0,0,COUNTIF(Transect1_imgsummary!J12:N12,"MA")*100/P12)</f>
        <v>0</v>
      </c>
      <c r="I12">
        <f>IF(P12=0,0,COUNTIF(Transect1_imgsummary!J12:N12,"BCA")*100/P12)</f>
        <v>0</v>
      </c>
      <c r="J12" s="29">
        <f>IF(P12=0,0,COUNTIF(Transect1_imgsummary!J12:N12,"CCA")*100/P12)</f>
        <v>20</v>
      </c>
      <c r="K12">
        <f>IF(P12=0,0,COUNTIF(Transect1_imgsummary!J12:N12,"SD")*100/P12)</f>
        <v>0</v>
      </c>
      <c r="L12">
        <f>IF(P12=0,0,COUNTIF(Transect1_imgsummary!J12:N12,"FCA")*100/P12)</f>
        <v>0</v>
      </c>
      <c r="M12">
        <f>IF(P12=0,0,COUNTIF(Transect1_imgsummary!J12:N12,"CHRYS")*100/P12)</f>
        <v>0</v>
      </c>
      <c r="N12" s="29">
        <f>IF(P12=0,0,COUNTIF(Transect1_imgsummary!J12:N12,"T")*100/P12)</f>
        <v>40</v>
      </c>
      <c r="O12">
        <f>IF(P12=0,0,COUNTIF(Transect1_imgsummary!J12:N12,"TWS")*100/P12)</f>
        <v>0</v>
      </c>
      <c r="P12">
        <f>5-COUNTIF(Transect1_imgsummary!J12:N12,"TWS")</f>
        <v>5</v>
      </c>
      <c r="S12">
        <f>IF(P12=0,0,COUNTIF(Transect1_imgsummary!E12:I12,"ACAN")*100/P12)</f>
        <v>0</v>
      </c>
      <c r="T12">
        <f>IF(P12=0,0,COUNTIF(Transect1_imgsummary!E12:I12,"ACROP")*100/P12)</f>
        <v>0</v>
      </c>
      <c r="U12">
        <f>IF(P12=0,0,COUNTIF(Transect1_imgsummary!E12:I12,"ACROPARB")*100/P12)</f>
        <v>0</v>
      </c>
      <c r="V12">
        <f>IF(P12=0,0,COUNTIF(Transect1_imgsummary!E12:I12,"ACROST")*100/P12)</f>
        <v>0</v>
      </c>
      <c r="W12">
        <f>IF(P12=0,0,COUNTIF(Transect1_imgsummary!E12:I12,"ACROTBL")*100/P12)</f>
        <v>0</v>
      </c>
      <c r="X12">
        <f>IF(P12=0,0,COUNTIF(Transect1_imgsummary!E12:I12,"ASTRP")*100/P12)</f>
        <v>0</v>
      </c>
      <c r="Y12">
        <f>IF(P12=0,0,COUNTIF(Transect1_imgsummary!E12:I12,"CAUL")*100/P12)</f>
        <v>0</v>
      </c>
      <c r="Z12">
        <f>IF(P12=0,0,COUNTIF(Transect1_imgsummary!E12:I12,"COSC")*100/P12)</f>
        <v>0</v>
      </c>
      <c r="AA12">
        <f>IF(P12=0,0,COUNTIF(Transect1_imgsummary!E12:I12,"CTEN")*100/P12)</f>
        <v>0</v>
      </c>
      <c r="AB12">
        <f>IF(P12=0,0,COUNTIF(Transect1_imgsummary!E12:I12,"CYPH")*100/P12)</f>
        <v>0</v>
      </c>
      <c r="AC12">
        <f>IF(P12=0,0,COUNTIF(Transect1_imgsummary!E12:I12,"DIPLO")*100/P12)</f>
        <v>0</v>
      </c>
      <c r="AD12" s="29">
        <f>IF(P12=0,0,COUNTIF(Transect1_imgsummary!E12:I12,"ECHPO")*100/P12)</f>
        <v>40</v>
      </c>
      <c r="AE12">
        <f>IF(P12=0,0,COUNTIF(Transect1_imgsummary!E12:I12,"ECHPHY")*100/P12)</f>
        <v>0</v>
      </c>
      <c r="AF12">
        <f>IF(P12=0,0,COUNTIF(Transect1_imgsummary!E12:I12,"EUPH")*100/P12)</f>
        <v>0</v>
      </c>
      <c r="AG12">
        <f>IF(P12=0,0,COUNTIF(Transect1_imgsummary!E12:I12,"FAV")*100/P12)</f>
        <v>0</v>
      </c>
      <c r="AH12">
        <f>IF(P12=0,0,COUNTIF(Transect1_imgsummary!E12:I12,"FAVT")*100/P12)</f>
        <v>0</v>
      </c>
      <c r="AI12">
        <f>IF(P12=0,0,COUNTIF(Transect1_imgsummary!E12:I12,"FUNG")*100/P12)</f>
        <v>0</v>
      </c>
      <c r="AJ12">
        <f>IF(P12=0,0,COUNTIF(Transect1_imgsummary!E12:I12,"GAL")*100/P12)</f>
        <v>0</v>
      </c>
      <c r="AK12">
        <f>IF(P12=0,0,COUNTIF(Transect1_imgsummary!E12:I12,"GARD")*100/P12)</f>
        <v>0</v>
      </c>
      <c r="AL12">
        <f>IF(P12=0,0,COUNTIF(Transect1_imgsummary!E12:I12,"GON")*100/P12)</f>
        <v>0</v>
      </c>
      <c r="AM12">
        <f>IF(P12=0,0,COUNTIF(Transect1_imgsummary!E12:I12,"GONIO")*100/P12)</f>
        <v>0</v>
      </c>
      <c r="AN12">
        <f>IF(P12=0,0,COUNTIF(Transect1_imgsummary!E12:I12,"HELIO")*100/P12)</f>
        <v>0</v>
      </c>
      <c r="AO12">
        <f>IF(P12=0,0,COUNTIF(Transect1_imgsummary!E12:I12,"HERP")*100/P12)</f>
        <v>0</v>
      </c>
      <c r="AP12">
        <f>IF(P12=0,0,COUNTIF(Transect1_imgsummary!E12:I12,"HYD")*100/P12)</f>
        <v>0</v>
      </c>
      <c r="AQ12">
        <f>IF(P12=0,0,COUNTIF(Transect1_imgsummary!E12:I12,"ISOP")*100/P12)</f>
        <v>0</v>
      </c>
      <c r="AR12">
        <f>IF(P12=0,0,COUNTIF(Transect1_imgsummary!E12:I12,"LEPT")*100/P12)</f>
        <v>0</v>
      </c>
      <c r="AS12">
        <f>IF(P12=0,0,COUNTIF(Transect1_imgsummary!E12:I12,"LEPTOR")*100/P12)</f>
        <v>0</v>
      </c>
      <c r="AT12">
        <f>IF(P12=0,0,COUNTIF(Transect1_imgsummary!E12:I12,"LEPTOS")*100/P12)</f>
        <v>0</v>
      </c>
      <c r="AU12">
        <f>IF(P12=0,0,COUNTIF(Transect1_imgsummary!E12:I12,"LOBOPH")*100/P12)</f>
        <v>0</v>
      </c>
      <c r="AV12">
        <f>IF(P12=0,0,COUNTIF(Transect1_imgsummary!E12:I12,"MERU")*100/P12)</f>
        <v>0</v>
      </c>
      <c r="AW12">
        <f>IF(P12=0,0,COUNTIF(Transect1_imgsummary!E12:I12,"MILL")*100/P12)</f>
        <v>0</v>
      </c>
      <c r="AX12">
        <f>IF(P12=0,0,COUNTIF(Transect1_imgsummary!E12:I12,"MONT")*100/P12)</f>
        <v>0</v>
      </c>
      <c r="AY12">
        <f>IF(P12=0,0,COUNTIF(Transect1_imgsummary!E12:I12,"MONTI")*100/P12)</f>
        <v>0</v>
      </c>
      <c r="AZ12">
        <f>IF(P12=0,0,COUNTIF(Transect1_imgsummary!E12:I12,"MYCED")*100/P12)</f>
        <v>0</v>
      </c>
      <c r="BA12">
        <f>IF(P12=0,0,COUNTIF(Transect1_imgsummary!E12:I12,"OULO")*100/P12)</f>
        <v>0</v>
      </c>
      <c r="BB12">
        <f>IF(P12=0,0,COUNTIF(Transect1_imgsummary!E12:I12,"OXYP")*100/P12)</f>
        <v>0</v>
      </c>
      <c r="BC12">
        <f>IF(P12=0,0,COUNTIF(Transect1_imgsummary!E12:I12,"PLSIA")*100/P12)</f>
        <v>0</v>
      </c>
      <c r="BD12">
        <f>IF(P12=0,0,COUNTIF(Transect1_imgsummary!E12:I12,"PACHY")*100/P12)</f>
        <v>0</v>
      </c>
      <c r="BE12">
        <f>IF(P12=0,0,COUNTIF(Transect1_imgsummary!E12:I12,"PAV")*100/P12)</f>
        <v>0</v>
      </c>
      <c r="BF12">
        <f>IF(P12=0,0,COUNTIF(Transect1_imgsummary!E12:I12,"PECT")*100/P12)</f>
        <v>0</v>
      </c>
      <c r="BG12">
        <f>IF(P12=0,0,COUNTIF(Transect1_imgsummary!E12:I12,"PHYSO")*100/P12)</f>
        <v>0</v>
      </c>
      <c r="BH12">
        <f>IF(P12=0,0,COUNTIF(Transect1_imgsummary!E12:I12,"PLAT")*100/P12)</f>
        <v>0</v>
      </c>
      <c r="BI12">
        <f>IF(P12=0,0,COUNTIF(Transect1_imgsummary!E12:I12,"PLERO")*100/P12)</f>
        <v>0</v>
      </c>
      <c r="BJ12">
        <f>IF(P12=0,0,COUNTIF(Transect1_imgsummary!E12:I12,"POC")*100/P12)</f>
        <v>0</v>
      </c>
      <c r="BK12">
        <f>IF(P12=0,0,COUNTIF(Transect1_imgsummary!E12:I12,"POR")*100/P12)</f>
        <v>0</v>
      </c>
      <c r="BL12">
        <f>IF(P12=0,0,COUNTIF(Transect1_imgsummary!E12:I12,"PORCYL")*100/P12)</f>
        <v>0</v>
      </c>
      <c r="BM12">
        <f>IF(P12=0,0,COUNTIF(Transect1_imgsummary!E12:I12,"PORMAS")*100/P12)</f>
        <v>0</v>
      </c>
      <c r="BN12">
        <f>IF(P12=0,0,COUNTIF(Transect1_imgsummary!E12:I12,"PORRUS")*100/P12)</f>
        <v>0</v>
      </c>
      <c r="BO12">
        <f>IF(P12=0,0,COUNTIF(Transect1_imgsummary!E12:I12,"PSAM")*100/P12)</f>
        <v>0</v>
      </c>
      <c r="BP12">
        <f>IF(P12=0,0,COUNTIF(Transect1_imgsummary!E12:I12,"SANDO")*100/P12)</f>
        <v>0</v>
      </c>
      <c r="BQ12">
        <f>IF(P12=0,0,COUNTIF(Transect1_imgsummary!E12:I12,"SCAP")*100/P12)</f>
        <v>0</v>
      </c>
      <c r="BR12">
        <f>IF(P12=0,0,COUNTIF(Transect1_imgsummary!E12:I12,"SERIA")*100/P12)</f>
        <v>0</v>
      </c>
      <c r="BS12">
        <f>IF(P12=0,0,COUNTIF(Transect1_imgsummary!E12:I12,"STYLC")*100/P12)</f>
        <v>0</v>
      </c>
      <c r="BT12">
        <f>IF(P12=0,0,COUNTIF(Transect1_imgsummary!E12:I12,"STYLO")*100/P12)</f>
        <v>0</v>
      </c>
      <c r="BU12">
        <f>IF(P12=0,0,COUNTIF(Transect1_imgsummary!E12:I12,"SYMP")*100/P12)</f>
        <v>0</v>
      </c>
      <c r="BV12">
        <f>IF(P12=0,0,COUNTIF(Transect1_imgsummary!E12:I12,"TURBIN")*100/P12)</f>
        <v>0</v>
      </c>
      <c r="BX12">
        <f>IF(P12=0,0,COUNTIF(Transect1_imgsummary!E12:I12,"ANEM")*100/P12)</f>
        <v>0</v>
      </c>
      <c r="BY12">
        <f>IF(P12=0,0,COUNTIF(Transect1_imgsummary!E12:I12,"ASC")*100/P12)</f>
        <v>0</v>
      </c>
      <c r="BZ12">
        <f>IF(P12=0,0,COUNTIF(Transect1_imgsummary!E12:I12,"CUPS")*100/P12)</f>
        <v>0</v>
      </c>
      <c r="CA12">
        <f>IF(P12=0,0,COUNTIF(Transect1_imgsummary!E12:I12,"DISCO")*100/P12)</f>
        <v>0</v>
      </c>
      <c r="CB12">
        <f>IF(P12=0,0,COUNTIF(Transect1_imgsummary!E12:I12,"DYS")*100/P12)</f>
        <v>0</v>
      </c>
      <c r="CC12">
        <f>IF(P12=0,0,COUNTIF(Transect1_imgsummary!E12:I12,"G")*100/P12)</f>
        <v>0</v>
      </c>
      <c r="CD12">
        <f>IF(P12=0,0,COUNTIF(Transect1_imgsummary!E12:I12,"NoIDINV")*100/P12)</f>
        <v>0</v>
      </c>
      <c r="CE12">
        <f>IF(P12=0,0,COUNTIF(Transect1_imgsummary!E12:I12,"OLV")*100/P12)</f>
        <v>0</v>
      </c>
      <c r="CF12">
        <f>IF(P12=0,0,COUNTIF(Transect1_imgsummary!E12:I12,"SC")*100/P12)</f>
        <v>0</v>
      </c>
      <c r="CG12">
        <f>IF(P12=0,0,COUNTIF(Transect1_imgsummary!E12:I12,"S")*100/P12)</f>
        <v>0</v>
      </c>
      <c r="CH12">
        <f>IF(P12=0,0,COUNTIF(Transect1_imgsummary!E12:I12,"TERPS")*100/P12)</f>
        <v>0</v>
      </c>
      <c r="CI12">
        <f>IF(P12=0,0,COUNTIF(Transect1_imgsummary!E12:I12,"Z")*100/P12)</f>
        <v>0</v>
      </c>
      <c r="CK12">
        <f>IF(P12=0,0,COUNTIF(Transect1_imgsummary!E12:I12,"ASP")*100/P12)</f>
        <v>0</v>
      </c>
      <c r="CL12">
        <f>IF(P12=0,0,COUNTIF(Transect1_imgsummary!E12:I12,"BG")*100/P12)</f>
        <v>0</v>
      </c>
      <c r="CM12">
        <f>IF(P12=0,0,COUNTIF(Transect1_imgsummary!E12:I12,"Bood")*100/P12)</f>
        <v>0</v>
      </c>
      <c r="CN12">
        <f>IF(P12=0,0,COUNTIF(Transect1_imgsummary!E12:I12,"BRYP")*100/P12)</f>
        <v>0</v>
      </c>
      <c r="CO12">
        <f>IF(P12=0,0,COUNTIF(Transect1_imgsummary!E12:I12,"CLP")*100/P12)</f>
        <v>0</v>
      </c>
      <c r="CP12">
        <f>IF(P12=0,0,COUNTIF(Transect1_imgsummary!E12:I12,"CHLDES")*100/P12)</f>
        <v>0</v>
      </c>
      <c r="CQ12">
        <f>IF(P12=0,0,COUNTIF(Transect1_imgsummary!E12:I12,"DYCTY")*100/P12)</f>
        <v>0</v>
      </c>
      <c r="CR12">
        <f>IF(P12=0,0,COUNTIF(Transect1_imgsummary!E12:I12,"DICT")*100/P12)</f>
        <v>0</v>
      </c>
      <c r="CS12">
        <f>IF(P12=0,0,COUNTIF(Transect1_imgsummary!E12:I12,"GLXU")*100/P12)</f>
        <v>0</v>
      </c>
      <c r="CT12">
        <f>IF(P12=0,0,COUNTIF(Transect1_imgsummary!E12:I12,"HALI")*100/P12)</f>
        <v>0</v>
      </c>
      <c r="CU12">
        <f>IF(P12=0,0,COUNTIF(Transect1_imgsummary!E12:I12,"LIAG")*100/P12)</f>
        <v>0</v>
      </c>
      <c r="CV12">
        <f>IF(P12=0,0,COUNTIF(Transect1_imgsummary!E12:I12,"LOBO")*100/P12)</f>
        <v>0</v>
      </c>
      <c r="CW12">
        <f>IF(P12=0,0,COUNTIF(Transect1_imgsummary!E12:I12,"MAST")*100/P12)</f>
        <v>0</v>
      </c>
      <c r="CX12">
        <f>IF(P12=0,0,COUNTIF(Transect1_imgsummary!E12:I12,"MICDTY")*100/P12)</f>
        <v>0</v>
      </c>
      <c r="CY12">
        <f>IF(P12=0,0,COUNTIF(Transect1_imgsummary!E12:I12,"NEOM")*100/P12)</f>
        <v>0</v>
      </c>
      <c r="CZ12">
        <f>IF(P12=0,0,COUNTIF(Transect1_imgsummary!E12:I12,"NOIDMAC")*100/P12)</f>
        <v>0</v>
      </c>
      <c r="DA12">
        <f>IF(P12=0,0,COUNTIF(Transect1_imgsummary!E12:I12,"PAD")*100/P12)</f>
        <v>0</v>
      </c>
      <c r="DB12">
        <f>IF(P12=0,0,COUNTIF(Transect1_imgsummary!E12:I12,"SARG")*100/P12)</f>
        <v>0</v>
      </c>
      <c r="DC12">
        <f>IF(P12=0,0,COUNTIF(Transect1_imgsummary!E12:I12,"SCHIZ")*100/P12)</f>
        <v>0</v>
      </c>
      <c r="DD12">
        <f>IF(P12=0,0,COUNTIF(Transect1_imgsummary!E12:I12,"TURB")*100/P12)</f>
        <v>0</v>
      </c>
      <c r="DE12">
        <f>IF(P12=0,0,COUNTIF(Transect1_imgsummary!E12:I12,"TYDM")*100/P12)</f>
        <v>0</v>
      </c>
      <c r="DG12">
        <f>IF(P12=0,0,COUNTIF(Transect1_imgsummary!E12:I12,"AMP")*100/P12)</f>
        <v>0</v>
      </c>
      <c r="DH12">
        <f>IF(P12=0,0,COUNTIF(Transect1_imgsummary!E12:I12,"BCA1")*100/P12)</f>
        <v>0</v>
      </c>
      <c r="DI12">
        <f>IF(P12=0,0,COUNTIF(Transect1_imgsummary!E12:I12,"JAN")*100/P12)</f>
        <v>0</v>
      </c>
      <c r="DK12" s="29">
        <f>IF(P12=0,0,COUNTIF(Transect1_imgsummary!E12:I12,"CCA1")*100/P12)</f>
        <v>20</v>
      </c>
      <c r="DM12">
        <f>IF(P12=0,0,COUNTIF(Transect1_imgsummary!E12:I12,"Sand")*100/P12)</f>
        <v>0</v>
      </c>
      <c r="DO12">
        <f>IF(P12=0,0,COUNTIF(Transect1_imgsummary!E12:I12,"FCA1")*100/P12)</f>
        <v>0</v>
      </c>
      <c r="DQ12">
        <f>IF(P12=0,0,COUNTIF(Transect1_imgsummary!E12:I12,"CHRYOBRN")*100/P12)</f>
        <v>0</v>
      </c>
      <c r="DS12" s="29">
        <f>IF(P12=0,0,COUNTIF(Transect1_imgsummary!E12:I12,"TURF")*100/P12)</f>
        <v>40</v>
      </c>
      <c r="DU12">
        <f>COUNTIF(Transect1_imgsummary!E12:I12,"Shadow")*100/5</f>
        <v>0</v>
      </c>
      <c r="DV12">
        <f>COUNTIF(Transect1_imgsummary!E12:I12,"Tape")*100/5</f>
        <v>0</v>
      </c>
      <c r="DW12">
        <f>COUNTIF(Transect1_imgsummary!E12:I12,"Wand")*100/5</f>
        <v>0</v>
      </c>
      <c r="DY12">
        <f>IF(P12=0,0,COUNTIF(Transect1_imgsummary!O12:S12,"BC")*100/P12)</f>
        <v>0</v>
      </c>
    </row>
    <row r="13" spans="1:129">
      <c r="A13">
        <v>11</v>
      </c>
      <c r="B13" t="s">
        <v>48</v>
      </c>
      <c r="F13" s="29">
        <f>IF(P13=0,0,COUNTIF(Transect1_imgsummary!J13:N13,"C")*100/P13)</f>
        <v>40</v>
      </c>
      <c r="G13">
        <f>IF(P13=0,0,COUNTIF(Transect1_imgsummary!J13:N13,"OI")*100/P13)</f>
        <v>0</v>
      </c>
      <c r="H13">
        <f>IF(P13=0,0,COUNTIF(Transect1_imgsummary!J13:N13,"MA")*100/P13)</f>
        <v>0</v>
      </c>
      <c r="I13">
        <f>IF(P13=0,0,COUNTIF(Transect1_imgsummary!J13:N13,"BCA")*100/P13)</f>
        <v>0</v>
      </c>
      <c r="J13" s="29">
        <f>IF(P13=0,0,COUNTIF(Transect1_imgsummary!J13:N13,"CCA")*100/P13)</f>
        <v>40</v>
      </c>
      <c r="K13">
        <f>IF(P13=0,0,COUNTIF(Transect1_imgsummary!J13:N13,"SD")*100/P13)</f>
        <v>0</v>
      </c>
      <c r="L13">
        <f>IF(P13=0,0,COUNTIF(Transect1_imgsummary!J13:N13,"FCA")*100/P13)</f>
        <v>0</v>
      </c>
      <c r="M13">
        <f>IF(P13=0,0,COUNTIF(Transect1_imgsummary!J13:N13,"CHRYS")*100/P13)</f>
        <v>0</v>
      </c>
      <c r="N13" s="29">
        <f>IF(P13=0,0,COUNTIF(Transect1_imgsummary!J13:N13,"T")*100/P13)</f>
        <v>20</v>
      </c>
      <c r="O13">
        <f>IF(P13=0,0,COUNTIF(Transect1_imgsummary!J13:N13,"TWS")*100/P13)</f>
        <v>0</v>
      </c>
      <c r="P13">
        <f>5-COUNTIF(Transect1_imgsummary!J13:N13,"TWS")</f>
        <v>5</v>
      </c>
      <c r="S13">
        <f>IF(P13=0,0,COUNTIF(Transect1_imgsummary!E13:I13,"ACAN")*100/P13)</f>
        <v>0</v>
      </c>
      <c r="T13">
        <f>IF(P13=0,0,COUNTIF(Transect1_imgsummary!E13:I13,"ACROP")*100/P13)</f>
        <v>0</v>
      </c>
      <c r="U13">
        <f>IF(P13=0,0,COUNTIF(Transect1_imgsummary!E13:I13,"ACROPARB")*100/P13)</f>
        <v>0</v>
      </c>
      <c r="V13">
        <f>IF(P13=0,0,COUNTIF(Transect1_imgsummary!E13:I13,"ACROST")*100/P13)</f>
        <v>0</v>
      </c>
      <c r="W13">
        <f>IF(P13=0,0,COUNTIF(Transect1_imgsummary!E13:I13,"ACROTBL")*100/P13)</f>
        <v>0</v>
      </c>
      <c r="X13">
        <f>IF(P13=0,0,COUNTIF(Transect1_imgsummary!E13:I13,"ASTRP")*100/P13)</f>
        <v>0</v>
      </c>
      <c r="Y13">
        <f>IF(P13=0,0,COUNTIF(Transect1_imgsummary!E13:I13,"CAUL")*100/P13)</f>
        <v>0</v>
      </c>
      <c r="Z13">
        <f>IF(P13=0,0,COUNTIF(Transect1_imgsummary!E13:I13,"COSC")*100/P13)</f>
        <v>0</v>
      </c>
      <c r="AA13">
        <f>IF(P13=0,0,COUNTIF(Transect1_imgsummary!E13:I13,"CTEN")*100/P13)</f>
        <v>0</v>
      </c>
      <c r="AB13">
        <f>IF(P13=0,0,COUNTIF(Transect1_imgsummary!E13:I13,"CYPH")*100/P13)</f>
        <v>0</v>
      </c>
      <c r="AC13">
        <f>IF(P13=0,0,COUNTIF(Transect1_imgsummary!E13:I13,"DIPLO")*100/P13)</f>
        <v>0</v>
      </c>
      <c r="AD13">
        <f>IF(P13=0,0,COUNTIF(Transect1_imgsummary!E13:I13,"ECHPO")*100/P13)</f>
        <v>0</v>
      </c>
      <c r="AE13">
        <f>IF(P13=0,0,COUNTIF(Transect1_imgsummary!E13:I13,"ECHPHY")*100/P13)</f>
        <v>0</v>
      </c>
      <c r="AF13">
        <f>IF(P13=0,0,COUNTIF(Transect1_imgsummary!E13:I13,"EUPH")*100/P13)</f>
        <v>0</v>
      </c>
      <c r="AG13">
        <f>IF(P13=0,0,COUNTIF(Transect1_imgsummary!E13:I13,"FAV")*100/P13)</f>
        <v>0</v>
      </c>
      <c r="AH13">
        <f>IF(P13=0,0,COUNTIF(Transect1_imgsummary!E13:I13,"FAVT")*100/P13)</f>
        <v>0</v>
      </c>
      <c r="AI13">
        <f>IF(P13=0,0,COUNTIF(Transect1_imgsummary!E13:I13,"FUNG")*100/P13)</f>
        <v>0</v>
      </c>
      <c r="AJ13">
        <f>IF(P13=0,0,COUNTIF(Transect1_imgsummary!E13:I13,"GAL")*100/P13)</f>
        <v>0</v>
      </c>
      <c r="AK13">
        <f>IF(P13=0,0,COUNTIF(Transect1_imgsummary!E13:I13,"GARD")*100/P13)</f>
        <v>0</v>
      </c>
      <c r="AL13">
        <f>IF(P13=0,0,COUNTIF(Transect1_imgsummary!E13:I13,"GON")*100/P13)</f>
        <v>0</v>
      </c>
      <c r="AM13">
        <f>IF(P13=0,0,COUNTIF(Transect1_imgsummary!E13:I13,"GONIO")*100/P13)</f>
        <v>0</v>
      </c>
      <c r="AN13">
        <f>IF(P13=0,0,COUNTIF(Transect1_imgsummary!E13:I13,"HELIO")*100/P13)</f>
        <v>0</v>
      </c>
      <c r="AO13">
        <f>IF(P13=0,0,COUNTIF(Transect1_imgsummary!E13:I13,"HERP")*100/P13)</f>
        <v>0</v>
      </c>
      <c r="AP13">
        <f>IF(P13=0,0,COUNTIF(Transect1_imgsummary!E13:I13,"HYD")*100/P13)</f>
        <v>0</v>
      </c>
      <c r="AQ13">
        <f>IF(P13=0,0,COUNTIF(Transect1_imgsummary!E13:I13,"ISOP")*100/P13)</f>
        <v>0</v>
      </c>
      <c r="AR13">
        <f>IF(P13=0,0,COUNTIF(Transect1_imgsummary!E13:I13,"LEPT")*100/P13)</f>
        <v>0</v>
      </c>
      <c r="AS13" s="29">
        <f>IF(P13=0,0,COUNTIF(Transect1_imgsummary!E13:I13,"LEPTOR")*100/P13)</f>
        <v>40</v>
      </c>
      <c r="AT13">
        <f>IF(P13=0,0,COUNTIF(Transect1_imgsummary!E13:I13,"LEPTOS")*100/P13)</f>
        <v>0</v>
      </c>
      <c r="AU13">
        <f>IF(P13=0,0,COUNTIF(Transect1_imgsummary!E13:I13,"LOBOPH")*100/P13)</f>
        <v>0</v>
      </c>
      <c r="AV13">
        <f>IF(P13=0,0,COUNTIF(Transect1_imgsummary!E13:I13,"MERU")*100/P13)</f>
        <v>0</v>
      </c>
      <c r="AW13">
        <f>IF(P13=0,0,COUNTIF(Transect1_imgsummary!E13:I13,"MILL")*100/P13)</f>
        <v>0</v>
      </c>
      <c r="AX13">
        <f>IF(P13=0,0,COUNTIF(Transect1_imgsummary!E13:I13,"MONT")*100/P13)</f>
        <v>0</v>
      </c>
      <c r="AY13">
        <f>IF(P13=0,0,COUNTIF(Transect1_imgsummary!E13:I13,"MONTI")*100/P13)</f>
        <v>0</v>
      </c>
      <c r="AZ13">
        <f>IF(P13=0,0,COUNTIF(Transect1_imgsummary!E13:I13,"MYCED")*100/P13)</f>
        <v>0</v>
      </c>
      <c r="BA13">
        <f>IF(P13=0,0,COUNTIF(Transect1_imgsummary!E13:I13,"OULO")*100/P13)</f>
        <v>0</v>
      </c>
      <c r="BB13">
        <f>IF(P13=0,0,COUNTIF(Transect1_imgsummary!E13:I13,"OXYP")*100/P13)</f>
        <v>0</v>
      </c>
      <c r="BC13">
        <f>IF(P13=0,0,COUNTIF(Transect1_imgsummary!E13:I13,"PLSIA")*100/P13)</f>
        <v>0</v>
      </c>
      <c r="BD13">
        <f>IF(P13=0,0,COUNTIF(Transect1_imgsummary!E13:I13,"PACHY")*100/P13)</f>
        <v>0</v>
      </c>
      <c r="BE13">
        <f>IF(P13=0,0,COUNTIF(Transect1_imgsummary!E13:I13,"PAV")*100/P13)</f>
        <v>0</v>
      </c>
      <c r="BF13">
        <f>IF(P13=0,0,COUNTIF(Transect1_imgsummary!E13:I13,"PECT")*100/P13)</f>
        <v>0</v>
      </c>
      <c r="BG13">
        <f>IF(P13=0,0,COUNTIF(Transect1_imgsummary!E13:I13,"PHYSO")*100/P13)</f>
        <v>0</v>
      </c>
      <c r="BH13">
        <f>IF(P13=0,0,COUNTIF(Transect1_imgsummary!E13:I13,"PLAT")*100/P13)</f>
        <v>0</v>
      </c>
      <c r="BI13">
        <f>IF(P13=0,0,COUNTIF(Transect1_imgsummary!E13:I13,"PLERO")*100/P13)</f>
        <v>0</v>
      </c>
      <c r="BJ13">
        <f>IF(P13=0,0,COUNTIF(Transect1_imgsummary!E13:I13,"POC")*100/P13)</f>
        <v>0</v>
      </c>
      <c r="BK13">
        <f>IF(P13=0,0,COUNTIF(Transect1_imgsummary!E13:I13,"POR")*100/P13)</f>
        <v>0</v>
      </c>
      <c r="BL13">
        <f>IF(P13=0,0,COUNTIF(Transect1_imgsummary!E13:I13,"PORCYL")*100/P13)</f>
        <v>0</v>
      </c>
      <c r="BM13">
        <f>IF(P13=0,0,COUNTIF(Transect1_imgsummary!E13:I13,"PORMAS")*100/P13)</f>
        <v>0</v>
      </c>
      <c r="BN13">
        <f>IF(P13=0,0,COUNTIF(Transect1_imgsummary!E13:I13,"PORRUS")*100/P13)</f>
        <v>0</v>
      </c>
      <c r="BO13">
        <f>IF(P13=0,0,COUNTIF(Transect1_imgsummary!E13:I13,"PSAM")*100/P13)</f>
        <v>0</v>
      </c>
      <c r="BP13">
        <f>IF(P13=0,0,COUNTIF(Transect1_imgsummary!E13:I13,"SANDO")*100/P13)</f>
        <v>0</v>
      </c>
      <c r="BQ13">
        <f>IF(P13=0,0,COUNTIF(Transect1_imgsummary!E13:I13,"SCAP")*100/P13)</f>
        <v>0</v>
      </c>
      <c r="BR13">
        <f>IF(P13=0,0,COUNTIF(Transect1_imgsummary!E13:I13,"SERIA")*100/P13)</f>
        <v>0</v>
      </c>
      <c r="BS13">
        <f>IF(P13=0,0,COUNTIF(Transect1_imgsummary!E13:I13,"STYLC")*100/P13)</f>
        <v>0</v>
      </c>
      <c r="BT13">
        <f>IF(P13=0,0,COUNTIF(Transect1_imgsummary!E13:I13,"STYLO")*100/P13)</f>
        <v>0</v>
      </c>
      <c r="BU13">
        <f>IF(P13=0,0,COUNTIF(Transect1_imgsummary!E13:I13,"SYMP")*100/P13)</f>
        <v>0</v>
      </c>
      <c r="BV13">
        <f>IF(P13=0,0,COUNTIF(Transect1_imgsummary!E13:I13,"TURBIN")*100/P13)</f>
        <v>0</v>
      </c>
      <c r="BX13">
        <f>IF(P13=0,0,COUNTIF(Transect1_imgsummary!E13:I13,"ANEM")*100/P13)</f>
        <v>0</v>
      </c>
      <c r="BY13">
        <f>IF(P13=0,0,COUNTIF(Transect1_imgsummary!E13:I13,"ASC")*100/P13)</f>
        <v>0</v>
      </c>
      <c r="BZ13">
        <f>IF(P13=0,0,COUNTIF(Transect1_imgsummary!E13:I13,"CUPS")*100/P13)</f>
        <v>0</v>
      </c>
      <c r="CA13">
        <f>IF(P13=0,0,COUNTIF(Transect1_imgsummary!E13:I13,"DISCO")*100/P13)</f>
        <v>0</v>
      </c>
      <c r="CB13">
        <f>IF(P13=0,0,COUNTIF(Transect1_imgsummary!E13:I13,"DYS")*100/P13)</f>
        <v>0</v>
      </c>
      <c r="CC13">
        <f>IF(P13=0,0,COUNTIF(Transect1_imgsummary!E13:I13,"G")*100/P13)</f>
        <v>0</v>
      </c>
      <c r="CD13">
        <f>IF(P13=0,0,COUNTIF(Transect1_imgsummary!E13:I13,"NoIDINV")*100/P13)</f>
        <v>0</v>
      </c>
      <c r="CE13">
        <f>IF(P13=0,0,COUNTIF(Transect1_imgsummary!E13:I13,"OLV")*100/P13)</f>
        <v>0</v>
      </c>
      <c r="CF13">
        <f>IF(P13=0,0,COUNTIF(Transect1_imgsummary!E13:I13,"SC")*100/P13)</f>
        <v>0</v>
      </c>
      <c r="CG13">
        <f>IF(P13=0,0,COUNTIF(Transect1_imgsummary!E13:I13,"S")*100/P13)</f>
        <v>0</v>
      </c>
      <c r="CH13">
        <f>IF(P13=0,0,COUNTIF(Transect1_imgsummary!E13:I13,"TERPS")*100/P13)</f>
        <v>0</v>
      </c>
      <c r="CI13">
        <f>IF(P13=0,0,COUNTIF(Transect1_imgsummary!E13:I13,"Z")*100/P13)</f>
        <v>0</v>
      </c>
      <c r="CK13">
        <f>IF(P13=0,0,COUNTIF(Transect1_imgsummary!E13:I13,"ASP")*100/P13)</f>
        <v>0</v>
      </c>
      <c r="CL13">
        <f>IF(P13=0,0,COUNTIF(Transect1_imgsummary!E13:I13,"BG")*100/P13)</f>
        <v>0</v>
      </c>
      <c r="CM13">
        <f>IF(P13=0,0,COUNTIF(Transect1_imgsummary!E13:I13,"Bood")*100/P13)</f>
        <v>0</v>
      </c>
      <c r="CN13">
        <f>IF(P13=0,0,COUNTIF(Transect1_imgsummary!E13:I13,"BRYP")*100/P13)</f>
        <v>0</v>
      </c>
      <c r="CO13">
        <f>IF(P13=0,0,COUNTIF(Transect1_imgsummary!E13:I13,"CLP")*100/P13)</f>
        <v>0</v>
      </c>
      <c r="CP13">
        <f>IF(P13=0,0,COUNTIF(Transect1_imgsummary!E13:I13,"CHLDES")*100/P13)</f>
        <v>0</v>
      </c>
      <c r="CQ13">
        <f>IF(P13=0,0,COUNTIF(Transect1_imgsummary!E13:I13,"DYCTY")*100/P13)</f>
        <v>0</v>
      </c>
      <c r="CR13">
        <f>IF(P13=0,0,COUNTIF(Transect1_imgsummary!E13:I13,"DICT")*100/P13)</f>
        <v>0</v>
      </c>
      <c r="CS13">
        <f>IF(P13=0,0,COUNTIF(Transect1_imgsummary!E13:I13,"GLXU")*100/P13)</f>
        <v>0</v>
      </c>
      <c r="CT13">
        <f>IF(P13=0,0,COUNTIF(Transect1_imgsummary!E13:I13,"HALI")*100/P13)</f>
        <v>0</v>
      </c>
      <c r="CU13">
        <f>IF(P13=0,0,COUNTIF(Transect1_imgsummary!E13:I13,"LIAG")*100/P13)</f>
        <v>0</v>
      </c>
      <c r="CV13">
        <f>IF(P13=0,0,COUNTIF(Transect1_imgsummary!E13:I13,"LOBO")*100/P13)</f>
        <v>0</v>
      </c>
      <c r="CW13">
        <f>IF(P13=0,0,COUNTIF(Transect1_imgsummary!E13:I13,"MAST")*100/P13)</f>
        <v>0</v>
      </c>
      <c r="CX13">
        <f>IF(P13=0,0,COUNTIF(Transect1_imgsummary!E13:I13,"MICDTY")*100/P13)</f>
        <v>0</v>
      </c>
      <c r="CY13">
        <f>IF(P13=0,0,COUNTIF(Transect1_imgsummary!E13:I13,"NEOM")*100/P13)</f>
        <v>0</v>
      </c>
      <c r="CZ13">
        <f>IF(P13=0,0,COUNTIF(Transect1_imgsummary!E13:I13,"NOIDMAC")*100/P13)</f>
        <v>0</v>
      </c>
      <c r="DA13">
        <f>IF(P13=0,0,COUNTIF(Transect1_imgsummary!E13:I13,"PAD")*100/P13)</f>
        <v>0</v>
      </c>
      <c r="DB13">
        <f>IF(P13=0,0,COUNTIF(Transect1_imgsummary!E13:I13,"SARG")*100/P13)</f>
        <v>0</v>
      </c>
      <c r="DC13">
        <f>IF(P13=0,0,COUNTIF(Transect1_imgsummary!E13:I13,"SCHIZ")*100/P13)</f>
        <v>0</v>
      </c>
      <c r="DD13">
        <f>IF(P13=0,0,COUNTIF(Transect1_imgsummary!E13:I13,"TURB")*100/P13)</f>
        <v>0</v>
      </c>
      <c r="DE13">
        <f>IF(P13=0,0,COUNTIF(Transect1_imgsummary!E13:I13,"TYDM")*100/P13)</f>
        <v>0</v>
      </c>
      <c r="DG13">
        <f>IF(P13=0,0,COUNTIF(Transect1_imgsummary!E13:I13,"AMP")*100/P13)</f>
        <v>0</v>
      </c>
      <c r="DH13">
        <f>IF(P13=0,0,COUNTIF(Transect1_imgsummary!E13:I13,"BCA1")*100/P13)</f>
        <v>0</v>
      </c>
      <c r="DI13">
        <f>IF(P13=0,0,COUNTIF(Transect1_imgsummary!E13:I13,"JAN")*100/P13)</f>
        <v>0</v>
      </c>
      <c r="DK13" s="29">
        <f>IF(P13=0,0,COUNTIF(Transect1_imgsummary!E13:I13,"CCA1")*100/P13)</f>
        <v>40</v>
      </c>
      <c r="DM13">
        <f>IF(P13=0,0,COUNTIF(Transect1_imgsummary!E13:I13,"Sand")*100/P13)</f>
        <v>0</v>
      </c>
      <c r="DO13">
        <f>IF(P13=0,0,COUNTIF(Transect1_imgsummary!E13:I13,"FCA1")*100/P13)</f>
        <v>0</v>
      </c>
      <c r="DQ13">
        <f>IF(P13=0,0,COUNTIF(Transect1_imgsummary!E13:I13,"CHRYOBRN")*100/P13)</f>
        <v>0</v>
      </c>
      <c r="DS13" s="29">
        <f>IF(P13=0,0,COUNTIF(Transect1_imgsummary!E13:I13,"TURF")*100/P13)</f>
        <v>20</v>
      </c>
      <c r="DU13">
        <f>COUNTIF(Transect1_imgsummary!E13:I13,"Shadow")*100/5</f>
        <v>0</v>
      </c>
      <c r="DV13">
        <f>COUNTIF(Transect1_imgsummary!E13:I13,"Tape")*100/5</f>
        <v>0</v>
      </c>
      <c r="DW13">
        <f>COUNTIF(Transect1_imgsummary!E13:I13,"Wand")*100/5</f>
        <v>0</v>
      </c>
      <c r="DY13">
        <f>IF(P13=0,0,COUNTIF(Transect1_imgsummary!O13:S13,"BC")*100/P13)</f>
        <v>0</v>
      </c>
    </row>
    <row r="14" spans="1:129">
      <c r="A14">
        <v>12</v>
      </c>
      <c r="B14" t="s">
        <v>49</v>
      </c>
      <c r="F14" s="29">
        <f>IF(P14=0,0,COUNTIF(Transect1_imgsummary!J14:N14,"C")*100/P14)</f>
        <v>40</v>
      </c>
      <c r="G14">
        <f>IF(P14=0,0,COUNTIF(Transect1_imgsummary!J14:N14,"OI")*100/P14)</f>
        <v>0</v>
      </c>
      <c r="H14">
        <f>IF(P14=0,0,COUNTIF(Transect1_imgsummary!J14:N14,"MA")*100/P14)</f>
        <v>0</v>
      </c>
      <c r="I14">
        <f>IF(P14=0,0,COUNTIF(Transect1_imgsummary!J14:N14,"BCA")*100/P14)</f>
        <v>0</v>
      </c>
      <c r="J14" s="29">
        <f>IF(P14=0,0,COUNTIF(Transect1_imgsummary!J14:N14,"CCA")*100/P14)</f>
        <v>20</v>
      </c>
      <c r="K14">
        <f>IF(P14=0,0,COUNTIF(Transect1_imgsummary!J14:N14,"SD")*100/P14)</f>
        <v>0</v>
      </c>
      <c r="L14" s="29">
        <f>IF(P14=0,0,COUNTIF(Transect1_imgsummary!J14:N14,"FCA")*100/P14)</f>
        <v>20</v>
      </c>
      <c r="M14">
        <f>IF(P14=0,0,COUNTIF(Transect1_imgsummary!J14:N14,"CHRYS")*100/P14)</f>
        <v>0</v>
      </c>
      <c r="N14" s="29">
        <f>IF(P14=0,0,COUNTIF(Transect1_imgsummary!J14:N14,"T")*100/P14)</f>
        <v>20</v>
      </c>
      <c r="O14">
        <f>IF(P14=0,0,COUNTIF(Transect1_imgsummary!J14:N14,"TWS")*100/P14)</f>
        <v>0</v>
      </c>
      <c r="P14">
        <f>5-COUNTIF(Transect1_imgsummary!J14:N14,"TWS")</f>
        <v>5</v>
      </c>
      <c r="S14">
        <f>IF(P14=0,0,COUNTIF(Transect1_imgsummary!E14:I14,"ACAN")*100/P14)</f>
        <v>0</v>
      </c>
      <c r="T14">
        <f>IF(P14=0,0,COUNTIF(Transect1_imgsummary!E14:I14,"ACROP")*100/P14)</f>
        <v>0</v>
      </c>
      <c r="U14">
        <f>IF(P14=0,0,COUNTIF(Transect1_imgsummary!E14:I14,"ACROPARB")*100/P14)</f>
        <v>0</v>
      </c>
      <c r="V14">
        <f>IF(P14=0,0,COUNTIF(Transect1_imgsummary!E14:I14,"ACROST")*100/P14)</f>
        <v>0</v>
      </c>
      <c r="W14">
        <f>IF(P14=0,0,COUNTIF(Transect1_imgsummary!E14:I14,"ACROTBL")*100/P14)</f>
        <v>0</v>
      </c>
      <c r="X14">
        <f>IF(P14=0,0,COUNTIF(Transect1_imgsummary!E14:I14,"ASTRP")*100/P14)</f>
        <v>0</v>
      </c>
      <c r="Y14">
        <f>IF(P14=0,0,COUNTIF(Transect1_imgsummary!E14:I14,"CAUL")*100/P14)</f>
        <v>0</v>
      </c>
      <c r="Z14">
        <f>IF(P14=0,0,COUNTIF(Transect1_imgsummary!E14:I14,"COSC")*100/P14)</f>
        <v>0</v>
      </c>
      <c r="AA14">
        <f>IF(P14=0,0,COUNTIF(Transect1_imgsummary!E14:I14,"CTEN")*100/P14)</f>
        <v>0</v>
      </c>
      <c r="AB14">
        <f>IF(P14=0,0,COUNTIF(Transect1_imgsummary!E14:I14,"CYPH")*100/P14)</f>
        <v>0</v>
      </c>
      <c r="AC14">
        <f>IF(P14=0,0,COUNTIF(Transect1_imgsummary!E14:I14,"DIPLO")*100/P14)</f>
        <v>0</v>
      </c>
      <c r="AD14" s="29">
        <f>IF(P14=0,0,COUNTIF(Transect1_imgsummary!E14:I14,"ECHPO")*100/P14)</f>
        <v>20</v>
      </c>
      <c r="AE14">
        <f>IF(P14=0,0,COUNTIF(Transect1_imgsummary!E14:I14,"ECHPHY")*100/P14)</f>
        <v>0</v>
      </c>
      <c r="AF14">
        <f>IF(P14=0,0,COUNTIF(Transect1_imgsummary!E14:I14,"EUPH")*100/P14)</f>
        <v>0</v>
      </c>
      <c r="AG14">
        <f>IF(P14=0,0,COUNTIF(Transect1_imgsummary!E14:I14,"FAV")*100/P14)</f>
        <v>0</v>
      </c>
      <c r="AH14">
        <f>IF(P14=0,0,COUNTIF(Transect1_imgsummary!E14:I14,"FAVT")*100/P14)</f>
        <v>0</v>
      </c>
      <c r="AI14">
        <f>IF(P14=0,0,COUNTIF(Transect1_imgsummary!E14:I14,"FUNG")*100/P14)</f>
        <v>0</v>
      </c>
      <c r="AJ14">
        <f>IF(P14=0,0,COUNTIF(Transect1_imgsummary!E14:I14,"GAL")*100/P14)</f>
        <v>0</v>
      </c>
      <c r="AK14">
        <f>IF(P14=0,0,COUNTIF(Transect1_imgsummary!E14:I14,"GARD")*100/P14)</f>
        <v>0</v>
      </c>
      <c r="AL14">
        <f>IF(P14=0,0,COUNTIF(Transect1_imgsummary!E14:I14,"GON")*100/P14)</f>
        <v>0</v>
      </c>
      <c r="AM14">
        <f>IF(P14=0,0,COUNTIF(Transect1_imgsummary!E14:I14,"GONIO")*100/P14)</f>
        <v>0</v>
      </c>
      <c r="AN14">
        <f>IF(P14=0,0,COUNTIF(Transect1_imgsummary!E14:I14,"HELIO")*100/P14)</f>
        <v>0</v>
      </c>
      <c r="AO14">
        <f>IF(P14=0,0,COUNTIF(Transect1_imgsummary!E14:I14,"HERP")*100/P14)</f>
        <v>0</v>
      </c>
      <c r="AP14">
        <f>IF(P14=0,0,COUNTIF(Transect1_imgsummary!E14:I14,"HYD")*100/P14)</f>
        <v>0</v>
      </c>
      <c r="AQ14">
        <f>IF(P14=0,0,COUNTIF(Transect1_imgsummary!E14:I14,"ISOP")*100/P14)</f>
        <v>0</v>
      </c>
      <c r="AR14">
        <f>IF(P14=0,0,COUNTIF(Transect1_imgsummary!E14:I14,"LEPT")*100/P14)</f>
        <v>0</v>
      </c>
      <c r="AS14" s="29">
        <f>IF(P14=0,0,COUNTIF(Transect1_imgsummary!E14:I14,"LEPTOR")*100/P14)</f>
        <v>20</v>
      </c>
      <c r="AT14">
        <f>IF(P14=0,0,COUNTIF(Transect1_imgsummary!E14:I14,"LEPTOS")*100/P14)</f>
        <v>0</v>
      </c>
      <c r="AU14">
        <f>IF(P14=0,0,COUNTIF(Transect1_imgsummary!E14:I14,"LOBOPH")*100/P14)</f>
        <v>0</v>
      </c>
      <c r="AV14">
        <f>IF(P14=0,0,COUNTIF(Transect1_imgsummary!E14:I14,"MERU")*100/P14)</f>
        <v>0</v>
      </c>
      <c r="AW14">
        <f>IF(P14=0,0,COUNTIF(Transect1_imgsummary!E14:I14,"MILL")*100/P14)</f>
        <v>0</v>
      </c>
      <c r="AX14">
        <f>IF(P14=0,0,COUNTIF(Transect1_imgsummary!E14:I14,"MONT")*100/P14)</f>
        <v>0</v>
      </c>
      <c r="AY14">
        <f>IF(P14=0,0,COUNTIF(Transect1_imgsummary!E14:I14,"MONTI")*100/P14)</f>
        <v>0</v>
      </c>
      <c r="AZ14">
        <f>IF(P14=0,0,COUNTIF(Transect1_imgsummary!E14:I14,"MYCED")*100/P14)</f>
        <v>0</v>
      </c>
      <c r="BA14">
        <f>IF(P14=0,0,COUNTIF(Transect1_imgsummary!E14:I14,"OULO")*100/P14)</f>
        <v>0</v>
      </c>
      <c r="BB14">
        <f>IF(P14=0,0,COUNTIF(Transect1_imgsummary!E14:I14,"OXYP")*100/P14)</f>
        <v>0</v>
      </c>
      <c r="BC14">
        <f>IF(P14=0,0,COUNTIF(Transect1_imgsummary!E14:I14,"PLSIA")*100/P14)</f>
        <v>0</v>
      </c>
      <c r="BD14">
        <f>IF(P14=0,0,COUNTIF(Transect1_imgsummary!E14:I14,"PACHY")*100/P14)</f>
        <v>0</v>
      </c>
      <c r="BE14">
        <f>IF(P14=0,0,COUNTIF(Transect1_imgsummary!E14:I14,"PAV")*100/P14)</f>
        <v>0</v>
      </c>
      <c r="BF14">
        <f>IF(P14=0,0,COUNTIF(Transect1_imgsummary!E14:I14,"PECT")*100/P14)</f>
        <v>0</v>
      </c>
      <c r="BG14">
        <f>IF(P14=0,0,COUNTIF(Transect1_imgsummary!E14:I14,"PHYSO")*100/P14)</f>
        <v>0</v>
      </c>
      <c r="BH14">
        <f>IF(P14=0,0,COUNTIF(Transect1_imgsummary!E14:I14,"PLAT")*100/P14)</f>
        <v>0</v>
      </c>
      <c r="BI14">
        <f>IF(P14=0,0,COUNTIF(Transect1_imgsummary!E14:I14,"PLERO")*100/P14)</f>
        <v>0</v>
      </c>
      <c r="BJ14">
        <f>IF(P14=0,0,COUNTIF(Transect1_imgsummary!E14:I14,"POC")*100/P14)</f>
        <v>0</v>
      </c>
      <c r="BK14">
        <f>IF(P14=0,0,COUNTIF(Transect1_imgsummary!E14:I14,"POR")*100/P14)</f>
        <v>0</v>
      </c>
      <c r="BL14">
        <f>IF(P14=0,0,COUNTIF(Transect1_imgsummary!E14:I14,"PORCYL")*100/P14)</f>
        <v>0</v>
      </c>
      <c r="BM14">
        <f>IF(P14=0,0,COUNTIF(Transect1_imgsummary!E14:I14,"PORMAS")*100/P14)</f>
        <v>0</v>
      </c>
      <c r="BN14">
        <f>IF(P14=0,0,COUNTIF(Transect1_imgsummary!E14:I14,"PORRUS")*100/P14)</f>
        <v>0</v>
      </c>
      <c r="BO14">
        <f>IF(P14=0,0,COUNTIF(Transect1_imgsummary!E14:I14,"PSAM")*100/P14)</f>
        <v>0</v>
      </c>
      <c r="BP14">
        <f>IF(P14=0,0,COUNTIF(Transect1_imgsummary!E14:I14,"SANDO")*100/P14)</f>
        <v>0</v>
      </c>
      <c r="BQ14">
        <f>IF(P14=0,0,COUNTIF(Transect1_imgsummary!E14:I14,"SCAP")*100/P14)</f>
        <v>0</v>
      </c>
      <c r="BR14">
        <f>IF(P14=0,0,COUNTIF(Transect1_imgsummary!E14:I14,"SERIA")*100/P14)</f>
        <v>0</v>
      </c>
      <c r="BS14">
        <f>IF(P14=0,0,COUNTIF(Transect1_imgsummary!E14:I14,"STYLC")*100/P14)</f>
        <v>0</v>
      </c>
      <c r="BT14">
        <f>IF(P14=0,0,COUNTIF(Transect1_imgsummary!E14:I14,"STYLO")*100/P14)</f>
        <v>0</v>
      </c>
      <c r="BU14">
        <f>IF(P14=0,0,COUNTIF(Transect1_imgsummary!E14:I14,"SYMP")*100/P14)</f>
        <v>0</v>
      </c>
      <c r="BV14">
        <f>IF(P14=0,0,COUNTIF(Transect1_imgsummary!E14:I14,"TURBIN")*100/P14)</f>
        <v>0</v>
      </c>
      <c r="BX14">
        <f>IF(P14=0,0,COUNTIF(Transect1_imgsummary!E14:I14,"ANEM")*100/P14)</f>
        <v>0</v>
      </c>
      <c r="BY14">
        <f>IF(P14=0,0,COUNTIF(Transect1_imgsummary!E14:I14,"ASC")*100/P14)</f>
        <v>0</v>
      </c>
      <c r="BZ14">
        <f>IF(P14=0,0,COUNTIF(Transect1_imgsummary!E14:I14,"CUPS")*100/P14)</f>
        <v>0</v>
      </c>
      <c r="CA14">
        <f>IF(P14=0,0,COUNTIF(Transect1_imgsummary!E14:I14,"DISCO")*100/P14)</f>
        <v>0</v>
      </c>
      <c r="CB14">
        <f>IF(P14=0,0,COUNTIF(Transect1_imgsummary!E14:I14,"DYS")*100/P14)</f>
        <v>0</v>
      </c>
      <c r="CC14">
        <f>IF(P14=0,0,COUNTIF(Transect1_imgsummary!E14:I14,"G")*100/P14)</f>
        <v>0</v>
      </c>
      <c r="CD14">
        <f>IF(P14=0,0,COUNTIF(Transect1_imgsummary!E14:I14,"NoIDINV")*100/P14)</f>
        <v>0</v>
      </c>
      <c r="CE14">
        <f>IF(P14=0,0,COUNTIF(Transect1_imgsummary!E14:I14,"OLV")*100/P14)</f>
        <v>0</v>
      </c>
      <c r="CF14">
        <f>IF(P14=0,0,COUNTIF(Transect1_imgsummary!E14:I14,"SC")*100/P14)</f>
        <v>0</v>
      </c>
      <c r="CG14">
        <f>IF(P14=0,0,COUNTIF(Transect1_imgsummary!E14:I14,"S")*100/P14)</f>
        <v>0</v>
      </c>
      <c r="CH14">
        <f>IF(P14=0,0,COUNTIF(Transect1_imgsummary!E14:I14,"TERPS")*100/P14)</f>
        <v>0</v>
      </c>
      <c r="CI14">
        <f>IF(P14=0,0,COUNTIF(Transect1_imgsummary!E14:I14,"Z")*100/P14)</f>
        <v>0</v>
      </c>
      <c r="CK14">
        <f>IF(P14=0,0,COUNTIF(Transect1_imgsummary!E14:I14,"ASP")*100/P14)</f>
        <v>0</v>
      </c>
      <c r="CL14">
        <f>IF(P14=0,0,COUNTIF(Transect1_imgsummary!E14:I14,"BG")*100/P14)</f>
        <v>0</v>
      </c>
      <c r="CM14">
        <f>IF(P14=0,0,COUNTIF(Transect1_imgsummary!E14:I14,"Bood")*100/P14)</f>
        <v>0</v>
      </c>
      <c r="CN14">
        <f>IF(P14=0,0,COUNTIF(Transect1_imgsummary!E14:I14,"BRYP")*100/P14)</f>
        <v>0</v>
      </c>
      <c r="CO14">
        <f>IF(P14=0,0,COUNTIF(Transect1_imgsummary!E14:I14,"CLP")*100/P14)</f>
        <v>0</v>
      </c>
      <c r="CP14">
        <f>IF(P14=0,0,COUNTIF(Transect1_imgsummary!E14:I14,"CHLDES")*100/P14)</f>
        <v>0</v>
      </c>
      <c r="CQ14">
        <f>IF(P14=0,0,COUNTIF(Transect1_imgsummary!E14:I14,"DYCTY")*100/P14)</f>
        <v>0</v>
      </c>
      <c r="CR14">
        <f>IF(P14=0,0,COUNTIF(Transect1_imgsummary!E14:I14,"DICT")*100/P14)</f>
        <v>0</v>
      </c>
      <c r="CS14">
        <f>IF(P14=0,0,COUNTIF(Transect1_imgsummary!E14:I14,"GLXU")*100/P14)</f>
        <v>0</v>
      </c>
      <c r="CT14">
        <f>IF(P14=0,0,COUNTIF(Transect1_imgsummary!E14:I14,"HALI")*100/P14)</f>
        <v>0</v>
      </c>
      <c r="CU14">
        <f>IF(P14=0,0,COUNTIF(Transect1_imgsummary!E14:I14,"LIAG")*100/P14)</f>
        <v>0</v>
      </c>
      <c r="CV14">
        <f>IF(P14=0,0,COUNTIF(Transect1_imgsummary!E14:I14,"LOBO")*100/P14)</f>
        <v>0</v>
      </c>
      <c r="CW14">
        <f>IF(P14=0,0,COUNTIF(Transect1_imgsummary!E14:I14,"MAST")*100/P14)</f>
        <v>0</v>
      </c>
      <c r="CX14">
        <f>IF(P14=0,0,COUNTIF(Transect1_imgsummary!E14:I14,"MICDTY")*100/P14)</f>
        <v>0</v>
      </c>
      <c r="CY14">
        <f>IF(P14=0,0,COUNTIF(Transect1_imgsummary!E14:I14,"NEOM")*100/P14)</f>
        <v>0</v>
      </c>
      <c r="CZ14">
        <f>IF(P14=0,0,COUNTIF(Transect1_imgsummary!E14:I14,"NOIDMAC")*100/P14)</f>
        <v>0</v>
      </c>
      <c r="DA14">
        <f>IF(P14=0,0,COUNTIF(Transect1_imgsummary!E14:I14,"PAD")*100/P14)</f>
        <v>0</v>
      </c>
      <c r="DB14">
        <f>IF(P14=0,0,COUNTIF(Transect1_imgsummary!E14:I14,"SARG")*100/P14)</f>
        <v>0</v>
      </c>
      <c r="DC14">
        <f>IF(P14=0,0,COUNTIF(Transect1_imgsummary!E14:I14,"SCHIZ")*100/P14)</f>
        <v>0</v>
      </c>
      <c r="DD14">
        <f>IF(P14=0,0,COUNTIF(Transect1_imgsummary!E14:I14,"TURB")*100/P14)</f>
        <v>0</v>
      </c>
      <c r="DE14">
        <f>IF(P14=0,0,COUNTIF(Transect1_imgsummary!E14:I14,"TYDM")*100/P14)</f>
        <v>0</v>
      </c>
      <c r="DG14">
        <f>IF(P14=0,0,COUNTIF(Transect1_imgsummary!E14:I14,"AMP")*100/P14)</f>
        <v>0</v>
      </c>
      <c r="DH14">
        <f>IF(P14=0,0,COUNTIF(Transect1_imgsummary!E14:I14,"BCA1")*100/P14)</f>
        <v>0</v>
      </c>
      <c r="DI14">
        <f>IF(P14=0,0,COUNTIF(Transect1_imgsummary!E14:I14,"JAN")*100/P14)</f>
        <v>0</v>
      </c>
      <c r="DK14" s="29">
        <f>IF(P14=0,0,COUNTIF(Transect1_imgsummary!E14:I14,"CCA1")*100/P14)</f>
        <v>20</v>
      </c>
      <c r="DM14">
        <f>IF(P14=0,0,COUNTIF(Transect1_imgsummary!E14:I14,"Sand")*100/P14)</f>
        <v>0</v>
      </c>
      <c r="DO14" s="29">
        <f>IF(P14=0,0,COUNTIF(Transect1_imgsummary!E14:I14,"FCA1")*100/P14)</f>
        <v>20</v>
      </c>
      <c r="DQ14">
        <f>IF(P14=0,0,COUNTIF(Transect1_imgsummary!E14:I14,"CHRYOBRN")*100/P14)</f>
        <v>0</v>
      </c>
      <c r="DS14" s="29">
        <f>IF(P14=0,0,COUNTIF(Transect1_imgsummary!E14:I14,"TURF")*100/P14)</f>
        <v>20</v>
      </c>
      <c r="DU14">
        <f>COUNTIF(Transect1_imgsummary!E14:I14,"Shadow")*100/5</f>
        <v>0</v>
      </c>
      <c r="DV14">
        <f>COUNTIF(Transect1_imgsummary!E14:I14,"Tape")*100/5</f>
        <v>0</v>
      </c>
      <c r="DW14">
        <f>COUNTIF(Transect1_imgsummary!E14:I14,"Wand")*100/5</f>
        <v>0</v>
      </c>
      <c r="DY14">
        <f>IF(P14=0,0,COUNTIF(Transect1_imgsummary!O14:S14,"BC")*100/P14)</f>
        <v>0</v>
      </c>
    </row>
    <row r="15" spans="1:129">
      <c r="A15">
        <v>13</v>
      </c>
      <c r="B15" t="s">
        <v>50</v>
      </c>
      <c r="F15" s="29">
        <f>IF(P15=0,0,COUNTIF(Transect1_imgsummary!J15:N15,"C")*100/P15)</f>
        <v>20</v>
      </c>
      <c r="G15">
        <f>IF(P15=0,0,COUNTIF(Transect1_imgsummary!J15:N15,"OI")*100/P15)</f>
        <v>0</v>
      </c>
      <c r="H15">
        <f>IF(P15=0,0,COUNTIF(Transect1_imgsummary!J15:N15,"MA")*100/P15)</f>
        <v>0</v>
      </c>
      <c r="I15">
        <f>IF(P15=0,0,COUNTIF(Transect1_imgsummary!J15:N15,"BCA")*100/P15)</f>
        <v>0</v>
      </c>
      <c r="J15">
        <f>IF(P15=0,0,COUNTIF(Transect1_imgsummary!J15:N15,"CCA")*100/P15)</f>
        <v>0</v>
      </c>
      <c r="K15">
        <f>IF(P15=0,0,COUNTIF(Transect1_imgsummary!J15:N15,"SD")*100/P15)</f>
        <v>0</v>
      </c>
      <c r="L15" s="29">
        <f>IF(P15=0,0,COUNTIF(Transect1_imgsummary!J15:N15,"FCA")*100/P15)</f>
        <v>20</v>
      </c>
      <c r="M15">
        <f>IF(P15=0,0,COUNTIF(Transect1_imgsummary!J15:N15,"CHRYS")*100/P15)</f>
        <v>0</v>
      </c>
      <c r="N15" s="29">
        <f>IF(P15=0,0,COUNTIF(Transect1_imgsummary!J15:N15,"T")*100/P15)</f>
        <v>60</v>
      </c>
      <c r="O15">
        <f>IF(P15=0,0,COUNTIF(Transect1_imgsummary!J15:N15,"TWS")*100/P15)</f>
        <v>0</v>
      </c>
      <c r="P15">
        <f>5-COUNTIF(Transect1_imgsummary!J15:N15,"TWS")</f>
        <v>5</v>
      </c>
      <c r="S15">
        <f>IF(P15=0,0,COUNTIF(Transect1_imgsummary!E15:I15,"ACAN")*100/P15)</f>
        <v>0</v>
      </c>
      <c r="T15">
        <f>IF(P15=0,0,COUNTIF(Transect1_imgsummary!E15:I15,"ACROP")*100/P15)</f>
        <v>0</v>
      </c>
      <c r="U15">
        <f>IF(P15=0,0,COUNTIF(Transect1_imgsummary!E15:I15,"ACROPARB")*100/P15)</f>
        <v>0</v>
      </c>
      <c r="V15">
        <f>IF(P15=0,0,COUNTIF(Transect1_imgsummary!E15:I15,"ACROST")*100/P15)</f>
        <v>0</v>
      </c>
      <c r="W15">
        <f>IF(P15=0,0,COUNTIF(Transect1_imgsummary!E15:I15,"ACROTBL")*100/P15)</f>
        <v>0</v>
      </c>
      <c r="X15">
        <f>IF(P15=0,0,COUNTIF(Transect1_imgsummary!E15:I15,"ASTRP")*100/P15)</f>
        <v>0</v>
      </c>
      <c r="Y15">
        <f>IF(P15=0,0,COUNTIF(Transect1_imgsummary!E15:I15,"CAUL")*100/P15)</f>
        <v>0</v>
      </c>
      <c r="Z15">
        <f>IF(P15=0,0,COUNTIF(Transect1_imgsummary!E15:I15,"COSC")*100/P15)</f>
        <v>0</v>
      </c>
      <c r="AA15">
        <f>IF(P15=0,0,COUNTIF(Transect1_imgsummary!E15:I15,"CTEN")*100/P15)</f>
        <v>0</v>
      </c>
      <c r="AB15">
        <f>IF(P15=0,0,COUNTIF(Transect1_imgsummary!E15:I15,"CYPH")*100/P15)</f>
        <v>0</v>
      </c>
      <c r="AC15">
        <f>IF(P15=0,0,COUNTIF(Transect1_imgsummary!E15:I15,"DIPLO")*100/P15)</f>
        <v>0</v>
      </c>
      <c r="AD15">
        <f>IF(P15=0,0,COUNTIF(Transect1_imgsummary!E15:I15,"ECHPO")*100/P15)</f>
        <v>0</v>
      </c>
      <c r="AE15">
        <f>IF(P15=0,0,COUNTIF(Transect1_imgsummary!E15:I15,"ECHPHY")*100/P15)</f>
        <v>0</v>
      </c>
      <c r="AF15">
        <f>IF(P15=0,0,COUNTIF(Transect1_imgsummary!E15:I15,"EUPH")*100/P15)</f>
        <v>0</v>
      </c>
      <c r="AG15">
        <f>IF(P15=0,0,COUNTIF(Transect1_imgsummary!E15:I15,"FAV")*100/P15)</f>
        <v>0</v>
      </c>
      <c r="AH15">
        <f>IF(P15=0,0,COUNTIF(Transect1_imgsummary!E15:I15,"FAVT")*100/P15)</f>
        <v>0</v>
      </c>
      <c r="AI15">
        <f>IF(P15=0,0,COUNTIF(Transect1_imgsummary!E15:I15,"FUNG")*100/P15)</f>
        <v>0</v>
      </c>
      <c r="AJ15">
        <f>IF(P15=0,0,COUNTIF(Transect1_imgsummary!E15:I15,"GAL")*100/P15)</f>
        <v>0</v>
      </c>
      <c r="AK15">
        <f>IF(P15=0,0,COUNTIF(Transect1_imgsummary!E15:I15,"GARD")*100/P15)</f>
        <v>0</v>
      </c>
      <c r="AL15">
        <f>IF(P15=0,0,COUNTIF(Transect1_imgsummary!E15:I15,"GON")*100/P15)</f>
        <v>0</v>
      </c>
      <c r="AM15">
        <f>IF(P15=0,0,COUNTIF(Transect1_imgsummary!E15:I15,"GONIO")*100/P15)</f>
        <v>0</v>
      </c>
      <c r="AN15">
        <f>IF(P15=0,0,COUNTIF(Transect1_imgsummary!E15:I15,"HELIO")*100/P15)</f>
        <v>0</v>
      </c>
      <c r="AO15">
        <f>IF(P15=0,0,COUNTIF(Transect1_imgsummary!E15:I15,"HERP")*100/P15)</f>
        <v>0</v>
      </c>
      <c r="AP15">
        <f>IF(P15=0,0,COUNTIF(Transect1_imgsummary!E15:I15,"HYD")*100/P15)</f>
        <v>0</v>
      </c>
      <c r="AQ15">
        <f>IF(P15=0,0,COUNTIF(Transect1_imgsummary!E15:I15,"ISOP")*100/P15)</f>
        <v>0</v>
      </c>
      <c r="AR15">
        <f>IF(P15=0,0,COUNTIF(Transect1_imgsummary!E15:I15,"LEPT")*100/P15)</f>
        <v>0</v>
      </c>
      <c r="AS15">
        <f>IF(P15=0,0,COUNTIF(Transect1_imgsummary!E15:I15,"LEPTOR")*100/P15)</f>
        <v>0</v>
      </c>
      <c r="AT15">
        <f>IF(P15=0,0,COUNTIF(Transect1_imgsummary!E15:I15,"LEPTOS")*100/P15)</f>
        <v>0</v>
      </c>
      <c r="AU15">
        <f>IF(P15=0,0,COUNTIF(Transect1_imgsummary!E15:I15,"LOBOPH")*100/P15)</f>
        <v>0</v>
      </c>
      <c r="AV15">
        <f>IF(P15=0,0,COUNTIF(Transect1_imgsummary!E15:I15,"MERU")*100/P15)</f>
        <v>0</v>
      </c>
      <c r="AW15">
        <f>IF(P15=0,0,COUNTIF(Transect1_imgsummary!E15:I15,"MILL")*100/P15)</f>
        <v>0</v>
      </c>
      <c r="AX15">
        <f>IF(P15=0,0,COUNTIF(Transect1_imgsummary!E15:I15,"MONT")*100/P15)</f>
        <v>0</v>
      </c>
      <c r="AY15">
        <f>IF(P15=0,0,COUNTIF(Transect1_imgsummary!E15:I15,"MONTI")*100/P15)</f>
        <v>0</v>
      </c>
      <c r="AZ15">
        <f>IF(P15=0,0,COUNTIF(Transect1_imgsummary!E15:I15,"MYCED")*100/P15)</f>
        <v>0</v>
      </c>
      <c r="BA15">
        <f>IF(P15=0,0,COUNTIF(Transect1_imgsummary!E15:I15,"OULO")*100/P15)</f>
        <v>0</v>
      </c>
      <c r="BB15">
        <f>IF(P15=0,0,COUNTIF(Transect1_imgsummary!E15:I15,"OXYP")*100/P15)</f>
        <v>0</v>
      </c>
      <c r="BC15">
        <f>IF(P15=0,0,COUNTIF(Transect1_imgsummary!E15:I15,"PLSIA")*100/P15)</f>
        <v>0</v>
      </c>
      <c r="BD15">
        <f>IF(P15=0,0,COUNTIF(Transect1_imgsummary!E15:I15,"PACHY")*100/P15)</f>
        <v>0</v>
      </c>
      <c r="BE15">
        <f>IF(P15=0,0,COUNTIF(Transect1_imgsummary!E15:I15,"PAV")*100/P15)</f>
        <v>0</v>
      </c>
      <c r="BF15">
        <f>IF(P15=0,0,COUNTIF(Transect1_imgsummary!E15:I15,"PECT")*100/P15)</f>
        <v>0</v>
      </c>
      <c r="BG15">
        <f>IF(P15=0,0,COUNTIF(Transect1_imgsummary!E15:I15,"PHYSO")*100/P15)</f>
        <v>0</v>
      </c>
      <c r="BH15">
        <f>IF(P15=0,0,COUNTIF(Transect1_imgsummary!E15:I15,"PLAT")*100/P15)</f>
        <v>0</v>
      </c>
      <c r="BI15">
        <f>IF(P15=0,0,COUNTIF(Transect1_imgsummary!E15:I15,"PLERO")*100/P15)</f>
        <v>0</v>
      </c>
      <c r="BJ15">
        <f>IF(P15=0,0,COUNTIF(Transect1_imgsummary!E15:I15,"POC")*100/P15)</f>
        <v>0</v>
      </c>
      <c r="BK15">
        <f>IF(P15=0,0,COUNTIF(Transect1_imgsummary!E15:I15,"POR")*100/P15)</f>
        <v>0</v>
      </c>
      <c r="BL15">
        <f>IF(P15=0,0,COUNTIF(Transect1_imgsummary!E15:I15,"PORCYL")*100/P15)</f>
        <v>0</v>
      </c>
      <c r="BM15">
        <f>IF(P15=0,0,COUNTIF(Transect1_imgsummary!E15:I15,"PORMAS")*100/P15)</f>
        <v>0</v>
      </c>
      <c r="BN15">
        <f>IF(P15=0,0,COUNTIF(Transect1_imgsummary!E15:I15,"PORRUS")*100/P15)</f>
        <v>0</v>
      </c>
      <c r="BO15">
        <f>IF(P15=0,0,COUNTIF(Transect1_imgsummary!E15:I15,"PSAM")*100/P15)</f>
        <v>0</v>
      </c>
      <c r="BP15">
        <f>IF(P15=0,0,COUNTIF(Transect1_imgsummary!E15:I15,"SANDO")*100/P15)</f>
        <v>0</v>
      </c>
      <c r="BQ15">
        <f>IF(P15=0,0,COUNTIF(Transect1_imgsummary!E15:I15,"SCAP")*100/P15)</f>
        <v>0</v>
      </c>
      <c r="BR15">
        <f>IF(P15=0,0,COUNTIF(Transect1_imgsummary!E15:I15,"SERIA")*100/P15)</f>
        <v>0</v>
      </c>
      <c r="BS15">
        <f>IF(P15=0,0,COUNTIF(Transect1_imgsummary!E15:I15,"STYLC")*100/P15)</f>
        <v>0</v>
      </c>
      <c r="BT15" s="29">
        <f>IF(P15=0,0,COUNTIF(Transect1_imgsummary!E15:I15,"STYLO")*100/P15)</f>
        <v>20</v>
      </c>
      <c r="BU15">
        <f>IF(P15=0,0,COUNTIF(Transect1_imgsummary!E15:I15,"SYMP")*100/P15)</f>
        <v>0</v>
      </c>
      <c r="BV15">
        <f>IF(P15=0,0,COUNTIF(Transect1_imgsummary!E15:I15,"TURBIN")*100/P15)</f>
        <v>0</v>
      </c>
      <c r="BX15">
        <f>IF(P15=0,0,COUNTIF(Transect1_imgsummary!E15:I15,"ANEM")*100/P15)</f>
        <v>0</v>
      </c>
      <c r="BY15">
        <f>IF(P15=0,0,COUNTIF(Transect1_imgsummary!E15:I15,"ASC")*100/P15)</f>
        <v>0</v>
      </c>
      <c r="BZ15">
        <f>IF(P15=0,0,COUNTIF(Transect1_imgsummary!E15:I15,"CUPS")*100/P15)</f>
        <v>0</v>
      </c>
      <c r="CA15">
        <f>IF(P15=0,0,COUNTIF(Transect1_imgsummary!E15:I15,"DISCO")*100/P15)</f>
        <v>0</v>
      </c>
      <c r="CB15">
        <f>IF(P15=0,0,COUNTIF(Transect1_imgsummary!E15:I15,"DYS")*100/P15)</f>
        <v>0</v>
      </c>
      <c r="CC15">
        <f>IF(P15=0,0,COUNTIF(Transect1_imgsummary!E15:I15,"G")*100/P15)</f>
        <v>0</v>
      </c>
      <c r="CD15">
        <f>IF(P15=0,0,COUNTIF(Transect1_imgsummary!E15:I15,"NoIDINV")*100/P15)</f>
        <v>0</v>
      </c>
      <c r="CE15">
        <f>IF(P15=0,0,COUNTIF(Transect1_imgsummary!E15:I15,"OLV")*100/P15)</f>
        <v>0</v>
      </c>
      <c r="CF15">
        <f>IF(P15=0,0,COUNTIF(Transect1_imgsummary!E15:I15,"SC")*100/P15)</f>
        <v>0</v>
      </c>
      <c r="CG15">
        <f>IF(P15=0,0,COUNTIF(Transect1_imgsummary!E15:I15,"S")*100/P15)</f>
        <v>0</v>
      </c>
      <c r="CH15">
        <f>IF(P15=0,0,COUNTIF(Transect1_imgsummary!E15:I15,"TERPS")*100/P15)</f>
        <v>0</v>
      </c>
      <c r="CI15">
        <f>IF(P15=0,0,COUNTIF(Transect1_imgsummary!E15:I15,"Z")*100/P15)</f>
        <v>0</v>
      </c>
      <c r="CK15">
        <f>IF(P15=0,0,COUNTIF(Transect1_imgsummary!E15:I15,"ASP")*100/P15)</f>
        <v>0</v>
      </c>
      <c r="CL15">
        <f>IF(P15=0,0,COUNTIF(Transect1_imgsummary!E15:I15,"BG")*100/P15)</f>
        <v>0</v>
      </c>
      <c r="CM15">
        <f>IF(P15=0,0,COUNTIF(Transect1_imgsummary!E15:I15,"Bood")*100/P15)</f>
        <v>0</v>
      </c>
      <c r="CN15">
        <f>IF(P15=0,0,COUNTIF(Transect1_imgsummary!E15:I15,"BRYP")*100/P15)</f>
        <v>0</v>
      </c>
      <c r="CO15">
        <f>IF(P15=0,0,COUNTIF(Transect1_imgsummary!E15:I15,"CLP")*100/P15)</f>
        <v>0</v>
      </c>
      <c r="CP15">
        <f>IF(P15=0,0,COUNTIF(Transect1_imgsummary!E15:I15,"CHLDES")*100/P15)</f>
        <v>0</v>
      </c>
      <c r="CQ15">
        <f>IF(P15=0,0,COUNTIF(Transect1_imgsummary!E15:I15,"DYCTY")*100/P15)</f>
        <v>0</v>
      </c>
      <c r="CR15">
        <f>IF(P15=0,0,COUNTIF(Transect1_imgsummary!E15:I15,"DICT")*100/P15)</f>
        <v>0</v>
      </c>
      <c r="CS15">
        <f>IF(P15=0,0,COUNTIF(Transect1_imgsummary!E15:I15,"GLXU")*100/P15)</f>
        <v>0</v>
      </c>
      <c r="CT15">
        <f>IF(P15=0,0,COUNTIF(Transect1_imgsummary!E15:I15,"HALI")*100/P15)</f>
        <v>0</v>
      </c>
      <c r="CU15">
        <f>IF(P15=0,0,COUNTIF(Transect1_imgsummary!E15:I15,"LIAG")*100/P15)</f>
        <v>0</v>
      </c>
      <c r="CV15">
        <f>IF(P15=0,0,COUNTIF(Transect1_imgsummary!E15:I15,"LOBO")*100/P15)</f>
        <v>0</v>
      </c>
      <c r="CW15">
        <f>IF(P15=0,0,COUNTIF(Transect1_imgsummary!E15:I15,"MAST")*100/P15)</f>
        <v>0</v>
      </c>
      <c r="CX15">
        <f>IF(P15=0,0,COUNTIF(Transect1_imgsummary!E15:I15,"MICDTY")*100/P15)</f>
        <v>0</v>
      </c>
      <c r="CY15">
        <f>IF(P15=0,0,COUNTIF(Transect1_imgsummary!E15:I15,"NEOM")*100/P15)</f>
        <v>0</v>
      </c>
      <c r="CZ15">
        <f>IF(P15=0,0,COUNTIF(Transect1_imgsummary!E15:I15,"NOIDMAC")*100/P15)</f>
        <v>0</v>
      </c>
      <c r="DA15">
        <f>IF(P15=0,0,COUNTIF(Transect1_imgsummary!E15:I15,"PAD")*100/P15)</f>
        <v>0</v>
      </c>
      <c r="DB15">
        <f>IF(P15=0,0,COUNTIF(Transect1_imgsummary!E15:I15,"SARG")*100/P15)</f>
        <v>0</v>
      </c>
      <c r="DC15">
        <f>IF(P15=0,0,COUNTIF(Transect1_imgsummary!E15:I15,"SCHIZ")*100/P15)</f>
        <v>0</v>
      </c>
      <c r="DD15">
        <f>IF(P15=0,0,COUNTIF(Transect1_imgsummary!E15:I15,"TURB")*100/P15)</f>
        <v>0</v>
      </c>
      <c r="DE15">
        <f>IF(P15=0,0,COUNTIF(Transect1_imgsummary!E15:I15,"TYDM")*100/P15)</f>
        <v>0</v>
      </c>
      <c r="DG15">
        <f>IF(P15=0,0,COUNTIF(Transect1_imgsummary!E15:I15,"AMP")*100/P15)</f>
        <v>0</v>
      </c>
      <c r="DH15">
        <f>IF(P15=0,0,COUNTIF(Transect1_imgsummary!E15:I15,"BCA1")*100/P15)</f>
        <v>0</v>
      </c>
      <c r="DI15">
        <f>IF(P15=0,0,COUNTIF(Transect1_imgsummary!E15:I15,"JAN")*100/P15)</f>
        <v>0</v>
      </c>
      <c r="DK15">
        <f>IF(P15=0,0,COUNTIF(Transect1_imgsummary!E15:I15,"CCA1")*100/P15)</f>
        <v>0</v>
      </c>
      <c r="DM15">
        <f>IF(P15=0,0,COUNTIF(Transect1_imgsummary!E15:I15,"Sand")*100/P15)</f>
        <v>0</v>
      </c>
      <c r="DO15" s="29">
        <f>IF(P15=0,0,COUNTIF(Transect1_imgsummary!E15:I15,"FCA1")*100/P15)</f>
        <v>20</v>
      </c>
      <c r="DQ15">
        <f>IF(P15=0,0,COUNTIF(Transect1_imgsummary!E15:I15,"CHRYOBRN")*100/P15)</f>
        <v>0</v>
      </c>
      <c r="DS15" s="29">
        <f>IF(P15=0,0,COUNTIF(Transect1_imgsummary!E15:I15,"TURF")*100/P15)</f>
        <v>60</v>
      </c>
      <c r="DU15">
        <f>COUNTIF(Transect1_imgsummary!E15:I15,"Shadow")*100/5</f>
        <v>0</v>
      </c>
      <c r="DV15">
        <f>COUNTIF(Transect1_imgsummary!E15:I15,"Tape")*100/5</f>
        <v>0</v>
      </c>
      <c r="DW15">
        <f>COUNTIF(Transect1_imgsummary!E15:I15,"Wand")*100/5</f>
        <v>0</v>
      </c>
      <c r="DY15">
        <f>IF(P15=0,0,COUNTIF(Transect1_imgsummary!O15:S15,"BC")*100/P15)</f>
        <v>0</v>
      </c>
    </row>
    <row r="16" spans="1:129">
      <c r="A16">
        <v>14</v>
      </c>
      <c r="B16" t="s">
        <v>52</v>
      </c>
      <c r="F16" s="29">
        <f>IF(P16=0,0,COUNTIF(Transect1_imgsummary!J16:N16,"C")*100/P16)</f>
        <v>60</v>
      </c>
      <c r="G16">
        <f>IF(P16=0,0,COUNTIF(Transect1_imgsummary!J16:N16,"OI")*100/P16)</f>
        <v>0</v>
      </c>
      <c r="H16">
        <f>IF(P16=0,0,COUNTIF(Transect1_imgsummary!J16:N16,"MA")*100/P16)</f>
        <v>0</v>
      </c>
      <c r="I16">
        <f>IF(P16=0,0,COUNTIF(Transect1_imgsummary!J16:N16,"BCA")*100/P16)</f>
        <v>0</v>
      </c>
      <c r="J16">
        <f>IF(P16=0,0,COUNTIF(Transect1_imgsummary!J16:N16,"CCA")*100/P16)</f>
        <v>0</v>
      </c>
      <c r="K16">
        <f>IF(P16=0,0,COUNTIF(Transect1_imgsummary!J16:N16,"SD")*100/P16)</f>
        <v>0</v>
      </c>
      <c r="L16">
        <f>IF(P16=0,0,COUNTIF(Transect1_imgsummary!J16:N16,"FCA")*100/P16)</f>
        <v>0</v>
      </c>
      <c r="M16">
        <f>IF(P16=0,0,COUNTIF(Transect1_imgsummary!J16:N16,"CHRYS")*100/P16)</f>
        <v>0</v>
      </c>
      <c r="N16" s="29">
        <f>IF(P16=0,0,COUNTIF(Transect1_imgsummary!J16:N16,"T")*100/P16)</f>
        <v>40</v>
      </c>
      <c r="O16">
        <f>IF(P16=0,0,COUNTIF(Transect1_imgsummary!J16:N16,"TWS")*100/P16)</f>
        <v>0</v>
      </c>
      <c r="P16">
        <f>5-COUNTIF(Transect1_imgsummary!J16:N16,"TWS")</f>
        <v>5</v>
      </c>
      <c r="S16">
        <f>IF(P16=0,0,COUNTIF(Transect1_imgsummary!E16:I16,"ACAN")*100/P16)</f>
        <v>0</v>
      </c>
      <c r="T16">
        <f>IF(P16=0,0,COUNTIF(Transect1_imgsummary!E16:I16,"ACROP")*100/P16)</f>
        <v>0</v>
      </c>
      <c r="U16">
        <f>IF(P16=0,0,COUNTIF(Transect1_imgsummary!E16:I16,"ACROPARB")*100/P16)</f>
        <v>0</v>
      </c>
      <c r="V16">
        <f>IF(P16=0,0,COUNTIF(Transect1_imgsummary!E16:I16,"ACROST")*100/P16)</f>
        <v>0</v>
      </c>
      <c r="W16">
        <f>IF(P16=0,0,COUNTIF(Transect1_imgsummary!E16:I16,"ACROTBL")*100/P16)</f>
        <v>0</v>
      </c>
      <c r="X16">
        <f>IF(P16=0,0,COUNTIF(Transect1_imgsummary!E16:I16,"ASTRP")*100/P16)</f>
        <v>0</v>
      </c>
      <c r="Y16">
        <f>IF(P16=0,0,COUNTIF(Transect1_imgsummary!E16:I16,"CAUL")*100/P16)</f>
        <v>0</v>
      </c>
      <c r="Z16">
        <f>IF(P16=0,0,COUNTIF(Transect1_imgsummary!E16:I16,"COSC")*100/P16)</f>
        <v>0</v>
      </c>
      <c r="AA16">
        <f>IF(P16=0,0,COUNTIF(Transect1_imgsummary!E16:I16,"CTEN")*100/P16)</f>
        <v>0</v>
      </c>
      <c r="AB16">
        <f>IF(P16=0,0,COUNTIF(Transect1_imgsummary!E16:I16,"CYPH")*100/P16)</f>
        <v>0</v>
      </c>
      <c r="AC16">
        <f>IF(P16=0,0,COUNTIF(Transect1_imgsummary!E16:I16,"DIPLO")*100/P16)</f>
        <v>0</v>
      </c>
      <c r="AD16" s="29">
        <f>IF(P16=0,0,COUNTIF(Transect1_imgsummary!E16:I16,"ECHPO")*100/P16)</f>
        <v>60</v>
      </c>
      <c r="AE16">
        <f>IF(P16=0,0,COUNTIF(Transect1_imgsummary!E16:I16,"ECHPHY")*100/P16)</f>
        <v>0</v>
      </c>
      <c r="AF16">
        <f>IF(P16=0,0,COUNTIF(Transect1_imgsummary!E16:I16,"EUPH")*100/P16)</f>
        <v>0</v>
      </c>
      <c r="AG16">
        <f>IF(P16=0,0,COUNTIF(Transect1_imgsummary!E16:I16,"FAV")*100/P16)</f>
        <v>0</v>
      </c>
      <c r="AH16">
        <f>IF(P16=0,0,COUNTIF(Transect1_imgsummary!E16:I16,"FAVT")*100/P16)</f>
        <v>0</v>
      </c>
      <c r="AI16">
        <f>IF(P16=0,0,COUNTIF(Transect1_imgsummary!E16:I16,"FUNG")*100/P16)</f>
        <v>0</v>
      </c>
      <c r="AJ16">
        <f>IF(P16=0,0,COUNTIF(Transect1_imgsummary!E16:I16,"GAL")*100/P16)</f>
        <v>0</v>
      </c>
      <c r="AK16">
        <f>IF(P16=0,0,COUNTIF(Transect1_imgsummary!E16:I16,"GARD")*100/P16)</f>
        <v>0</v>
      </c>
      <c r="AL16">
        <f>IF(P16=0,0,COUNTIF(Transect1_imgsummary!E16:I16,"GON")*100/P16)</f>
        <v>0</v>
      </c>
      <c r="AM16">
        <f>IF(P16=0,0,COUNTIF(Transect1_imgsummary!E16:I16,"GONIO")*100/P16)</f>
        <v>0</v>
      </c>
      <c r="AN16">
        <f>IF(P16=0,0,COUNTIF(Transect1_imgsummary!E16:I16,"HELIO")*100/P16)</f>
        <v>0</v>
      </c>
      <c r="AO16">
        <f>IF(P16=0,0,COUNTIF(Transect1_imgsummary!E16:I16,"HERP")*100/P16)</f>
        <v>0</v>
      </c>
      <c r="AP16">
        <f>IF(P16=0,0,COUNTIF(Transect1_imgsummary!E16:I16,"HYD")*100/P16)</f>
        <v>0</v>
      </c>
      <c r="AQ16">
        <f>IF(P16=0,0,COUNTIF(Transect1_imgsummary!E16:I16,"ISOP")*100/P16)</f>
        <v>0</v>
      </c>
      <c r="AR16">
        <f>IF(P16=0,0,COUNTIF(Transect1_imgsummary!E16:I16,"LEPT")*100/P16)</f>
        <v>0</v>
      </c>
      <c r="AS16">
        <f>IF(P16=0,0,COUNTIF(Transect1_imgsummary!E16:I16,"LEPTOR")*100/P16)</f>
        <v>0</v>
      </c>
      <c r="AT16">
        <f>IF(P16=0,0,COUNTIF(Transect1_imgsummary!E16:I16,"LEPTOS")*100/P16)</f>
        <v>0</v>
      </c>
      <c r="AU16">
        <f>IF(P16=0,0,COUNTIF(Transect1_imgsummary!E16:I16,"LOBOPH")*100/P16)</f>
        <v>0</v>
      </c>
      <c r="AV16">
        <f>IF(P16=0,0,COUNTIF(Transect1_imgsummary!E16:I16,"MERU")*100/P16)</f>
        <v>0</v>
      </c>
      <c r="AW16">
        <f>IF(P16=0,0,COUNTIF(Transect1_imgsummary!E16:I16,"MILL")*100/P16)</f>
        <v>0</v>
      </c>
      <c r="AX16">
        <f>IF(P16=0,0,COUNTIF(Transect1_imgsummary!E16:I16,"MONT")*100/P16)</f>
        <v>0</v>
      </c>
      <c r="AY16">
        <f>IF(P16=0,0,COUNTIF(Transect1_imgsummary!E16:I16,"MONTI")*100/P16)</f>
        <v>0</v>
      </c>
      <c r="AZ16">
        <f>IF(P16=0,0,COUNTIF(Transect1_imgsummary!E16:I16,"MYCED")*100/P16)</f>
        <v>0</v>
      </c>
      <c r="BA16">
        <f>IF(P16=0,0,COUNTIF(Transect1_imgsummary!E16:I16,"OULO")*100/P16)</f>
        <v>0</v>
      </c>
      <c r="BB16">
        <f>IF(P16=0,0,COUNTIF(Transect1_imgsummary!E16:I16,"OXYP")*100/P16)</f>
        <v>0</v>
      </c>
      <c r="BC16">
        <f>IF(P16=0,0,COUNTIF(Transect1_imgsummary!E16:I16,"PLSIA")*100/P16)</f>
        <v>0</v>
      </c>
      <c r="BD16">
        <f>IF(P16=0,0,COUNTIF(Transect1_imgsummary!E16:I16,"PACHY")*100/P16)</f>
        <v>0</v>
      </c>
      <c r="BE16">
        <f>IF(P16=0,0,COUNTIF(Transect1_imgsummary!E16:I16,"PAV")*100/P16)</f>
        <v>0</v>
      </c>
      <c r="BF16">
        <f>IF(P16=0,0,COUNTIF(Transect1_imgsummary!E16:I16,"PECT")*100/P16)</f>
        <v>0</v>
      </c>
      <c r="BG16">
        <f>IF(P16=0,0,COUNTIF(Transect1_imgsummary!E16:I16,"PHYSO")*100/P16)</f>
        <v>0</v>
      </c>
      <c r="BH16">
        <f>IF(P16=0,0,COUNTIF(Transect1_imgsummary!E16:I16,"PLAT")*100/P16)</f>
        <v>0</v>
      </c>
      <c r="BI16">
        <f>IF(P16=0,0,COUNTIF(Transect1_imgsummary!E16:I16,"PLERO")*100/P16)</f>
        <v>0</v>
      </c>
      <c r="BJ16">
        <f>IF(P16=0,0,COUNTIF(Transect1_imgsummary!E16:I16,"POC")*100/P16)</f>
        <v>0</v>
      </c>
      <c r="BK16">
        <f>IF(P16=0,0,COUNTIF(Transect1_imgsummary!E16:I16,"POR")*100/P16)</f>
        <v>0</v>
      </c>
      <c r="BL16">
        <f>IF(P16=0,0,COUNTIF(Transect1_imgsummary!E16:I16,"PORCYL")*100/P16)</f>
        <v>0</v>
      </c>
      <c r="BM16">
        <f>IF(P16=0,0,COUNTIF(Transect1_imgsummary!E16:I16,"PORMAS")*100/P16)</f>
        <v>0</v>
      </c>
      <c r="BN16">
        <f>IF(P16=0,0,COUNTIF(Transect1_imgsummary!E16:I16,"PORRUS")*100/P16)</f>
        <v>0</v>
      </c>
      <c r="BO16">
        <f>IF(P16=0,0,COUNTIF(Transect1_imgsummary!E16:I16,"PSAM")*100/P16)</f>
        <v>0</v>
      </c>
      <c r="BP16">
        <f>IF(P16=0,0,COUNTIF(Transect1_imgsummary!E16:I16,"SANDO")*100/P16)</f>
        <v>0</v>
      </c>
      <c r="BQ16">
        <f>IF(P16=0,0,COUNTIF(Transect1_imgsummary!E16:I16,"SCAP")*100/P16)</f>
        <v>0</v>
      </c>
      <c r="BR16">
        <f>IF(P16=0,0,COUNTIF(Transect1_imgsummary!E16:I16,"SERIA")*100/P16)</f>
        <v>0</v>
      </c>
      <c r="BS16">
        <f>IF(P16=0,0,COUNTIF(Transect1_imgsummary!E16:I16,"STYLC")*100/P16)</f>
        <v>0</v>
      </c>
      <c r="BT16">
        <f>IF(P16=0,0,COUNTIF(Transect1_imgsummary!E16:I16,"STYLO")*100/P16)</f>
        <v>0</v>
      </c>
      <c r="BU16">
        <f>IF(P16=0,0,COUNTIF(Transect1_imgsummary!E16:I16,"SYMP")*100/P16)</f>
        <v>0</v>
      </c>
      <c r="BV16">
        <f>IF(P16=0,0,COUNTIF(Transect1_imgsummary!E16:I16,"TURBIN")*100/P16)</f>
        <v>0</v>
      </c>
      <c r="BX16">
        <f>IF(P16=0,0,COUNTIF(Transect1_imgsummary!E16:I16,"ANEM")*100/P16)</f>
        <v>0</v>
      </c>
      <c r="BY16">
        <f>IF(P16=0,0,COUNTIF(Transect1_imgsummary!E16:I16,"ASC")*100/P16)</f>
        <v>0</v>
      </c>
      <c r="BZ16">
        <f>IF(P16=0,0,COUNTIF(Transect1_imgsummary!E16:I16,"CUPS")*100/P16)</f>
        <v>0</v>
      </c>
      <c r="CA16">
        <f>IF(P16=0,0,COUNTIF(Transect1_imgsummary!E16:I16,"DISCO")*100/P16)</f>
        <v>0</v>
      </c>
      <c r="CB16">
        <f>IF(P16=0,0,COUNTIF(Transect1_imgsummary!E16:I16,"DYS")*100/P16)</f>
        <v>0</v>
      </c>
      <c r="CC16">
        <f>IF(P16=0,0,COUNTIF(Transect1_imgsummary!E16:I16,"G")*100/P16)</f>
        <v>0</v>
      </c>
      <c r="CD16">
        <f>IF(P16=0,0,COUNTIF(Transect1_imgsummary!E16:I16,"NoIDINV")*100/P16)</f>
        <v>0</v>
      </c>
      <c r="CE16">
        <f>IF(P16=0,0,COUNTIF(Transect1_imgsummary!E16:I16,"OLV")*100/P16)</f>
        <v>0</v>
      </c>
      <c r="CF16">
        <f>IF(P16=0,0,COUNTIF(Transect1_imgsummary!E16:I16,"SC")*100/P16)</f>
        <v>0</v>
      </c>
      <c r="CG16">
        <f>IF(P16=0,0,COUNTIF(Transect1_imgsummary!E16:I16,"S")*100/P16)</f>
        <v>0</v>
      </c>
      <c r="CH16">
        <f>IF(P16=0,0,COUNTIF(Transect1_imgsummary!E16:I16,"TERPS")*100/P16)</f>
        <v>0</v>
      </c>
      <c r="CI16">
        <f>IF(P16=0,0,COUNTIF(Transect1_imgsummary!E16:I16,"Z")*100/P16)</f>
        <v>0</v>
      </c>
      <c r="CK16">
        <f>IF(P16=0,0,COUNTIF(Transect1_imgsummary!E16:I16,"ASP")*100/P16)</f>
        <v>0</v>
      </c>
      <c r="CL16">
        <f>IF(P16=0,0,COUNTIF(Transect1_imgsummary!E16:I16,"BG")*100/P16)</f>
        <v>0</v>
      </c>
      <c r="CM16">
        <f>IF(P16=0,0,COUNTIF(Transect1_imgsummary!E16:I16,"Bood")*100/P16)</f>
        <v>0</v>
      </c>
      <c r="CN16">
        <f>IF(P16=0,0,COUNTIF(Transect1_imgsummary!E16:I16,"BRYP")*100/P16)</f>
        <v>0</v>
      </c>
      <c r="CO16">
        <f>IF(P16=0,0,COUNTIF(Transect1_imgsummary!E16:I16,"CLP")*100/P16)</f>
        <v>0</v>
      </c>
      <c r="CP16">
        <f>IF(P16=0,0,COUNTIF(Transect1_imgsummary!E16:I16,"CHLDES")*100/P16)</f>
        <v>0</v>
      </c>
      <c r="CQ16">
        <f>IF(P16=0,0,COUNTIF(Transect1_imgsummary!E16:I16,"DYCTY")*100/P16)</f>
        <v>0</v>
      </c>
      <c r="CR16">
        <f>IF(P16=0,0,COUNTIF(Transect1_imgsummary!E16:I16,"DICT")*100/P16)</f>
        <v>0</v>
      </c>
      <c r="CS16">
        <f>IF(P16=0,0,COUNTIF(Transect1_imgsummary!E16:I16,"GLXU")*100/P16)</f>
        <v>0</v>
      </c>
      <c r="CT16">
        <f>IF(P16=0,0,COUNTIF(Transect1_imgsummary!E16:I16,"HALI")*100/P16)</f>
        <v>0</v>
      </c>
      <c r="CU16">
        <f>IF(P16=0,0,COUNTIF(Transect1_imgsummary!E16:I16,"LIAG")*100/P16)</f>
        <v>0</v>
      </c>
      <c r="CV16">
        <f>IF(P16=0,0,COUNTIF(Transect1_imgsummary!E16:I16,"LOBO")*100/P16)</f>
        <v>0</v>
      </c>
      <c r="CW16">
        <f>IF(P16=0,0,COUNTIF(Transect1_imgsummary!E16:I16,"MAST")*100/P16)</f>
        <v>0</v>
      </c>
      <c r="CX16">
        <f>IF(P16=0,0,COUNTIF(Transect1_imgsummary!E16:I16,"MICDTY")*100/P16)</f>
        <v>0</v>
      </c>
      <c r="CY16">
        <f>IF(P16=0,0,COUNTIF(Transect1_imgsummary!E16:I16,"NEOM")*100/P16)</f>
        <v>0</v>
      </c>
      <c r="CZ16">
        <f>IF(P16=0,0,COUNTIF(Transect1_imgsummary!E16:I16,"NOIDMAC")*100/P16)</f>
        <v>0</v>
      </c>
      <c r="DA16">
        <f>IF(P16=0,0,COUNTIF(Transect1_imgsummary!E16:I16,"PAD")*100/P16)</f>
        <v>0</v>
      </c>
      <c r="DB16">
        <f>IF(P16=0,0,COUNTIF(Transect1_imgsummary!E16:I16,"SARG")*100/P16)</f>
        <v>0</v>
      </c>
      <c r="DC16">
        <f>IF(P16=0,0,COUNTIF(Transect1_imgsummary!E16:I16,"SCHIZ")*100/P16)</f>
        <v>0</v>
      </c>
      <c r="DD16">
        <f>IF(P16=0,0,COUNTIF(Transect1_imgsummary!E16:I16,"TURB")*100/P16)</f>
        <v>0</v>
      </c>
      <c r="DE16">
        <f>IF(P16=0,0,COUNTIF(Transect1_imgsummary!E16:I16,"TYDM")*100/P16)</f>
        <v>0</v>
      </c>
      <c r="DG16">
        <f>IF(P16=0,0,COUNTIF(Transect1_imgsummary!E16:I16,"AMP")*100/P16)</f>
        <v>0</v>
      </c>
      <c r="DH16">
        <f>IF(P16=0,0,COUNTIF(Transect1_imgsummary!E16:I16,"BCA1")*100/P16)</f>
        <v>0</v>
      </c>
      <c r="DI16">
        <f>IF(P16=0,0,COUNTIF(Transect1_imgsummary!E16:I16,"JAN")*100/P16)</f>
        <v>0</v>
      </c>
      <c r="DK16">
        <f>IF(P16=0,0,COUNTIF(Transect1_imgsummary!E16:I16,"CCA1")*100/P16)</f>
        <v>0</v>
      </c>
      <c r="DM16">
        <f>IF(P16=0,0,COUNTIF(Transect1_imgsummary!E16:I16,"Sand")*100/P16)</f>
        <v>0</v>
      </c>
      <c r="DO16">
        <f>IF(P16=0,0,COUNTIF(Transect1_imgsummary!E16:I16,"FCA1")*100/P16)</f>
        <v>0</v>
      </c>
      <c r="DQ16">
        <f>IF(P16=0,0,COUNTIF(Transect1_imgsummary!E16:I16,"CHRYOBRN")*100/P16)</f>
        <v>0</v>
      </c>
      <c r="DS16" s="29">
        <f>IF(P16=0,0,COUNTIF(Transect1_imgsummary!E16:I16,"TURF")*100/P16)</f>
        <v>40</v>
      </c>
      <c r="DU16">
        <f>COUNTIF(Transect1_imgsummary!E16:I16,"Shadow")*100/5</f>
        <v>0</v>
      </c>
      <c r="DV16">
        <f>COUNTIF(Transect1_imgsummary!E16:I16,"Tape")*100/5</f>
        <v>0</v>
      </c>
      <c r="DW16">
        <f>COUNTIF(Transect1_imgsummary!E16:I16,"Wand")*100/5</f>
        <v>0</v>
      </c>
      <c r="DY16">
        <f>IF(P16=0,0,COUNTIF(Transect1_imgsummary!O16:S16,"BC")*100/P16)</f>
        <v>0</v>
      </c>
    </row>
    <row r="17" spans="1:129">
      <c r="A17">
        <v>15</v>
      </c>
      <c r="B17" t="s">
        <v>53</v>
      </c>
      <c r="F17" s="29">
        <f>IF(P17=0,0,COUNTIF(Transect1_imgsummary!J17:N17,"C")*100/P17)</f>
        <v>60</v>
      </c>
      <c r="G17">
        <f>IF(P17=0,0,COUNTIF(Transect1_imgsummary!J17:N17,"OI")*100/P17)</f>
        <v>0</v>
      </c>
      <c r="H17">
        <f>IF(P17=0,0,COUNTIF(Transect1_imgsummary!J17:N17,"MA")*100/P17)</f>
        <v>0</v>
      </c>
      <c r="I17">
        <f>IF(P17=0,0,COUNTIF(Transect1_imgsummary!J17:N17,"BCA")*100/P17)</f>
        <v>0</v>
      </c>
      <c r="J17" s="29">
        <f>IF(P17=0,0,COUNTIF(Transect1_imgsummary!J17:N17,"CCA")*100/P17)</f>
        <v>20</v>
      </c>
      <c r="K17">
        <f>IF(P17=0,0,COUNTIF(Transect1_imgsummary!J17:N17,"SD")*100/P17)</f>
        <v>0</v>
      </c>
      <c r="L17">
        <f>IF(P17=0,0,COUNTIF(Transect1_imgsummary!J17:N17,"FCA")*100/P17)</f>
        <v>0</v>
      </c>
      <c r="M17">
        <f>IF(P17=0,0,COUNTIF(Transect1_imgsummary!J17:N17,"CHRYS")*100/P17)</f>
        <v>0</v>
      </c>
      <c r="N17" s="29">
        <f>IF(P17=0,0,COUNTIF(Transect1_imgsummary!J17:N17,"T")*100/P17)</f>
        <v>20</v>
      </c>
      <c r="O17">
        <f>IF(P17=0,0,COUNTIF(Transect1_imgsummary!J17:N17,"TWS")*100/P17)</f>
        <v>0</v>
      </c>
      <c r="P17">
        <f>5-COUNTIF(Transect1_imgsummary!J17:N17,"TWS")</f>
        <v>5</v>
      </c>
      <c r="S17">
        <f>IF(P17=0,0,COUNTIF(Transect1_imgsummary!E17:I17,"ACAN")*100/P17)</f>
        <v>0</v>
      </c>
      <c r="T17">
        <f>IF(P17=0,0,COUNTIF(Transect1_imgsummary!E17:I17,"ACROP")*100/P17)</f>
        <v>0</v>
      </c>
      <c r="U17">
        <f>IF(P17=0,0,COUNTIF(Transect1_imgsummary!E17:I17,"ACROPARB")*100/P17)</f>
        <v>0</v>
      </c>
      <c r="V17">
        <f>IF(P17=0,0,COUNTIF(Transect1_imgsummary!E17:I17,"ACROST")*100/P17)</f>
        <v>0</v>
      </c>
      <c r="W17">
        <f>IF(P17=0,0,COUNTIF(Transect1_imgsummary!E17:I17,"ACROTBL")*100/P17)</f>
        <v>0</v>
      </c>
      <c r="X17">
        <f>IF(P17=0,0,COUNTIF(Transect1_imgsummary!E17:I17,"ASTRP")*100/P17)</f>
        <v>0</v>
      </c>
      <c r="Y17">
        <f>IF(P17=0,0,COUNTIF(Transect1_imgsummary!E17:I17,"CAUL")*100/P17)</f>
        <v>0</v>
      </c>
      <c r="Z17">
        <f>IF(P17=0,0,COUNTIF(Transect1_imgsummary!E17:I17,"COSC")*100/P17)</f>
        <v>0</v>
      </c>
      <c r="AA17">
        <f>IF(P17=0,0,COUNTIF(Transect1_imgsummary!E17:I17,"CTEN")*100/P17)</f>
        <v>0</v>
      </c>
      <c r="AB17">
        <f>IF(P17=0,0,COUNTIF(Transect1_imgsummary!E17:I17,"CYPH")*100/P17)</f>
        <v>0</v>
      </c>
      <c r="AC17">
        <f>IF(P17=0,0,COUNTIF(Transect1_imgsummary!E17:I17,"DIPLO")*100/P17)</f>
        <v>0</v>
      </c>
      <c r="AD17" s="29">
        <f>IF(P17=0,0,COUNTIF(Transect1_imgsummary!E17:I17,"ECHPO")*100/P17)</f>
        <v>60</v>
      </c>
      <c r="AE17">
        <f>IF(P17=0,0,COUNTIF(Transect1_imgsummary!E17:I17,"ECHPHY")*100/P17)</f>
        <v>0</v>
      </c>
      <c r="AF17">
        <f>IF(P17=0,0,COUNTIF(Transect1_imgsummary!E17:I17,"EUPH")*100/P17)</f>
        <v>0</v>
      </c>
      <c r="AG17">
        <f>IF(P17=0,0,COUNTIF(Transect1_imgsummary!E17:I17,"FAV")*100/P17)</f>
        <v>0</v>
      </c>
      <c r="AH17">
        <f>IF(P17=0,0,COUNTIF(Transect1_imgsummary!E17:I17,"FAVT")*100/P17)</f>
        <v>0</v>
      </c>
      <c r="AI17">
        <f>IF(P17=0,0,COUNTIF(Transect1_imgsummary!E17:I17,"FUNG")*100/P17)</f>
        <v>0</v>
      </c>
      <c r="AJ17">
        <f>IF(P17=0,0,COUNTIF(Transect1_imgsummary!E17:I17,"GAL")*100/P17)</f>
        <v>0</v>
      </c>
      <c r="AK17">
        <f>IF(P17=0,0,COUNTIF(Transect1_imgsummary!E17:I17,"GARD")*100/P17)</f>
        <v>0</v>
      </c>
      <c r="AL17">
        <f>IF(P17=0,0,COUNTIF(Transect1_imgsummary!E17:I17,"GON")*100/P17)</f>
        <v>0</v>
      </c>
      <c r="AM17">
        <f>IF(P17=0,0,COUNTIF(Transect1_imgsummary!E17:I17,"GONIO")*100/P17)</f>
        <v>0</v>
      </c>
      <c r="AN17">
        <f>IF(P17=0,0,COUNTIF(Transect1_imgsummary!E17:I17,"HELIO")*100/P17)</f>
        <v>0</v>
      </c>
      <c r="AO17">
        <f>IF(P17=0,0,COUNTIF(Transect1_imgsummary!E17:I17,"HERP")*100/P17)</f>
        <v>0</v>
      </c>
      <c r="AP17">
        <f>IF(P17=0,0,COUNTIF(Transect1_imgsummary!E17:I17,"HYD")*100/P17)</f>
        <v>0</v>
      </c>
      <c r="AQ17">
        <f>IF(P17=0,0,COUNTIF(Transect1_imgsummary!E17:I17,"ISOP")*100/P17)</f>
        <v>0</v>
      </c>
      <c r="AR17">
        <f>IF(P17=0,0,COUNTIF(Transect1_imgsummary!E17:I17,"LEPT")*100/P17)</f>
        <v>0</v>
      </c>
      <c r="AS17">
        <f>IF(P17=0,0,COUNTIF(Transect1_imgsummary!E17:I17,"LEPTOR")*100/P17)</f>
        <v>0</v>
      </c>
      <c r="AT17">
        <f>IF(P17=0,0,COUNTIF(Transect1_imgsummary!E17:I17,"LEPTOS")*100/P17)</f>
        <v>0</v>
      </c>
      <c r="AU17">
        <f>IF(P17=0,0,COUNTIF(Transect1_imgsummary!E17:I17,"LOBOPH")*100/P17)</f>
        <v>0</v>
      </c>
      <c r="AV17">
        <f>IF(P17=0,0,COUNTIF(Transect1_imgsummary!E17:I17,"MERU")*100/P17)</f>
        <v>0</v>
      </c>
      <c r="AW17">
        <f>IF(P17=0,0,COUNTIF(Transect1_imgsummary!E17:I17,"MILL")*100/P17)</f>
        <v>0</v>
      </c>
      <c r="AX17">
        <f>IF(P17=0,0,COUNTIF(Transect1_imgsummary!E17:I17,"MONT")*100/P17)</f>
        <v>0</v>
      </c>
      <c r="AY17">
        <f>IF(P17=0,0,COUNTIF(Transect1_imgsummary!E17:I17,"MONTI")*100/P17)</f>
        <v>0</v>
      </c>
      <c r="AZ17">
        <f>IF(P17=0,0,COUNTIF(Transect1_imgsummary!E17:I17,"MYCED")*100/P17)</f>
        <v>0</v>
      </c>
      <c r="BA17">
        <f>IF(P17=0,0,COUNTIF(Transect1_imgsummary!E17:I17,"OULO")*100/P17)</f>
        <v>0</v>
      </c>
      <c r="BB17">
        <f>IF(P17=0,0,COUNTIF(Transect1_imgsummary!E17:I17,"OXYP")*100/P17)</f>
        <v>0</v>
      </c>
      <c r="BC17">
        <f>IF(P17=0,0,COUNTIF(Transect1_imgsummary!E17:I17,"PLSIA")*100/P17)</f>
        <v>0</v>
      </c>
      <c r="BD17">
        <f>IF(P17=0,0,COUNTIF(Transect1_imgsummary!E17:I17,"PACHY")*100/P17)</f>
        <v>0</v>
      </c>
      <c r="BE17">
        <f>IF(P17=0,0,COUNTIF(Transect1_imgsummary!E17:I17,"PAV")*100/P17)</f>
        <v>0</v>
      </c>
      <c r="BF17">
        <f>IF(P17=0,0,COUNTIF(Transect1_imgsummary!E17:I17,"PECT")*100/P17)</f>
        <v>0</v>
      </c>
      <c r="BG17">
        <f>IF(P17=0,0,COUNTIF(Transect1_imgsummary!E17:I17,"PHYSO")*100/P17)</f>
        <v>0</v>
      </c>
      <c r="BH17">
        <f>IF(P17=0,0,COUNTIF(Transect1_imgsummary!E17:I17,"PLAT")*100/P17)</f>
        <v>0</v>
      </c>
      <c r="BI17">
        <f>IF(P17=0,0,COUNTIF(Transect1_imgsummary!E17:I17,"PLERO")*100/P17)</f>
        <v>0</v>
      </c>
      <c r="BJ17">
        <f>IF(P17=0,0,COUNTIF(Transect1_imgsummary!E17:I17,"POC")*100/P17)</f>
        <v>0</v>
      </c>
      <c r="BK17">
        <f>IF(P17=0,0,COUNTIF(Transect1_imgsummary!E17:I17,"POR")*100/P17)</f>
        <v>0</v>
      </c>
      <c r="BL17">
        <f>IF(P17=0,0,COUNTIF(Transect1_imgsummary!E17:I17,"PORCYL")*100/P17)</f>
        <v>0</v>
      </c>
      <c r="BM17">
        <f>IF(P17=0,0,COUNTIF(Transect1_imgsummary!E17:I17,"PORMAS")*100/P17)</f>
        <v>0</v>
      </c>
      <c r="BN17">
        <f>IF(P17=0,0,COUNTIF(Transect1_imgsummary!E17:I17,"PORRUS")*100/P17)</f>
        <v>0</v>
      </c>
      <c r="BO17">
        <f>IF(P17=0,0,COUNTIF(Transect1_imgsummary!E17:I17,"PSAM")*100/P17)</f>
        <v>0</v>
      </c>
      <c r="BP17">
        <f>IF(P17=0,0,COUNTIF(Transect1_imgsummary!E17:I17,"SANDO")*100/P17)</f>
        <v>0</v>
      </c>
      <c r="BQ17">
        <f>IF(P17=0,0,COUNTIF(Transect1_imgsummary!E17:I17,"SCAP")*100/P17)</f>
        <v>0</v>
      </c>
      <c r="BR17">
        <f>IF(P17=0,0,COUNTIF(Transect1_imgsummary!E17:I17,"SERIA")*100/P17)</f>
        <v>0</v>
      </c>
      <c r="BS17">
        <f>IF(P17=0,0,COUNTIF(Transect1_imgsummary!E17:I17,"STYLC")*100/P17)</f>
        <v>0</v>
      </c>
      <c r="BT17">
        <f>IF(P17=0,0,COUNTIF(Transect1_imgsummary!E17:I17,"STYLO")*100/P17)</f>
        <v>0</v>
      </c>
      <c r="BU17">
        <f>IF(P17=0,0,COUNTIF(Transect1_imgsummary!E17:I17,"SYMP")*100/P17)</f>
        <v>0</v>
      </c>
      <c r="BV17">
        <f>IF(P17=0,0,COUNTIF(Transect1_imgsummary!E17:I17,"TURBIN")*100/P17)</f>
        <v>0</v>
      </c>
      <c r="BX17">
        <f>IF(P17=0,0,COUNTIF(Transect1_imgsummary!E17:I17,"ANEM")*100/P17)</f>
        <v>0</v>
      </c>
      <c r="BY17">
        <f>IF(P17=0,0,COUNTIF(Transect1_imgsummary!E17:I17,"ASC")*100/P17)</f>
        <v>0</v>
      </c>
      <c r="BZ17">
        <f>IF(P17=0,0,COUNTIF(Transect1_imgsummary!E17:I17,"CUPS")*100/P17)</f>
        <v>0</v>
      </c>
      <c r="CA17">
        <f>IF(P17=0,0,COUNTIF(Transect1_imgsummary!E17:I17,"DISCO")*100/P17)</f>
        <v>0</v>
      </c>
      <c r="CB17">
        <f>IF(P17=0,0,COUNTIF(Transect1_imgsummary!E17:I17,"DYS")*100/P17)</f>
        <v>0</v>
      </c>
      <c r="CC17">
        <f>IF(P17=0,0,COUNTIF(Transect1_imgsummary!E17:I17,"G")*100/P17)</f>
        <v>0</v>
      </c>
      <c r="CD17">
        <f>IF(P17=0,0,COUNTIF(Transect1_imgsummary!E17:I17,"NoIDINV")*100/P17)</f>
        <v>0</v>
      </c>
      <c r="CE17">
        <f>IF(P17=0,0,COUNTIF(Transect1_imgsummary!E17:I17,"OLV")*100/P17)</f>
        <v>0</v>
      </c>
      <c r="CF17">
        <f>IF(P17=0,0,COUNTIF(Transect1_imgsummary!E17:I17,"SC")*100/P17)</f>
        <v>0</v>
      </c>
      <c r="CG17">
        <f>IF(P17=0,0,COUNTIF(Transect1_imgsummary!E17:I17,"S")*100/P17)</f>
        <v>0</v>
      </c>
      <c r="CH17">
        <f>IF(P17=0,0,COUNTIF(Transect1_imgsummary!E17:I17,"TERPS")*100/P17)</f>
        <v>0</v>
      </c>
      <c r="CI17">
        <f>IF(P17=0,0,COUNTIF(Transect1_imgsummary!E17:I17,"Z")*100/P17)</f>
        <v>0</v>
      </c>
      <c r="CK17">
        <f>IF(P17=0,0,COUNTIF(Transect1_imgsummary!E17:I17,"ASP")*100/P17)</f>
        <v>0</v>
      </c>
      <c r="CL17">
        <f>IF(P17=0,0,COUNTIF(Transect1_imgsummary!E17:I17,"BG")*100/P17)</f>
        <v>0</v>
      </c>
      <c r="CM17">
        <f>IF(P17=0,0,COUNTIF(Transect1_imgsummary!E17:I17,"Bood")*100/P17)</f>
        <v>0</v>
      </c>
      <c r="CN17">
        <f>IF(P17=0,0,COUNTIF(Transect1_imgsummary!E17:I17,"BRYP")*100/P17)</f>
        <v>0</v>
      </c>
      <c r="CO17">
        <f>IF(P17=0,0,COUNTIF(Transect1_imgsummary!E17:I17,"CLP")*100/P17)</f>
        <v>0</v>
      </c>
      <c r="CP17">
        <f>IF(P17=0,0,COUNTIF(Transect1_imgsummary!E17:I17,"CHLDES")*100/P17)</f>
        <v>0</v>
      </c>
      <c r="CQ17">
        <f>IF(P17=0,0,COUNTIF(Transect1_imgsummary!E17:I17,"DYCTY")*100/P17)</f>
        <v>0</v>
      </c>
      <c r="CR17">
        <f>IF(P17=0,0,COUNTIF(Transect1_imgsummary!E17:I17,"DICT")*100/P17)</f>
        <v>0</v>
      </c>
      <c r="CS17">
        <f>IF(P17=0,0,COUNTIF(Transect1_imgsummary!E17:I17,"GLXU")*100/P17)</f>
        <v>0</v>
      </c>
      <c r="CT17">
        <f>IF(P17=0,0,COUNTIF(Transect1_imgsummary!E17:I17,"HALI")*100/P17)</f>
        <v>0</v>
      </c>
      <c r="CU17">
        <f>IF(P17=0,0,COUNTIF(Transect1_imgsummary!E17:I17,"LIAG")*100/P17)</f>
        <v>0</v>
      </c>
      <c r="CV17">
        <f>IF(P17=0,0,COUNTIF(Transect1_imgsummary!E17:I17,"LOBO")*100/P17)</f>
        <v>0</v>
      </c>
      <c r="CW17">
        <f>IF(P17=0,0,COUNTIF(Transect1_imgsummary!E17:I17,"MAST")*100/P17)</f>
        <v>0</v>
      </c>
      <c r="CX17">
        <f>IF(P17=0,0,COUNTIF(Transect1_imgsummary!E17:I17,"MICDTY")*100/P17)</f>
        <v>0</v>
      </c>
      <c r="CY17">
        <f>IF(P17=0,0,COUNTIF(Transect1_imgsummary!E17:I17,"NEOM")*100/P17)</f>
        <v>0</v>
      </c>
      <c r="CZ17">
        <f>IF(P17=0,0,COUNTIF(Transect1_imgsummary!E17:I17,"NOIDMAC")*100/P17)</f>
        <v>0</v>
      </c>
      <c r="DA17">
        <f>IF(P17=0,0,COUNTIF(Transect1_imgsummary!E17:I17,"PAD")*100/P17)</f>
        <v>0</v>
      </c>
      <c r="DB17">
        <f>IF(P17=0,0,COUNTIF(Transect1_imgsummary!E17:I17,"SARG")*100/P17)</f>
        <v>0</v>
      </c>
      <c r="DC17">
        <f>IF(P17=0,0,COUNTIF(Transect1_imgsummary!E17:I17,"SCHIZ")*100/P17)</f>
        <v>0</v>
      </c>
      <c r="DD17">
        <f>IF(P17=0,0,COUNTIF(Transect1_imgsummary!E17:I17,"TURB")*100/P17)</f>
        <v>0</v>
      </c>
      <c r="DE17">
        <f>IF(P17=0,0,COUNTIF(Transect1_imgsummary!E17:I17,"TYDM")*100/P17)</f>
        <v>0</v>
      </c>
      <c r="DG17">
        <f>IF(P17=0,0,COUNTIF(Transect1_imgsummary!E17:I17,"AMP")*100/P17)</f>
        <v>0</v>
      </c>
      <c r="DH17">
        <f>IF(P17=0,0,COUNTIF(Transect1_imgsummary!E17:I17,"BCA1")*100/P17)</f>
        <v>0</v>
      </c>
      <c r="DI17">
        <f>IF(P17=0,0,COUNTIF(Transect1_imgsummary!E17:I17,"JAN")*100/P17)</f>
        <v>0</v>
      </c>
      <c r="DK17" s="29">
        <f>IF(P17=0,0,COUNTIF(Transect1_imgsummary!E17:I17,"CCA1")*100/P17)</f>
        <v>20</v>
      </c>
      <c r="DM17">
        <f>IF(P17=0,0,COUNTIF(Transect1_imgsummary!E17:I17,"Sand")*100/P17)</f>
        <v>0</v>
      </c>
      <c r="DO17">
        <f>IF(P17=0,0,COUNTIF(Transect1_imgsummary!E17:I17,"FCA1")*100/P17)</f>
        <v>0</v>
      </c>
      <c r="DQ17">
        <f>IF(P17=0,0,COUNTIF(Transect1_imgsummary!E17:I17,"CHRYOBRN")*100/P17)</f>
        <v>0</v>
      </c>
      <c r="DS17" s="29">
        <f>IF(P17=0,0,COUNTIF(Transect1_imgsummary!E17:I17,"TURF")*100/P17)</f>
        <v>20</v>
      </c>
      <c r="DU17">
        <f>COUNTIF(Transect1_imgsummary!E17:I17,"Shadow")*100/5</f>
        <v>0</v>
      </c>
      <c r="DV17">
        <f>COUNTIF(Transect1_imgsummary!E17:I17,"Tape")*100/5</f>
        <v>0</v>
      </c>
      <c r="DW17">
        <f>COUNTIF(Transect1_imgsummary!E17:I17,"Wand")*100/5</f>
        <v>0</v>
      </c>
      <c r="DY17">
        <f>IF(P17=0,0,COUNTIF(Transect1_imgsummary!O17:S17,"BC")*100/P17)</f>
        <v>0</v>
      </c>
    </row>
    <row r="18" spans="1:129">
      <c r="A18">
        <v>16</v>
      </c>
      <c r="B18" t="s">
        <v>54</v>
      </c>
      <c r="F18" s="29">
        <f>IF(P18=0,0,COUNTIF(Transect1_imgsummary!J18:N18,"C")*100/P18)</f>
        <v>80</v>
      </c>
      <c r="G18">
        <f>IF(P18=0,0,COUNTIF(Transect1_imgsummary!J18:N18,"OI")*100/P18)</f>
        <v>0</v>
      </c>
      <c r="H18">
        <f>IF(P18=0,0,COUNTIF(Transect1_imgsummary!J18:N18,"MA")*100/P18)</f>
        <v>0</v>
      </c>
      <c r="I18">
        <f>IF(P18=0,0,COUNTIF(Transect1_imgsummary!J18:N18,"BCA")*100/P18)</f>
        <v>0</v>
      </c>
      <c r="J18">
        <f>IF(P18=0,0,COUNTIF(Transect1_imgsummary!J18:N18,"CCA")*100/P18)</f>
        <v>0</v>
      </c>
      <c r="K18">
        <f>IF(P18=0,0,COUNTIF(Transect1_imgsummary!J18:N18,"SD")*100/P18)</f>
        <v>0</v>
      </c>
      <c r="L18">
        <f>IF(P18=0,0,COUNTIF(Transect1_imgsummary!J18:N18,"FCA")*100/P18)</f>
        <v>0</v>
      </c>
      <c r="M18">
        <f>IF(P18=0,0,COUNTIF(Transect1_imgsummary!J18:N18,"CHRYS")*100/P18)</f>
        <v>0</v>
      </c>
      <c r="N18" s="29">
        <f>IF(P18=0,0,COUNTIF(Transect1_imgsummary!J18:N18,"T")*100/P18)</f>
        <v>20</v>
      </c>
      <c r="O18">
        <f>IF(P18=0,0,COUNTIF(Transect1_imgsummary!J18:N18,"TWS")*100/P18)</f>
        <v>0</v>
      </c>
      <c r="P18">
        <f>5-COUNTIF(Transect1_imgsummary!J18:N18,"TWS")</f>
        <v>5</v>
      </c>
      <c r="S18">
        <f>IF(P18=0,0,COUNTIF(Transect1_imgsummary!E18:I18,"ACAN")*100/P18)</f>
        <v>0</v>
      </c>
      <c r="T18">
        <f>IF(P18=0,0,COUNTIF(Transect1_imgsummary!E18:I18,"ACROP")*100/P18)</f>
        <v>0</v>
      </c>
      <c r="U18">
        <f>IF(P18=0,0,COUNTIF(Transect1_imgsummary!E18:I18,"ACROPARB")*100/P18)</f>
        <v>0</v>
      </c>
      <c r="V18">
        <f>IF(P18=0,0,COUNTIF(Transect1_imgsummary!E18:I18,"ACROST")*100/P18)</f>
        <v>0</v>
      </c>
      <c r="W18">
        <f>IF(P18=0,0,COUNTIF(Transect1_imgsummary!E18:I18,"ACROTBL")*100/P18)</f>
        <v>0</v>
      </c>
      <c r="X18">
        <f>IF(P18=0,0,COUNTIF(Transect1_imgsummary!E18:I18,"ASTRP")*100/P18)</f>
        <v>0</v>
      </c>
      <c r="Y18">
        <f>IF(P18=0,0,COUNTIF(Transect1_imgsummary!E18:I18,"CAUL")*100/P18)</f>
        <v>0</v>
      </c>
      <c r="Z18">
        <f>IF(P18=0,0,COUNTIF(Transect1_imgsummary!E18:I18,"COSC")*100/P18)</f>
        <v>0</v>
      </c>
      <c r="AA18">
        <f>IF(P18=0,0,COUNTIF(Transect1_imgsummary!E18:I18,"CTEN")*100/P18)</f>
        <v>0</v>
      </c>
      <c r="AB18">
        <f>IF(P18=0,0,COUNTIF(Transect1_imgsummary!E18:I18,"CYPH")*100/P18)</f>
        <v>0</v>
      </c>
      <c r="AC18">
        <f>IF(P18=0,0,COUNTIF(Transect1_imgsummary!E18:I18,"DIPLO")*100/P18)</f>
        <v>0</v>
      </c>
      <c r="AD18" s="29">
        <f>IF(P18=0,0,COUNTIF(Transect1_imgsummary!E18:I18,"ECHPO")*100/P18)</f>
        <v>20</v>
      </c>
      <c r="AE18">
        <f>IF(P18=0,0,COUNTIF(Transect1_imgsummary!E18:I18,"ECHPHY")*100/P18)</f>
        <v>0</v>
      </c>
      <c r="AF18">
        <f>IF(P18=0,0,COUNTIF(Transect1_imgsummary!E18:I18,"EUPH")*100/P18)</f>
        <v>0</v>
      </c>
      <c r="AG18">
        <f>IF(P18=0,0,COUNTIF(Transect1_imgsummary!E18:I18,"FAV")*100/P18)</f>
        <v>0</v>
      </c>
      <c r="AH18">
        <f>IF(P18=0,0,COUNTIF(Transect1_imgsummary!E18:I18,"FAVT")*100/P18)</f>
        <v>0</v>
      </c>
      <c r="AI18">
        <f>IF(P18=0,0,COUNTIF(Transect1_imgsummary!E18:I18,"FUNG")*100/P18)</f>
        <v>0</v>
      </c>
      <c r="AJ18">
        <f>IF(P18=0,0,COUNTIF(Transect1_imgsummary!E18:I18,"GAL")*100/P18)</f>
        <v>0</v>
      </c>
      <c r="AK18">
        <f>IF(P18=0,0,COUNTIF(Transect1_imgsummary!E18:I18,"GARD")*100/P18)</f>
        <v>0</v>
      </c>
      <c r="AL18">
        <f>IF(P18=0,0,COUNTIF(Transect1_imgsummary!E18:I18,"GON")*100/P18)</f>
        <v>0</v>
      </c>
      <c r="AM18">
        <f>IF(P18=0,0,COUNTIF(Transect1_imgsummary!E18:I18,"GONIO")*100/P18)</f>
        <v>0</v>
      </c>
      <c r="AN18">
        <f>IF(P18=0,0,COUNTIF(Transect1_imgsummary!E18:I18,"HELIO")*100/P18)</f>
        <v>0</v>
      </c>
      <c r="AO18">
        <f>IF(P18=0,0,COUNTIF(Transect1_imgsummary!E18:I18,"HERP")*100/P18)</f>
        <v>0</v>
      </c>
      <c r="AP18">
        <f>IF(P18=0,0,COUNTIF(Transect1_imgsummary!E18:I18,"HYD")*100/P18)</f>
        <v>0</v>
      </c>
      <c r="AQ18">
        <f>IF(P18=0,0,COUNTIF(Transect1_imgsummary!E18:I18,"ISOP")*100/P18)</f>
        <v>0</v>
      </c>
      <c r="AR18">
        <f>IF(P18=0,0,COUNTIF(Transect1_imgsummary!E18:I18,"LEPT")*100/P18)</f>
        <v>0</v>
      </c>
      <c r="AS18">
        <f>IF(P18=0,0,COUNTIF(Transect1_imgsummary!E18:I18,"LEPTOR")*100/P18)</f>
        <v>0</v>
      </c>
      <c r="AT18">
        <f>IF(P18=0,0,COUNTIF(Transect1_imgsummary!E18:I18,"LEPTOS")*100/P18)</f>
        <v>0</v>
      </c>
      <c r="AU18" s="29">
        <f>IF(P18=0,0,COUNTIF(Transect1_imgsummary!E18:I18,"LOBOPH")*100/P18)</f>
        <v>60</v>
      </c>
      <c r="AV18">
        <f>IF(P18=0,0,COUNTIF(Transect1_imgsummary!E18:I18,"MERU")*100/P18)</f>
        <v>0</v>
      </c>
      <c r="AW18">
        <f>IF(P18=0,0,COUNTIF(Transect1_imgsummary!E18:I18,"MILL")*100/P18)</f>
        <v>0</v>
      </c>
      <c r="AX18">
        <f>IF(P18=0,0,COUNTIF(Transect1_imgsummary!E18:I18,"MONT")*100/P18)</f>
        <v>0</v>
      </c>
      <c r="AY18">
        <f>IF(P18=0,0,COUNTIF(Transect1_imgsummary!E18:I18,"MONTI")*100/P18)</f>
        <v>0</v>
      </c>
      <c r="AZ18">
        <f>IF(P18=0,0,COUNTIF(Transect1_imgsummary!E18:I18,"MYCED")*100/P18)</f>
        <v>0</v>
      </c>
      <c r="BA18">
        <f>IF(P18=0,0,COUNTIF(Transect1_imgsummary!E18:I18,"OULO")*100/P18)</f>
        <v>0</v>
      </c>
      <c r="BB18">
        <f>IF(P18=0,0,COUNTIF(Transect1_imgsummary!E18:I18,"OXYP")*100/P18)</f>
        <v>0</v>
      </c>
      <c r="BC18">
        <f>IF(P18=0,0,COUNTIF(Transect1_imgsummary!E18:I18,"PLSIA")*100/P18)</f>
        <v>0</v>
      </c>
      <c r="BD18">
        <f>IF(P18=0,0,COUNTIF(Transect1_imgsummary!E18:I18,"PACHY")*100/P18)</f>
        <v>0</v>
      </c>
      <c r="BE18">
        <f>IF(P18=0,0,COUNTIF(Transect1_imgsummary!E18:I18,"PAV")*100/P18)</f>
        <v>0</v>
      </c>
      <c r="BF18">
        <f>IF(P18=0,0,COUNTIF(Transect1_imgsummary!E18:I18,"PECT")*100/P18)</f>
        <v>0</v>
      </c>
      <c r="BG18">
        <f>IF(P18=0,0,COUNTIF(Transect1_imgsummary!E18:I18,"PHYSO")*100/P18)</f>
        <v>0</v>
      </c>
      <c r="BH18">
        <f>IF(P18=0,0,COUNTIF(Transect1_imgsummary!E18:I18,"PLAT")*100/P18)</f>
        <v>0</v>
      </c>
      <c r="BI18">
        <f>IF(P18=0,0,COUNTIF(Transect1_imgsummary!E18:I18,"PLERO")*100/P18)</f>
        <v>0</v>
      </c>
      <c r="BJ18">
        <f>IF(P18=0,0,COUNTIF(Transect1_imgsummary!E18:I18,"POC")*100/P18)</f>
        <v>0</v>
      </c>
      <c r="BK18">
        <f>IF(P18=0,0,COUNTIF(Transect1_imgsummary!E18:I18,"POR")*100/P18)</f>
        <v>0</v>
      </c>
      <c r="BL18">
        <f>IF(P18=0,0,COUNTIF(Transect1_imgsummary!E18:I18,"PORCYL")*100/P18)</f>
        <v>0</v>
      </c>
      <c r="BM18">
        <f>IF(P18=0,0,COUNTIF(Transect1_imgsummary!E18:I18,"PORMAS")*100/P18)</f>
        <v>0</v>
      </c>
      <c r="BN18">
        <f>IF(P18=0,0,COUNTIF(Transect1_imgsummary!E18:I18,"PORRUS")*100/P18)</f>
        <v>0</v>
      </c>
      <c r="BO18">
        <f>IF(P18=0,0,COUNTIF(Transect1_imgsummary!E18:I18,"PSAM")*100/P18)</f>
        <v>0</v>
      </c>
      <c r="BP18">
        <f>IF(P18=0,0,COUNTIF(Transect1_imgsummary!E18:I18,"SANDO")*100/P18)</f>
        <v>0</v>
      </c>
      <c r="BQ18">
        <f>IF(P18=0,0,COUNTIF(Transect1_imgsummary!E18:I18,"SCAP")*100/P18)</f>
        <v>0</v>
      </c>
      <c r="BR18">
        <f>IF(P18=0,0,COUNTIF(Transect1_imgsummary!E18:I18,"SERIA")*100/P18)</f>
        <v>0</v>
      </c>
      <c r="BS18">
        <f>IF(P18=0,0,COUNTIF(Transect1_imgsummary!E18:I18,"STYLC")*100/P18)</f>
        <v>0</v>
      </c>
      <c r="BT18">
        <f>IF(P18=0,0,COUNTIF(Transect1_imgsummary!E18:I18,"STYLO")*100/P18)</f>
        <v>0</v>
      </c>
      <c r="BU18">
        <f>IF(P18=0,0,COUNTIF(Transect1_imgsummary!E18:I18,"SYMP")*100/P18)</f>
        <v>0</v>
      </c>
      <c r="BV18">
        <f>IF(P18=0,0,COUNTIF(Transect1_imgsummary!E18:I18,"TURBIN")*100/P18)</f>
        <v>0</v>
      </c>
      <c r="BX18">
        <f>IF(P18=0,0,COUNTIF(Transect1_imgsummary!E18:I18,"ANEM")*100/P18)</f>
        <v>0</v>
      </c>
      <c r="BY18">
        <f>IF(P18=0,0,COUNTIF(Transect1_imgsummary!E18:I18,"ASC")*100/P18)</f>
        <v>0</v>
      </c>
      <c r="BZ18">
        <f>IF(P18=0,0,COUNTIF(Transect1_imgsummary!E18:I18,"CUPS")*100/P18)</f>
        <v>0</v>
      </c>
      <c r="CA18">
        <f>IF(P18=0,0,COUNTIF(Transect1_imgsummary!E18:I18,"DISCO")*100/P18)</f>
        <v>0</v>
      </c>
      <c r="CB18">
        <f>IF(P18=0,0,COUNTIF(Transect1_imgsummary!E18:I18,"DYS")*100/P18)</f>
        <v>0</v>
      </c>
      <c r="CC18">
        <f>IF(P18=0,0,COUNTIF(Transect1_imgsummary!E18:I18,"G")*100/P18)</f>
        <v>0</v>
      </c>
      <c r="CD18">
        <f>IF(P18=0,0,COUNTIF(Transect1_imgsummary!E18:I18,"NoIDINV")*100/P18)</f>
        <v>0</v>
      </c>
      <c r="CE18">
        <f>IF(P18=0,0,COUNTIF(Transect1_imgsummary!E18:I18,"OLV")*100/P18)</f>
        <v>0</v>
      </c>
      <c r="CF18">
        <f>IF(P18=0,0,COUNTIF(Transect1_imgsummary!E18:I18,"SC")*100/P18)</f>
        <v>0</v>
      </c>
      <c r="CG18">
        <f>IF(P18=0,0,COUNTIF(Transect1_imgsummary!E18:I18,"S")*100/P18)</f>
        <v>0</v>
      </c>
      <c r="CH18">
        <f>IF(P18=0,0,COUNTIF(Transect1_imgsummary!E18:I18,"TERPS")*100/P18)</f>
        <v>0</v>
      </c>
      <c r="CI18">
        <f>IF(P18=0,0,COUNTIF(Transect1_imgsummary!E18:I18,"Z")*100/P18)</f>
        <v>0</v>
      </c>
      <c r="CK18">
        <f>IF(P18=0,0,COUNTIF(Transect1_imgsummary!E18:I18,"ASP")*100/P18)</f>
        <v>0</v>
      </c>
      <c r="CL18">
        <f>IF(P18=0,0,COUNTIF(Transect1_imgsummary!E18:I18,"BG")*100/P18)</f>
        <v>0</v>
      </c>
      <c r="CM18">
        <f>IF(P18=0,0,COUNTIF(Transect1_imgsummary!E18:I18,"Bood")*100/P18)</f>
        <v>0</v>
      </c>
      <c r="CN18">
        <f>IF(P18=0,0,COUNTIF(Transect1_imgsummary!E18:I18,"BRYP")*100/P18)</f>
        <v>0</v>
      </c>
      <c r="CO18">
        <f>IF(P18=0,0,COUNTIF(Transect1_imgsummary!E18:I18,"CLP")*100/P18)</f>
        <v>0</v>
      </c>
      <c r="CP18">
        <f>IF(P18=0,0,COUNTIF(Transect1_imgsummary!E18:I18,"CHLDES")*100/P18)</f>
        <v>0</v>
      </c>
      <c r="CQ18">
        <f>IF(P18=0,0,COUNTIF(Transect1_imgsummary!E18:I18,"DYCTY")*100/P18)</f>
        <v>0</v>
      </c>
      <c r="CR18">
        <f>IF(P18=0,0,COUNTIF(Transect1_imgsummary!E18:I18,"DICT")*100/P18)</f>
        <v>0</v>
      </c>
      <c r="CS18">
        <f>IF(P18=0,0,COUNTIF(Transect1_imgsummary!E18:I18,"GLXU")*100/P18)</f>
        <v>0</v>
      </c>
      <c r="CT18">
        <f>IF(P18=0,0,COUNTIF(Transect1_imgsummary!E18:I18,"HALI")*100/P18)</f>
        <v>0</v>
      </c>
      <c r="CU18">
        <f>IF(P18=0,0,COUNTIF(Transect1_imgsummary!E18:I18,"LIAG")*100/P18)</f>
        <v>0</v>
      </c>
      <c r="CV18">
        <f>IF(P18=0,0,COUNTIF(Transect1_imgsummary!E18:I18,"LOBO")*100/P18)</f>
        <v>0</v>
      </c>
      <c r="CW18">
        <f>IF(P18=0,0,COUNTIF(Transect1_imgsummary!E18:I18,"MAST")*100/P18)</f>
        <v>0</v>
      </c>
      <c r="CX18">
        <f>IF(P18=0,0,COUNTIF(Transect1_imgsummary!E18:I18,"MICDTY")*100/P18)</f>
        <v>0</v>
      </c>
      <c r="CY18">
        <f>IF(P18=0,0,COUNTIF(Transect1_imgsummary!E18:I18,"NEOM")*100/P18)</f>
        <v>0</v>
      </c>
      <c r="CZ18">
        <f>IF(P18=0,0,COUNTIF(Transect1_imgsummary!E18:I18,"NOIDMAC")*100/P18)</f>
        <v>0</v>
      </c>
      <c r="DA18">
        <f>IF(P18=0,0,COUNTIF(Transect1_imgsummary!E18:I18,"PAD")*100/P18)</f>
        <v>0</v>
      </c>
      <c r="DB18">
        <f>IF(P18=0,0,COUNTIF(Transect1_imgsummary!E18:I18,"SARG")*100/P18)</f>
        <v>0</v>
      </c>
      <c r="DC18">
        <f>IF(P18=0,0,COUNTIF(Transect1_imgsummary!E18:I18,"SCHIZ")*100/P18)</f>
        <v>0</v>
      </c>
      <c r="DD18">
        <f>IF(P18=0,0,COUNTIF(Transect1_imgsummary!E18:I18,"TURB")*100/P18)</f>
        <v>0</v>
      </c>
      <c r="DE18">
        <f>IF(P18=0,0,COUNTIF(Transect1_imgsummary!E18:I18,"TYDM")*100/P18)</f>
        <v>0</v>
      </c>
      <c r="DG18">
        <f>IF(P18=0,0,COUNTIF(Transect1_imgsummary!E18:I18,"AMP")*100/P18)</f>
        <v>0</v>
      </c>
      <c r="DH18">
        <f>IF(P18=0,0,COUNTIF(Transect1_imgsummary!E18:I18,"BCA1")*100/P18)</f>
        <v>0</v>
      </c>
      <c r="DI18">
        <f>IF(P18=0,0,COUNTIF(Transect1_imgsummary!E18:I18,"JAN")*100/P18)</f>
        <v>0</v>
      </c>
      <c r="DK18">
        <f>IF(P18=0,0,COUNTIF(Transect1_imgsummary!E18:I18,"CCA1")*100/P18)</f>
        <v>0</v>
      </c>
      <c r="DM18">
        <f>IF(P18=0,0,COUNTIF(Transect1_imgsummary!E18:I18,"Sand")*100/P18)</f>
        <v>0</v>
      </c>
      <c r="DO18">
        <f>IF(P18=0,0,COUNTIF(Transect1_imgsummary!E18:I18,"FCA1")*100/P18)</f>
        <v>0</v>
      </c>
      <c r="DQ18">
        <f>IF(P18=0,0,COUNTIF(Transect1_imgsummary!E18:I18,"CHRYOBRN")*100/P18)</f>
        <v>0</v>
      </c>
      <c r="DS18" s="29">
        <f>IF(P18=0,0,COUNTIF(Transect1_imgsummary!E18:I18,"TURF")*100/P18)</f>
        <v>20</v>
      </c>
      <c r="DU18">
        <f>COUNTIF(Transect1_imgsummary!E18:I18,"Shadow")*100/5</f>
        <v>0</v>
      </c>
      <c r="DV18">
        <f>COUNTIF(Transect1_imgsummary!E18:I18,"Tape")*100/5</f>
        <v>0</v>
      </c>
      <c r="DW18">
        <f>COUNTIF(Transect1_imgsummary!E18:I18,"Wand")*100/5</f>
        <v>0</v>
      </c>
      <c r="DY18">
        <f>IF(P18=0,0,COUNTIF(Transect1_imgsummary!O18:S18,"BC")*100/P18)</f>
        <v>0</v>
      </c>
    </row>
    <row r="19" spans="1:129">
      <c r="A19">
        <v>17</v>
      </c>
      <c r="B19" t="s">
        <v>56</v>
      </c>
      <c r="F19" s="29">
        <f>IF(P19=0,0,COUNTIF(Transect1_imgsummary!J19:N19,"C")*100/P19)</f>
        <v>40</v>
      </c>
      <c r="G19">
        <f>IF(P19=0,0,COUNTIF(Transect1_imgsummary!J19:N19,"OI")*100/P19)</f>
        <v>0</v>
      </c>
      <c r="H19">
        <f>IF(P19=0,0,COUNTIF(Transect1_imgsummary!J19:N19,"MA")*100/P19)</f>
        <v>0</v>
      </c>
      <c r="I19">
        <f>IF(P19=0,0,COUNTIF(Transect1_imgsummary!J19:N19,"BCA")*100/P19)</f>
        <v>0</v>
      </c>
      <c r="J19" s="29">
        <f>IF(P19=0,0,COUNTIF(Transect1_imgsummary!J19:N19,"CCA")*100/P19)</f>
        <v>40</v>
      </c>
      <c r="K19">
        <f>IF(P19=0,0,COUNTIF(Transect1_imgsummary!J19:N19,"SD")*100/P19)</f>
        <v>0</v>
      </c>
      <c r="L19">
        <f>IF(P19=0,0,COUNTIF(Transect1_imgsummary!J19:N19,"FCA")*100/P19)</f>
        <v>0</v>
      </c>
      <c r="M19">
        <f>IF(P19=0,0,COUNTIF(Transect1_imgsummary!J19:N19,"CHRYS")*100/P19)</f>
        <v>0</v>
      </c>
      <c r="N19" s="29">
        <f>IF(P19=0,0,COUNTIF(Transect1_imgsummary!J19:N19,"T")*100/P19)</f>
        <v>20</v>
      </c>
      <c r="O19">
        <f>IF(P19=0,0,COUNTIF(Transect1_imgsummary!J19:N19,"TWS")*100/P19)</f>
        <v>0</v>
      </c>
      <c r="P19">
        <f>5-COUNTIF(Transect1_imgsummary!J19:N19,"TWS")</f>
        <v>5</v>
      </c>
      <c r="S19">
        <f>IF(P19=0,0,COUNTIF(Transect1_imgsummary!E19:I19,"ACAN")*100/P19)</f>
        <v>0</v>
      </c>
      <c r="T19">
        <f>IF(P19=0,0,COUNTIF(Transect1_imgsummary!E19:I19,"ACROP")*100/P19)</f>
        <v>0</v>
      </c>
      <c r="U19">
        <f>IF(P19=0,0,COUNTIF(Transect1_imgsummary!E19:I19,"ACROPARB")*100/P19)</f>
        <v>0</v>
      </c>
      <c r="V19">
        <f>IF(P19=0,0,COUNTIF(Transect1_imgsummary!E19:I19,"ACROST")*100/P19)</f>
        <v>0</v>
      </c>
      <c r="W19" s="29">
        <f>IF(P19=0,0,COUNTIF(Transect1_imgsummary!E19:I19,"ACROTBL")*100/P19)</f>
        <v>20</v>
      </c>
      <c r="X19">
        <f>IF(P19=0,0,COUNTIF(Transect1_imgsummary!E19:I19,"ASTRP")*100/P19)</f>
        <v>0</v>
      </c>
      <c r="Y19">
        <f>IF(P19=0,0,COUNTIF(Transect1_imgsummary!E19:I19,"CAUL")*100/P19)</f>
        <v>0</v>
      </c>
      <c r="Z19">
        <f>IF(P19=0,0,COUNTIF(Transect1_imgsummary!E19:I19,"COSC")*100/P19)</f>
        <v>0</v>
      </c>
      <c r="AA19">
        <f>IF(P19=0,0,COUNTIF(Transect1_imgsummary!E19:I19,"CTEN")*100/P19)</f>
        <v>0</v>
      </c>
      <c r="AB19">
        <f>IF(P19=0,0,COUNTIF(Transect1_imgsummary!E19:I19,"CYPH")*100/P19)</f>
        <v>0</v>
      </c>
      <c r="AC19">
        <f>IF(P19=0,0,COUNTIF(Transect1_imgsummary!E19:I19,"DIPLO")*100/P19)</f>
        <v>0</v>
      </c>
      <c r="AD19" s="29">
        <f>IF(P19=0,0,COUNTIF(Transect1_imgsummary!E19:I19,"ECHPO")*100/P19)</f>
        <v>20</v>
      </c>
      <c r="AE19">
        <f>IF(P19=0,0,COUNTIF(Transect1_imgsummary!E19:I19,"ECHPHY")*100/P19)</f>
        <v>0</v>
      </c>
      <c r="AF19">
        <f>IF(P19=0,0,COUNTIF(Transect1_imgsummary!E19:I19,"EUPH")*100/P19)</f>
        <v>0</v>
      </c>
      <c r="AG19">
        <f>IF(P19=0,0,COUNTIF(Transect1_imgsummary!E19:I19,"FAV")*100/P19)</f>
        <v>0</v>
      </c>
      <c r="AH19">
        <f>IF(P19=0,0,COUNTIF(Transect1_imgsummary!E19:I19,"FAVT")*100/P19)</f>
        <v>0</v>
      </c>
      <c r="AI19">
        <f>IF(P19=0,0,COUNTIF(Transect1_imgsummary!E19:I19,"FUNG")*100/P19)</f>
        <v>0</v>
      </c>
      <c r="AJ19">
        <f>IF(P19=0,0,COUNTIF(Transect1_imgsummary!E19:I19,"GAL")*100/P19)</f>
        <v>0</v>
      </c>
      <c r="AK19">
        <f>IF(P19=0,0,COUNTIF(Transect1_imgsummary!E19:I19,"GARD")*100/P19)</f>
        <v>0</v>
      </c>
      <c r="AL19">
        <f>IF(P19=0,0,COUNTIF(Transect1_imgsummary!E19:I19,"GON")*100/P19)</f>
        <v>0</v>
      </c>
      <c r="AM19">
        <f>IF(P19=0,0,COUNTIF(Transect1_imgsummary!E19:I19,"GONIO")*100/P19)</f>
        <v>0</v>
      </c>
      <c r="AN19">
        <f>IF(P19=0,0,COUNTIF(Transect1_imgsummary!E19:I19,"HELIO")*100/P19)</f>
        <v>0</v>
      </c>
      <c r="AO19">
        <f>IF(P19=0,0,COUNTIF(Transect1_imgsummary!E19:I19,"HERP")*100/P19)</f>
        <v>0</v>
      </c>
      <c r="AP19">
        <f>IF(P19=0,0,COUNTIF(Transect1_imgsummary!E19:I19,"HYD")*100/P19)</f>
        <v>0</v>
      </c>
      <c r="AQ19">
        <f>IF(P19=0,0,COUNTIF(Transect1_imgsummary!E19:I19,"ISOP")*100/P19)</f>
        <v>0</v>
      </c>
      <c r="AR19">
        <f>IF(P19=0,0,COUNTIF(Transect1_imgsummary!E19:I19,"LEPT")*100/P19)</f>
        <v>0</v>
      </c>
      <c r="AS19">
        <f>IF(P19=0,0,COUNTIF(Transect1_imgsummary!E19:I19,"LEPTOR")*100/P19)</f>
        <v>0</v>
      </c>
      <c r="AT19">
        <f>IF(P19=0,0,COUNTIF(Transect1_imgsummary!E19:I19,"LEPTOS")*100/P19)</f>
        <v>0</v>
      </c>
      <c r="AU19">
        <f>IF(P19=0,0,COUNTIF(Transect1_imgsummary!E19:I19,"LOBOPH")*100/P19)</f>
        <v>0</v>
      </c>
      <c r="AV19">
        <f>IF(P19=0,0,COUNTIF(Transect1_imgsummary!E19:I19,"MERU")*100/P19)</f>
        <v>0</v>
      </c>
      <c r="AW19">
        <f>IF(P19=0,0,COUNTIF(Transect1_imgsummary!E19:I19,"MILL")*100/P19)</f>
        <v>0</v>
      </c>
      <c r="AX19">
        <f>IF(P19=0,0,COUNTIF(Transect1_imgsummary!E19:I19,"MONT")*100/P19)</f>
        <v>0</v>
      </c>
      <c r="AY19">
        <f>IF(P19=0,0,COUNTIF(Transect1_imgsummary!E19:I19,"MONTI")*100/P19)</f>
        <v>0</v>
      </c>
      <c r="AZ19">
        <f>IF(P19=0,0,COUNTIF(Transect1_imgsummary!E19:I19,"MYCED")*100/P19)</f>
        <v>0</v>
      </c>
      <c r="BA19">
        <f>IF(P19=0,0,COUNTIF(Transect1_imgsummary!E19:I19,"OULO")*100/P19)</f>
        <v>0</v>
      </c>
      <c r="BB19">
        <f>IF(P19=0,0,COUNTIF(Transect1_imgsummary!E19:I19,"OXYP")*100/P19)</f>
        <v>0</v>
      </c>
      <c r="BC19">
        <f>IF(P19=0,0,COUNTIF(Transect1_imgsummary!E19:I19,"PLSIA")*100/P19)</f>
        <v>0</v>
      </c>
      <c r="BD19">
        <f>IF(P19=0,0,COUNTIF(Transect1_imgsummary!E19:I19,"PACHY")*100/P19)</f>
        <v>0</v>
      </c>
      <c r="BE19">
        <f>IF(P19=0,0,COUNTIF(Transect1_imgsummary!E19:I19,"PAV")*100/P19)</f>
        <v>0</v>
      </c>
      <c r="BF19">
        <f>IF(P19=0,0,COUNTIF(Transect1_imgsummary!E19:I19,"PECT")*100/P19)</f>
        <v>0</v>
      </c>
      <c r="BG19">
        <f>IF(P19=0,0,COUNTIF(Transect1_imgsummary!E19:I19,"PHYSO")*100/P19)</f>
        <v>0</v>
      </c>
      <c r="BH19">
        <f>IF(P19=0,0,COUNTIF(Transect1_imgsummary!E19:I19,"PLAT")*100/P19)</f>
        <v>0</v>
      </c>
      <c r="BI19">
        <f>IF(P19=0,0,COUNTIF(Transect1_imgsummary!E19:I19,"PLERO")*100/P19)</f>
        <v>0</v>
      </c>
      <c r="BJ19">
        <f>IF(P19=0,0,COUNTIF(Transect1_imgsummary!E19:I19,"POC")*100/P19)</f>
        <v>0</v>
      </c>
      <c r="BK19">
        <f>IF(P19=0,0,COUNTIF(Transect1_imgsummary!E19:I19,"POR")*100/P19)</f>
        <v>0</v>
      </c>
      <c r="BL19">
        <f>IF(P19=0,0,COUNTIF(Transect1_imgsummary!E19:I19,"PORCYL")*100/P19)</f>
        <v>0</v>
      </c>
      <c r="BM19">
        <f>IF(P19=0,0,COUNTIF(Transect1_imgsummary!E19:I19,"PORMAS")*100/P19)</f>
        <v>0</v>
      </c>
      <c r="BN19">
        <f>IF(P19=0,0,COUNTIF(Transect1_imgsummary!E19:I19,"PORRUS")*100/P19)</f>
        <v>0</v>
      </c>
      <c r="BO19">
        <f>IF(P19=0,0,COUNTIF(Transect1_imgsummary!E19:I19,"PSAM")*100/P19)</f>
        <v>0</v>
      </c>
      <c r="BP19">
        <f>IF(P19=0,0,COUNTIF(Transect1_imgsummary!E19:I19,"SANDO")*100/P19)</f>
        <v>0</v>
      </c>
      <c r="BQ19">
        <f>IF(P19=0,0,COUNTIF(Transect1_imgsummary!E19:I19,"SCAP")*100/P19)</f>
        <v>0</v>
      </c>
      <c r="BR19">
        <f>IF(P19=0,0,COUNTIF(Transect1_imgsummary!E19:I19,"SERIA")*100/P19)</f>
        <v>0</v>
      </c>
      <c r="BS19">
        <f>IF(P19=0,0,COUNTIF(Transect1_imgsummary!E19:I19,"STYLC")*100/P19)</f>
        <v>0</v>
      </c>
      <c r="BT19">
        <f>IF(P19=0,0,COUNTIF(Transect1_imgsummary!E19:I19,"STYLO")*100/P19)</f>
        <v>0</v>
      </c>
      <c r="BU19">
        <f>IF(P19=0,0,COUNTIF(Transect1_imgsummary!E19:I19,"SYMP")*100/P19)</f>
        <v>0</v>
      </c>
      <c r="BV19">
        <f>IF(P19=0,0,COUNTIF(Transect1_imgsummary!E19:I19,"TURBIN")*100/P19)</f>
        <v>0</v>
      </c>
      <c r="BX19">
        <f>IF(P19=0,0,COUNTIF(Transect1_imgsummary!E19:I19,"ANEM")*100/P19)</f>
        <v>0</v>
      </c>
      <c r="BY19">
        <f>IF(P19=0,0,COUNTIF(Transect1_imgsummary!E19:I19,"ASC")*100/P19)</f>
        <v>0</v>
      </c>
      <c r="BZ19">
        <f>IF(P19=0,0,COUNTIF(Transect1_imgsummary!E19:I19,"CUPS")*100/P19)</f>
        <v>0</v>
      </c>
      <c r="CA19">
        <f>IF(P19=0,0,COUNTIF(Transect1_imgsummary!E19:I19,"DISCO")*100/P19)</f>
        <v>0</v>
      </c>
      <c r="CB19">
        <f>IF(P19=0,0,COUNTIF(Transect1_imgsummary!E19:I19,"DYS")*100/P19)</f>
        <v>0</v>
      </c>
      <c r="CC19">
        <f>IF(P19=0,0,COUNTIF(Transect1_imgsummary!E19:I19,"G")*100/P19)</f>
        <v>0</v>
      </c>
      <c r="CD19">
        <f>IF(P19=0,0,COUNTIF(Transect1_imgsummary!E19:I19,"NoIDINV")*100/P19)</f>
        <v>0</v>
      </c>
      <c r="CE19">
        <f>IF(P19=0,0,COUNTIF(Transect1_imgsummary!E19:I19,"OLV")*100/P19)</f>
        <v>0</v>
      </c>
      <c r="CF19">
        <f>IF(P19=0,0,COUNTIF(Transect1_imgsummary!E19:I19,"SC")*100/P19)</f>
        <v>0</v>
      </c>
      <c r="CG19">
        <f>IF(P19=0,0,COUNTIF(Transect1_imgsummary!E19:I19,"S")*100/P19)</f>
        <v>0</v>
      </c>
      <c r="CH19">
        <f>IF(P19=0,0,COUNTIF(Transect1_imgsummary!E19:I19,"TERPS")*100/P19)</f>
        <v>0</v>
      </c>
      <c r="CI19">
        <f>IF(P19=0,0,COUNTIF(Transect1_imgsummary!E19:I19,"Z")*100/P19)</f>
        <v>0</v>
      </c>
      <c r="CK19">
        <f>IF(P19=0,0,COUNTIF(Transect1_imgsummary!E19:I19,"ASP")*100/P19)</f>
        <v>0</v>
      </c>
      <c r="CL19">
        <f>IF(P19=0,0,COUNTIF(Transect1_imgsummary!E19:I19,"BG")*100/P19)</f>
        <v>0</v>
      </c>
      <c r="CM19">
        <f>IF(P19=0,0,COUNTIF(Transect1_imgsummary!E19:I19,"Bood")*100/P19)</f>
        <v>0</v>
      </c>
      <c r="CN19">
        <f>IF(P19=0,0,COUNTIF(Transect1_imgsummary!E19:I19,"BRYP")*100/P19)</f>
        <v>0</v>
      </c>
      <c r="CO19">
        <f>IF(P19=0,0,COUNTIF(Transect1_imgsummary!E19:I19,"CLP")*100/P19)</f>
        <v>0</v>
      </c>
      <c r="CP19">
        <f>IF(P19=0,0,COUNTIF(Transect1_imgsummary!E19:I19,"CHLDES")*100/P19)</f>
        <v>0</v>
      </c>
      <c r="CQ19">
        <f>IF(P19=0,0,COUNTIF(Transect1_imgsummary!E19:I19,"DYCTY")*100/P19)</f>
        <v>0</v>
      </c>
      <c r="CR19">
        <f>IF(P19=0,0,COUNTIF(Transect1_imgsummary!E19:I19,"DICT")*100/P19)</f>
        <v>0</v>
      </c>
      <c r="CS19">
        <f>IF(P19=0,0,COUNTIF(Transect1_imgsummary!E19:I19,"GLXU")*100/P19)</f>
        <v>0</v>
      </c>
      <c r="CT19">
        <f>IF(P19=0,0,COUNTIF(Transect1_imgsummary!E19:I19,"HALI")*100/P19)</f>
        <v>0</v>
      </c>
      <c r="CU19">
        <f>IF(P19=0,0,COUNTIF(Transect1_imgsummary!E19:I19,"LIAG")*100/P19)</f>
        <v>0</v>
      </c>
      <c r="CV19">
        <f>IF(P19=0,0,COUNTIF(Transect1_imgsummary!E19:I19,"LOBO")*100/P19)</f>
        <v>0</v>
      </c>
      <c r="CW19">
        <f>IF(P19=0,0,COUNTIF(Transect1_imgsummary!E19:I19,"MAST")*100/P19)</f>
        <v>0</v>
      </c>
      <c r="CX19">
        <f>IF(P19=0,0,COUNTIF(Transect1_imgsummary!E19:I19,"MICDTY")*100/P19)</f>
        <v>0</v>
      </c>
      <c r="CY19">
        <f>IF(P19=0,0,COUNTIF(Transect1_imgsummary!E19:I19,"NEOM")*100/P19)</f>
        <v>0</v>
      </c>
      <c r="CZ19">
        <f>IF(P19=0,0,COUNTIF(Transect1_imgsummary!E19:I19,"NOIDMAC")*100/P19)</f>
        <v>0</v>
      </c>
      <c r="DA19">
        <f>IF(P19=0,0,COUNTIF(Transect1_imgsummary!E19:I19,"PAD")*100/P19)</f>
        <v>0</v>
      </c>
      <c r="DB19">
        <f>IF(P19=0,0,COUNTIF(Transect1_imgsummary!E19:I19,"SARG")*100/P19)</f>
        <v>0</v>
      </c>
      <c r="DC19">
        <f>IF(P19=0,0,COUNTIF(Transect1_imgsummary!E19:I19,"SCHIZ")*100/P19)</f>
        <v>0</v>
      </c>
      <c r="DD19">
        <f>IF(P19=0,0,COUNTIF(Transect1_imgsummary!E19:I19,"TURB")*100/P19)</f>
        <v>0</v>
      </c>
      <c r="DE19">
        <f>IF(P19=0,0,COUNTIF(Transect1_imgsummary!E19:I19,"TYDM")*100/P19)</f>
        <v>0</v>
      </c>
      <c r="DG19">
        <f>IF(P19=0,0,COUNTIF(Transect1_imgsummary!E19:I19,"AMP")*100/P19)</f>
        <v>0</v>
      </c>
      <c r="DH19">
        <f>IF(P19=0,0,COUNTIF(Transect1_imgsummary!E19:I19,"BCA1")*100/P19)</f>
        <v>0</v>
      </c>
      <c r="DI19">
        <f>IF(P19=0,0,COUNTIF(Transect1_imgsummary!E19:I19,"JAN")*100/P19)</f>
        <v>0</v>
      </c>
      <c r="DK19" s="29">
        <f>IF(P19=0,0,COUNTIF(Transect1_imgsummary!E19:I19,"CCA1")*100/P19)</f>
        <v>40</v>
      </c>
      <c r="DM19">
        <f>IF(P19=0,0,COUNTIF(Transect1_imgsummary!E19:I19,"Sand")*100/P19)</f>
        <v>0</v>
      </c>
      <c r="DO19">
        <f>IF(P19=0,0,COUNTIF(Transect1_imgsummary!E19:I19,"FCA1")*100/P19)</f>
        <v>0</v>
      </c>
      <c r="DQ19">
        <f>IF(P19=0,0,COUNTIF(Transect1_imgsummary!E19:I19,"CHRYOBRN")*100/P19)</f>
        <v>0</v>
      </c>
      <c r="DS19" s="29">
        <f>IF(P19=0,0,COUNTIF(Transect1_imgsummary!E19:I19,"TURF")*100/P19)</f>
        <v>20</v>
      </c>
      <c r="DU19">
        <f>COUNTIF(Transect1_imgsummary!E19:I19,"Shadow")*100/5</f>
        <v>0</v>
      </c>
      <c r="DV19">
        <f>COUNTIF(Transect1_imgsummary!E19:I19,"Tape")*100/5</f>
        <v>0</v>
      </c>
      <c r="DW19">
        <f>COUNTIF(Transect1_imgsummary!E19:I19,"Wand")*100/5</f>
        <v>0</v>
      </c>
      <c r="DY19">
        <f>IF(P19=0,0,COUNTIF(Transect1_imgsummary!O19:S19,"BC")*100/P19)</f>
        <v>0</v>
      </c>
    </row>
    <row r="20" spans="1:129">
      <c r="A20">
        <v>18</v>
      </c>
      <c r="B20" t="s">
        <v>57</v>
      </c>
      <c r="F20" s="29">
        <f>IF(P20=0,0,COUNTIF(Transect1_imgsummary!J20:N20,"C")*100/P20)</f>
        <v>60</v>
      </c>
      <c r="G20">
        <f>IF(P20=0,0,COUNTIF(Transect1_imgsummary!J20:N20,"OI")*100/P20)</f>
        <v>0</v>
      </c>
      <c r="H20">
        <f>IF(P20=0,0,COUNTIF(Transect1_imgsummary!J20:N20,"MA")*100/P20)</f>
        <v>0</v>
      </c>
      <c r="I20">
        <f>IF(P20=0,0,COUNTIF(Transect1_imgsummary!J20:N20,"BCA")*100/P20)</f>
        <v>0</v>
      </c>
      <c r="J20" s="29">
        <f>IF(P20=0,0,COUNTIF(Transect1_imgsummary!J20:N20,"CCA")*100/P20)</f>
        <v>20</v>
      </c>
      <c r="K20">
        <f>IF(P20=0,0,COUNTIF(Transect1_imgsummary!J20:N20,"SD")*100/P20)</f>
        <v>0</v>
      </c>
      <c r="L20">
        <f>IF(P20=0,0,COUNTIF(Transect1_imgsummary!J20:N20,"FCA")*100/P20)</f>
        <v>0</v>
      </c>
      <c r="M20">
        <f>IF(P20=0,0,COUNTIF(Transect1_imgsummary!J20:N20,"CHRYS")*100/P20)</f>
        <v>0</v>
      </c>
      <c r="N20" s="29">
        <f>IF(P20=0,0,COUNTIF(Transect1_imgsummary!J20:N20,"T")*100/P20)</f>
        <v>20</v>
      </c>
      <c r="O20">
        <f>IF(P20=0,0,COUNTIF(Transect1_imgsummary!J20:N20,"TWS")*100/P20)</f>
        <v>0</v>
      </c>
      <c r="P20">
        <f>5-COUNTIF(Transect1_imgsummary!J20:N20,"TWS")</f>
        <v>5</v>
      </c>
      <c r="S20">
        <f>IF(P20=0,0,COUNTIF(Transect1_imgsummary!E20:I20,"ACAN")*100/P20)</f>
        <v>0</v>
      </c>
      <c r="T20">
        <f>IF(P20=0,0,COUNTIF(Transect1_imgsummary!E20:I20,"ACROP")*100/P20)</f>
        <v>0</v>
      </c>
      <c r="U20">
        <f>IF(P20=0,0,COUNTIF(Transect1_imgsummary!E20:I20,"ACROPARB")*100/P20)</f>
        <v>0</v>
      </c>
      <c r="V20">
        <f>IF(P20=0,0,COUNTIF(Transect1_imgsummary!E20:I20,"ACROST")*100/P20)</f>
        <v>0</v>
      </c>
      <c r="W20" s="29">
        <f>IF(P20=0,0,COUNTIF(Transect1_imgsummary!E20:I20,"ACROTBL")*100/P20)</f>
        <v>40</v>
      </c>
      <c r="X20">
        <f>IF(P20=0,0,COUNTIF(Transect1_imgsummary!E20:I20,"ASTRP")*100/P20)</f>
        <v>0</v>
      </c>
      <c r="Y20">
        <f>IF(P20=0,0,COUNTIF(Transect1_imgsummary!E20:I20,"CAUL")*100/P20)</f>
        <v>0</v>
      </c>
      <c r="Z20">
        <f>IF(P20=0,0,COUNTIF(Transect1_imgsummary!E20:I20,"COSC")*100/P20)</f>
        <v>0</v>
      </c>
      <c r="AA20">
        <f>IF(P20=0,0,COUNTIF(Transect1_imgsummary!E20:I20,"CTEN")*100/P20)</f>
        <v>0</v>
      </c>
      <c r="AB20">
        <f>IF(P20=0,0,COUNTIF(Transect1_imgsummary!E20:I20,"CYPH")*100/P20)</f>
        <v>0</v>
      </c>
      <c r="AC20">
        <f>IF(P20=0,0,COUNTIF(Transect1_imgsummary!E20:I20,"DIPLO")*100/P20)</f>
        <v>0</v>
      </c>
      <c r="AD20">
        <f>IF(P20=0,0,COUNTIF(Transect1_imgsummary!E20:I20,"ECHPO")*100/P20)</f>
        <v>0</v>
      </c>
      <c r="AE20">
        <f>IF(P20=0,0,COUNTIF(Transect1_imgsummary!E20:I20,"ECHPHY")*100/P20)</f>
        <v>0</v>
      </c>
      <c r="AF20">
        <f>IF(P20=0,0,COUNTIF(Transect1_imgsummary!E20:I20,"EUPH")*100/P20)</f>
        <v>0</v>
      </c>
      <c r="AG20">
        <f>IF(P20=0,0,COUNTIF(Transect1_imgsummary!E20:I20,"FAV")*100/P20)</f>
        <v>0</v>
      </c>
      <c r="AH20">
        <f>IF(P20=0,0,COUNTIF(Transect1_imgsummary!E20:I20,"FAVT")*100/P20)</f>
        <v>0</v>
      </c>
      <c r="AI20">
        <f>IF(P20=0,0,COUNTIF(Transect1_imgsummary!E20:I20,"FUNG")*100/P20)</f>
        <v>0</v>
      </c>
      <c r="AJ20">
        <f>IF(P20=0,0,COUNTIF(Transect1_imgsummary!E20:I20,"GAL")*100/P20)</f>
        <v>0</v>
      </c>
      <c r="AK20">
        <f>IF(P20=0,0,COUNTIF(Transect1_imgsummary!E20:I20,"GARD")*100/P20)</f>
        <v>0</v>
      </c>
      <c r="AL20">
        <f>IF(P20=0,0,COUNTIF(Transect1_imgsummary!E20:I20,"GON")*100/P20)</f>
        <v>0</v>
      </c>
      <c r="AM20">
        <f>IF(P20=0,0,COUNTIF(Transect1_imgsummary!E20:I20,"GONIO")*100/P20)</f>
        <v>0</v>
      </c>
      <c r="AN20">
        <f>IF(P20=0,0,COUNTIF(Transect1_imgsummary!E20:I20,"HELIO")*100/P20)</f>
        <v>0</v>
      </c>
      <c r="AO20">
        <f>IF(P20=0,0,COUNTIF(Transect1_imgsummary!E20:I20,"HERP")*100/P20)</f>
        <v>0</v>
      </c>
      <c r="AP20">
        <f>IF(P20=0,0,COUNTIF(Transect1_imgsummary!E20:I20,"HYD")*100/P20)</f>
        <v>0</v>
      </c>
      <c r="AQ20">
        <f>IF(P20=0,0,COUNTIF(Transect1_imgsummary!E20:I20,"ISOP")*100/P20)</f>
        <v>0</v>
      </c>
      <c r="AR20">
        <f>IF(P20=0,0,COUNTIF(Transect1_imgsummary!E20:I20,"LEPT")*100/P20)</f>
        <v>0</v>
      </c>
      <c r="AS20" s="29">
        <f>IF(P20=0,0,COUNTIF(Transect1_imgsummary!E20:I20,"LEPTOR")*100/P20)</f>
        <v>20</v>
      </c>
      <c r="AT20">
        <f>IF(P20=0,0,COUNTIF(Transect1_imgsummary!E20:I20,"LEPTOS")*100/P20)</f>
        <v>0</v>
      </c>
      <c r="AU20">
        <f>IF(P20=0,0,COUNTIF(Transect1_imgsummary!E20:I20,"LOBOPH")*100/P20)</f>
        <v>0</v>
      </c>
      <c r="AV20">
        <f>IF(P20=0,0,COUNTIF(Transect1_imgsummary!E20:I20,"MERU")*100/P20)</f>
        <v>0</v>
      </c>
      <c r="AW20">
        <f>IF(P20=0,0,COUNTIF(Transect1_imgsummary!E20:I20,"MILL")*100/P20)</f>
        <v>0</v>
      </c>
      <c r="AX20">
        <f>IF(P20=0,0,COUNTIF(Transect1_imgsummary!E20:I20,"MONT")*100/P20)</f>
        <v>0</v>
      </c>
      <c r="AY20">
        <f>IF(P20=0,0,COUNTIF(Transect1_imgsummary!E20:I20,"MONTI")*100/P20)</f>
        <v>0</v>
      </c>
      <c r="AZ20">
        <f>IF(P20=0,0,COUNTIF(Transect1_imgsummary!E20:I20,"MYCED")*100/P20)</f>
        <v>0</v>
      </c>
      <c r="BA20">
        <f>IF(P20=0,0,COUNTIF(Transect1_imgsummary!E20:I20,"OULO")*100/P20)</f>
        <v>0</v>
      </c>
      <c r="BB20">
        <f>IF(P20=0,0,COUNTIF(Transect1_imgsummary!E20:I20,"OXYP")*100/P20)</f>
        <v>0</v>
      </c>
      <c r="BC20">
        <f>IF(P20=0,0,COUNTIF(Transect1_imgsummary!E20:I20,"PLSIA")*100/P20)</f>
        <v>0</v>
      </c>
      <c r="BD20">
        <f>IF(P20=0,0,COUNTIF(Transect1_imgsummary!E20:I20,"PACHY")*100/P20)</f>
        <v>0</v>
      </c>
      <c r="BE20">
        <f>IF(P20=0,0,COUNTIF(Transect1_imgsummary!E20:I20,"PAV")*100/P20)</f>
        <v>0</v>
      </c>
      <c r="BF20">
        <f>IF(P20=0,0,COUNTIF(Transect1_imgsummary!E20:I20,"PECT")*100/P20)</f>
        <v>0</v>
      </c>
      <c r="BG20">
        <f>IF(P20=0,0,COUNTIF(Transect1_imgsummary!E20:I20,"PHYSO")*100/P20)</f>
        <v>0</v>
      </c>
      <c r="BH20">
        <f>IF(P20=0,0,COUNTIF(Transect1_imgsummary!E20:I20,"PLAT")*100/P20)</f>
        <v>0</v>
      </c>
      <c r="BI20">
        <f>IF(P20=0,0,COUNTIF(Transect1_imgsummary!E20:I20,"PLERO")*100/P20)</f>
        <v>0</v>
      </c>
      <c r="BJ20">
        <f>IF(P20=0,0,COUNTIF(Transect1_imgsummary!E20:I20,"POC")*100/P20)</f>
        <v>0</v>
      </c>
      <c r="BK20">
        <f>IF(P20=0,0,COUNTIF(Transect1_imgsummary!E20:I20,"POR")*100/P20)</f>
        <v>0</v>
      </c>
      <c r="BL20">
        <f>IF(P20=0,0,COUNTIF(Transect1_imgsummary!E20:I20,"PORCYL")*100/P20)</f>
        <v>0</v>
      </c>
      <c r="BM20">
        <f>IF(P20=0,0,COUNTIF(Transect1_imgsummary!E20:I20,"PORMAS")*100/P20)</f>
        <v>0</v>
      </c>
      <c r="BN20">
        <f>IF(P20=0,0,COUNTIF(Transect1_imgsummary!E20:I20,"PORRUS")*100/P20)</f>
        <v>0</v>
      </c>
      <c r="BO20">
        <f>IF(P20=0,0,COUNTIF(Transect1_imgsummary!E20:I20,"PSAM")*100/P20)</f>
        <v>0</v>
      </c>
      <c r="BP20">
        <f>IF(P20=0,0,COUNTIF(Transect1_imgsummary!E20:I20,"SANDO")*100/P20)</f>
        <v>0</v>
      </c>
      <c r="BQ20">
        <f>IF(P20=0,0,COUNTIF(Transect1_imgsummary!E20:I20,"SCAP")*100/P20)</f>
        <v>0</v>
      </c>
      <c r="BR20">
        <f>IF(P20=0,0,COUNTIF(Transect1_imgsummary!E20:I20,"SERIA")*100/P20)</f>
        <v>0</v>
      </c>
      <c r="BS20">
        <f>IF(P20=0,0,COUNTIF(Transect1_imgsummary!E20:I20,"STYLC")*100/P20)</f>
        <v>0</v>
      </c>
      <c r="BT20">
        <f>IF(P20=0,0,COUNTIF(Transect1_imgsummary!E20:I20,"STYLO")*100/P20)</f>
        <v>0</v>
      </c>
      <c r="BU20">
        <f>IF(P20=0,0,COUNTIF(Transect1_imgsummary!E20:I20,"SYMP")*100/P20)</f>
        <v>0</v>
      </c>
      <c r="BV20">
        <f>IF(P20=0,0,COUNTIF(Transect1_imgsummary!E20:I20,"TURBIN")*100/P20)</f>
        <v>0</v>
      </c>
      <c r="BX20">
        <f>IF(P20=0,0,COUNTIF(Transect1_imgsummary!E20:I20,"ANEM")*100/P20)</f>
        <v>0</v>
      </c>
      <c r="BY20">
        <f>IF(P20=0,0,COUNTIF(Transect1_imgsummary!E20:I20,"ASC")*100/P20)</f>
        <v>0</v>
      </c>
      <c r="BZ20">
        <f>IF(P20=0,0,COUNTIF(Transect1_imgsummary!E20:I20,"CUPS")*100/P20)</f>
        <v>0</v>
      </c>
      <c r="CA20">
        <f>IF(P20=0,0,COUNTIF(Transect1_imgsummary!E20:I20,"DISCO")*100/P20)</f>
        <v>0</v>
      </c>
      <c r="CB20">
        <f>IF(P20=0,0,COUNTIF(Transect1_imgsummary!E20:I20,"DYS")*100/P20)</f>
        <v>0</v>
      </c>
      <c r="CC20">
        <f>IF(P20=0,0,COUNTIF(Transect1_imgsummary!E20:I20,"G")*100/P20)</f>
        <v>0</v>
      </c>
      <c r="CD20">
        <f>IF(P20=0,0,COUNTIF(Transect1_imgsummary!E20:I20,"NoIDINV")*100/P20)</f>
        <v>0</v>
      </c>
      <c r="CE20">
        <f>IF(P20=0,0,COUNTIF(Transect1_imgsummary!E20:I20,"OLV")*100/P20)</f>
        <v>0</v>
      </c>
      <c r="CF20">
        <f>IF(P20=0,0,COUNTIF(Transect1_imgsummary!E20:I20,"SC")*100/P20)</f>
        <v>0</v>
      </c>
      <c r="CG20">
        <f>IF(P20=0,0,COUNTIF(Transect1_imgsummary!E20:I20,"S")*100/P20)</f>
        <v>0</v>
      </c>
      <c r="CH20">
        <f>IF(P20=0,0,COUNTIF(Transect1_imgsummary!E20:I20,"TERPS")*100/P20)</f>
        <v>0</v>
      </c>
      <c r="CI20">
        <f>IF(P20=0,0,COUNTIF(Transect1_imgsummary!E20:I20,"Z")*100/P20)</f>
        <v>0</v>
      </c>
      <c r="CK20">
        <f>IF(P20=0,0,COUNTIF(Transect1_imgsummary!E20:I20,"ASP")*100/P20)</f>
        <v>0</v>
      </c>
      <c r="CL20">
        <f>IF(P20=0,0,COUNTIF(Transect1_imgsummary!E20:I20,"BG")*100/P20)</f>
        <v>0</v>
      </c>
      <c r="CM20">
        <f>IF(P20=0,0,COUNTIF(Transect1_imgsummary!E20:I20,"Bood")*100/P20)</f>
        <v>0</v>
      </c>
      <c r="CN20">
        <f>IF(P20=0,0,COUNTIF(Transect1_imgsummary!E20:I20,"BRYP")*100/P20)</f>
        <v>0</v>
      </c>
      <c r="CO20">
        <f>IF(P20=0,0,COUNTIF(Transect1_imgsummary!E20:I20,"CLP")*100/P20)</f>
        <v>0</v>
      </c>
      <c r="CP20">
        <f>IF(P20=0,0,COUNTIF(Transect1_imgsummary!E20:I20,"CHLDES")*100/P20)</f>
        <v>0</v>
      </c>
      <c r="CQ20">
        <f>IF(P20=0,0,COUNTIF(Transect1_imgsummary!E20:I20,"DYCTY")*100/P20)</f>
        <v>0</v>
      </c>
      <c r="CR20">
        <f>IF(P20=0,0,COUNTIF(Transect1_imgsummary!E20:I20,"DICT")*100/P20)</f>
        <v>0</v>
      </c>
      <c r="CS20">
        <f>IF(P20=0,0,COUNTIF(Transect1_imgsummary!E20:I20,"GLXU")*100/P20)</f>
        <v>0</v>
      </c>
      <c r="CT20">
        <f>IF(P20=0,0,COUNTIF(Transect1_imgsummary!E20:I20,"HALI")*100/P20)</f>
        <v>0</v>
      </c>
      <c r="CU20">
        <f>IF(P20=0,0,COUNTIF(Transect1_imgsummary!E20:I20,"LIAG")*100/P20)</f>
        <v>0</v>
      </c>
      <c r="CV20">
        <f>IF(P20=0,0,COUNTIF(Transect1_imgsummary!E20:I20,"LOBO")*100/P20)</f>
        <v>0</v>
      </c>
      <c r="CW20">
        <f>IF(P20=0,0,COUNTIF(Transect1_imgsummary!E20:I20,"MAST")*100/P20)</f>
        <v>0</v>
      </c>
      <c r="CX20">
        <f>IF(P20=0,0,COUNTIF(Transect1_imgsummary!E20:I20,"MICDTY")*100/P20)</f>
        <v>0</v>
      </c>
      <c r="CY20">
        <f>IF(P20=0,0,COUNTIF(Transect1_imgsummary!E20:I20,"NEOM")*100/P20)</f>
        <v>0</v>
      </c>
      <c r="CZ20">
        <f>IF(P20=0,0,COUNTIF(Transect1_imgsummary!E20:I20,"NOIDMAC")*100/P20)</f>
        <v>0</v>
      </c>
      <c r="DA20">
        <f>IF(P20=0,0,COUNTIF(Transect1_imgsummary!E20:I20,"PAD")*100/P20)</f>
        <v>0</v>
      </c>
      <c r="DB20">
        <f>IF(P20=0,0,COUNTIF(Transect1_imgsummary!E20:I20,"SARG")*100/P20)</f>
        <v>0</v>
      </c>
      <c r="DC20">
        <f>IF(P20=0,0,COUNTIF(Transect1_imgsummary!E20:I20,"SCHIZ")*100/P20)</f>
        <v>0</v>
      </c>
      <c r="DD20">
        <f>IF(P20=0,0,COUNTIF(Transect1_imgsummary!E20:I20,"TURB")*100/P20)</f>
        <v>0</v>
      </c>
      <c r="DE20">
        <f>IF(P20=0,0,COUNTIF(Transect1_imgsummary!E20:I20,"TYDM")*100/P20)</f>
        <v>0</v>
      </c>
      <c r="DG20">
        <f>IF(P20=0,0,COUNTIF(Transect1_imgsummary!E20:I20,"AMP")*100/P20)</f>
        <v>0</v>
      </c>
      <c r="DH20">
        <f>IF(P20=0,0,COUNTIF(Transect1_imgsummary!E20:I20,"BCA1")*100/P20)</f>
        <v>0</v>
      </c>
      <c r="DI20">
        <f>IF(P20=0,0,COUNTIF(Transect1_imgsummary!E20:I20,"JAN")*100/P20)</f>
        <v>0</v>
      </c>
      <c r="DK20" s="29">
        <f>IF(P20=0,0,COUNTIF(Transect1_imgsummary!E20:I20,"CCA1")*100/P20)</f>
        <v>20</v>
      </c>
      <c r="DM20">
        <f>IF(P20=0,0,COUNTIF(Transect1_imgsummary!E20:I20,"Sand")*100/P20)</f>
        <v>0</v>
      </c>
      <c r="DO20">
        <f>IF(P20=0,0,COUNTIF(Transect1_imgsummary!E20:I20,"FCA1")*100/P20)</f>
        <v>0</v>
      </c>
      <c r="DQ20">
        <f>IF(P20=0,0,COUNTIF(Transect1_imgsummary!E20:I20,"CHRYOBRN")*100/P20)</f>
        <v>0</v>
      </c>
      <c r="DS20" s="29">
        <f>IF(P20=0,0,COUNTIF(Transect1_imgsummary!E20:I20,"TURF")*100/P20)</f>
        <v>20</v>
      </c>
      <c r="DU20">
        <f>COUNTIF(Transect1_imgsummary!E20:I20,"Shadow")*100/5</f>
        <v>0</v>
      </c>
      <c r="DV20">
        <f>COUNTIF(Transect1_imgsummary!E20:I20,"Tape")*100/5</f>
        <v>0</v>
      </c>
      <c r="DW20">
        <f>COUNTIF(Transect1_imgsummary!E20:I20,"Wand")*100/5</f>
        <v>0</v>
      </c>
      <c r="DY20">
        <f>IF(P20=0,0,COUNTIF(Transect1_imgsummary!O20:S20,"BC")*100/P20)</f>
        <v>0</v>
      </c>
    </row>
    <row r="21" spans="1:129">
      <c r="A21">
        <v>19</v>
      </c>
      <c r="B21" t="s">
        <v>58</v>
      </c>
      <c r="F21" s="29">
        <f>IF(P21=0,0,COUNTIF(Transect1_imgsummary!J21:N21,"C")*100/P21)</f>
        <v>40</v>
      </c>
      <c r="G21">
        <f>IF(P21=0,0,COUNTIF(Transect1_imgsummary!J21:N21,"OI")*100/P21)</f>
        <v>0</v>
      </c>
      <c r="H21">
        <f>IF(P21=0,0,COUNTIF(Transect1_imgsummary!J21:N21,"MA")*100/P21)</f>
        <v>0</v>
      </c>
      <c r="I21">
        <f>IF(P21=0,0,COUNTIF(Transect1_imgsummary!J21:N21,"BCA")*100/P21)</f>
        <v>0</v>
      </c>
      <c r="J21" s="29">
        <f>IF(P21=0,0,COUNTIF(Transect1_imgsummary!J21:N21,"CCA")*100/P21)</f>
        <v>40</v>
      </c>
      <c r="K21">
        <f>IF(P21=0,0,COUNTIF(Transect1_imgsummary!J21:N21,"SD")*100/P21)</f>
        <v>0</v>
      </c>
      <c r="L21">
        <f>IF(P21=0,0,COUNTIF(Transect1_imgsummary!J21:N21,"FCA")*100/P21)</f>
        <v>0</v>
      </c>
      <c r="M21">
        <f>IF(P21=0,0,COUNTIF(Transect1_imgsummary!J21:N21,"CHRYS")*100/P21)</f>
        <v>0</v>
      </c>
      <c r="N21" s="29">
        <f>IF(P21=0,0,COUNTIF(Transect1_imgsummary!J21:N21,"T")*100/P21)</f>
        <v>20</v>
      </c>
      <c r="O21">
        <f>IF(P21=0,0,COUNTIF(Transect1_imgsummary!J21:N21,"TWS")*100/P21)</f>
        <v>0</v>
      </c>
      <c r="P21">
        <f>5-COUNTIF(Transect1_imgsummary!J21:N21,"TWS")</f>
        <v>5</v>
      </c>
      <c r="S21">
        <f>IF(P21=0,0,COUNTIF(Transect1_imgsummary!E21:I21,"ACAN")*100/P21)</f>
        <v>0</v>
      </c>
      <c r="T21">
        <f>IF(P21=0,0,COUNTIF(Transect1_imgsummary!E21:I21,"ACROP")*100/P21)</f>
        <v>0</v>
      </c>
      <c r="U21">
        <f>IF(P21=0,0,COUNTIF(Transect1_imgsummary!E21:I21,"ACROPARB")*100/P21)</f>
        <v>0</v>
      </c>
      <c r="V21">
        <f>IF(P21=0,0,COUNTIF(Transect1_imgsummary!E21:I21,"ACROST")*100/P21)</f>
        <v>0</v>
      </c>
      <c r="W21">
        <f>IF(P21=0,0,COUNTIF(Transect1_imgsummary!E21:I21,"ACROTBL")*100/P21)</f>
        <v>0</v>
      </c>
      <c r="X21">
        <f>IF(P21=0,0,COUNTIF(Transect1_imgsummary!E21:I21,"ASTRP")*100/P21)</f>
        <v>0</v>
      </c>
      <c r="Y21">
        <f>IF(P21=0,0,COUNTIF(Transect1_imgsummary!E21:I21,"CAUL")*100/P21)</f>
        <v>0</v>
      </c>
      <c r="Z21">
        <f>IF(P21=0,0,COUNTIF(Transect1_imgsummary!E21:I21,"COSC")*100/P21)</f>
        <v>0</v>
      </c>
      <c r="AA21">
        <f>IF(P21=0,0,COUNTIF(Transect1_imgsummary!E21:I21,"CTEN")*100/P21)</f>
        <v>0</v>
      </c>
      <c r="AB21">
        <f>IF(P21=0,0,COUNTIF(Transect1_imgsummary!E21:I21,"CYPH")*100/P21)</f>
        <v>0</v>
      </c>
      <c r="AC21">
        <f>IF(P21=0,0,COUNTIF(Transect1_imgsummary!E21:I21,"DIPLO")*100/P21)</f>
        <v>0</v>
      </c>
      <c r="AD21">
        <f>IF(P21=0,0,COUNTIF(Transect1_imgsummary!E21:I21,"ECHPO")*100/P21)</f>
        <v>0</v>
      </c>
      <c r="AE21">
        <f>IF(P21=0,0,COUNTIF(Transect1_imgsummary!E21:I21,"ECHPHY")*100/P21)</f>
        <v>0</v>
      </c>
      <c r="AF21">
        <f>IF(P21=0,0,COUNTIF(Transect1_imgsummary!E21:I21,"EUPH")*100/P21)</f>
        <v>0</v>
      </c>
      <c r="AG21" s="29">
        <f>IF(P21=0,0,COUNTIF(Transect1_imgsummary!E21:I21,"FAV")*100/P21)</f>
        <v>20</v>
      </c>
      <c r="AH21">
        <f>IF(P21=0,0,COUNTIF(Transect1_imgsummary!E21:I21,"FAVT")*100/P21)</f>
        <v>0</v>
      </c>
      <c r="AI21">
        <f>IF(P21=0,0,COUNTIF(Transect1_imgsummary!E21:I21,"FUNG")*100/P21)</f>
        <v>0</v>
      </c>
      <c r="AJ21">
        <f>IF(P21=0,0,COUNTIF(Transect1_imgsummary!E21:I21,"GAL")*100/P21)</f>
        <v>0</v>
      </c>
      <c r="AK21">
        <f>IF(P21=0,0,COUNTIF(Transect1_imgsummary!E21:I21,"GARD")*100/P21)</f>
        <v>0</v>
      </c>
      <c r="AL21">
        <f>IF(P21=0,0,COUNTIF(Transect1_imgsummary!E21:I21,"GON")*100/P21)</f>
        <v>0</v>
      </c>
      <c r="AM21">
        <f>IF(P21=0,0,COUNTIF(Transect1_imgsummary!E21:I21,"GONIO")*100/P21)</f>
        <v>0</v>
      </c>
      <c r="AN21">
        <f>IF(P21=0,0,COUNTIF(Transect1_imgsummary!E21:I21,"HELIO")*100/P21)</f>
        <v>0</v>
      </c>
      <c r="AO21">
        <f>IF(P21=0,0,COUNTIF(Transect1_imgsummary!E21:I21,"HERP")*100/P21)</f>
        <v>0</v>
      </c>
      <c r="AP21">
        <f>IF(P21=0,0,COUNTIF(Transect1_imgsummary!E21:I21,"HYD")*100/P21)</f>
        <v>0</v>
      </c>
      <c r="AQ21">
        <f>IF(P21=0,0,COUNTIF(Transect1_imgsummary!E21:I21,"ISOP")*100/P21)</f>
        <v>0</v>
      </c>
      <c r="AR21">
        <f>IF(P21=0,0,COUNTIF(Transect1_imgsummary!E21:I21,"LEPT")*100/P21)</f>
        <v>0</v>
      </c>
      <c r="AS21" s="29">
        <f>IF(P21=0,0,COUNTIF(Transect1_imgsummary!E21:I21,"LEPTOR")*100/P21)</f>
        <v>20</v>
      </c>
      <c r="AT21">
        <f>IF(P21=0,0,COUNTIF(Transect1_imgsummary!E21:I21,"LEPTOS")*100/P21)</f>
        <v>0</v>
      </c>
      <c r="AU21">
        <f>IF(P21=0,0,COUNTIF(Transect1_imgsummary!E21:I21,"LOBOPH")*100/P21)</f>
        <v>0</v>
      </c>
      <c r="AV21">
        <f>IF(P21=0,0,COUNTIF(Transect1_imgsummary!E21:I21,"MERU")*100/P21)</f>
        <v>0</v>
      </c>
      <c r="AW21">
        <f>IF(P21=0,0,COUNTIF(Transect1_imgsummary!E21:I21,"MILL")*100/P21)</f>
        <v>0</v>
      </c>
      <c r="AX21">
        <f>IF(P21=0,0,COUNTIF(Transect1_imgsummary!E21:I21,"MONT")*100/P21)</f>
        <v>0</v>
      </c>
      <c r="AY21">
        <f>IF(P21=0,0,COUNTIF(Transect1_imgsummary!E21:I21,"MONTI")*100/P21)</f>
        <v>0</v>
      </c>
      <c r="AZ21">
        <f>IF(P21=0,0,COUNTIF(Transect1_imgsummary!E21:I21,"MYCED")*100/P21)</f>
        <v>0</v>
      </c>
      <c r="BA21">
        <f>IF(P21=0,0,COUNTIF(Transect1_imgsummary!E21:I21,"OULO")*100/P21)</f>
        <v>0</v>
      </c>
      <c r="BB21">
        <f>IF(P21=0,0,COUNTIF(Transect1_imgsummary!E21:I21,"OXYP")*100/P21)</f>
        <v>0</v>
      </c>
      <c r="BC21">
        <f>IF(P21=0,0,COUNTIF(Transect1_imgsummary!E21:I21,"PLSIA")*100/P21)</f>
        <v>0</v>
      </c>
      <c r="BD21">
        <f>IF(P21=0,0,COUNTIF(Transect1_imgsummary!E21:I21,"PACHY")*100/P21)</f>
        <v>0</v>
      </c>
      <c r="BE21">
        <f>IF(P21=0,0,COUNTIF(Transect1_imgsummary!E21:I21,"PAV")*100/P21)</f>
        <v>0</v>
      </c>
      <c r="BF21">
        <f>IF(P21=0,0,COUNTIF(Transect1_imgsummary!E21:I21,"PECT")*100/P21)</f>
        <v>0</v>
      </c>
      <c r="BG21">
        <f>IF(P21=0,0,COUNTIF(Transect1_imgsummary!E21:I21,"PHYSO")*100/P21)</f>
        <v>0</v>
      </c>
      <c r="BH21">
        <f>IF(P21=0,0,COUNTIF(Transect1_imgsummary!E21:I21,"PLAT")*100/P21)</f>
        <v>0</v>
      </c>
      <c r="BI21">
        <f>IF(P21=0,0,COUNTIF(Transect1_imgsummary!E21:I21,"PLERO")*100/P21)</f>
        <v>0</v>
      </c>
      <c r="BJ21">
        <f>IF(P21=0,0,COUNTIF(Transect1_imgsummary!E21:I21,"POC")*100/P21)</f>
        <v>0</v>
      </c>
      <c r="BK21">
        <f>IF(P21=0,0,COUNTIF(Transect1_imgsummary!E21:I21,"POR")*100/P21)</f>
        <v>0</v>
      </c>
      <c r="BL21">
        <f>IF(P21=0,0,COUNTIF(Transect1_imgsummary!E21:I21,"PORCYL")*100/P21)</f>
        <v>0</v>
      </c>
      <c r="BM21">
        <f>IF(P21=0,0,COUNTIF(Transect1_imgsummary!E21:I21,"PORMAS")*100/P21)</f>
        <v>0</v>
      </c>
      <c r="BN21">
        <f>IF(P21=0,0,COUNTIF(Transect1_imgsummary!E21:I21,"PORRUS")*100/P21)</f>
        <v>0</v>
      </c>
      <c r="BO21">
        <f>IF(P21=0,0,COUNTIF(Transect1_imgsummary!E21:I21,"PSAM")*100/P21)</f>
        <v>0</v>
      </c>
      <c r="BP21">
        <f>IF(P21=0,0,COUNTIF(Transect1_imgsummary!E21:I21,"SANDO")*100/P21)</f>
        <v>0</v>
      </c>
      <c r="BQ21">
        <f>IF(P21=0,0,COUNTIF(Transect1_imgsummary!E21:I21,"SCAP")*100/P21)</f>
        <v>0</v>
      </c>
      <c r="BR21">
        <f>IF(P21=0,0,COUNTIF(Transect1_imgsummary!E21:I21,"SERIA")*100/P21)</f>
        <v>0</v>
      </c>
      <c r="BS21">
        <f>IF(P21=0,0,COUNTIF(Transect1_imgsummary!E21:I21,"STYLC")*100/P21)</f>
        <v>0</v>
      </c>
      <c r="BT21">
        <f>IF(P21=0,0,COUNTIF(Transect1_imgsummary!E21:I21,"STYLO")*100/P21)</f>
        <v>0</v>
      </c>
      <c r="BU21">
        <f>IF(P21=0,0,COUNTIF(Transect1_imgsummary!E21:I21,"SYMP")*100/P21)</f>
        <v>0</v>
      </c>
      <c r="BV21">
        <f>IF(P21=0,0,COUNTIF(Transect1_imgsummary!E21:I21,"TURBIN")*100/P21)</f>
        <v>0</v>
      </c>
      <c r="BX21">
        <f>IF(P21=0,0,COUNTIF(Transect1_imgsummary!E21:I21,"ANEM")*100/P21)</f>
        <v>0</v>
      </c>
      <c r="BY21">
        <f>IF(P21=0,0,COUNTIF(Transect1_imgsummary!E21:I21,"ASC")*100/P21)</f>
        <v>0</v>
      </c>
      <c r="BZ21">
        <f>IF(P21=0,0,COUNTIF(Transect1_imgsummary!E21:I21,"CUPS")*100/P21)</f>
        <v>0</v>
      </c>
      <c r="CA21">
        <f>IF(P21=0,0,COUNTIF(Transect1_imgsummary!E21:I21,"DISCO")*100/P21)</f>
        <v>0</v>
      </c>
      <c r="CB21">
        <f>IF(P21=0,0,COUNTIF(Transect1_imgsummary!E21:I21,"DYS")*100/P21)</f>
        <v>0</v>
      </c>
      <c r="CC21">
        <f>IF(P21=0,0,COUNTIF(Transect1_imgsummary!E21:I21,"G")*100/P21)</f>
        <v>0</v>
      </c>
      <c r="CD21">
        <f>IF(P21=0,0,COUNTIF(Transect1_imgsummary!E21:I21,"NoIDINV")*100/P21)</f>
        <v>0</v>
      </c>
      <c r="CE21">
        <f>IF(P21=0,0,COUNTIF(Transect1_imgsummary!E21:I21,"OLV")*100/P21)</f>
        <v>0</v>
      </c>
      <c r="CF21">
        <f>IF(P21=0,0,COUNTIF(Transect1_imgsummary!E21:I21,"SC")*100/P21)</f>
        <v>0</v>
      </c>
      <c r="CG21">
        <f>IF(P21=0,0,COUNTIF(Transect1_imgsummary!E21:I21,"S")*100/P21)</f>
        <v>0</v>
      </c>
      <c r="CH21">
        <f>IF(P21=0,0,COUNTIF(Transect1_imgsummary!E21:I21,"TERPS")*100/P21)</f>
        <v>0</v>
      </c>
      <c r="CI21">
        <f>IF(P21=0,0,COUNTIF(Transect1_imgsummary!E21:I21,"Z")*100/P21)</f>
        <v>0</v>
      </c>
      <c r="CK21">
        <f>IF(P21=0,0,COUNTIF(Transect1_imgsummary!E21:I21,"ASP")*100/P21)</f>
        <v>0</v>
      </c>
      <c r="CL21">
        <f>IF(P21=0,0,COUNTIF(Transect1_imgsummary!E21:I21,"BG")*100/P21)</f>
        <v>0</v>
      </c>
      <c r="CM21">
        <f>IF(P21=0,0,COUNTIF(Transect1_imgsummary!E21:I21,"Bood")*100/P21)</f>
        <v>0</v>
      </c>
      <c r="CN21">
        <f>IF(P21=0,0,COUNTIF(Transect1_imgsummary!E21:I21,"BRYP")*100/P21)</f>
        <v>0</v>
      </c>
      <c r="CO21">
        <f>IF(P21=0,0,COUNTIF(Transect1_imgsummary!E21:I21,"CLP")*100/P21)</f>
        <v>0</v>
      </c>
      <c r="CP21">
        <f>IF(P21=0,0,COUNTIF(Transect1_imgsummary!E21:I21,"CHLDES")*100/P21)</f>
        <v>0</v>
      </c>
      <c r="CQ21">
        <f>IF(P21=0,0,COUNTIF(Transect1_imgsummary!E21:I21,"DYCTY")*100/P21)</f>
        <v>0</v>
      </c>
      <c r="CR21">
        <f>IF(P21=0,0,COUNTIF(Transect1_imgsummary!E21:I21,"DICT")*100/P21)</f>
        <v>0</v>
      </c>
      <c r="CS21">
        <f>IF(P21=0,0,COUNTIF(Transect1_imgsummary!E21:I21,"GLXU")*100/P21)</f>
        <v>0</v>
      </c>
      <c r="CT21">
        <f>IF(P21=0,0,COUNTIF(Transect1_imgsummary!E21:I21,"HALI")*100/P21)</f>
        <v>0</v>
      </c>
      <c r="CU21">
        <f>IF(P21=0,0,COUNTIF(Transect1_imgsummary!E21:I21,"LIAG")*100/P21)</f>
        <v>0</v>
      </c>
      <c r="CV21">
        <f>IF(P21=0,0,COUNTIF(Transect1_imgsummary!E21:I21,"LOBO")*100/P21)</f>
        <v>0</v>
      </c>
      <c r="CW21">
        <f>IF(P21=0,0,COUNTIF(Transect1_imgsummary!E21:I21,"MAST")*100/P21)</f>
        <v>0</v>
      </c>
      <c r="CX21">
        <f>IF(P21=0,0,COUNTIF(Transect1_imgsummary!E21:I21,"MICDTY")*100/P21)</f>
        <v>0</v>
      </c>
      <c r="CY21">
        <f>IF(P21=0,0,COUNTIF(Transect1_imgsummary!E21:I21,"NEOM")*100/P21)</f>
        <v>0</v>
      </c>
      <c r="CZ21">
        <f>IF(P21=0,0,COUNTIF(Transect1_imgsummary!E21:I21,"NOIDMAC")*100/P21)</f>
        <v>0</v>
      </c>
      <c r="DA21">
        <f>IF(P21=0,0,COUNTIF(Transect1_imgsummary!E21:I21,"PAD")*100/P21)</f>
        <v>0</v>
      </c>
      <c r="DB21">
        <f>IF(P21=0,0,COUNTIF(Transect1_imgsummary!E21:I21,"SARG")*100/P21)</f>
        <v>0</v>
      </c>
      <c r="DC21">
        <f>IF(P21=0,0,COUNTIF(Transect1_imgsummary!E21:I21,"SCHIZ")*100/P21)</f>
        <v>0</v>
      </c>
      <c r="DD21">
        <f>IF(P21=0,0,COUNTIF(Transect1_imgsummary!E21:I21,"TURB")*100/P21)</f>
        <v>0</v>
      </c>
      <c r="DE21">
        <f>IF(P21=0,0,COUNTIF(Transect1_imgsummary!E21:I21,"TYDM")*100/P21)</f>
        <v>0</v>
      </c>
      <c r="DG21">
        <f>IF(P21=0,0,COUNTIF(Transect1_imgsummary!E21:I21,"AMP")*100/P21)</f>
        <v>0</v>
      </c>
      <c r="DH21">
        <f>IF(P21=0,0,COUNTIF(Transect1_imgsummary!E21:I21,"BCA1")*100/P21)</f>
        <v>0</v>
      </c>
      <c r="DI21">
        <f>IF(P21=0,0,COUNTIF(Transect1_imgsummary!E21:I21,"JAN")*100/P21)</f>
        <v>0</v>
      </c>
      <c r="DK21" s="29">
        <f>IF(P21=0,0,COUNTIF(Transect1_imgsummary!E21:I21,"CCA1")*100/P21)</f>
        <v>40</v>
      </c>
      <c r="DM21">
        <f>IF(P21=0,0,COUNTIF(Transect1_imgsummary!E21:I21,"Sand")*100/P21)</f>
        <v>0</v>
      </c>
      <c r="DO21">
        <f>IF(P21=0,0,COUNTIF(Transect1_imgsummary!E21:I21,"FCA1")*100/P21)</f>
        <v>0</v>
      </c>
      <c r="DQ21">
        <f>IF(P21=0,0,COUNTIF(Transect1_imgsummary!E21:I21,"CHRYOBRN")*100/P21)</f>
        <v>0</v>
      </c>
      <c r="DS21" s="29">
        <f>IF(P21=0,0,COUNTIF(Transect1_imgsummary!E21:I21,"TURF")*100/P21)</f>
        <v>20</v>
      </c>
      <c r="DU21">
        <f>COUNTIF(Transect1_imgsummary!E21:I21,"Shadow")*100/5</f>
        <v>0</v>
      </c>
      <c r="DV21">
        <f>COUNTIF(Transect1_imgsummary!E21:I21,"Tape")*100/5</f>
        <v>0</v>
      </c>
      <c r="DW21">
        <f>COUNTIF(Transect1_imgsummary!E21:I21,"Wand")*100/5</f>
        <v>0</v>
      </c>
      <c r="DY21">
        <f>IF(P21=0,0,COUNTIF(Transect1_imgsummary!O21:S21,"BC")*100/P21)</f>
        <v>0</v>
      </c>
    </row>
    <row r="22" spans="1:129">
      <c r="A22">
        <v>20</v>
      </c>
      <c r="B22" t="s">
        <v>60</v>
      </c>
      <c r="F22" s="29">
        <f>IF(P22=0,0,COUNTIF(Transect1_imgsummary!J22:N22,"C")*100/P22)</f>
        <v>20</v>
      </c>
      <c r="G22">
        <f>IF(P22=0,0,COUNTIF(Transect1_imgsummary!J22:N22,"OI")*100/P22)</f>
        <v>0</v>
      </c>
      <c r="H22">
        <f>IF(P22=0,0,COUNTIF(Transect1_imgsummary!J22:N22,"MA")*100/P22)</f>
        <v>0</v>
      </c>
      <c r="I22">
        <f>IF(P22=0,0,COUNTIF(Transect1_imgsummary!J22:N22,"BCA")*100/P22)</f>
        <v>0</v>
      </c>
      <c r="J22" s="29">
        <f>IF(P22=0,0,COUNTIF(Transect1_imgsummary!J22:N22,"CCA")*100/P22)</f>
        <v>40</v>
      </c>
      <c r="K22">
        <f>IF(P22=0,0,COUNTIF(Transect1_imgsummary!J22:N22,"SD")*100/P22)</f>
        <v>0</v>
      </c>
      <c r="L22" s="29">
        <f>IF(P22=0,0,COUNTIF(Transect1_imgsummary!J22:N22,"FCA")*100/P22)</f>
        <v>40</v>
      </c>
      <c r="M22">
        <f>IF(P22=0,0,COUNTIF(Transect1_imgsummary!J22:N22,"CHRYS")*100/P22)</f>
        <v>0</v>
      </c>
      <c r="N22">
        <f>IF(P22=0,0,COUNTIF(Transect1_imgsummary!J22:N22,"T")*100/P22)</f>
        <v>0</v>
      </c>
      <c r="O22">
        <f>IF(P22=0,0,COUNTIF(Transect1_imgsummary!J22:N22,"TWS")*100/P22)</f>
        <v>0</v>
      </c>
      <c r="P22">
        <f>5-COUNTIF(Transect1_imgsummary!J22:N22,"TWS")</f>
        <v>5</v>
      </c>
      <c r="S22">
        <f>IF(P22=0,0,COUNTIF(Transect1_imgsummary!E22:I22,"ACAN")*100/P22)</f>
        <v>0</v>
      </c>
      <c r="T22">
        <f>IF(P22=0,0,COUNTIF(Transect1_imgsummary!E22:I22,"ACROP")*100/P22)</f>
        <v>0</v>
      </c>
      <c r="U22">
        <f>IF(P22=0,0,COUNTIF(Transect1_imgsummary!E22:I22,"ACROPARB")*100/P22)</f>
        <v>0</v>
      </c>
      <c r="V22">
        <f>IF(P22=0,0,COUNTIF(Transect1_imgsummary!E22:I22,"ACROST")*100/P22)</f>
        <v>0</v>
      </c>
      <c r="W22">
        <f>IF(P22=0,0,COUNTIF(Transect1_imgsummary!E22:I22,"ACROTBL")*100/P22)</f>
        <v>0</v>
      </c>
      <c r="X22">
        <f>IF(P22=0,0,COUNTIF(Transect1_imgsummary!E22:I22,"ASTRP")*100/P22)</f>
        <v>0</v>
      </c>
      <c r="Y22">
        <f>IF(P22=0,0,COUNTIF(Transect1_imgsummary!E22:I22,"CAUL")*100/P22)</f>
        <v>0</v>
      </c>
      <c r="Z22">
        <f>IF(P22=0,0,COUNTIF(Transect1_imgsummary!E22:I22,"COSC")*100/P22)</f>
        <v>0</v>
      </c>
      <c r="AA22">
        <f>IF(P22=0,0,COUNTIF(Transect1_imgsummary!E22:I22,"CTEN")*100/P22)</f>
        <v>0</v>
      </c>
      <c r="AB22">
        <f>IF(P22=0,0,COUNTIF(Transect1_imgsummary!E22:I22,"CYPH")*100/P22)</f>
        <v>0</v>
      </c>
      <c r="AC22">
        <f>IF(P22=0,0,COUNTIF(Transect1_imgsummary!E22:I22,"DIPLO")*100/P22)</f>
        <v>0</v>
      </c>
      <c r="AD22">
        <f>IF(P22=0,0,COUNTIF(Transect1_imgsummary!E22:I22,"ECHPO")*100/P22)</f>
        <v>0</v>
      </c>
      <c r="AE22">
        <f>IF(P22=0,0,COUNTIF(Transect1_imgsummary!E22:I22,"ECHPHY")*100/P22)</f>
        <v>0</v>
      </c>
      <c r="AF22">
        <f>IF(P22=0,0,COUNTIF(Transect1_imgsummary!E22:I22,"EUPH")*100/P22)</f>
        <v>0</v>
      </c>
      <c r="AG22">
        <f>IF(P22=0,0,COUNTIF(Transect1_imgsummary!E22:I22,"FAV")*100/P22)</f>
        <v>0</v>
      </c>
      <c r="AH22">
        <f>IF(P22=0,0,COUNTIF(Transect1_imgsummary!E22:I22,"FAVT")*100/P22)</f>
        <v>0</v>
      </c>
      <c r="AI22">
        <f>IF(P22=0,0,COUNTIF(Transect1_imgsummary!E22:I22,"FUNG")*100/P22)</f>
        <v>0</v>
      </c>
      <c r="AJ22">
        <f>IF(P22=0,0,COUNTIF(Transect1_imgsummary!E22:I22,"GAL")*100/P22)</f>
        <v>0</v>
      </c>
      <c r="AK22">
        <f>IF(P22=0,0,COUNTIF(Transect1_imgsummary!E22:I22,"GARD")*100/P22)</f>
        <v>0</v>
      </c>
      <c r="AL22">
        <f>IF(P22=0,0,COUNTIF(Transect1_imgsummary!E22:I22,"GON")*100/P22)</f>
        <v>0</v>
      </c>
      <c r="AM22">
        <f>IF(P22=0,0,COUNTIF(Transect1_imgsummary!E22:I22,"GONIO")*100/P22)</f>
        <v>0</v>
      </c>
      <c r="AN22">
        <f>IF(P22=0,0,COUNTIF(Transect1_imgsummary!E22:I22,"HELIO")*100/P22)</f>
        <v>0</v>
      </c>
      <c r="AO22">
        <f>IF(P22=0,0,COUNTIF(Transect1_imgsummary!E22:I22,"HERP")*100/P22)</f>
        <v>0</v>
      </c>
      <c r="AP22">
        <f>IF(P22=0,0,COUNTIF(Transect1_imgsummary!E22:I22,"HYD")*100/P22)</f>
        <v>0</v>
      </c>
      <c r="AQ22">
        <f>IF(P22=0,0,COUNTIF(Transect1_imgsummary!E22:I22,"ISOP")*100/P22)</f>
        <v>0</v>
      </c>
      <c r="AR22">
        <f>IF(P22=0,0,COUNTIF(Transect1_imgsummary!E22:I22,"LEPT")*100/P22)</f>
        <v>0</v>
      </c>
      <c r="AS22">
        <f>IF(P22=0,0,COUNTIF(Transect1_imgsummary!E22:I22,"LEPTOR")*100/P22)</f>
        <v>0</v>
      </c>
      <c r="AT22">
        <f>IF(P22=0,0,COUNTIF(Transect1_imgsummary!E22:I22,"LEPTOS")*100/P22)</f>
        <v>0</v>
      </c>
      <c r="AU22">
        <f>IF(P22=0,0,COUNTIF(Transect1_imgsummary!E22:I22,"LOBOPH")*100/P22)</f>
        <v>0</v>
      </c>
      <c r="AV22">
        <f>IF(P22=0,0,COUNTIF(Transect1_imgsummary!E22:I22,"MERU")*100/P22)</f>
        <v>0</v>
      </c>
      <c r="AW22">
        <f>IF(P22=0,0,COUNTIF(Transect1_imgsummary!E22:I22,"MILL")*100/P22)</f>
        <v>0</v>
      </c>
      <c r="AX22">
        <f>IF(P22=0,0,COUNTIF(Transect1_imgsummary!E22:I22,"MONT")*100/P22)</f>
        <v>0</v>
      </c>
      <c r="AY22">
        <f>IF(P22=0,0,COUNTIF(Transect1_imgsummary!E22:I22,"MONTI")*100/P22)</f>
        <v>0</v>
      </c>
      <c r="AZ22">
        <f>IF(P22=0,0,COUNTIF(Transect1_imgsummary!E22:I22,"MYCED")*100/P22)</f>
        <v>0</v>
      </c>
      <c r="BA22">
        <f>IF(P22=0,0,COUNTIF(Transect1_imgsummary!E22:I22,"OULO")*100/P22)</f>
        <v>0</v>
      </c>
      <c r="BB22">
        <f>IF(P22=0,0,COUNTIF(Transect1_imgsummary!E22:I22,"OXYP")*100/P22)</f>
        <v>0</v>
      </c>
      <c r="BC22">
        <f>IF(P22=0,0,COUNTIF(Transect1_imgsummary!E22:I22,"PLSIA")*100/P22)</f>
        <v>0</v>
      </c>
      <c r="BD22">
        <f>IF(P22=0,0,COUNTIF(Transect1_imgsummary!E22:I22,"PACHY")*100/P22)</f>
        <v>0</v>
      </c>
      <c r="BE22">
        <f>IF(P22=0,0,COUNTIF(Transect1_imgsummary!E22:I22,"PAV")*100/P22)</f>
        <v>0</v>
      </c>
      <c r="BF22">
        <f>IF(P22=0,0,COUNTIF(Transect1_imgsummary!E22:I22,"PECT")*100/P22)</f>
        <v>0</v>
      </c>
      <c r="BG22">
        <f>IF(P22=0,0,COUNTIF(Transect1_imgsummary!E22:I22,"PHYSO")*100/P22)</f>
        <v>0</v>
      </c>
      <c r="BH22">
        <f>IF(P22=0,0,COUNTIF(Transect1_imgsummary!E22:I22,"PLAT")*100/P22)</f>
        <v>0</v>
      </c>
      <c r="BI22">
        <f>IF(P22=0,0,COUNTIF(Transect1_imgsummary!E22:I22,"PLERO")*100/P22)</f>
        <v>0</v>
      </c>
      <c r="BJ22">
        <f>IF(P22=0,0,COUNTIF(Transect1_imgsummary!E22:I22,"POC")*100/P22)</f>
        <v>0</v>
      </c>
      <c r="BK22">
        <f>IF(P22=0,0,COUNTIF(Transect1_imgsummary!E22:I22,"POR")*100/P22)</f>
        <v>0</v>
      </c>
      <c r="BL22">
        <f>IF(P22=0,0,COUNTIF(Transect1_imgsummary!E22:I22,"PORCYL")*100/P22)</f>
        <v>0</v>
      </c>
      <c r="BM22">
        <f>IF(P22=0,0,COUNTIF(Transect1_imgsummary!E22:I22,"PORMAS")*100/P22)</f>
        <v>0</v>
      </c>
      <c r="BN22">
        <f>IF(P22=0,0,COUNTIF(Transect1_imgsummary!E22:I22,"PORRUS")*100/P22)</f>
        <v>0</v>
      </c>
      <c r="BO22">
        <f>IF(P22=0,0,COUNTIF(Transect1_imgsummary!E22:I22,"PSAM")*100/P22)</f>
        <v>0</v>
      </c>
      <c r="BP22">
        <f>IF(P22=0,0,COUNTIF(Transect1_imgsummary!E22:I22,"SANDO")*100/P22)</f>
        <v>0</v>
      </c>
      <c r="BQ22">
        <f>IF(P22=0,0,COUNTIF(Transect1_imgsummary!E22:I22,"SCAP")*100/P22)</f>
        <v>0</v>
      </c>
      <c r="BR22">
        <f>IF(P22=0,0,COUNTIF(Transect1_imgsummary!E22:I22,"SERIA")*100/P22)</f>
        <v>0</v>
      </c>
      <c r="BS22">
        <f>IF(P22=0,0,COUNTIF(Transect1_imgsummary!E22:I22,"STYLC")*100/P22)</f>
        <v>0</v>
      </c>
      <c r="BT22" s="29">
        <f>IF(P22=0,0,COUNTIF(Transect1_imgsummary!E22:I22,"STYLO")*100/P22)</f>
        <v>20</v>
      </c>
      <c r="BU22">
        <f>IF(P22=0,0,COUNTIF(Transect1_imgsummary!E22:I22,"SYMP")*100/P22)</f>
        <v>0</v>
      </c>
      <c r="BV22">
        <f>IF(P22=0,0,COUNTIF(Transect1_imgsummary!E22:I22,"TURBIN")*100/P22)</f>
        <v>0</v>
      </c>
      <c r="BX22">
        <f>IF(P22=0,0,COUNTIF(Transect1_imgsummary!E22:I22,"ANEM")*100/P22)</f>
        <v>0</v>
      </c>
      <c r="BY22">
        <f>IF(P22=0,0,COUNTIF(Transect1_imgsummary!E22:I22,"ASC")*100/P22)</f>
        <v>0</v>
      </c>
      <c r="BZ22">
        <f>IF(P22=0,0,COUNTIF(Transect1_imgsummary!E22:I22,"CUPS")*100/P22)</f>
        <v>0</v>
      </c>
      <c r="CA22">
        <f>IF(P22=0,0,COUNTIF(Transect1_imgsummary!E22:I22,"DISCO")*100/P22)</f>
        <v>0</v>
      </c>
      <c r="CB22">
        <f>IF(P22=0,0,COUNTIF(Transect1_imgsummary!E22:I22,"DYS")*100/P22)</f>
        <v>0</v>
      </c>
      <c r="CC22">
        <f>IF(P22=0,0,COUNTIF(Transect1_imgsummary!E22:I22,"G")*100/P22)</f>
        <v>0</v>
      </c>
      <c r="CD22">
        <f>IF(P22=0,0,COUNTIF(Transect1_imgsummary!E22:I22,"NoIDINV")*100/P22)</f>
        <v>0</v>
      </c>
      <c r="CE22">
        <f>IF(P22=0,0,COUNTIF(Transect1_imgsummary!E22:I22,"OLV")*100/P22)</f>
        <v>0</v>
      </c>
      <c r="CF22">
        <f>IF(P22=0,0,COUNTIF(Transect1_imgsummary!E22:I22,"SC")*100/P22)</f>
        <v>0</v>
      </c>
      <c r="CG22">
        <f>IF(P22=0,0,COUNTIF(Transect1_imgsummary!E22:I22,"S")*100/P22)</f>
        <v>0</v>
      </c>
      <c r="CH22">
        <f>IF(P22=0,0,COUNTIF(Transect1_imgsummary!E22:I22,"TERPS")*100/P22)</f>
        <v>0</v>
      </c>
      <c r="CI22">
        <f>IF(P22=0,0,COUNTIF(Transect1_imgsummary!E22:I22,"Z")*100/P22)</f>
        <v>0</v>
      </c>
      <c r="CK22">
        <f>IF(P22=0,0,COUNTIF(Transect1_imgsummary!E22:I22,"ASP")*100/P22)</f>
        <v>0</v>
      </c>
      <c r="CL22">
        <f>IF(P22=0,0,COUNTIF(Transect1_imgsummary!E22:I22,"BG")*100/P22)</f>
        <v>0</v>
      </c>
      <c r="CM22">
        <f>IF(P22=0,0,COUNTIF(Transect1_imgsummary!E22:I22,"Bood")*100/P22)</f>
        <v>0</v>
      </c>
      <c r="CN22">
        <f>IF(P22=0,0,COUNTIF(Transect1_imgsummary!E22:I22,"BRYP")*100/P22)</f>
        <v>0</v>
      </c>
      <c r="CO22">
        <f>IF(P22=0,0,COUNTIF(Transect1_imgsummary!E22:I22,"CLP")*100/P22)</f>
        <v>0</v>
      </c>
      <c r="CP22">
        <f>IF(P22=0,0,COUNTIF(Transect1_imgsummary!E22:I22,"CHLDES")*100/P22)</f>
        <v>0</v>
      </c>
      <c r="CQ22">
        <f>IF(P22=0,0,COUNTIF(Transect1_imgsummary!E22:I22,"DYCTY")*100/P22)</f>
        <v>0</v>
      </c>
      <c r="CR22">
        <f>IF(P22=0,0,COUNTIF(Transect1_imgsummary!E22:I22,"DICT")*100/P22)</f>
        <v>0</v>
      </c>
      <c r="CS22">
        <f>IF(P22=0,0,COUNTIF(Transect1_imgsummary!E22:I22,"GLXU")*100/P22)</f>
        <v>0</v>
      </c>
      <c r="CT22">
        <f>IF(P22=0,0,COUNTIF(Transect1_imgsummary!E22:I22,"HALI")*100/P22)</f>
        <v>0</v>
      </c>
      <c r="CU22">
        <f>IF(P22=0,0,COUNTIF(Transect1_imgsummary!E22:I22,"LIAG")*100/P22)</f>
        <v>0</v>
      </c>
      <c r="CV22">
        <f>IF(P22=0,0,COUNTIF(Transect1_imgsummary!E22:I22,"LOBO")*100/P22)</f>
        <v>0</v>
      </c>
      <c r="CW22">
        <f>IF(P22=0,0,COUNTIF(Transect1_imgsummary!E22:I22,"MAST")*100/P22)</f>
        <v>0</v>
      </c>
      <c r="CX22">
        <f>IF(P22=0,0,COUNTIF(Transect1_imgsummary!E22:I22,"MICDTY")*100/P22)</f>
        <v>0</v>
      </c>
      <c r="CY22">
        <f>IF(P22=0,0,COUNTIF(Transect1_imgsummary!E22:I22,"NEOM")*100/P22)</f>
        <v>0</v>
      </c>
      <c r="CZ22">
        <f>IF(P22=0,0,COUNTIF(Transect1_imgsummary!E22:I22,"NOIDMAC")*100/P22)</f>
        <v>0</v>
      </c>
      <c r="DA22">
        <f>IF(P22=0,0,COUNTIF(Transect1_imgsummary!E22:I22,"PAD")*100/P22)</f>
        <v>0</v>
      </c>
      <c r="DB22">
        <f>IF(P22=0,0,COUNTIF(Transect1_imgsummary!E22:I22,"SARG")*100/P22)</f>
        <v>0</v>
      </c>
      <c r="DC22">
        <f>IF(P22=0,0,COUNTIF(Transect1_imgsummary!E22:I22,"SCHIZ")*100/P22)</f>
        <v>0</v>
      </c>
      <c r="DD22">
        <f>IF(P22=0,0,COUNTIF(Transect1_imgsummary!E22:I22,"TURB")*100/P22)</f>
        <v>0</v>
      </c>
      <c r="DE22">
        <f>IF(P22=0,0,COUNTIF(Transect1_imgsummary!E22:I22,"TYDM")*100/P22)</f>
        <v>0</v>
      </c>
      <c r="DG22">
        <f>IF(P22=0,0,COUNTIF(Transect1_imgsummary!E22:I22,"AMP")*100/P22)</f>
        <v>0</v>
      </c>
      <c r="DH22">
        <f>IF(P22=0,0,COUNTIF(Transect1_imgsummary!E22:I22,"BCA1")*100/P22)</f>
        <v>0</v>
      </c>
      <c r="DI22">
        <f>IF(P22=0,0,COUNTIF(Transect1_imgsummary!E22:I22,"JAN")*100/P22)</f>
        <v>0</v>
      </c>
      <c r="DK22" s="29">
        <f>IF(P22=0,0,COUNTIF(Transect1_imgsummary!E22:I22,"CCA1")*100/P22)</f>
        <v>40</v>
      </c>
      <c r="DM22">
        <f>IF(P22=0,0,COUNTIF(Transect1_imgsummary!E22:I22,"Sand")*100/P22)</f>
        <v>0</v>
      </c>
      <c r="DO22" s="29">
        <f>IF(P22=0,0,COUNTIF(Transect1_imgsummary!E22:I22,"FCA1")*100/P22)</f>
        <v>40</v>
      </c>
      <c r="DQ22">
        <f>IF(P22=0,0,COUNTIF(Transect1_imgsummary!E22:I22,"CHRYOBRN")*100/P22)</f>
        <v>0</v>
      </c>
      <c r="DS22">
        <f>IF(P22=0,0,COUNTIF(Transect1_imgsummary!E22:I22,"TURF")*100/P22)</f>
        <v>0</v>
      </c>
      <c r="DU22">
        <f>COUNTIF(Transect1_imgsummary!E22:I22,"Shadow")*100/5</f>
        <v>0</v>
      </c>
      <c r="DV22">
        <f>COUNTIF(Transect1_imgsummary!E22:I22,"Tape")*100/5</f>
        <v>0</v>
      </c>
      <c r="DW22">
        <f>COUNTIF(Transect1_imgsummary!E22:I22,"Wand")*100/5</f>
        <v>0</v>
      </c>
      <c r="DY22">
        <f>IF(P22=0,0,COUNTIF(Transect1_imgsummary!O22:S22,"BC")*100/P22)</f>
        <v>0</v>
      </c>
    </row>
    <row r="23" spans="1:129">
      <c r="A23">
        <v>21</v>
      </c>
      <c r="B23" t="s">
        <v>61</v>
      </c>
      <c r="F23" s="29">
        <f>IF(P23=0,0,COUNTIF(Transect1_imgsummary!J23:N23,"C")*100/P23)</f>
        <v>80</v>
      </c>
      <c r="G23">
        <f>IF(P23=0,0,COUNTIF(Transect1_imgsummary!J23:N23,"OI")*100/P23)</f>
        <v>0</v>
      </c>
      <c r="H23">
        <f>IF(P23=0,0,COUNTIF(Transect1_imgsummary!J23:N23,"MA")*100/P23)</f>
        <v>0</v>
      </c>
      <c r="I23">
        <f>IF(P23=0,0,COUNTIF(Transect1_imgsummary!J23:N23,"BCA")*100/P23)</f>
        <v>0</v>
      </c>
      <c r="J23" s="29">
        <f>IF(P23=0,0,COUNTIF(Transect1_imgsummary!J23:N23,"CCA")*100/P23)</f>
        <v>20</v>
      </c>
      <c r="K23">
        <f>IF(P23=0,0,COUNTIF(Transect1_imgsummary!J23:N23,"SD")*100/P23)</f>
        <v>0</v>
      </c>
      <c r="L23">
        <f>IF(P23=0,0,COUNTIF(Transect1_imgsummary!J23:N23,"FCA")*100/P23)</f>
        <v>0</v>
      </c>
      <c r="M23">
        <f>IF(P23=0,0,COUNTIF(Transect1_imgsummary!J23:N23,"CHRYS")*100/P23)</f>
        <v>0</v>
      </c>
      <c r="N23">
        <f>IF(P23=0,0,COUNTIF(Transect1_imgsummary!J23:N23,"T")*100/P23)</f>
        <v>0</v>
      </c>
      <c r="O23">
        <f>IF(P23=0,0,COUNTIF(Transect1_imgsummary!J23:N23,"TWS")*100/P23)</f>
        <v>0</v>
      </c>
      <c r="P23">
        <f>5-COUNTIF(Transect1_imgsummary!J23:N23,"TWS")</f>
        <v>5</v>
      </c>
      <c r="S23">
        <f>IF(P23=0,0,COUNTIF(Transect1_imgsummary!E23:I23,"ACAN")*100/P23)</f>
        <v>0</v>
      </c>
      <c r="T23">
        <f>IF(P23=0,0,COUNTIF(Transect1_imgsummary!E23:I23,"ACROP")*100/P23)</f>
        <v>0</v>
      </c>
      <c r="U23">
        <f>IF(P23=0,0,COUNTIF(Transect1_imgsummary!E23:I23,"ACROPARB")*100/P23)</f>
        <v>0</v>
      </c>
      <c r="V23">
        <f>IF(P23=0,0,COUNTIF(Transect1_imgsummary!E23:I23,"ACROST")*100/P23)</f>
        <v>0</v>
      </c>
      <c r="W23" s="29">
        <f>IF(P23=0,0,COUNTIF(Transect1_imgsummary!E23:I23,"ACROTBL")*100/P23)</f>
        <v>80</v>
      </c>
      <c r="X23">
        <f>IF(P23=0,0,COUNTIF(Transect1_imgsummary!E23:I23,"ASTRP")*100/P23)</f>
        <v>0</v>
      </c>
      <c r="Y23">
        <f>IF(P23=0,0,COUNTIF(Transect1_imgsummary!E23:I23,"CAUL")*100/P23)</f>
        <v>0</v>
      </c>
      <c r="Z23">
        <f>IF(P23=0,0,COUNTIF(Transect1_imgsummary!E23:I23,"COSC")*100/P23)</f>
        <v>0</v>
      </c>
      <c r="AA23">
        <f>IF(P23=0,0,COUNTIF(Transect1_imgsummary!E23:I23,"CTEN")*100/P23)</f>
        <v>0</v>
      </c>
      <c r="AB23">
        <f>IF(P23=0,0,COUNTIF(Transect1_imgsummary!E23:I23,"CYPH")*100/P23)</f>
        <v>0</v>
      </c>
      <c r="AC23">
        <f>IF(P23=0,0,COUNTIF(Transect1_imgsummary!E23:I23,"DIPLO")*100/P23)</f>
        <v>0</v>
      </c>
      <c r="AD23">
        <f>IF(P23=0,0,COUNTIF(Transect1_imgsummary!E23:I23,"ECHPO")*100/P23)</f>
        <v>0</v>
      </c>
      <c r="AE23">
        <f>IF(P23=0,0,COUNTIF(Transect1_imgsummary!E23:I23,"ECHPHY")*100/P23)</f>
        <v>0</v>
      </c>
      <c r="AF23">
        <f>IF(P23=0,0,COUNTIF(Transect1_imgsummary!E23:I23,"EUPH")*100/P23)</f>
        <v>0</v>
      </c>
      <c r="AG23">
        <f>IF(P23=0,0,COUNTIF(Transect1_imgsummary!E23:I23,"FAV")*100/P23)</f>
        <v>0</v>
      </c>
      <c r="AH23">
        <f>IF(P23=0,0,COUNTIF(Transect1_imgsummary!E23:I23,"FAVT")*100/P23)</f>
        <v>0</v>
      </c>
      <c r="AI23">
        <f>IF(P23=0,0,COUNTIF(Transect1_imgsummary!E23:I23,"FUNG")*100/P23)</f>
        <v>0</v>
      </c>
      <c r="AJ23">
        <f>IF(P23=0,0,COUNTIF(Transect1_imgsummary!E23:I23,"GAL")*100/P23)</f>
        <v>0</v>
      </c>
      <c r="AK23">
        <f>IF(P23=0,0,COUNTIF(Transect1_imgsummary!E23:I23,"GARD")*100/P23)</f>
        <v>0</v>
      </c>
      <c r="AL23">
        <f>IF(P23=0,0,COUNTIF(Transect1_imgsummary!E23:I23,"GON")*100/P23)</f>
        <v>0</v>
      </c>
      <c r="AM23">
        <f>IF(P23=0,0,COUNTIF(Transect1_imgsummary!E23:I23,"GONIO")*100/P23)</f>
        <v>0</v>
      </c>
      <c r="AN23">
        <f>IF(P23=0,0,COUNTIF(Transect1_imgsummary!E23:I23,"HELIO")*100/P23)</f>
        <v>0</v>
      </c>
      <c r="AO23">
        <f>IF(P23=0,0,COUNTIF(Transect1_imgsummary!E23:I23,"HERP")*100/P23)</f>
        <v>0</v>
      </c>
      <c r="AP23">
        <f>IF(P23=0,0,COUNTIF(Transect1_imgsummary!E23:I23,"HYD")*100/P23)</f>
        <v>0</v>
      </c>
      <c r="AQ23">
        <f>IF(P23=0,0,COUNTIF(Transect1_imgsummary!E23:I23,"ISOP")*100/P23)</f>
        <v>0</v>
      </c>
      <c r="AR23">
        <f>IF(P23=0,0,COUNTIF(Transect1_imgsummary!E23:I23,"LEPT")*100/P23)</f>
        <v>0</v>
      </c>
      <c r="AS23">
        <f>IF(P23=0,0,COUNTIF(Transect1_imgsummary!E23:I23,"LEPTOR")*100/P23)</f>
        <v>0</v>
      </c>
      <c r="AT23">
        <f>IF(P23=0,0,COUNTIF(Transect1_imgsummary!E23:I23,"LEPTOS")*100/P23)</f>
        <v>0</v>
      </c>
      <c r="AU23">
        <f>IF(P23=0,0,COUNTIF(Transect1_imgsummary!E23:I23,"LOBOPH")*100/P23)</f>
        <v>0</v>
      </c>
      <c r="AV23">
        <f>IF(P23=0,0,COUNTIF(Transect1_imgsummary!E23:I23,"MERU")*100/P23)</f>
        <v>0</v>
      </c>
      <c r="AW23">
        <f>IF(P23=0,0,COUNTIF(Transect1_imgsummary!E23:I23,"MILL")*100/P23)</f>
        <v>0</v>
      </c>
      <c r="AX23">
        <f>IF(P23=0,0,COUNTIF(Transect1_imgsummary!E23:I23,"MONT")*100/P23)</f>
        <v>0</v>
      </c>
      <c r="AY23">
        <f>IF(P23=0,0,COUNTIF(Transect1_imgsummary!E23:I23,"MONTI")*100/P23)</f>
        <v>0</v>
      </c>
      <c r="AZ23">
        <f>IF(P23=0,0,COUNTIF(Transect1_imgsummary!E23:I23,"MYCED")*100/P23)</f>
        <v>0</v>
      </c>
      <c r="BA23">
        <f>IF(P23=0,0,COUNTIF(Transect1_imgsummary!E23:I23,"OULO")*100/P23)</f>
        <v>0</v>
      </c>
      <c r="BB23">
        <f>IF(P23=0,0,COUNTIF(Transect1_imgsummary!E23:I23,"OXYP")*100/P23)</f>
        <v>0</v>
      </c>
      <c r="BC23">
        <f>IF(P23=0,0,COUNTIF(Transect1_imgsummary!E23:I23,"PLSIA")*100/P23)</f>
        <v>0</v>
      </c>
      <c r="BD23">
        <f>IF(P23=0,0,COUNTIF(Transect1_imgsummary!E23:I23,"PACHY")*100/P23)</f>
        <v>0</v>
      </c>
      <c r="BE23">
        <f>IF(P23=0,0,COUNTIF(Transect1_imgsummary!E23:I23,"PAV")*100/P23)</f>
        <v>0</v>
      </c>
      <c r="BF23">
        <f>IF(P23=0,0,COUNTIF(Transect1_imgsummary!E23:I23,"PECT")*100/P23)</f>
        <v>0</v>
      </c>
      <c r="BG23">
        <f>IF(P23=0,0,COUNTIF(Transect1_imgsummary!E23:I23,"PHYSO")*100/P23)</f>
        <v>0</v>
      </c>
      <c r="BH23">
        <f>IF(P23=0,0,COUNTIF(Transect1_imgsummary!E23:I23,"PLAT")*100/P23)</f>
        <v>0</v>
      </c>
      <c r="BI23">
        <f>IF(P23=0,0,COUNTIF(Transect1_imgsummary!E23:I23,"PLERO")*100/P23)</f>
        <v>0</v>
      </c>
      <c r="BJ23">
        <f>IF(P23=0,0,COUNTIF(Transect1_imgsummary!E23:I23,"POC")*100/P23)</f>
        <v>0</v>
      </c>
      <c r="BK23">
        <f>IF(P23=0,0,COUNTIF(Transect1_imgsummary!E23:I23,"POR")*100/P23)</f>
        <v>0</v>
      </c>
      <c r="BL23">
        <f>IF(P23=0,0,COUNTIF(Transect1_imgsummary!E23:I23,"PORCYL")*100/P23)</f>
        <v>0</v>
      </c>
      <c r="BM23">
        <f>IF(P23=0,0,COUNTIF(Transect1_imgsummary!E23:I23,"PORMAS")*100/P23)</f>
        <v>0</v>
      </c>
      <c r="BN23">
        <f>IF(P23=0,0,COUNTIF(Transect1_imgsummary!E23:I23,"PORRUS")*100/P23)</f>
        <v>0</v>
      </c>
      <c r="BO23">
        <f>IF(P23=0,0,COUNTIF(Transect1_imgsummary!E23:I23,"PSAM")*100/P23)</f>
        <v>0</v>
      </c>
      <c r="BP23">
        <f>IF(P23=0,0,COUNTIF(Transect1_imgsummary!E23:I23,"SANDO")*100/P23)</f>
        <v>0</v>
      </c>
      <c r="BQ23">
        <f>IF(P23=0,0,COUNTIF(Transect1_imgsummary!E23:I23,"SCAP")*100/P23)</f>
        <v>0</v>
      </c>
      <c r="BR23">
        <f>IF(P23=0,0,COUNTIF(Transect1_imgsummary!E23:I23,"SERIA")*100/P23)</f>
        <v>0</v>
      </c>
      <c r="BS23">
        <f>IF(P23=0,0,COUNTIF(Transect1_imgsummary!E23:I23,"STYLC")*100/P23)</f>
        <v>0</v>
      </c>
      <c r="BT23">
        <f>IF(P23=0,0,COUNTIF(Transect1_imgsummary!E23:I23,"STYLO")*100/P23)</f>
        <v>0</v>
      </c>
      <c r="BU23">
        <f>IF(P23=0,0,COUNTIF(Transect1_imgsummary!E23:I23,"SYMP")*100/P23)</f>
        <v>0</v>
      </c>
      <c r="BV23">
        <f>IF(P23=0,0,COUNTIF(Transect1_imgsummary!E23:I23,"TURBIN")*100/P23)</f>
        <v>0</v>
      </c>
      <c r="BX23">
        <f>IF(P23=0,0,COUNTIF(Transect1_imgsummary!E23:I23,"ANEM")*100/P23)</f>
        <v>0</v>
      </c>
      <c r="BY23">
        <f>IF(P23=0,0,COUNTIF(Transect1_imgsummary!E23:I23,"ASC")*100/P23)</f>
        <v>0</v>
      </c>
      <c r="BZ23">
        <f>IF(P23=0,0,COUNTIF(Transect1_imgsummary!E23:I23,"CUPS")*100/P23)</f>
        <v>0</v>
      </c>
      <c r="CA23">
        <f>IF(P23=0,0,COUNTIF(Transect1_imgsummary!E23:I23,"DISCO")*100/P23)</f>
        <v>0</v>
      </c>
      <c r="CB23">
        <f>IF(P23=0,0,COUNTIF(Transect1_imgsummary!E23:I23,"DYS")*100/P23)</f>
        <v>0</v>
      </c>
      <c r="CC23">
        <f>IF(P23=0,0,COUNTIF(Transect1_imgsummary!E23:I23,"G")*100/P23)</f>
        <v>0</v>
      </c>
      <c r="CD23">
        <f>IF(P23=0,0,COUNTIF(Transect1_imgsummary!E23:I23,"NoIDINV")*100/P23)</f>
        <v>0</v>
      </c>
      <c r="CE23">
        <f>IF(P23=0,0,COUNTIF(Transect1_imgsummary!E23:I23,"OLV")*100/P23)</f>
        <v>0</v>
      </c>
      <c r="CF23">
        <f>IF(P23=0,0,COUNTIF(Transect1_imgsummary!E23:I23,"SC")*100/P23)</f>
        <v>0</v>
      </c>
      <c r="CG23">
        <f>IF(P23=0,0,COUNTIF(Transect1_imgsummary!E23:I23,"S")*100/P23)</f>
        <v>0</v>
      </c>
      <c r="CH23">
        <f>IF(P23=0,0,COUNTIF(Transect1_imgsummary!E23:I23,"TERPS")*100/P23)</f>
        <v>0</v>
      </c>
      <c r="CI23">
        <f>IF(P23=0,0,COUNTIF(Transect1_imgsummary!E23:I23,"Z")*100/P23)</f>
        <v>0</v>
      </c>
      <c r="CK23">
        <f>IF(P23=0,0,COUNTIF(Transect1_imgsummary!E23:I23,"ASP")*100/P23)</f>
        <v>0</v>
      </c>
      <c r="CL23">
        <f>IF(P23=0,0,COUNTIF(Transect1_imgsummary!E23:I23,"BG")*100/P23)</f>
        <v>0</v>
      </c>
      <c r="CM23">
        <f>IF(P23=0,0,COUNTIF(Transect1_imgsummary!E23:I23,"Bood")*100/P23)</f>
        <v>0</v>
      </c>
      <c r="CN23">
        <f>IF(P23=0,0,COUNTIF(Transect1_imgsummary!E23:I23,"BRYP")*100/P23)</f>
        <v>0</v>
      </c>
      <c r="CO23">
        <f>IF(P23=0,0,COUNTIF(Transect1_imgsummary!E23:I23,"CLP")*100/P23)</f>
        <v>0</v>
      </c>
      <c r="CP23">
        <f>IF(P23=0,0,COUNTIF(Transect1_imgsummary!E23:I23,"CHLDES")*100/P23)</f>
        <v>0</v>
      </c>
      <c r="CQ23">
        <f>IF(P23=0,0,COUNTIF(Transect1_imgsummary!E23:I23,"DYCTY")*100/P23)</f>
        <v>0</v>
      </c>
      <c r="CR23">
        <f>IF(P23=0,0,COUNTIF(Transect1_imgsummary!E23:I23,"DICT")*100/P23)</f>
        <v>0</v>
      </c>
      <c r="CS23">
        <f>IF(P23=0,0,COUNTIF(Transect1_imgsummary!E23:I23,"GLXU")*100/P23)</f>
        <v>0</v>
      </c>
      <c r="CT23">
        <f>IF(P23=0,0,COUNTIF(Transect1_imgsummary!E23:I23,"HALI")*100/P23)</f>
        <v>0</v>
      </c>
      <c r="CU23">
        <f>IF(P23=0,0,COUNTIF(Transect1_imgsummary!E23:I23,"LIAG")*100/P23)</f>
        <v>0</v>
      </c>
      <c r="CV23">
        <f>IF(P23=0,0,COUNTIF(Transect1_imgsummary!E23:I23,"LOBO")*100/P23)</f>
        <v>0</v>
      </c>
      <c r="CW23">
        <f>IF(P23=0,0,COUNTIF(Transect1_imgsummary!E23:I23,"MAST")*100/P23)</f>
        <v>0</v>
      </c>
      <c r="CX23">
        <f>IF(P23=0,0,COUNTIF(Transect1_imgsummary!E23:I23,"MICDTY")*100/P23)</f>
        <v>0</v>
      </c>
      <c r="CY23">
        <f>IF(P23=0,0,COUNTIF(Transect1_imgsummary!E23:I23,"NEOM")*100/P23)</f>
        <v>0</v>
      </c>
      <c r="CZ23">
        <f>IF(P23=0,0,COUNTIF(Transect1_imgsummary!E23:I23,"NOIDMAC")*100/P23)</f>
        <v>0</v>
      </c>
      <c r="DA23">
        <f>IF(P23=0,0,COUNTIF(Transect1_imgsummary!E23:I23,"PAD")*100/P23)</f>
        <v>0</v>
      </c>
      <c r="DB23">
        <f>IF(P23=0,0,COUNTIF(Transect1_imgsummary!E23:I23,"SARG")*100/P23)</f>
        <v>0</v>
      </c>
      <c r="DC23">
        <f>IF(P23=0,0,COUNTIF(Transect1_imgsummary!E23:I23,"SCHIZ")*100/P23)</f>
        <v>0</v>
      </c>
      <c r="DD23">
        <f>IF(P23=0,0,COUNTIF(Transect1_imgsummary!E23:I23,"TURB")*100/P23)</f>
        <v>0</v>
      </c>
      <c r="DE23">
        <f>IF(P23=0,0,COUNTIF(Transect1_imgsummary!E23:I23,"TYDM")*100/P23)</f>
        <v>0</v>
      </c>
      <c r="DG23">
        <f>IF(P23=0,0,COUNTIF(Transect1_imgsummary!E23:I23,"AMP")*100/P23)</f>
        <v>0</v>
      </c>
      <c r="DH23">
        <f>IF(P23=0,0,COUNTIF(Transect1_imgsummary!E23:I23,"BCA1")*100/P23)</f>
        <v>0</v>
      </c>
      <c r="DI23">
        <f>IF(P23=0,0,COUNTIF(Transect1_imgsummary!E23:I23,"JAN")*100/P23)</f>
        <v>0</v>
      </c>
      <c r="DK23" s="29">
        <f>IF(P23=0,0,COUNTIF(Transect1_imgsummary!E23:I23,"CCA1")*100/P23)</f>
        <v>20</v>
      </c>
      <c r="DM23">
        <f>IF(P23=0,0,COUNTIF(Transect1_imgsummary!E23:I23,"Sand")*100/P23)</f>
        <v>0</v>
      </c>
      <c r="DO23">
        <f>IF(P23=0,0,COUNTIF(Transect1_imgsummary!E23:I23,"FCA1")*100/P23)</f>
        <v>0</v>
      </c>
      <c r="DQ23">
        <f>IF(P23=0,0,COUNTIF(Transect1_imgsummary!E23:I23,"CHRYOBRN")*100/P23)</f>
        <v>0</v>
      </c>
      <c r="DS23">
        <f>IF(P23=0,0,COUNTIF(Transect1_imgsummary!E23:I23,"TURF")*100/P23)</f>
        <v>0</v>
      </c>
      <c r="DU23">
        <f>COUNTIF(Transect1_imgsummary!E23:I23,"Shadow")*100/5</f>
        <v>0</v>
      </c>
      <c r="DV23">
        <f>COUNTIF(Transect1_imgsummary!E23:I23,"Tape")*100/5</f>
        <v>0</v>
      </c>
      <c r="DW23">
        <f>COUNTIF(Transect1_imgsummary!E23:I23,"Wand")*100/5</f>
        <v>0</v>
      </c>
      <c r="DY23">
        <f>IF(P23=0,0,COUNTIF(Transect1_imgsummary!O23:S23,"BC")*100/P23)</f>
        <v>0</v>
      </c>
    </row>
    <row r="24" spans="1:129">
      <c r="A24">
        <v>22</v>
      </c>
      <c r="B24" t="s">
        <v>62</v>
      </c>
      <c r="F24" s="29">
        <f>IF(P24=0,0,COUNTIF(Transect1_imgsummary!J24:N24,"C")*100/P24)</f>
        <v>20</v>
      </c>
      <c r="G24">
        <f>IF(P24=0,0,COUNTIF(Transect1_imgsummary!J24:N24,"OI")*100/P24)</f>
        <v>0</v>
      </c>
      <c r="H24">
        <f>IF(P24=0,0,COUNTIF(Transect1_imgsummary!J24:N24,"MA")*100/P24)</f>
        <v>0</v>
      </c>
      <c r="I24">
        <f>IF(P24=0,0,COUNTIF(Transect1_imgsummary!J24:N24,"BCA")*100/P24)</f>
        <v>0</v>
      </c>
      <c r="J24" s="29">
        <f>IF(P24=0,0,COUNTIF(Transect1_imgsummary!J24:N24,"CCA")*100/P24)</f>
        <v>40</v>
      </c>
      <c r="K24">
        <f>IF(P24=0,0,COUNTIF(Transect1_imgsummary!J24:N24,"SD")*100/P24)</f>
        <v>0</v>
      </c>
      <c r="L24">
        <f>IF(P24=0,0,COUNTIF(Transect1_imgsummary!J24:N24,"FCA")*100/P24)</f>
        <v>0</v>
      </c>
      <c r="M24">
        <f>IF(P24=0,0,COUNTIF(Transect1_imgsummary!J24:N24,"CHRYS")*100/P24)</f>
        <v>0</v>
      </c>
      <c r="N24" s="29">
        <f>IF(P24=0,0,COUNTIF(Transect1_imgsummary!J24:N24,"T")*100/P24)</f>
        <v>40</v>
      </c>
      <c r="O24">
        <f>IF(P24=0,0,COUNTIF(Transect1_imgsummary!J24:N24,"TWS")*100/P24)</f>
        <v>0</v>
      </c>
      <c r="P24">
        <f>5-COUNTIF(Transect1_imgsummary!J24:N24,"TWS")</f>
        <v>5</v>
      </c>
      <c r="S24">
        <f>IF(P24=0,0,COUNTIF(Transect1_imgsummary!E24:I24,"ACAN")*100/P24)</f>
        <v>0</v>
      </c>
      <c r="T24">
        <f>IF(P24=0,0,COUNTIF(Transect1_imgsummary!E24:I24,"ACROP")*100/P24)</f>
        <v>0</v>
      </c>
      <c r="U24">
        <f>IF(P24=0,0,COUNTIF(Transect1_imgsummary!E24:I24,"ACROPARB")*100/P24)</f>
        <v>0</v>
      </c>
      <c r="V24">
        <f>IF(P24=0,0,COUNTIF(Transect1_imgsummary!E24:I24,"ACROST")*100/P24)</f>
        <v>0</v>
      </c>
      <c r="W24">
        <f>IF(P24=0,0,COUNTIF(Transect1_imgsummary!E24:I24,"ACROTBL")*100/P24)</f>
        <v>0</v>
      </c>
      <c r="X24">
        <f>IF(P24=0,0,COUNTIF(Transect1_imgsummary!E24:I24,"ASTRP")*100/P24)</f>
        <v>0</v>
      </c>
      <c r="Y24">
        <f>IF(P24=0,0,COUNTIF(Transect1_imgsummary!E24:I24,"CAUL")*100/P24)</f>
        <v>0</v>
      </c>
      <c r="Z24">
        <f>IF(P24=0,0,COUNTIF(Transect1_imgsummary!E24:I24,"COSC")*100/P24)</f>
        <v>0</v>
      </c>
      <c r="AA24">
        <f>IF(P24=0,0,COUNTIF(Transect1_imgsummary!E24:I24,"CTEN")*100/P24)</f>
        <v>0</v>
      </c>
      <c r="AB24">
        <f>IF(P24=0,0,COUNTIF(Transect1_imgsummary!E24:I24,"CYPH")*100/P24)</f>
        <v>0</v>
      </c>
      <c r="AC24">
        <f>IF(P24=0,0,COUNTIF(Transect1_imgsummary!E24:I24,"DIPLO")*100/P24)</f>
        <v>0</v>
      </c>
      <c r="AD24" s="29">
        <f>IF(P24=0,0,COUNTIF(Transect1_imgsummary!E24:I24,"ECHPO")*100/P24)</f>
        <v>20</v>
      </c>
      <c r="AE24">
        <f>IF(P24=0,0,COUNTIF(Transect1_imgsummary!E24:I24,"ECHPHY")*100/P24)</f>
        <v>0</v>
      </c>
      <c r="AF24">
        <f>IF(P24=0,0,COUNTIF(Transect1_imgsummary!E24:I24,"EUPH")*100/P24)</f>
        <v>0</v>
      </c>
      <c r="AG24">
        <f>IF(P24=0,0,COUNTIF(Transect1_imgsummary!E24:I24,"FAV")*100/P24)</f>
        <v>0</v>
      </c>
      <c r="AH24">
        <f>IF(P24=0,0,COUNTIF(Transect1_imgsummary!E24:I24,"FAVT")*100/P24)</f>
        <v>0</v>
      </c>
      <c r="AI24">
        <f>IF(P24=0,0,COUNTIF(Transect1_imgsummary!E24:I24,"FUNG")*100/P24)</f>
        <v>0</v>
      </c>
      <c r="AJ24">
        <f>IF(P24=0,0,COUNTIF(Transect1_imgsummary!E24:I24,"GAL")*100/P24)</f>
        <v>0</v>
      </c>
      <c r="AK24">
        <f>IF(P24=0,0,COUNTIF(Transect1_imgsummary!E24:I24,"GARD")*100/P24)</f>
        <v>0</v>
      </c>
      <c r="AL24">
        <f>IF(P24=0,0,COUNTIF(Transect1_imgsummary!E24:I24,"GON")*100/P24)</f>
        <v>0</v>
      </c>
      <c r="AM24">
        <f>IF(P24=0,0,COUNTIF(Transect1_imgsummary!E24:I24,"GONIO")*100/P24)</f>
        <v>0</v>
      </c>
      <c r="AN24">
        <f>IF(P24=0,0,COUNTIF(Transect1_imgsummary!E24:I24,"HELIO")*100/P24)</f>
        <v>0</v>
      </c>
      <c r="AO24">
        <f>IF(P24=0,0,COUNTIF(Transect1_imgsummary!E24:I24,"HERP")*100/P24)</f>
        <v>0</v>
      </c>
      <c r="AP24">
        <f>IF(P24=0,0,COUNTIF(Transect1_imgsummary!E24:I24,"HYD")*100/P24)</f>
        <v>0</v>
      </c>
      <c r="AQ24">
        <f>IF(P24=0,0,COUNTIF(Transect1_imgsummary!E24:I24,"ISOP")*100/P24)</f>
        <v>0</v>
      </c>
      <c r="AR24">
        <f>IF(P24=0,0,COUNTIF(Transect1_imgsummary!E24:I24,"LEPT")*100/P24)</f>
        <v>0</v>
      </c>
      <c r="AS24">
        <f>IF(P24=0,0,COUNTIF(Transect1_imgsummary!E24:I24,"LEPTOR")*100/P24)</f>
        <v>0</v>
      </c>
      <c r="AT24">
        <f>IF(P24=0,0,COUNTIF(Transect1_imgsummary!E24:I24,"LEPTOS")*100/P24)</f>
        <v>0</v>
      </c>
      <c r="AU24">
        <f>IF(P24=0,0,COUNTIF(Transect1_imgsummary!E24:I24,"LOBOPH")*100/P24)</f>
        <v>0</v>
      </c>
      <c r="AV24">
        <f>IF(P24=0,0,COUNTIF(Transect1_imgsummary!E24:I24,"MERU")*100/P24)</f>
        <v>0</v>
      </c>
      <c r="AW24">
        <f>IF(P24=0,0,COUNTIF(Transect1_imgsummary!E24:I24,"MILL")*100/P24)</f>
        <v>0</v>
      </c>
      <c r="AX24">
        <f>IF(P24=0,0,COUNTIF(Transect1_imgsummary!E24:I24,"MONT")*100/P24)</f>
        <v>0</v>
      </c>
      <c r="AY24">
        <f>IF(P24=0,0,COUNTIF(Transect1_imgsummary!E24:I24,"MONTI")*100/P24)</f>
        <v>0</v>
      </c>
      <c r="AZ24">
        <f>IF(P24=0,0,COUNTIF(Transect1_imgsummary!E24:I24,"MYCED")*100/P24)</f>
        <v>0</v>
      </c>
      <c r="BA24">
        <f>IF(P24=0,0,COUNTIF(Transect1_imgsummary!E24:I24,"OULO")*100/P24)</f>
        <v>0</v>
      </c>
      <c r="BB24">
        <f>IF(P24=0,0,COUNTIF(Transect1_imgsummary!E24:I24,"OXYP")*100/P24)</f>
        <v>0</v>
      </c>
      <c r="BC24">
        <f>IF(P24=0,0,COUNTIF(Transect1_imgsummary!E24:I24,"PLSIA")*100/P24)</f>
        <v>0</v>
      </c>
      <c r="BD24">
        <f>IF(P24=0,0,COUNTIF(Transect1_imgsummary!E24:I24,"PACHY")*100/P24)</f>
        <v>0</v>
      </c>
      <c r="BE24">
        <f>IF(P24=0,0,COUNTIF(Transect1_imgsummary!E24:I24,"PAV")*100/P24)</f>
        <v>0</v>
      </c>
      <c r="BF24">
        <f>IF(P24=0,0,COUNTIF(Transect1_imgsummary!E24:I24,"PECT")*100/P24)</f>
        <v>0</v>
      </c>
      <c r="BG24">
        <f>IF(P24=0,0,COUNTIF(Transect1_imgsummary!E24:I24,"PHYSO")*100/P24)</f>
        <v>0</v>
      </c>
      <c r="BH24">
        <f>IF(P24=0,0,COUNTIF(Transect1_imgsummary!E24:I24,"PLAT")*100/P24)</f>
        <v>0</v>
      </c>
      <c r="BI24">
        <f>IF(P24=0,0,COUNTIF(Transect1_imgsummary!E24:I24,"PLERO")*100/P24)</f>
        <v>0</v>
      </c>
      <c r="BJ24">
        <f>IF(P24=0,0,COUNTIF(Transect1_imgsummary!E24:I24,"POC")*100/P24)</f>
        <v>0</v>
      </c>
      <c r="BK24">
        <f>IF(P24=0,0,COUNTIF(Transect1_imgsummary!E24:I24,"POR")*100/P24)</f>
        <v>0</v>
      </c>
      <c r="BL24">
        <f>IF(P24=0,0,COUNTIF(Transect1_imgsummary!E24:I24,"PORCYL")*100/P24)</f>
        <v>0</v>
      </c>
      <c r="BM24">
        <f>IF(P24=0,0,COUNTIF(Transect1_imgsummary!E24:I24,"PORMAS")*100/P24)</f>
        <v>0</v>
      </c>
      <c r="BN24">
        <f>IF(P24=0,0,COUNTIF(Transect1_imgsummary!E24:I24,"PORRUS")*100/P24)</f>
        <v>0</v>
      </c>
      <c r="BO24">
        <f>IF(P24=0,0,COUNTIF(Transect1_imgsummary!E24:I24,"PSAM")*100/P24)</f>
        <v>0</v>
      </c>
      <c r="BP24">
        <f>IF(P24=0,0,COUNTIF(Transect1_imgsummary!E24:I24,"SANDO")*100/P24)</f>
        <v>0</v>
      </c>
      <c r="BQ24">
        <f>IF(P24=0,0,COUNTIF(Transect1_imgsummary!E24:I24,"SCAP")*100/P24)</f>
        <v>0</v>
      </c>
      <c r="BR24">
        <f>IF(P24=0,0,COUNTIF(Transect1_imgsummary!E24:I24,"SERIA")*100/P24)</f>
        <v>0</v>
      </c>
      <c r="BS24">
        <f>IF(P24=0,0,COUNTIF(Transect1_imgsummary!E24:I24,"STYLC")*100/P24)</f>
        <v>0</v>
      </c>
      <c r="BT24">
        <f>IF(P24=0,0,COUNTIF(Transect1_imgsummary!E24:I24,"STYLO")*100/P24)</f>
        <v>0</v>
      </c>
      <c r="BU24">
        <f>IF(P24=0,0,COUNTIF(Transect1_imgsummary!E24:I24,"SYMP")*100/P24)</f>
        <v>0</v>
      </c>
      <c r="BV24">
        <f>IF(P24=0,0,COUNTIF(Transect1_imgsummary!E24:I24,"TURBIN")*100/P24)</f>
        <v>0</v>
      </c>
      <c r="BX24">
        <f>IF(P24=0,0,COUNTIF(Transect1_imgsummary!E24:I24,"ANEM")*100/P24)</f>
        <v>0</v>
      </c>
      <c r="BY24">
        <f>IF(P24=0,0,COUNTIF(Transect1_imgsummary!E24:I24,"ASC")*100/P24)</f>
        <v>0</v>
      </c>
      <c r="BZ24">
        <f>IF(P24=0,0,COUNTIF(Transect1_imgsummary!E24:I24,"CUPS")*100/P24)</f>
        <v>0</v>
      </c>
      <c r="CA24">
        <f>IF(P24=0,0,COUNTIF(Transect1_imgsummary!E24:I24,"DISCO")*100/P24)</f>
        <v>0</v>
      </c>
      <c r="CB24">
        <f>IF(P24=0,0,COUNTIF(Transect1_imgsummary!E24:I24,"DYS")*100/P24)</f>
        <v>0</v>
      </c>
      <c r="CC24">
        <f>IF(P24=0,0,COUNTIF(Transect1_imgsummary!E24:I24,"G")*100/P24)</f>
        <v>0</v>
      </c>
      <c r="CD24">
        <f>IF(P24=0,0,COUNTIF(Transect1_imgsummary!E24:I24,"NoIDINV")*100/P24)</f>
        <v>0</v>
      </c>
      <c r="CE24">
        <f>IF(P24=0,0,COUNTIF(Transect1_imgsummary!E24:I24,"OLV")*100/P24)</f>
        <v>0</v>
      </c>
      <c r="CF24">
        <f>IF(P24=0,0,COUNTIF(Transect1_imgsummary!E24:I24,"SC")*100/P24)</f>
        <v>0</v>
      </c>
      <c r="CG24">
        <f>IF(P24=0,0,COUNTIF(Transect1_imgsummary!E24:I24,"S")*100/P24)</f>
        <v>0</v>
      </c>
      <c r="CH24">
        <f>IF(P24=0,0,COUNTIF(Transect1_imgsummary!E24:I24,"TERPS")*100/P24)</f>
        <v>0</v>
      </c>
      <c r="CI24">
        <f>IF(P24=0,0,COUNTIF(Transect1_imgsummary!E24:I24,"Z")*100/P24)</f>
        <v>0</v>
      </c>
      <c r="CK24">
        <f>IF(P24=0,0,COUNTIF(Transect1_imgsummary!E24:I24,"ASP")*100/P24)</f>
        <v>0</v>
      </c>
      <c r="CL24">
        <f>IF(P24=0,0,COUNTIF(Transect1_imgsummary!E24:I24,"BG")*100/P24)</f>
        <v>0</v>
      </c>
      <c r="CM24">
        <f>IF(P24=0,0,COUNTIF(Transect1_imgsummary!E24:I24,"Bood")*100/P24)</f>
        <v>0</v>
      </c>
      <c r="CN24">
        <f>IF(P24=0,0,COUNTIF(Transect1_imgsummary!E24:I24,"BRYP")*100/P24)</f>
        <v>0</v>
      </c>
      <c r="CO24">
        <f>IF(P24=0,0,COUNTIF(Transect1_imgsummary!E24:I24,"CLP")*100/P24)</f>
        <v>0</v>
      </c>
      <c r="CP24">
        <f>IF(P24=0,0,COUNTIF(Transect1_imgsummary!E24:I24,"CHLDES")*100/P24)</f>
        <v>0</v>
      </c>
      <c r="CQ24">
        <f>IF(P24=0,0,COUNTIF(Transect1_imgsummary!E24:I24,"DYCTY")*100/P24)</f>
        <v>0</v>
      </c>
      <c r="CR24">
        <f>IF(P24=0,0,COUNTIF(Transect1_imgsummary!E24:I24,"DICT")*100/P24)</f>
        <v>0</v>
      </c>
      <c r="CS24">
        <f>IF(P24=0,0,COUNTIF(Transect1_imgsummary!E24:I24,"GLXU")*100/P24)</f>
        <v>0</v>
      </c>
      <c r="CT24">
        <f>IF(P24=0,0,COUNTIF(Transect1_imgsummary!E24:I24,"HALI")*100/P24)</f>
        <v>0</v>
      </c>
      <c r="CU24">
        <f>IF(P24=0,0,COUNTIF(Transect1_imgsummary!E24:I24,"LIAG")*100/P24)</f>
        <v>0</v>
      </c>
      <c r="CV24">
        <f>IF(P24=0,0,COUNTIF(Transect1_imgsummary!E24:I24,"LOBO")*100/P24)</f>
        <v>0</v>
      </c>
      <c r="CW24">
        <f>IF(P24=0,0,COUNTIF(Transect1_imgsummary!E24:I24,"MAST")*100/P24)</f>
        <v>0</v>
      </c>
      <c r="CX24">
        <f>IF(P24=0,0,COUNTIF(Transect1_imgsummary!E24:I24,"MICDTY")*100/P24)</f>
        <v>0</v>
      </c>
      <c r="CY24">
        <f>IF(P24=0,0,COUNTIF(Transect1_imgsummary!E24:I24,"NEOM")*100/P24)</f>
        <v>0</v>
      </c>
      <c r="CZ24">
        <f>IF(P24=0,0,COUNTIF(Transect1_imgsummary!E24:I24,"NOIDMAC")*100/P24)</f>
        <v>0</v>
      </c>
      <c r="DA24">
        <f>IF(P24=0,0,COUNTIF(Transect1_imgsummary!E24:I24,"PAD")*100/P24)</f>
        <v>0</v>
      </c>
      <c r="DB24">
        <f>IF(P24=0,0,COUNTIF(Transect1_imgsummary!E24:I24,"SARG")*100/P24)</f>
        <v>0</v>
      </c>
      <c r="DC24">
        <f>IF(P24=0,0,COUNTIF(Transect1_imgsummary!E24:I24,"SCHIZ")*100/P24)</f>
        <v>0</v>
      </c>
      <c r="DD24">
        <f>IF(P24=0,0,COUNTIF(Transect1_imgsummary!E24:I24,"TURB")*100/P24)</f>
        <v>0</v>
      </c>
      <c r="DE24">
        <f>IF(P24=0,0,COUNTIF(Transect1_imgsummary!E24:I24,"TYDM")*100/P24)</f>
        <v>0</v>
      </c>
      <c r="DG24">
        <f>IF(P24=0,0,COUNTIF(Transect1_imgsummary!E24:I24,"AMP")*100/P24)</f>
        <v>0</v>
      </c>
      <c r="DH24">
        <f>IF(P24=0,0,COUNTIF(Transect1_imgsummary!E24:I24,"BCA1")*100/P24)</f>
        <v>0</v>
      </c>
      <c r="DI24">
        <f>IF(P24=0,0,COUNTIF(Transect1_imgsummary!E24:I24,"JAN")*100/P24)</f>
        <v>0</v>
      </c>
      <c r="DK24" s="29">
        <f>IF(P24=0,0,COUNTIF(Transect1_imgsummary!E24:I24,"CCA1")*100/P24)</f>
        <v>40</v>
      </c>
      <c r="DM24">
        <f>IF(P24=0,0,COUNTIF(Transect1_imgsummary!E24:I24,"Sand")*100/P24)</f>
        <v>0</v>
      </c>
      <c r="DO24">
        <f>IF(P24=0,0,COUNTIF(Transect1_imgsummary!E24:I24,"FCA1")*100/P24)</f>
        <v>0</v>
      </c>
      <c r="DQ24">
        <f>IF(P24=0,0,COUNTIF(Transect1_imgsummary!E24:I24,"CHRYOBRN")*100/P24)</f>
        <v>0</v>
      </c>
      <c r="DS24" s="29">
        <f>IF(P24=0,0,COUNTIF(Transect1_imgsummary!E24:I24,"TURF")*100/P24)</f>
        <v>40</v>
      </c>
      <c r="DU24">
        <f>COUNTIF(Transect1_imgsummary!E24:I24,"Shadow")*100/5</f>
        <v>0</v>
      </c>
      <c r="DV24">
        <f>COUNTIF(Transect1_imgsummary!E24:I24,"Tape")*100/5</f>
        <v>0</v>
      </c>
      <c r="DW24">
        <f>COUNTIF(Transect1_imgsummary!E24:I24,"Wand")*100/5</f>
        <v>0</v>
      </c>
      <c r="DY24">
        <f>IF(P24=0,0,COUNTIF(Transect1_imgsummary!O24:S24,"BC")*100/P24)</f>
        <v>0</v>
      </c>
    </row>
    <row r="25" spans="1:129">
      <c r="A25">
        <v>23</v>
      </c>
      <c r="B25" t="s">
        <v>63</v>
      </c>
      <c r="F25" s="29">
        <f>IF(P25=0,0,COUNTIF(Transect1_imgsummary!J25:N25,"C")*100/P25)</f>
        <v>80</v>
      </c>
      <c r="G25">
        <f>IF(P25=0,0,COUNTIF(Transect1_imgsummary!J25:N25,"OI")*100/P25)</f>
        <v>0</v>
      </c>
      <c r="H25">
        <f>IF(P25=0,0,COUNTIF(Transect1_imgsummary!J25:N25,"MA")*100/P25)</f>
        <v>0</v>
      </c>
      <c r="I25">
        <f>IF(P25=0,0,COUNTIF(Transect1_imgsummary!J25:N25,"BCA")*100/P25)</f>
        <v>0</v>
      </c>
      <c r="J25">
        <f>IF(P25=0,0,COUNTIF(Transect1_imgsummary!J25:N25,"CCA")*100/P25)</f>
        <v>0</v>
      </c>
      <c r="K25">
        <f>IF(P25=0,0,COUNTIF(Transect1_imgsummary!J25:N25,"SD")*100/P25)</f>
        <v>0</v>
      </c>
      <c r="L25">
        <f>IF(P25=0,0,COUNTIF(Transect1_imgsummary!J25:N25,"FCA")*100/P25)</f>
        <v>0</v>
      </c>
      <c r="M25">
        <f>IF(P25=0,0,COUNTIF(Transect1_imgsummary!J25:N25,"CHRYS")*100/P25)</f>
        <v>0</v>
      </c>
      <c r="N25" s="29">
        <f>IF(P25=0,0,COUNTIF(Transect1_imgsummary!J25:N25,"T")*100/P25)</f>
        <v>20</v>
      </c>
      <c r="O25">
        <f>IF(P25=0,0,COUNTIF(Transect1_imgsummary!J25:N25,"TWS")*100/P25)</f>
        <v>0</v>
      </c>
      <c r="P25">
        <f>5-COUNTIF(Transect1_imgsummary!J25:N25,"TWS")</f>
        <v>5</v>
      </c>
      <c r="S25">
        <f>IF(P25=0,0,COUNTIF(Transect1_imgsummary!E25:I25,"ACAN")*100/P25)</f>
        <v>0</v>
      </c>
      <c r="T25">
        <f>IF(P25=0,0,COUNTIF(Transect1_imgsummary!E25:I25,"ACROP")*100/P25)</f>
        <v>0</v>
      </c>
      <c r="U25">
        <f>IF(P25=0,0,COUNTIF(Transect1_imgsummary!E25:I25,"ACROPARB")*100/P25)</f>
        <v>0</v>
      </c>
      <c r="V25">
        <f>IF(P25=0,0,COUNTIF(Transect1_imgsummary!E25:I25,"ACROST")*100/P25)</f>
        <v>0</v>
      </c>
      <c r="W25" s="29">
        <f>IF(P25=0,0,COUNTIF(Transect1_imgsummary!E25:I25,"ACROTBL")*100/P25)</f>
        <v>60</v>
      </c>
      <c r="X25">
        <f>IF(P25=0,0,COUNTIF(Transect1_imgsummary!E25:I25,"ASTRP")*100/P25)</f>
        <v>0</v>
      </c>
      <c r="Y25">
        <f>IF(P25=0,0,COUNTIF(Transect1_imgsummary!E25:I25,"CAUL")*100/P25)</f>
        <v>0</v>
      </c>
      <c r="Z25">
        <f>IF(P25=0,0,COUNTIF(Transect1_imgsummary!E25:I25,"COSC")*100/P25)</f>
        <v>0</v>
      </c>
      <c r="AA25">
        <f>IF(P25=0,0,COUNTIF(Transect1_imgsummary!E25:I25,"CTEN")*100/P25)</f>
        <v>0</v>
      </c>
      <c r="AB25">
        <f>IF(P25=0,0,COUNTIF(Transect1_imgsummary!E25:I25,"CYPH")*100/P25)</f>
        <v>0</v>
      </c>
      <c r="AC25">
        <f>IF(P25=0,0,COUNTIF(Transect1_imgsummary!E25:I25,"DIPLO")*100/P25)</f>
        <v>0</v>
      </c>
      <c r="AD25">
        <f>IF(P25=0,0,COUNTIF(Transect1_imgsummary!E25:I25,"ECHPO")*100/P25)</f>
        <v>0</v>
      </c>
      <c r="AE25">
        <f>IF(P25=0,0,COUNTIF(Transect1_imgsummary!E25:I25,"ECHPHY")*100/P25)</f>
        <v>0</v>
      </c>
      <c r="AF25">
        <f>IF(P25=0,0,COUNTIF(Transect1_imgsummary!E25:I25,"EUPH")*100/P25)</f>
        <v>0</v>
      </c>
      <c r="AG25">
        <f>IF(P25=0,0,COUNTIF(Transect1_imgsummary!E25:I25,"FAV")*100/P25)</f>
        <v>0</v>
      </c>
      <c r="AH25">
        <f>IF(P25=0,0,COUNTIF(Transect1_imgsummary!E25:I25,"FAVT")*100/P25)</f>
        <v>0</v>
      </c>
      <c r="AI25">
        <f>IF(P25=0,0,COUNTIF(Transect1_imgsummary!E25:I25,"FUNG")*100/P25)</f>
        <v>0</v>
      </c>
      <c r="AJ25">
        <f>IF(P25=0,0,COUNTIF(Transect1_imgsummary!E25:I25,"GAL")*100/P25)</f>
        <v>0</v>
      </c>
      <c r="AK25">
        <f>IF(P25=0,0,COUNTIF(Transect1_imgsummary!E25:I25,"GARD")*100/P25)</f>
        <v>0</v>
      </c>
      <c r="AL25" s="29">
        <f>IF(P25=0,0,COUNTIF(Transect1_imgsummary!E25:I25,"GON")*100/P25)</f>
        <v>20</v>
      </c>
      <c r="AM25">
        <f>IF(P25=0,0,COUNTIF(Transect1_imgsummary!E25:I25,"GONIO")*100/P25)</f>
        <v>0</v>
      </c>
      <c r="AN25">
        <f>IF(P25=0,0,COUNTIF(Transect1_imgsummary!E25:I25,"HELIO")*100/P25)</f>
        <v>0</v>
      </c>
      <c r="AO25">
        <f>IF(P25=0,0,COUNTIF(Transect1_imgsummary!E25:I25,"HERP")*100/P25)</f>
        <v>0</v>
      </c>
      <c r="AP25">
        <f>IF(P25=0,0,COUNTIF(Transect1_imgsummary!E25:I25,"HYD")*100/P25)</f>
        <v>0</v>
      </c>
      <c r="AQ25">
        <f>IF(P25=0,0,COUNTIF(Transect1_imgsummary!E25:I25,"ISOP")*100/P25)</f>
        <v>0</v>
      </c>
      <c r="AR25">
        <f>IF(P25=0,0,COUNTIF(Transect1_imgsummary!E25:I25,"LEPT")*100/P25)</f>
        <v>0</v>
      </c>
      <c r="AS25">
        <f>IF(P25=0,0,COUNTIF(Transect1_imgsummary!E25:I25,"LEPTOR")*100/P25)</f>
        <v>0</v>
      </c>
      <c r="AT25">
        <f>IF(P25=0,0,COUNTIF(Transect1_imgsummary!E25:I25,"LEPTOS")*100/P25)</f>
        <v>0</v>
      </c>
      <c r="AU25">
        <f>IF(P25=0,0,COUNTIF(Transect1_imgsummary!E25:I25,"LOBOPH")*100/P25)</f>
        <v>0</v>
      </c>
      <c r="AV25">
        <f>IF(P25=0,0,COUNTIF(Transect1_imgsummary!E25:I25,"MERU")*100/P25)</f>
        <v>0</v>
      </c>
      <c r="AW25">
        <f>IF(P25=0,0,COUNTIF(Transect1_imgsummary!E25:I25,"MILL")*100/P25)</f>
        <v>0</v>
      </c>
      <c r="AX25">
        <f>IF(P25=0,0,COUNTIF(Transect1_imgsummary!E25:I25,"MONT")*100/P25)</f>
        <v>0</v>
      </c>
      <c r="AY25">
        <f>IF(P25=0,0,COUNTIF(Transect1_imgsummary!E25:I25,"MONTI")*100/P25)</f>
        <v>0</v>
      </c>
      <c r="AZ25">
        <f>IF(P25=0,0,COUNTIF(Transect1_imgsummary!E25:I25,"MYCED")*100/P25)</f>
        <v>0</v>
      </c>
      <c r="BA25">
        <f>IF(P25=0,0,COUNTIF(Transect1_imgsummary!E25:I25,"OULO")*100/P25)</f>
        <v>0</v>
      </c>
      <c r="BB25">
        <f>IF(P25=0,0,COUNTIF(Transect1_imgsummary!E25:I25,"OXYP")*100/P25)</f>
        <v>0</v>
      </c>
      <c r="BC25">
        <f>IF(P25=0,0,COUNTIF(Transect1_imgsummary!E25:I25,"PLSIA")*100/P25)</f>
        <v>0</v>
      </c>
      <c r="BD25">
        <f>IF(P25=0,0,COUNTIF(Transect1_imgsummary!E25:I25,"PACHY")*100/P25)</f>
        <v>0</v>
      </c>
      <c r="BE25">
        <f>IF(P25=0,0,COUNTIF(Transect1_imgsummary!E25:I25,"PAV")*100/P25)</f>
        <v>0</v>
      </c>
      <c r="BF25">
        <f>IF(P25=0,0,COUNTIF(Transect1_imgsummary!E25:I25,"PECT")*100/P25)</f>
        <v>0</v>
      </c>
      <c r="BG25">
        <f>IF(P25=0,0,COUNTIF(Transect1_imgsummary!E25:I25,"PHYSO")*100/P25)</f>
        <v>0</v>
      </c>
      <c r="BH25">
        <f>IF(P25=0,0,COUNTIF(Transect1_imgsummary!E25:I25,"PLAT")*100/P25)</f>
        <v>0</v>
      </c>
      <c r="BI25">
        <f>IF(P25=0,0,COUNTIF(Transect1_imgsummary!E25:I25,"PLERO")*100/P25)</f>
        <v>0</v>
      </c>
      <c r="BJ25">
        <f>IF(P25=0,0,COUNTIF(Transect1_imgsummary!E25:I25,"POC")*100/P25)</f>
        <v>0</v>
      </c>
      <c r="BK25">
        <f>IF(P25=0,0,COUNTIF(Transect1_imgsummary!E25:I25,"POR")*100/P25)</f>
        <v>0</v>
      </c>
      <c r="BL25">
        <f>IF(P25=0,0,COUNTIF(Transect1_imgsummary!E25:I25,"PORCYL")*100/P25)</f>
        <v>0</v>
      </c>
      <c r="BM25">
        <f>IF(P25=0,0,COUNTIF(Transect1_imgsummary!E25:I25,"PORMAS")*100/P25)</f>
        <v>0</v>
      </c>
      <c r="BN25">
        <f>IF(P25=0,0,COUNTIF(Transect1_imgsummary!E25:I25,"PORRUS")*100/P25)</f>
        <v>0</v>
      </c>
      <c r="BO25">
        <f>IF(P25=0,0,COUNTIF(Transect1_imgsummary!E25:I25,"PSAM")*100/P25)</f>
        <v>0</v>
      </c>
      <c r="BP25">
        <f>IF(P25=0,0,COUNTIF(Transect1_imgsummary!E25:I25,"SANDO")*100/P25)</f>
        <v>0</v>
      </c>
      <c r="BQ25">
        <f>IF(P25=0,0,COUNTIF(Transect1_imgsummary!E25:I25,"SCAP")*100/P25)</f>
        <v>0</v>
      </c>
      <c r="BR25">
        <f>IF(P25=0,0,COUNTIF(Transect1_imgsummary!E25:I25,"SERIA")*100/P25)</f>
        <v>0</v>
      </c>
      <c r="BS25">
        <f>IF(P25=0,0,COUNTIF(Transect1_imgsummary!E25:I25,"STYLC")*100/P25)</f>
        <v>0</v>
      </c>
      <c r="BT25">
        <f>IF(P25=0,0,COUNTIF(Transect1_imgsummary!E25:I25,"STYLO")*100/P25)</f>
        <v>0</v>
      </c>
      <c r="BU25">
        <f>IF(P25=0,0,COUNTIF(Transect1_imgsummary!E25:I25,"SYMP")*100/P25)</f>
        <v>0</v>
      </c>
      <c r="BV25">
        <f>IF(P25=0,0,COUNTIF(Transect1_imgsummary!E25:I25,"TURBIN")*100/P25)</f>
        <v>0</v>
      </c>
      <c r="BX25">
        <f>IF(P25=0,0,COUNTIF(Transect1_imgsummary!E25:I25,"ANEM")*100/P25)</f>
        <v>0</v>
      </c>
      <c r="BY25">
        <f>IF(P25=0,0,COUNTIF(Transect1_imgsummary!E25:I25,"ASC")*100/P25)</f>
        <v>0</v>
      </c>
      <c r="BZ25">
        <f>IF(P25=0,0,COUNTIF(Transect1_imgsummary!E25:I25,"CUPS")*100/P25)</f>
        <v>0</v>
      </c>
      <c r="CA25">
        <f>IF(P25=0,0,COUNTIF(Transect1_imgsummary!E25:I25,"DISCO")*100/P25)</f>
        <v>0</v>
      </c>
      <c r="CB25">
        <f>IF(P25=0,0,COUNTIF(Transect1_imgsummary!E25:I25,"DYS")*100/P25)</f>
        <v>0</v>
      </c>
      <c r="CC25">
        <f>IF(P25=0,0,COUNTIF(Transect1_imgsummary!E25:I25,"G")*100/P25)</f>
        <v>0</v>
      </c>
      <c r="CD25">
        <f>IF(P25=0,0,COUNTIF(Transect1_imgsummary!E25:I25,"NoIDINV")*100/P25)</f>
        <v>0</v>
      </c>
      <c r="CE25">
        <f>IF(P25=0,0,COUNTIF(Transect1_imgsummary!E25:I25,"OLV")*100/P25)</f>
        <v>0</v>
      </c>
      <c r="CF25">
        <f>IF(P25=0,0,COUNTIF(Transect1_imgsummary!E25:I25,"SC")*100/P25)</f>
        <v>0</v>
      </c>
      <c r="CG25">
        <f>IF(P25=0,0,COUNTIF(Transect1_imgsummary!E25:I25,"S")*100/P25)</f>
        <v>0</v>
      </c>
      <c r="CH25">
        <f>IF(P25=0,0,COUNTIF(Transect1_imgsummary!E25:I25,"TERPS")*100/P25)</f>
        <v>0</v>
      </c>
      <c r="CI25">
        <f>IF(P25=0,0,COUNTIF(Transect1_imgsummary!E25:I25,"Z")*100/P25)</f>
        <v>0</v>
      </c>
      <c r="CK25">
        <f>IF(P25=0,0,COUNTIF(Transect1_imgsummary!E25:I25,"ASP")*100/P25)</f>
        <v>0</v>
      </c>
      <c r="CL25">
        <f>IF(P25=0,0,COUNTIF(Transect1_imgsummary!E25:I25,"BG")*100/P25)</f>
        <v>0</v>
      </c>
      <c r="CM25">
        <f>IF(P25=0,0,COUNTIF(Transect1_imgsummary!E25:I25,"Bood")*100/P25)</f>
        <v>0</v>
      </c>
      <c r="CN25">
        <f>IF(P25=0,0,COUNTIF(Transect1_imgsummary!E25:I25,"BRYP")*100/P25)</f>
        <v>0</v>
      </c>
      <c r="CO25">
        <f>IF(P25=0,0,COUNTIF(Transect1_imgsummary!E25:I25,"CLP")*100/P25)</f>
        <v>0</v>
      </c>
      <c r="CP25">
        <f>IF(P25=0,0,COUNTIF(Transect1_imgsummary!E25:I25,"CHLDES")*100/P25)</f>
        <v>0</v>
      </c>
      <c r="CQ25">
        <f>IF(P25=0,0,COUNTIF(Transect1_imgsummary!E25:I25,"DYCTY")*100/P25)</f>
        <v>0</v>
      </c>
      <c r="CR25">
        <f>IF(P25=0,0,COUNTIF(Transect1_imgsummary!E25:I25,"DICT")*100/P25)</f>
        <v>0</v>
      </c>
      <c r="CS25">
        <f>IF(P25=0,0,COUNTIF(Transect1_imgsummary!E25:I25,"GLXU")*100/P25)</f>
        <v>0</v>
      </c>
      <c r="CT25">
        <f>IF(P25=0,0,COUNTIF(Transect1_imgsummary!E25:I25,"HALI")*100/P25)</f>
        <v>0</v>
      </c>
      <c r="CU25">
        <f>IF(P25=0,0,COUNTIF(Transect1_imgsummary!E25:I25,"LIAG")*100/P25)</f>
        <v>0</v>
      </c>
      <c r="CV25">
        <f>IF(P25=0,0,COUNTIF(Transect1_imgsummary!E25:I25,"LOBO")*100/P25)</f>
        <v>0</v>
      </c>
      <c r="CW25">
        <f>IF(P25=0,0,COUNTIF(Transect1_imgsummary!E25:I25,"MAST")*100/P25)</f>
        <v>0</v>
      </c>
      <c r="CX25">
        <f>IF(P25=0,0,COUNTIF(Transect1_imgsummary!E25:I25,"MICDTY")*100/P25)</f>
        <v>0</v>
      </c>
      <c r="CY25">
        <f>IF(P25=0,0,COUNTIF(Transect1_imgsummary!E25:I25,"NEOM")*100/P25)</f>
        <v>0</v>
      </c>
      <c r="CZ25">
        <f>IF(P25=0,0,COUNTIF(Transect1_imgsummary!E25:I25,"NOIDMAC")*100/P25)</f>
        <v>0</v>
      </c>
      <c r="DA25">
        <f>IF(P25=0,0,COUNTIF(Transect1_imgsummary!E25:I25,"PAD")*100/P25)</f>
        <v>0</v>
      </c>
      <c r="DB25">
        <f>IF(P25=0,0,COUNTIF(Transect1_imgsummary!E25:I25,"SARG")*100/P25)</f>
        <v>0</v>
      </c>
      <c r="DC25">
        <f>IF(P25=0,0,COUNTIF(Transect1_imgsummary!E25:I25,"SCHIZ")*100/P25)</f>
        <v>0</v>
      </c>
      <c r="DD25">
        <f>IF(P25=0,0,COUNTIF(Transect1_imgsummary!E25:I25,"TURB")*100/P25)</f>
        <v>0</v>
      </c>
      <c r="DE25">
        <f>IF(P25=0,0,COUNTIF(Transect1_imgsummary!E25:I25,"TYDM")*100/P25)</f>
        <v>0</v>
      </c>
      <c r="DG25">
        <f>IF(P25=0,0,COUNTIF(Transect1_imgsummary!E25:I25,"AMP")*100/P25)</f>
        <v>0</v>
      </c>
      <c r="DH25">
        <f>IF(P25=0,0,COUNTIF(Transect1_imgsummary!E25:I25,"BCA1")*100/P25)</f>
        <v>0</v>
      </c>
      <c r="DI25">
        <f>IF(P25=0,0,COUNTIF(Transect1_imgsummary!E25:I25,"JAN")*100/P25)</f>
        <v>0</v>
      </c>
      <c r="DK25">
        <f>IF(P25=0,0,COUNTIF(Transect1_imgsummary!E25:I25,"CCA1")*100/P25)</f>
        <v>0</v>
      </c>
      <c r="DM25">
        <f>IF(P25=0,0,COUNTIF(Transect1_imgsummary!E25:I25,"Sand")*100/P25)</f>
        <v>0</v>
      </c>
      <c r="DO25">
        <f>IF(P25=0,0,COUNTIF(Transect1_imgsummary!E25:I25,"FCA1")*100/P25)</f>
        <v>0</v>
      </c>
      <c r="DQ25">
        <f>IF(P25=0,0,COUNTIF(Transect1_imgsummary!E25:I25,"CHRYOBRN")*100/P25)</f>
        <v>0</v>
      </c>
      <c r="DS25" s="29">
        <f>IF(P25=0,0,COUNTIF(Transect1_imgsummary!E25:I25,"TURF")*100/P25)</f>
        <v>20</v>
      </c>
      <c r="DU25">
        <f>COUNTIF(Transect1_imgsummary!E25:I25,"Shadow")*100/5</f>
        <v>0</v>
      </c>
      <c r="DV25">
        <f>COUNTIF(Transect1_imgsummary!E25:I25,"Tape")*100/5</f>
        <v>0</v>
      </c>
      <c r="DW25">
        <f>COUNTIF(Transect1_imgsummary!E25:I25,"Wand")*100/5</f>
        <v>0</v>
      </c>
      <c r="DY25">
        <f>IF(P25=0,0,COUNTIF(Transect1_imgsummary!O25:S25,"BC")*100/P25)</f>
        <v>0</v>
      </c>
    </row>
    <row r="26" spans="1:129">
      <c r="A26">
        <v>24</v>
      </c>
      <c r="B26" t="s">
        <v>65</v>
      </c>
      <c r="F26" s="29">
        <f>IF(P26=0,0,COUNTIF(Transect1_imgsummary!J26:N26,"C")*100/P26)</f>
        <v>60</v>
      </c>
      <c r="G26">
        <f>IF(P26=0,0,COUNTIF(Transect1_imgsummary!J26:N26,"OI")*100/P26)</f>
        <v>0</v>
      </c>
      <c r="H26">
        <f>IF(P26=0,0,COUNTIF(Transect1_imgsummary!J26:N26,"MA")*100/P26)</f>
        <v>0</v>
      </c>
      <c r="I26">
        <f>IF(P26=0,0,COUNTIF(Transect1_imgsummary!J26:N26,"BCA")*100/P26)</f>
        <v>0</v>
      </c>
      <c r="J26">
        <f>IF(P26=0,0,COUNTIF(Transect1_imgsummary!J26:N26,"CCA")*100/P26)</f>
        <v>0</v>
      </c>
      <c r="K26">
        <f>IF(P26=0,0,COUNTIF(Transect1_imgsummary!J26:N26,"SD")*100/P26)</f>
        <v>0</v>
      </c>
      <c r="L26">
        <f>IF(P26=0,0,COUNTIF(Transect1_imgsummary!J26:N26,"FCA")*100/P26)</f>
        <v>0</v>
      </c>
      <c r="M26">
        <f>IF(P26=0,0,COUNTIF(Transect1_imgsummary!J26:N26,"CHRYS")*100/P26)</f>
        <v>0</v>
      </c>
      <c r="N26" s="29">
        <f>IF(P26=0,0,COUNTIF(Transect1_imgsummary!J26:N26,"T")*100/P26)</f>
        <v>40</v>
      </c>
      <c r="O26">
        <f>IF(P26=0,0,COUNTIF(Transect1_imgsummary!J26:N26,"TWS")*100/P26)</f>
        <v>0</v>
      </c>
      <c r="P26">
        <f>5-COUNTIF(Transect1_imgsummary!J26:N26,"TWS")</f>
        <v>5</v>
      </c>
      <c r="S26">
        <f>IF(P26=0,0,COUNTIF(Transect1_imgsummary!E26:I26,"ACAN")*100/P26)</f>
        <v>0</v>
      </c>
      <c r="T26">
        <f>IF(P26=0,0,COUNTIF(Transect1_imgsummary!E26:I26,"ACROP")*100/P26)</f>
        <v>0</v>
      </c>
      <c r="U26">
        <f>IF(P26=0,0,COUNTIF(Transect1_imgsummary!E26:I26,"ACROPARB")*100/P26)</f>
        <v>0</v>
      </c>
      <c r="V26">
        <f>IF(P26=0,0,COUNTIF(Transect1_imgsummary!E26:I26,"ACROST")*100/P26)</f>
        <v>0</v>
      </c>
      <c r="W26">
        <f>IF(P26=0,0,COUNTIF(Transect1_imgsummary!E26:I26,"ACROTBL")*100/P26)</f>
        <v>0</v>
      </c>
      <c r="X26">
        <f>IF(P26=0,0,COUNTIF(Transect1_imgsummary!E26:I26,"ASTRP")*100/P26)</f>
        <v>0</v>
      </c>
      <c r="Y26">
        <f>IF(P26=0,0,COUNTIF(Transect1_imgsummary!E26:I26,"CAUL")*100/P26)</f>
        <v>0</v>
      </c>
      <c r="Z26">
        <f>IF(P26=0,0,COUNTIF(Transect1_imgsummary!E26:I26,"COSC")*100/P26)</f>
        <v>0</v>
      </c>
      <c r="AA26">
        <f>IF(P26=0,0,COUNTIF(Transect1_imgsummary!E26:I26,"CTEN")*100/P26)</f>
        <v>0</v>
      </c>
      <c r="AB26" s="29">
        <f>IF(P26=0,0,COUNTIF(Transect1_imgsummary!E26:I26,"CYPH")*100/P26)</f>
        <v>20</v>
      </c>
      <c r="AC26">
        <f>IF(P26=0,0,COUNTIF(Transect1_imgsummary!E26:I26,"DIPLO")*100/P26)</f>
        <v>0</v>
      </c>
      <c r="AD26">
        <f>IF(P26=0,0,COUNTIF(Transect1_imgsummary!E26:I26,"ECHPO")*100/P26)</f>
        <v>0</v>
      </c>
      <c r="AE26">
        <f>IF(P26=0,0,COUNTIF(Transect1_imgsummary!E26:I26,"ECHPHY")*100/P26)</f>
        <v>0</v>
      </c>
      <c r="AF26">
        <f>IF(P26=0,0,COUNTIF(Transect1_imgsummary!E26:I26,"EUPH")*100/P26)</f>
        <v>0</v>
      </c>
      <c r="AG26">
        <f>IF(P26=0,0,COUNTIF(Transect1_imgsummary!E26:I26,"FAV")*100/P26)</f>
        <v>0</v>
      </c>
      <c r="AH26">
        <f>IF(P26=0,0,COUNTIF(Transect1_imgsummary!E26:I26,"FAVT")*100/P26)</f>
        <v>0</v>
      </c>
      <c r="AI26">
        <f>IF(P26=0,0,COUNTIF(Transect1_imgsummary!E26:I26,"FUNG")*100/P26)</f>
        <v>0</v>
      </c>
      <c r="AJ26">
        <f>IF(P26=0,0,COUNTIF(Transect1_imgsummary!E26:I26,"GAL")*100/P26)</f>
        <v>0</v>
      </c>
      <c r="AK26">
        <f>IF(P26=0,0,COUNTIF(Transect1_imgsummary!E26:I26,"GARD")*100/P26)</f>
        <v>0</v>
      </c>
      <c r="AL26">
        <f>IF(P26=0,0,COUNTIF(Transect1_imgsummary!E26:I26,"GON")*100/P26)</f>
        <v>0</v>
      </c>
      <c r="AM26">
        <f>IF(P26=0,0,COUNTIF(Transect1_imgsummary!E26:I26,"GONIO")*100/P26)</f>
        <v>0</v>
      </c>
      <c r="AN26">
        <f>IF(P26=0,0,COUNTIF(Transect1_imgsummary!E26:I26,"HELIO")*100/P26)</f>
        <v>0</v>
      </c>
      <c r="AO26">
        <f>IF(P26=0,0,COUNTIF(Transect1_imgsummary!E26:I26,"HERP")*100/P26)</f>
        <v>0</v>
      </c>
      <c r="AP26">
        <f>IF(P26=0,0,COUNTIF(Transect1_imgsummary!E26:I26,"HYD")*100/P26)</f>
        <v>0</v>
      </c>
      <c r="AQ26">
        <f>IF(P26=0,0,COUNTIF(Transect1_imgsummary!E26:I26,"ISOP")*100/P26)</f>
        <v>0</v>
      </c>
      <c r="AR26">
        <f>IF(P26=0,0,COUNTIF(Transect1_imgsummary!E26:I26,"LEPT")*100/P26)</f>
        <v>0</v>
      </c>
      <c r="AS26" s="29">
        <f>IF(P26=0,0,COUNTIF(Transect1_imgsummary!E26:I26,"LEPTOR")*100/P26)</f>
        <v>40</v>
      </c>
      <c r="AT26">
        <f>IF(P26=0,0,COUNTIF(Transect1_imgsummary!E26:I26,"LEPTOS")*100/P26)</f>
        <v>0</v>
      </c>
      <c r="AU26">
        <f>IF(P26=0,0,COUNTIF(Transect1_imgsummary!E26:I26,"LOBOPH")*100/P26)</f>
        <v>0</v>
      </c>
      <c r="AV26">
        <f>IF(P26=0,0,COUNTIF(Transect1_imgsummary!E26:I26,"MERU")*100/P26)</f>
        <v>0</v>
      </c>
      <c r="AW26">
        <f>IF(P26=0,0,COUNTIF(Transect1_imgsummary!E26:I26,"MILL")*100/P26)</f>
        <v>0</v>
      </c>
      <c r="AX26">
        <f>IF(P26=0,0,COUNTIF(Transect1_imgsummary!E26:I26,"MONT")*100/P26)</f>
        <v>0</v>
      </c>
      <c r="AY26">
        <f>IF(P26=0,0,COUNTIF(Transect1_imgsummary!E26:I26,"MONTI")*100/P26)</f>
        <v>0</v>
      </c>
      <c r="AZ26">
        <f>IF(P26=0,0,COUNTIF(Transect1_imgsummary!E26:I26,"MYCED")*100/P26)</f>
        <v>0</v>
      </c>
      <c r="BA26">
        <f>IF(P26=0,0,COUNTIF(Transect1_imgsummary!E26:I26,"OULO")*100/P26)</f>
        <v>0</v>
      </c>
      <c r="BB26">
        <f>IF(P26=0,0,COUNTIF(Transect1_imgsummary!E26:I26,"OXYP")*100/P26)</f>
        <v>0</v>
      </c>
      <c r="BC26">
        <f>IF(P26=0,0,COUNTIF(Transect1_imgsummary!E26:I26,"PLSIA")*100/P26)</f>
        <v>0</v>
      </c>
      <c r="BD26">
        <f>IF(P26=0,0,COUNTIF(Transect1_imgsummary!E26:I26,"PACHY")*100/P26)</f>
        <v>0</v>
      </c>
      <c r="BE26">
        <f>IF(P26=0,0,COUNTIF(Transect1_imgsummary!E26:I26,"PAV")*100/P26)</f>
        <v>0</v>
      </c>
      <c r="BF26">
        <f>IF(P26=0,0,COUNTIF(Transect1_imgsummary!E26:I26,"PECT")*100/P26)</f>
        <v>0</v>
      </c>
      <c r="BG26">
        <f>IF(P26=0,0,COUNTIF(Transect1_imgsummary!E26:I26,"PHYSO")*100/P26)</f>
        <v>0</v>
      </c>
      <c r="BH26">
        <f>IF(P26=0,0,COUNTIF(Transect1_imgsummary!E26:I26,"PLAT")*100/P26)</f>
        <v>0</v>
      </c>
      <c r="BI26">
        <f>IF(P26=0,0,COUNTIF(Transect1_imgsummary!E26:I26,"PLERO")*100/P26)</f>
        <v>0</v>
      </c>
      <c r="BJ26">
        <f>IF(P26=0,0,COUNTIF(Transect1_imgsummary!E26:I26,"POC")*100/P26)</f>
        <v>0</v>
      </c>
      <c r="BK26">
        <f>IF(P26=0,0,COUNTIF(Transect1_imgsummary!E26:I26,"POR")*100/P26)</f>
        <v>0</v>
      </c>
      <c r="BL26">
        <f>IF(P26=0,0,COUNTIF(Transect1_imgsummary!E26:I26,"PORCYL")*100/P26)</f>
        <v>0</v>
      </c>
      <c r="BM26">
        <f>IF(P26=0,0,COUNTIF(Transect1_imgsummary!E26:I26,"PORMAS")*100/P26)</f>
        <v>0</v>
      </c>
      <c r="BN26">
        <f>IF(P26=0,0,COUNTIF(Transect1_imgsummary!E26:I26,"PORRUS")*100/P26)</f>
        <v>0</v>
      </c>
      <c r="BO26">
        <f>IF(P26=0,0,COUNTIF(Transect1_imgsummary!E26:I26,"PSAM")*100/P26)</f>
        <v>0</v>
      </c>
      <c r="BP26">
        <f>IF(P26=0,0,COUNTIF(Transect1_imgsummary!E26:I26,"SANDO")*100/P26)</f>
        <v>0</v>
      </c>
      <c r="BQ26">
        <f>IF(P26=0,0,COUNTIF(Transect1_imgsummary!E26:I26,"SCAP")*100/P26)</f>
        <v>0</v>
      </c>
      <c r="BR26">
        <f>IF(P26=0,0,COUNTIF(Transect1_imgsummary!E26:I26,"SERIA")*100/P26)</f>
        <v>0</v>
      </c>
      <c r="BS26">
        <f>IF(P26=0,0,COUNTIF(Transect1_imgsummary!E26:I26,"STYLC")*100/P26)</f>
        <v>0</v>
      </c>
      <c r="BT26">
        <f>IF(P26=0,0,COUNTIF(Transect1_imgsummary!E26:I26,"STYLO")*100/P26)</f>
        <v>0</v>
      </c>
      <c r="BU26">
        <f>IF(P26=0,0,COUNTIF(Transect1_imgsummary!E26:I26,"SYMP")*100/P26)</f>
        <v>0</v>
      </c>
      <c r="BV26">
        <f>IF(P26=0,0,COUNTIF(Transect1_imgsummary!E26:I26,"TURBIN")*100/P26)</f>
        <v>0</v>
      </c>
      <c r="BX26">
        <f>IF(P26=0,0,COUNTIF(Transect1_imgsummary!E26:I26,"ANEM")*100/P26)</f>
        <v>0</v>
      </c>
      <c r="BY26">
        <f>IF(P26=0,0,COUNTIF(Transect1_imgsummary!E26:I26,"ASC")*100/P26)</f>
        <v>0</v>
      </c>
      <c r="BZ26">
        <f>IF(P26=0,0,COUNTIF(Transect1_imgsummary!E26:I26,"CUPS")*100/P26)</f>
        <v>0</v>
      </c>
      <c r="CA26">
        <f>IF(P26=0,0,COUNTIF(Transect1_imgsummary!E26:I26,"DISCO")*100/P26)</f>
        <v>0</v>
      </c>
      <c r="CB26">
        <f>IF(P26=0,0,COUNTIF(Transect1_imgsummary!E26:I26,"DYS")*100/P26)</f>
        <v>0</v>
      </c>
      <c r="CC26">
        <f>IF(P26=0,0,COUNTIF(Transect1_imgsummary!E26:I26,"G")*100/P26)</f>
        <v>0</v>
      </c>
      <c r="CD26">
        <f>IF(P26=0,0,COUNTIF(Transect1_imgsummary!E26:I26,"NoIDINV")*100/P26)</f>
        <v>0</v>
      </c>
      <c r="CE26">
        <f>IF(P26=0,0,COUNTIF(Transect1_imgsummary!E26:I26,"OLV")*100/P26)</f>
        <v>0</v>
      </c>
      <c r="CF26">
        <f>IF(P26=0,0,COUNTIF(Transect1_imgsummary!E26:I26,"SC")*100/P26)</f>
        <v>0</v>
      </c>
      <c r="CG26">
        <f>IF(P26=0,0,COUNTIF(Transect1_imgsummary!E26:I26,"S")*100/P26)</f>
        <v>0</v>
      </c>
      <c r="CH26">
        <f>IF(P26=0,0,COUNTIF(Transect1_imgsummary!E26:I26,"TERPS")*100/P26)</f>
        <v>0</v>
      </c>
      <c r="CI26">
        <f>IF(P26=0,0,COUNTIF(Transect1_imgsummary!E26:I26,"Z")*100/P26)</f>
        <v>0</v>
      </c>
      <c r="CK26">
        <f>IF(P26=0,0,COUNTIF(Transect1_imgsummary!E26:I26,"ASP")*100/P26)</f>
        <v>0</v>
      </c>
      <c r="CL26">
        <f>IF(P26=0,0,COUNTIF(Transect1_imgsummary!E26:I26,"BG")*100/P26)</f>
        <v>0</v>
      </c>
      <c r="CM26">
        <f>IF(P26=0,0,COUNTIF(Transect1_imgsummary!E26:I26,"Bood")*100/P26)</f>
        <v>0</v>
      </c>
      <c r="CN26">
        <f>IF(P26=0,0,COUNTIF(Transect1_imgsummary!E26:I26,"BRYP")*100/P26)</f>
        <v>0</v>
      </c>
      <c r="CO26">
        <f>IF(P26=0,0,COUNTIF(Transect1_imgsummary!E26:I26,"CLP")*100/P26)</f>
        <v>0</v>
      </c>
      <c r="CP26">
        <f>IF(P26=0,0,COUNTIF(Transect1_imgsummary!E26:I26,"CHLDES")*100/P26)</f>
        <v>0</v>
      </c>
      <c r="CQ26">
        <f>IF(P26=0,0,COUNTIF(Transect1_imgsummary!E26:I26,"DYCTY")*100/P26)</f>
        <v>0</v>
      </c>
      <c r="CR26">
        <f>IF(P26=0,0,COUNTIF(Transect1_imgsummary!E26:I26,"DICT")*100/P26)</f>
        <v>0</v>
      </c>
      <c r="CS26">
        <f>IF(P26=0,0,COUNTIF(Transect1_imgsummary!E26:I26,"GLXU")*100/P26)</f>
        <v>0</v>
      </c>
      <c r="CT26">
        <f>IF(P26=0,0,COUNTIF(Transect1_imgsummary!E26:I26,"HALI")*100/P26)</f>
        <v>0</v>
      </c>
      <c r="CU26">
        <f>IF(P26=0,0,COUNTIF(Transect1_imgsummary!E26:I26,"LIAG")*100/P26)</f>
        <v>0</v>
      </c>
      <c r="CV26">
        <f>IF(P26=0,0,COUNTIF(Transect1_imgsummary!E26:I26,"LOBO")*100/P26)</f>
        <v>0</v>
      </c>
      <c r="CW26">
        <f>IF(P26=0,0,COUNTIF(Transect1_imgsummary!E26:I26,"MAST")*100/P26)</f>
        <v>0</v>
      </c>
      <c r="CX26">
        <f>IF(P26=0,0,COUNTIF(Transect1_imgsummary!E26:I26,"MICDTY")*100/P26)</f>
        <v>0</v>
      </c>
      <c r="CY26">
        <f>IF(P26=0,0,COUNTIF(Transect1_imgsummary!E26:I26,"NEOM")*100/P26)</f>
        <v>0</v>
      </c>
      <c r="CZ26">
        <f>IF(P26=0,0,COUNTIF(Transect1_imgsummary!E26:I26,"NOIDMAC")*100/P26)</f>
        <v>0</v>
      </c>
      <c r="DA26">
        <f>IF(P26=0,0,COUNTIF(Transect1_imgsummary!E26:I26,"PAD")*100/P26)</f>
        <v>0</v>
      </c>
      <c r="DB26">
        <f>IF(P26=0,0,COUNTIF(Transect1_imgsummary!E26:I26,"SARG")*100/P26)</f>
        <v>0</v>
      </c>
      <c r="DC26">
        <f>IF(P26=0,0,COUNTIF(Transect1_imgsummary!E26:I26,"SCHIZ")*100/P26)</f>
        <v>0</v>
      </c>
      <c r="DD26">
        <f>IF(P26=0,0,COUNTIF(Transect1_imgsummary!E26:I26,"TURB")*100/P26)</f>
        <v>0</v>
      </c>
      <c r="DE26">
        <f>IF(P26=0,0,COUNTIF(Transect1_imgsummary!E26:I26,"TYDM")*100/P26)</f>
        <v>0</v>
      </c>
      <c r="DG26">
        <f>IF(P26=0,0,COUNTIF(Transect1_imgsummary!E26:I26,"AMP")*100/P26)</f>
        <v>0</v>
      </c>
      <c r="DH26">
        <f>IF(P26=0,0,COUNTIF(Transect1_imgsummary!E26:I26,"BCA1")*100/P26)</f>
        <v>0</v>
      </c>
      <c r="DI26">
        <f>IF(P26=0,0,COUNTIF(Transect1_imgsummary!E26:I26,"JAN")*100/P26)</f>
        <v>0</v>
      </c>
      <c r="DK26">
        <f>IF(P26=0,0,COUNTIF(Transect1_imgsummary!E26:I26,"CCA1")*100/P26)</f>
        <v>0</v>
      </c>
      <c r="DM26">
        <f>IF(P26=0,0,COUNTIF(Transect1_imgsummary!E26:I26,"Sand")*100/P26)</f>
        <v>0</v>
      </c>
      <c r="DO26">
        <f>IF(P26=0,0,COUNTIF(Transect1_imgsummary!E26:I26,"FCA1")*100/P26)</f>
        <v>0</v>
      </c>
      <c r="DQ26">
        <f>IF(P26=0,0,COUNTIF(Transect1_imgsummary!E26:I26,"CHRYOBRN")*100/P26)</f>
        <v>0</v>
      </c>
      <c r="DS26" s="29">
        <f>IF(P26=0,0,COUNTIF(Transect1_imgsummary!E26:I26,"TURF")*100/P26)</f>
        <v>40</v>
      </c>
      <c r="DU26">
        <f>COUNTIF(Transect1_imgsummary!E26:I26,"Shadow")*100/5</f>
        <v>0</v>
      </c>
      <c r="DV26">
        <f>COUNTIF(Transect1_imgsummary!E26:I26,"Tape")*100/5</f>
        <v>0</v>
      </c>
      <c r="DW26">
        <f>COUNTIF(Transect1_imgsummary!E26:I26,"Wand")*100/5</f>
        <v>0</v>
      </c>
      <c r="DY26">
        <f>IF(P26=0,0,COUNTIF(Transect1_imgsummary!O26:S26,"BC")*100/P26)</f>
        <v>0</v>
      </c>
    </row>
    <row r="27" spans="1:129">
      <c r="A27">
        <v>25</v>
      </c>
      <c r="B27" t="s">
        <v>67</v>
      </c>
      <c r="F27" s="29">
        <f>IF(P27=0,0,COUNTIF(Transect1_imgsummary!J27:N27,"C")*100/P27)</f>
        <v>40</v>
      </c>
      <c r="G27">
        <f>IF(P27=0,0,COUNTIF(Transect1_imgsummary!J27:N27,"OI")*100/P27)</f>
        <v>0</v>
      </c>
      <c r="H27">
        <f>IF(P27=0,0,COUNTIF(Transect1_imgsummary!J27:N27,"MA")*100/P27)</f>
        <v>0</v>
      </c>
      <c r="I27">
        <f>IF(P27=0,0,COUNTIF(Transect1_imgsummary!J27:N27,"BCA")*100/P27)</f>
        <v>0</v>
      </c>
      <c r="J27">
        <f>IF(P27=0,0,COUNTIF(Transect1_imgsummary!J27:N27,"CCA")*100/P27)</f>
        <v>0</v>
      </c>
      <c r="K27">
        <f>IF(P27=0,0,COUNTIF(Transect1_imgsummary!J27:N27,"SD")*100/P27)</f>
        <v>0</v>
      </c>
      <c r="L27">
        <f>IF(P27=0,0,COUNTIF(Transect1_imgsummary!J27:N27,"FCA")*100/P27)</f>
        <v>0</v>
      </c>
      <c r="M27">
        <f>IF(P27=0,0,COUNTIF(Transect1_imgsummary!J27:N27,"CHRYS")*100/P27)</f>
        <v>0</v>
      </c>
      <c r="N27" s="29">
        <f>IF(P27=0,0,COUNTIF(Transect1_imgsummary!J27:N27,"T")*100/P27)</f>
        <v>60</v>
      </c>
      <c r="O27">
        <f>IF(P27=0,0,COUNTIF(Transect1_imgsummary!J27:N27,"TWS")*100/P27)</f>
        <v>0</v>
      </c>
      <c r="P27">
        <f>5-COUNTIF(Transect1_imgsummary!J27:N27,"TWS")</f>
        <v>5</v>
      </c>
      <c r="S27">
        <f>IF(P27=0,0,COUNTIF(Transect1_imgsummary!E27:I27,"ACAN")*100/P27)</f>
        <v>0</v>
      </c>
      <c r="T27">
        <f>IF(P27=0,0,COUNTIF(Transect1_imgsummary!E27:I27,"ACROP")*100/P27)</f>
        <v>0</v>
      </c>
      <c r="U27">
        <f>IF(P27=0,0,COUNTIF(Transect1_imgsummary!E27:I27,"ACROPARB")*100/P27)</f>
        <v>0</v>
      </c>
      <c r="V27">
        <f>IF(P27=0,0,COUNTIF(Transect1_imgsummary!E27:I27,"ACROST")*100/P27)</f>
        <v>0</v>
      </c>
      <c r="W27">
        <f>IF(P27=0,0,COUNTIF(Transect1_imgsummary!E27:I27,"ACROTBL")*100/P27)</f>
        <v>0</v>
      </c>
      <c r="X27">
        <f>IF(P27=0,0,COUNTIF(Transect1_imgsummary!E27:I27,"ASTRP")*100/P27)</f>
        <v>0</v>
      </c>
      <c r="Y27">
        <f>IF(P27=0,0,COUNTIF(Transect1_imgsummary!E27:I27,"CAUL")*100/P27)</f>
        <v>0</v>
      </c>
      <c r="Z27">
        <f>IF(P27=0,0,COUNTIF(Transect1_imgsummary!E27:I27,"COSC")*100/P27)</f>
        <v>0</v>
      </c>
      <c r="AA27">
        <f>IF(P27=0,0,COUNTIF(Transect1_imgsummary!E27:I27,"CTEN")*100/P27)</f>
        <v>0</v>
      </c>
      <c r="AB27">
        <f>IF(P27=0,0,COUNTIF(Transect1_imgsummary!E27:I27,"CYPH")*100/P27)</f>
        <v>0</v>
      </c>
      <c r="AC27">
        <f>IF(P27=0,0,COUNTIF(Transect1_imgsummary!E27:I27,"DIPLO")*100/P27)</f>
        <v>0</v>
      </c>
      <c r="AD27">
        <f>IF(P27=0,0,COUNTIF(Transect1_imgsummary!E27:I27,"ECHPO")*100/P27)</f>
        <v>0</v>
      </c>
      <c r="AE27">
        <f>IF(P27=0,0,COUNTIF(Transect1_imgsummary!E27:I27,"ECHPHY")*100/P27)</f>
        <v>0</v>
      </c>
      <c r="AF27">
        <f>IF(P27=0,0,COUNTIF(Transect1_imgsummary!E27:I27,"EUPH")*100/P27)</f>
        <v>0</v>
      </c>
      <c r="AG27">
        <f>IF(P27=0,0,COUNTIF(Transect1_imgsummary!E27:I27,"FAV")*100/P27)</f>
        <v>0</v>
      </c>
      <c r="AH27">
        <f>IF(P27=0,0,COUNTIF(Transect1_imgsummary!E27:I27,"FAVT")*100/P27)</f>
        <v>0</v>
      </c>
      <c r="AI27">
        <f>IF(P27=0,0,COUNTIF(Transect1_imgsummary!E27:I27,"FUNG")*100/P27)</f>
        <v>0</v>
      </c>
      <c r="AJ27">
        <f>IF(P27=0,0,COUNTIF(Transect1_imgsummary!E27:I27,"GAL")*100/P27)</f>
        <v>0</v>
      </c>
      <c r="AK27">
        <f>IF(P27=0,0,COUNTIF(Transect1_imgsummary!E27:I27,"GARD")*100/P27)</f>
        <v>0</v>
      </c>
      <c r="AL27">
        <f>IF(P27=0,0,COUNTIF(Transect1_imgsummary!E27:I27,"GON")*100/P27)</f>
        <v>0</v>
      </c>
      <c r="AM27">
        <f>IF(P27=0,0,COUNTIF(Transect1_imgsummary!E27:I27,"GONIO")*100/P27)</f>
        <v>0</v>
      </c>
      <c r="AN27">
        <f>IF(P27=0,0,COUNTIF(Transect1_imgsummary!E27:I27,"HELIO")*100/P27)</f>
        <v>0</v>
      </c>
      <c r="AO27">
        <f>IF(P27=0,0,COUNTIF(Transect1_imgsummary!E27:I27,"HERP")*100/P27)</f>
        <v>0</v>
      </c>
      <c r="AP27">
        <f>IF(P27=0,0,COUNTIF(Transect1_imgsummary!E27:I27,"HYD")*100/P27)</f>
        <v>0</v>
      </c>
      <c r="AQ27">
        <f>IF(P27=0,0,COUNTIF(Transect1_imgsummary!E27:I27,"ISOP")*100/P27)</f>
        <v>0</v>
      </c>
      <c r="AR27">
        <f>IF(P27=0,0,COUNTIF(Transect1_imgsummary!E27:I27,"LEPT")*100/P27)</f>
        <v>0</v>
      </c>
      <c r="AS27" s="29">
        <f>IF(P27=0,0,COUNTIF(Transect1_imgsummary!E27:I27,"LEPTOR")*100/P27)</f>
        <v>40</v>
      </c>
      <c r="AT27">
        <f>IF(P27=0,0,COUNTIF(Transect1_imgsummary!E27:I27,"LEPTOS")*100/P27)</f>
        <v>0</v>
      </c>
      <c r="AU27">
        <f>IF(P27=0,0,COUNTIF(Transect1_imgsummary!E27:I27,"LOBOPH")*100/P27)</f>
        <v>0</v>
      </c>
      <c r="AV27">
        <f>IF(P27=0,0,COUNTIF(Transect1_imgsummary!E27:I27,"MERU")*100/P27)</f>
        <v>0</v>
      </c>
      <c r="AW27">
        <f>IF(P27=0,0,COUNTIF(Transect1_imgsummary!E27:I27,"MILL")*100/P27)</f>
        <v>0</v>
      </c>
      <c r="AX27">
        <f>IF(P27=0,0,COUNTIF(Transect1_imgsummary!E27:I27,"MONT")*100/P27)</f>
        <v>0</v>
      </c>
      <c r="AY27">
        <f>IF(P27=0,0,COUNTIF(Transect1_imgsummary!E27:I27,"MONTI")*100/P27)</f>
        <v>0</v>
      </c>
      <c r="AZ27">
        <f>IF(P27=0,0,COUNTIF(Transect1_imgsummary!E27:I27,"MYCED")*100/P27)</f>
        <v>0</v>
      </c>
      <c r="BA27">
        <f>IF(P27=0,0,COUNTIF(Transect1_imgsummary!E27:I27,"OULO")*100/P27)</f>
        <v>0</v>
      </c>
      <c r="BB27">
        <f>IF(P27=0,0,COUNTIF(Transect1_imgsummary!E27:I27,"OXYP")*100/P27)</f>
        <v>0</v>
      </c>
      <c r="BC27">
        <f>IF(P27=0,0,COUNTIF(Transect1_imgsummary!E27:I27,"PLSIA")*100/P27)</f>
        <v>0</v>
      </c>
      <c r="BD27">
        <f>IF(P27=0,0,COUNTIF(Transect1_imgsummary!E27:I27,"PACHY")*100/P27)</f>
        <v>0</v>
      </c>
      <c r="BE27">
        <f>IF(P27=0,0,COUNTIF(Transect1_imgsummary!E27:I27,"PAV")*100/P27)</f>
        <v>0</v>
      </c>
      <c r="BF27">
        <f>IF(P27=0,0,COUNTIF(Transect1_imgsummary!E27:I27,"PECT")*100/P27)</f>
        <v>0</v>
      </c>
      <c r="BG27">
        <f>IF(P27=0,0,COUNTIF(Transect1_imgsummary!E27:I27,"PHYSO")*100/P27)</f>
        <v>0</v>
      </c>
      <c r="BH27">
        <f>IF(P27=0,0,COUNTIF(Transect1_imgsummary!E27:I27,"PLAT")*100/P27)</f>
        <v>0</v>
      </c>
      <c r="BI27">
        <f>IF(P27=0,0,COUNTIF(Transect1_imgsummary!E27:I27,"PLERO")*100/P27)</f>
        <v>0</v>
      </c>
      <c r="BJ27">
        <f>IF(P27=0,0,COUNTIF(Transect1_imgsummary!E27:I27,"POC")*100/P27)</f>
        <v>0</v>
      </c>
      <c r="BK27">
        <f>IF(P27=0,0,COUNTIF(Transect1_imgsummary!E27:I27,"POR")*100/P27)</f>
        <v>0</v>
      </c>
      <c r="BL27">
        <f>IF(P27=0,0,COUNTIF(Transect1_imgsummary!E27:I27,"PORCYL")*100/P27)</f>
        <v>0</v>
      </c>
      <c r="BM27">
        <f>IF(P27=0,0,COUNTIF(Transect1_imgsummary!E27:I27,"PORMAS")*100/P27)</f>
        <v>0</v>
      </c>
      <c r="BN27">
        <f>IF(P27=0,0,COUNTIF(Transect1_imgsummary!E27:I27,"PORRUS")*100/P27)</f>
        <v>0</v>
      </c>
      <c r="BO27">
        <f>IF(P27=0,0,COUNTIF(Transect1_imgsummary!E27:I27,"PSAM")*100/P27)</f>
        <v>0</v>
      </c>
      <c r="BP27">
        <f>IF(P27=0,0,COUNTIF(Transect1_imgsummary!E27:I27,"SANDO")*100/P27)</f>
        <v>0</v>
      </c>
      <c r="BQ27">
        <f>IF(P27=0,0,COUNTIF(Transect1_imgsummary!E27:I27,"SCAP")*100/P27)</f>
        <v>0</v>
      </c>
      <c r="BR27">
        <f>IF(P27=0,0,COUNTIF(Transect1_imgsummary!E27:I27,"SERIA")*100/P27)</f>
        <v>0</v>
      </c>
      <c r="BS27">
        <f>IF(P27=0,0,COUNTIF(Transect1_imgsummary!E27:I27,"STYLC")*100/P27)</f>
        <v>0</v>
      </c>
      <c r="BT27">
        <f>IF(P27=0,0,COUNTIF(Transect1_imgsummary!E27:I27,"STYLO")*100/P27)</f>
        <v>0</v>
      </c>
      <c r="BU27">
        <f>IF(P27=0,0,COUNTIF(Transect1_imgsummary!E27:I27,"SYMP")*100/P27)</f>
        <v>0</v>
      </c>
      <c r="BV27">
        <f>IF(P27=0,0,COUNTIF(Transect1_imgsummary!E27:I27,"TURBIN")*100/P27)</f>
        <v>0</v>
      </c>
      <c r="BX27">
        <f>IF(P27=0,0,COUNTIF(Transect1_imgsummary!E27:I27,"ANEM")*100/P27)</f>
        <v>0</v>
      </c>
      <c r="BY27">
        <f>IF(P27=0,0,COUNTIF(Transect1_imgsummary!E27:I27,"ASC")*100/P27)</f>
        <v>0</v>
      </c>
      <c r="BZ27">
        <f>IF(P27=0,0,COUNTIF(Transect1_imgsummary!E27:I27,"CUPS")*100/P27)</f>
        <v>0</v>
      </c>
      <c r="CA27">
        <f>IF(P27=0,0,COUNTIF(Transect1_imgsummary!E27:I27,"DISCO")*100/P27)</f>
        <v>0</v>
      </c>
      <c r="CB27">
        <f>IF(P27=0,0,COUNTIF(Transect1_imgsummary!E27:I27,"DYS")*100/P27)</f>
        <v>0</v>
      </c>
      <c r="CC27">
        <f>IF(P27=0,0,COUNTIF(Transect1_imgsummary!E27:I27,"G")*100/P27)</f>
        <v>0</v>
      </c>
      <c r="CD27">
        <f>IF(P27=0,0,COUNTIF(Transect1_imgsummary!E27:I27,"NoIDINV")*100/P27)</f>
        <v>0</v>
      </c>
      <c r="CE27">
        <f>IF(P27=0,0,COUNTIF(Transect1_imgsummary!E27:I27,"OLV")*100/P27)</f>
        <v>0</v>
      </c>
      <c r="CF27">
        <f>IF(P27=0,0,COUNTIF(Transect1_imgsummary!E27:I27,"SC")*100/P27)</f>
        <v>0</v>
      </c>
      <c r="CG27">
        <f>IF(P27=0,0,COUNTIF(Transect1_imgsummary!E27:I27,"S")*100/P27)</f>
        <v>0</v>
      </c>
      <c r="CH27">
        <f>IF(P27=0,0,COUNTIF(Transect1_imgsummary!E27:I27,"TERPS")*100/P27)</f>
        <v>0</v>
      </c>
      <c r="CI27">
        <f>IF(P27=0,0,COUNTIF(Transect1_imgsummary!E27:I27,"Z")*100/P27)</f>
        <v>0</v>
      </c>
      <c r="CK27">
        <f>IF(P27=0,0,COUNTIF(Transect1_imgsummary!E27:I27,"ASP")*100/P27)</f>
        <v>0</v>
      </c>
      <c r="CL27">
        <f>IF(P27=0,0,COUNTIF(Transect1_imgsummary!E27:I27,"BG")*100/P27)</f>
        <v>0</v>
      </c>
      <c r="CM27">
        <f>IF(P27=0,0,COUNTIF(Transect1_imgsummary!E27:I27,"Bood")*100/P27)</f>
        <v>0</v>
      </c>
      <c r="CN27">
        <f>IF(P27=0,0,COUNTIF(Transect1_imgsummary!E27:I27,"BRYP")*100/P27)</f>
        <v>0</v>
      </c>
      <c r="CO27">
        <f>IF(P27=0,0,COUNTIF(Transect1_imgsummary!E27:I27,"CLP")*100/P27)</f>
        <v>0</v>
      </c>
      <c r="CP27">
        <f>IF(P27=0,0,COUNTIF(Transect1_imgsummary!E27:I27,"CHLDES")*100/P27)</f>
        <v>0</v>
      </c>
      <c r="CQ27">
        <f>IF(P27=0,0,COUNTIF(Transect1_imgsummary!E27:I27,"DYCTY")*100/P27)</f>
        <v>0</v>
      </c>
      <c r="CR27">
        <f>IF(P27=0,0,COUNTIF(Transect1_imgsummary!E27:I27,"DICT")*100/P27)</f>
        <v>0</v>
      </c>
      <c r="CS27">
        <f>IF(P27=0,0,COUNTIF(Transect1_imgsummary!E27:I27,"GLXU")*100/P27)</f>
        <v>0</v>
      </c>
      <c r="CT27">
        <f>IF(P27=0,0,COUNTIF(Transect1_imgsummary!E27:I27,"HALI")*100/P27)</f>
        <v>0</v>
      </c>
      <c r="CU27">
        <f>IF(P27=0,0,COUNTIF(Transect1_imgsummary!E27:I27,"LIAG")*100/P27)</f>
        <v>0</v>
      </c>
      <c r="CV27">
        <f>IF(P27=0,0,COUNTIF(Transect1_imgsummary!E27:I27,"LOBO")*100/P27)</f>
        <v>0</v>
      </c>
      <c r="CW27">
        <f>IF(P27=0,0,COUNTIF(Transect1_imgsummary!E27:I27,"MAST")*100/P27)</f>
        <v>0</v>
      </c>
      <c r="CX27">
        <f>IF(P27=0,0,COUNTIF(Transect1_imgsummary!E27:I27,"MICDTY")*100/P27)</f>
        <v>0</v>
      </c>
      <c r="CY27">
        <f>IF(P27=0,0,COUNTIF(Transect1_imgsummary!E27:I27,"NEOM")*100/P27)</f>
        <v>0</v>
      </c>
      <c r="CZ27">
        <f>IF(P27=0,0,COUNTIF(Transect1_imgsummary!E27:I27,"NOIDMAC")*100/P27)</f>
        <v>0</v>
      </c>
      <c r="DA27">
        <f>IF(P27=0,0,COUNTIF(Transect1_imgsummary!E27:I27,"PAD")*100/P27)</f>
        <v>0</v>
      </c>
      <c r="DB27">
        <f>IF(P27=0,0,COUNTIF(Transect1_imgsummary!E27:I27,"SARG")*100/P27)</f>
        <v>0</v>
      </c>
      <c r="DC27">
        <f>IF(P27=0,0,COUNTIF(Transect1_imgsummary!E27:I27,"SCHIZ")*100/P27)</f>
        <v>0</v>
      </c>
      <c r="DD27">
        <f>IF(P27=0,0,COUNTIF(Transect1_imgsummary!E27:I27,"TURB")*100/P27)</f>
        <v>0</v>
      </c>
      <c r="DE27">
        <f>IF(P27=0,0,COUNTIF(Transect1_imgsummary!E27:I27,"TYDM")*100/P27)</f>
        <v>0</v>
      </c>
      <c r="DG27">
        <f>IF(P27=0,0,COUNTIF(Transect1_imgsummary!E27:I27,"AMP")*100/P27)</f>
        <v>0</v>
      </c>
      <c r="DH27">
        <f>IF(P27=0,0,COUNTIF(Transect1_imgsummary!E27:I27,"BCA1")*100/P27)</f>
        <v>0</v>
      </c>
      <c r="DI27">
        <f>IF(P27=0,0,COUNTIF(Transect1_imgsummary!E27:I27,"JAN")*100/P27)</f>
        <v>0</v>
      </c>
      <c r="DK27">
        <f>IF(P27=0,0,COUNTIF(Transect1_imgsummary!E27:I27,"CCA1")*100/P27)</f>
        <v>0</v>
      </c>
      <c r="DM27">
        <f>IF(P27=0,0,COUNTIF(Transect1_imgsummary!E27:I27,"Sand")*100/P27)</f>
        <v>0</v>
      </c>
      <c r="DO27">
        <f>IF(P27=0,0,COUNTIF(Transect1_imgsummary!E27:I27,"FCA1")*100/P27)</f>
        <v>0</v>
      </c>
      <c r="DQ27">
        <f>IF(P27=0,0,COUNTIF(Transect1_imgsummary!E27:I27,"CHRYOBRN")*100/P27)</f>
        <v>0</v>
      </c>
      <c r="DS27" s="29">
        <f>IF(P27=0,0,COUNTIF(Transect1_imgsummary!E27:I27,"TURF")*100/P27)</f>
        <v>60</v>
      </c>
      <c r="DU27">
        <f>COUNTIF(Transect1_imgsummary!E27:I27,"Shadow")*100/5</f>
        <v>0</v>
      </c>
      <c r="DV27">
        <f>COUNTIF(Transect1_imgsummary!E27:I27,"Tape")*100/5</f>
        <v>0</v>
      </c>
      <c r="DW27">
        <f>COUNTIF(Transect1_imgsummary!E27:I27,"Wand")*100/5</f>
        <v>0</v>
      </c>
      <c r="DY27">
        <f>IF(P27=0,0,COUNTIF(Transect1_imgsummary!O27:S27,"BC")*100/P27)</f>
        <v>0</v>
      </c>
    </row>
    <row r="28" spans="1:129">
      <c r="A28">
        <v>26</v>
      </c>
      <c r="B28" t="s">
        <v>68</v>
      </c>
      <c r="F28" s="29">
        <f>IF(P28=0,0,COUNTIF(Transect1_imgsummary!J28:N28,"C")*100/P28)</f>
        <v>60</v>
      </c>
      <c r="G28">
        <f>IF(P28=0,0,COUNTIF(Transect1_imgsummary!J28:N28,"OI")*100/P28)</f>
        <v>0</v>
      </c>
      <c r="H28">
        <f>IF(P28=0,0,COUNTIF(Transect1_imgsummary!J28:N28,"MA")*100/P28)</f>
        <v>0</v>
      </c>
      <c r="I28">
        <f>IF(P28=0,0,COUNTIF(Transect1_imgsummary!J28:N28,"BCA")*100/P28)</f>
        <v>0</v>
      </c>
      <c r="J28" s="29">
        <f>IF(P28=0,0,COUNTIF(Transect1_imgsummary!J28:N28,"CCA")*100/P28)</f>
        <v>20</v>
      </c>
      <c r="K28">
        <f>IF(P28=0,0,COUNTIF(Transect1_imgsummary!J28:N28,"SD")*100/P28)</f>
        <v>0</v>
      </c>
      <c r="L28">
        <f>IF(P28=0,0,COUNTIF(Transect1_imgsummary!J28:N28,"FCA")*100/P28)</f>
        <v>0</v>
      </c>
      <c r="M28">
        <f>IF(P28=0,0,COUNTIF(Transect1_imgsummary!J28:N28,"CHRYS")*100/P28)</f>
        <v>0</v>
      </c>
      <c r="N28" s="29">
        <f>IF(P28=0,0,COUNTIF(Transect1_imgsummary!J28:N28,"T")*100/P28)</f>
        <v>20</v>
      </c>
      <c r="O28">
        <f>IF(P28=0,0,COUNTIF(Transect1_imgsummary!J28:N28,"TWS")*100/P28)</f>
        <v>0</v>
      </c>
      <c r="P28">
        <f>5-COUNTIF(Transect1_imgsummary!J28:N28,"TWS")</f>
        <v>5</v>
      </c>
      <c r="S28">
        <f>IF(P28=0,0,COUNTIF(Transect1_imgsummary!E28:I28,"ACAN")*100/P28)</f>
        <v>0</v>
      </c>
      <c r="T28">
        <f>IF(P28=0,0,COUNTIF(Transect1_imgsummary!E28:I28,"ACROP")*100/P28)</f>
        <v>0</v>
      </c>
      <c r="U28">
        <f>IF(P28=0,0,COUNTIF(Transect1_imgsummary!E28:I28,"ACROPARB")*100/P28)</f>
        <v>0</v>
      </c>
      <c r="V28">
        <f>IF(P28=0,0,COUNTIF(Transect1_imgsummary!E28:I28,"ACROST")*100/P28)</f>
        <v>0</v>
      </c>
      <c r="W28">
        <f>IF(P28=0,0,COUNTIF(Transect1_imgsummary!E28:I28,"ACROTBL")*100/P28)</f>
        <v>0</v>
      </c>
      <c r="X28">
        <f>IF(P28=0,0,COUNTIF(Transect1_imgsummary!E28:I28,"ASTRP")*100/P28)</f>
        <v>0</v>
      </c>
      <c r="Y28">
        <f>IF(P28=0,0,COUNTIF(Transect1_imgsummary!E28:I28,"CAUL")*100/P28)</f>
        <v>0</v>
      </c>
      <c r="Z28">
        <f>IF(P28=0,0,COUNTIF(Transect1_imgsummary!E28:I28,"COSC")*100/P28)</f>
        <v>0</v>
      </c>
      <c r="AA28">
        <f>IF(P28=0,0,COUNTIF(Transect1_imgsummary!E28:I28,"CTEN")*100/P28)</f>
        <v>0</v>
      </c>
      <c r="AB28">
        <f>IF(P28=0,0,COUNTIF(Transect1_imgsummary!E28:I28,"CYPH")*100/P28)</f>
        <v>0</v>
      </c>
      <c r="AC28">
        <f>IF(P28=0,0,COUNTIF(Transect1_imgsummary!E28:I28,"DIPLO")*100/P28)</f>
        <v>0</v>
      </c>
      <c r="AD28">
        <f>IF(P28=0,0,COUNTIF(Transect1_imgsummary!E28:I28,"ECHPO")*100/P28)</f>
        <v>0</v>
      </c>
      <c r="AE28">
        <f>IF(P28=0,0,COUNTIF(Transect1_imgsummary!E28:I28,"ECHPHY")*100/P28)</f>
        <v>0</v>
      </c>
      <c r="AF28">
        <f>IF(P28=0,0,COUNTIF(Transect1_imgsummary!E28:I28,"EUPH")*100/P28)</f>
        <v>0</v>
      </c>
      <c r="AG28">
        <f>IF(P28=0,0,COUNTIF(Transect1_imgsummary!E28:I28,"FAV")*100/P28)</f>
        <v>0</v>
      </c>
      <c r="AH28">
        <f>IF(P28=0,0,COUNTIF(Transect1_imgsummary!E28:I28,"FAVT")*100/P28)</f>
        <v>0</v>
      </c>
      <c r="AI28">
        <f>IF(P28=0,0,COUNTIF(Transect1_imgsummary!E28:I28,"FUNG")*100/P28)</f>
        <v>0</v>
      </c>
      <c r="AJ28">
        <f>IF(P28=0,0,COUNTIF(Transect1_imgsummary!E28:I28,"GAL")*100/P28)</f>
        <v>0</v>
      </c>
      <c r="AK28">
        <f>IF(P28=0,0,COUNTIF(Transect1_imgsummary!E28:I28,"GARD")*100/P28)</f>
        <v>0</v>
      </c>
      <c r="AL28">
        <f>IF(P28=0,0,COUNTIF(Transect1_imgsummary!E28:I28,"GON")*100/P28)</f>
        <v>0</v>
      </c>
      <c r="AM28">
        <f>IF(P28=0,0,COUNTIF(Transect1_imgsummary!E28:I28,"GONIO")*100/P28)</f>
        <v>0</v>
      </c>
      <c r="AN28">
        <f>IF(P28=0,0,COUNTIF(Transect1_imgsummary!E28:I28,"HELIO")*100/P28)</f>
        <v>0</v>
      </c>
      <c r="AO28">
        <f>IF(P28=0,0,COUNTIF(Transect1_imgsummary!E28:I28,"HERP")*100/P28)</f>
        <v>0</v>
      </c>
      <c r="AP28">
        <f>IF(P28=0,0,COUNTIF(Transect1_imgsummary!E28:I28,"HYD")*100/P28)</f>
        <v>0</v>
      </c>
      <c r="AQ28">
        <f>IF(P28=0,0,COUNTIF(Transect1_imgsummary!E28:I28,"ISOP")*100/P28)</f>
        <v>0</v>
      </c>
      <c r="AR28">
        <f>IF(P28=0,0,COUNTIF(Transect1_imgsummary!E28:I28,"LEPT")*100/P28)</f>
        <v>0</v>
      </c>
      <c r="AS28">
        <f>IF(P28=0,0,COUNTIF(Transect1_imgsummary!E28:I28,"LEPTOR")*100/P28)</f>
        <v>0</v>
      </c>
      <c r="AT28">
        <f>IF(P28=0,0,COUNTIF(Transect1_imgsummary!E28:I28,"LEPTOS")*100/P28)</f>
        <v>0</v>
      </c>
      <c r="AU28">
        <f>IF(P28=0,0,COUNTIF(Transect1_imgsummary!E28:I28,"LOBOPH")*100/P28)</f>
        <v>0</v>
      </c>
      <c r="AV28">
        <f>IF(P28=0,0,COUNTIF(Transect1_imgsummary!E28:I28,"MERU")*100/P28)</f>
        <v>0</v>
      </c>
      <c r="AW28">
        <f>IF(P28=0,0,COUNTIF(Transect1_imgsummary!E28:I28,"MILL")*100/P28)</f>
        <v>0</v>
      </c>
      <c r="AX28">
        <f>IF(P28=0,0,COUNTIF(Transect1_imgsummary!E28:I28,"MONT")*100/P28)</f>
        <v>0</v>
      </c>
      <c r="AY28">
        <f>IF(P28=0,0,COUNTIF(Transect1_imgsummary!E28:I28,"MONTI")*100/P28)</f>
        <v>0</v>
      </c>
      <c r="AZ28">
        <f>IF(P28=0,0,COUNTIF(Transect1_imgsummary!E28:I28,"MYCED")*100/P28)</f>
        <v>0</v>
      </c>
      <c r="BA28">
        <f>IF(P28=0,0,COUNTIF(Transect1_imgsummary!E28:I28,"OULO")*100/P28)</f>
        <v>0</v>
      </c>
      <c r="BB28">
        <f>IF(P28=0,0,COUNTIF(Transect1_imgsummary!E28:I28,"OXYP")*100/P28)</f>
        <v>0</v>
      </c>
      <c r="BC28">
        <f>IF(P28=0,0,COUNTIF(Transect1_imgsummary!E28:I28,"PLSIA")*100/P28)</f>
        <v>0</v>
      </c>
      <c r="BD28">
        <f>IF(P28=0,0,COUNTIF(Transect1_imgsummary!E28:I28,"PACHY")*100/P28)</f>
        <v>0</v>
      </c>
      <c r="BE28">
        <f>IF(P28=0,0,COUNTIF(Transect1_imgsummary!E28:I28,"PAV")*100/P28)</f>
        <v>0</v>
      </c>
      <c r="BF28">
        <f>IF(P28=0,0,COUNTIF(Transect1_imgsummary!E28:I28,"PECT")*100/P28)</f>
        <v>0</v>
      </c>
      <c r="BG28">
        <f>IF(P28=0,0,COUNTIF(Transect1_imgsummary!E28:I28,"PHYSO")*100/P28)</f>
        <v>0</v>
      </c>
      <c r="BH28" s="29">
        <f>IF(P28=0,0,COUNTIF(Transect1_imgsummary!E28:I28,"PLAT")*100/P28)</f>
        <v>60</v>
      </c>
      <c r="BI28">
        <f>IF(P28=0,0,COUNTIF(Transect1_imgsummary!E28:I28,"PLERO")*100/P28)</f>
        <v>0</v>
      </c>
      <c r="BJ28">
        <f>IF(P28=0,0,COUNTIF(Transect1_imgsummary!E28:I28,"POC")*100/P28)</f>
        <v>0</v>
      </c>
      <c r="BK28">
        <f>IF(P28=0,0,COUNTIF(Transect1_imgsummary!E28:I28,"POR")*100/P28)</f>
        <v>0</v>
      </c>
      <c r="BL28">
        <f>IF(P28=0,0,COUNTIF(Transect1_imgsummary!E28:I28,"PORCYL")*100/P28)</f>
        <v>0</v>
      </c>
      <c r="BM28">
        <f>IF(P28=0,0,COUNTIF(Transect1_imgsummary!E28:I28,"PORMAS")*100/P28)</f>
        <v>0</v>
      </c>
      <c r="BN28">
        <f>IF(P28=0,0,COUNTIF(Transect1_imgsummary!E28:I28,"PORRUS")*100/P28)</f>
        <v>0</v>
      </c>
      <c r="BO28">
        <f>IF(P28=0,0,COUNTIF(Transect1_imgsummary!E28:I28,"PSAM")*100/P28)</f>
        <v>0</v>
      </c>
      <c r="BP28">
        <f>IF(P28=0,0,COUNTIF(Transect1_imgsummary!E28:I28,"SANDO")*100/P28)</f>
        <v>0</v>
      </c>
      <c r="BQ28">
        <f>IF(P28=0,0,COUNTIF(Transect1_imgsummary!E28:I28,"SCAP")*100/P28)</f>
        <v>0</v>
      </c>
      <c r="BR28">
        <f>IF(P28=0,0,COUNTIF(Transect1_imgsummary!E28:I28,"SERIA")*100/P28)</f>
        <v>0</v>
      </c>
      <c r="BS28">
        <f>IF(P28=0,0,COUNTIF(Transect1_imgsummary!E28:I28,"STYLC")*100/P28)</f>
        <v>0</v>
      </c>
      <c r="BT28">
        <f>IF(P28=0,0,COUNTIF(Transect1_imgsummary!E28:I28,"STYLO")*100/P28)</f>
        <v>0</v>
      </c>
      <c r="BU28">
        <f>IF(P28=0,0,COUNTIF(Transect1_imgsummary!E28:I28,"SYMP")*100/P28)</f>
        <v>0</v>
      </c>
      <c r="BV28">
        <f>IF(P28=0,0,COUNTIF(Transect1_imgsummary!E28:I28,"TURBIN")*100/P28)</f>
        <v>0</v>
      </c>
      <c r="BX28">
        <f>IF(P28=0,0,COUNTIF(Transect1_imgsummary!E28:I28,"ANEM")*100/P28)</f>
        <v>0</v>
      </c>
      <c r="BY28">
        <f>IF(P28=0,0,COUNTIF(Transect1_imgsummary!E28:I28,"ASC")*100/P28)</f>
        <v>0</v>
      </c>
      <c r="BZ28">
        <f>IF(P28=0,0,COUNTIF(Transect1_imgsummary!E28:I28,"CUPS")*100/P28)</f>
        <v>0</v>
      </c>
      <c r="CA28">
        <f>IF(P28=0,0,COUNTIF(Transect1_imgsummary!E28:I28,"DISCO")*100/P28)</f>
        <v>0</v>
      </c>
      <c r="CB28">
        <f>IF(P28=0,0,COUNTIF(Transect1_imgsummary!E28:I28,"DYS")*100/P28)</f>
        <v>0</v>
      </c>
      <c r="CC28">
        <f>IF(P28=0,0,COUNTIF(Transect1_imgsummary!E28:I28,"G")*100/P28)</f>
        <v>0</v>
      </c>
      <c r="CD28">
        <f>IF(P28=0,0,COUNTIF(Transect1_imgsummary!E28:I28,"NoIDINV")*100/P28)</f>
        <v>0</v>
      </c>
      <c r="CE28">
        <f>IF(P28=0,0,COUNTIF(Transect1_imgsummary!E28:I28,"OLV")*100/P28)</f>
        <v>0</v>
      </c>
      <c r="CF28">
        <f>IF(P28=0,0,COUNTIF(Transect1_imgsummary!E28:I28,"SC")*100/P28)</f>
        <v>0</v>
      </c>
      <c r="CG28">
        <f>IF(P28=0,0,COUNTIF(Transect1_imgsummary!E28:I28,"S")*100/P28)</f>
        <v>0</v>
      </c>
      <c r="CH28">
        <f>IF(P28=0,0,COUNTIF(Transect1_imgsummary!E28:I28,"TERPS")*100/P28)</f>
        <v>0</v>
      </c>
      <c r="CI28">
        <f>IF(P28=0,0,COUNTIF(Transect1_imgsummary!E28:I28,"Z")*100/P28)</f>
        <v>0</v>
      </c>
      <c r="CK28">
        <f>IF(P28=0,0,COUNTIF(Transect1_imgsummary!E28:I28,"ASP")*100/P28)</f>
        <v>0</v>
      </c>
      <c r="CL28">
        <f>IF(P28=0,0,COUNTIF(Transect1_imgsummary!E28:I28,"BG")*100/P28)</f>
        <v>0</v>
      </c>
      <c r="CM28">
        <f>IF(P28=0,0,COUNTIF(Transect1_imgsummary!E28:I28,"Bood")*100/P28)</f>
        <v>0</v>
      </c>
      <c r="CN28">
        <f>IF(P28=0,0,COUNTIF(Transect1_imgsummary!E28:I28,"BRYP")*100/P28)</f>
        <v>0</v>
      </c>
      <c r="CO28">
        <f>IF(P28=0,0,COUNTIF(Transect1_imgsummary!E28:I28,"CLP")*100/P28)</f>
        <v>0</v>
      </c>
      <c r="CP28">
        <f>IF(P28=0,0,COUNTIF(Transect1_imgsummary!E28:I28,"CHLDES")*100/P28)</f>
        <v>0</v>
      </c>
      <c r="CQ28">
        <f>IF(P28=0,0,COUNTIF(Transect1_imgsummary!E28:I28,"DYCTY")*100/P28)</f>
        <v>0</v>
      </c>
      <c r="CR28">
        <f>IF(P28=0,0,COUNTIF(Transect1_imgsummary!E28:I28,"DICT")*100/P28)</f>
        <v>0</v>
      </c>
      <c r="CS28">
        <f>IF(P28=0,0,COUNTIF(Transect1_imgsummary!E28:I28,"GLXU")*100/P28)</f>
        <v>0</v>
      </c>
      <c r="CT28">
        <f>IF(P28=0,0,COUNTIF(Transect1_imgsummary!E28:I28,"HALI")*100/P28)</f>
        <v>0</v>
      </c>
      <c r="CU28">
        <f>IF(P28=0,0,COUNTIF(Transect1_imgsummary!E28:I28,"LIAG")*100/P28)</f>
        <v>0</v>
      </c>
      <c r="CV28">
        <f>IF(P28=0,0,COUNTIF(Transect1_imgsummary!E28:I28,"LOBO")*100/P28)</f>
        <v>0</v>
      </c>
      <c r="CW28">
        <f>IF(P28=0,0,COUNTIF(Transect1_imgsummary!E28:I28,"MAST")*100/P28)</f>
        <v>0</v>
      </c>
      <c r="CX28">
        <f>IF(P28=0,0,COUNTIF(Transect1_imgsummary!E28:I28,"MICDTY")*100/P28)</f>
        <v>0</v>
      </c>
      <c r="CY28">
        <f>IF(P28=0,0,COUNTIF(Transect1_imgsummary!E28:I28,"NEOM")*100/P28)</f>
        <v>0</v>
      </c>
      <c r="CZ28">
        <f>IF(P28=0,0,COUNTIF(Transect1_imgsummary!E28:I28,"NOIDMAC")*100/P28)</f>
        <v>0</v>
      </c>
      <c r="DA28">
        <f>IF(P28=0,0,COUNTIF(Transect1_imgsummary!E28:I28,"PAD")*100/P28)</f>
        <v>0</v>
      </c>
      <c r="DB28">
        <f>IF(P28=0,0,COUNTIF(Transect1_imgsummary!E28:I28,"SARG")*100/P28)</f>
        <v>0</v>
      </c>
      <c r="DC28">
        <f>IF(P28=0,0,COUNTIF(Transect1_imgsummary!E28:I28,"SCHIZ")*100/P28)</f>
        <v>0</v>
      </c>
      <c r="DD28">
        <f>IF(P28=0,0,COUNTIF(Transect1_imgsummary!E28:I28,"TURB")*100/P28)</f>
        <v>0</v>
      </c>
      <c r="DE28">
        <f>IF(P28=0,0,COUNTIF(Transect1_imgsummary!E28:I28,"TYDM")*100/P28)</f>
        <v>0</v>
      </c>
      <c r="DG28">
        <f>IF(P28=0,0,COUNTIF(Transect1_imgsummary!E28:I28,"AMP")*100/P28)</f>
        <v>0</v>
      </c>
      <c r="DH28">
        <f>IF(P28=0,0,COUNTIF(Transect1_imgsummary!E28:I28,"BCA1")*100/P28)</f>
        <v>0</v>
      </c>
      <c r="DI28">
        <f>IF(P28=0,0,COUNTIF(Transect1_imgsummary!E28:I28,"JAN")*100/P28)</f>
        <v>0</v>
      </c>
      <c r="DK28" s="29">
        <f>IF(P28=0,0,COUNTIF(Transect1_imgsummary!E28:I28,"CCA1")*100/P28)</f>
        <v>20</v>
      </c>
      <c r="DM28">
        <f>IF(P28=0,0,COUNTIF(Transect1_imgsummary!E28:I28,"Sand")*100/P28)</f>
        <v>0</v>
      </c>
      <c r="DO28">
        <f>IF(P28=0,0,COUNTIF(Transect1_imgsummary!E28:I28,"FCA1")*100/P28)</f>
        <v>0</v>
      </c>
      <c r="DQ28">
        <f>IF(P28=0,0,COUNTIF(Transect1_imgsummary!E28:I28,"CHRYOBRN")*100/P28)</f>
        <v>0</v>
      </c>
      <c r="DS28" s="29">
        <f>IF(P28=0,0,COUNTIF(Transect1_imgsummary!E28:I28,"TURF")*100/P28)</f>
        <v>20</v>
      </c>
      <c r="DU28">
        <f>COUNTIF(Transect1_imgsummary!E28:I28,"Shadow")*100/5</f>
        <v>0</v>
      </c>
      <c r="DV28">
        <f>COUNTIF(Transect1_imgsummary!E28:I28,"Tape")*100/5</f>
        <v>0</v>
      </c>
      <c r="DW28">
        <f>COUNTIF(Transect1_imgsummary!E28:I28,"Wand")*100/5</f>
        <v>0</v>
      </c>
      <c r="DY28">
        <f>IF(P28=0,0,COUNTIF(Transect1_imgsummary!O28:S28,"BC")*100/P28)</f>
        <v>0</v>
      </c>
    </row>
    <row r="29" spans="1:129">
      <c r="A29">
        <v>27</v>
      </c>
      <c r="B29" t="s">
        <v>70</v>
      </c>
      <c r="F29" s="29">
        <f>IF(P29=0,0,COUNTIF(Transect1_imgsummary!J29:N29,"C")*100/P29)</f>
        <v>60</v>
      </c>
      <c r="G29">
        <f>IF(P29=0,0,COUNTIF(Transect1_imgsummary!J29:N29,"OI")*100/P29)</f>
        <v>0</v>
      </c>
      <c r="H29">
        <f>IF(P29=0,0,COUNTIF(Transect1_imgsummary!J29:N29,"MA")*100/P29)</f>
        <v>0</v>
      </c>
      <c r="I29">
        <f>IF(P29=0,0,COUNTIF(Transect1_imgsummary!J29:N29,"BCA")*100/P29)</f>
        <v>0</v>
      </c>
      <c r="J29" s="29">
        <f>IF(P29=0,0,COUNTIF(Transect1_imgsummary!J29:N29,"CCA")*100/P29)</f>
        <v>20</v>
      </c>
      <c r="K29">
        <f>IF(P29=0,0,COUNTIF(Transect1_imgsummary!J29:N29,"SD")*100/P29)</f>
        <v>0</v>
      </c>
      <c r="L29">
        <f>IF(P29=0,0,COUNTIF(Transect1_imgsummary!J29:N29,"FCA")*100/P29)</f>
        <v>0</v>
      </c>
      <c r="M29">
        <f>IF(P29=0,0,COUNTIF(Transect1_imgsummary!J29:N29,"CHRYS")*100/P29)</f>
        <v>0</v>
      </c>
      <c r="N29" s="29">
        <f>IF(P29=0,0,COUNTIF(Transect1_imgsummary!J29:N29,"T")*100/P29)</f>
        <v>20</v>
      </c>
      <c r="O29">
        <f>IF(P29=0,0,COUNTIF(Transect1_imgsummary!J29:N29,"TWS")*100/P29)</f>
        <v>0</v>
      </c>
      <c r="P29">
        <f>5-COUNTIF(Transect1_imgsummary!J29:N29,"TWS")</f>
        <v>5</v>
      </c>
      <c r="S29">
        <f>IF(P29=0,0,COUNTIF(Transect1_imgsummary!E29:I29,"ACAN")*100/P29)</f>
        <v>0</v>
      </c>
      <c r="T29">
        <f>IF(P29=0,0,COUNTIF(Transect1_imgsummary!E29:I29,"ACROP")*100/P29)</f>
        <v>0</v>
      </c>
      <c r="U29">
        <f>IF(P29=0,0,COUNTIF(Transect1_imgsummary!E29:I29,"ACROPARB")*100/P29)</f>
        <v>0</v>
      </c>
      <c r="V29">
        <f>IF(P29=0,0,COUNTIF(Transect1_imgsummary!E29:I29,"ACROST")*100/P29)</f>
        <v>0</v>
      </c>
      <c r="W29">
        <f>IF(P29=0,0,COUNTIF(Transect1_imgsummary!E29:I29,"ACROTBL")*100/P29)</f>
        <v>0</v>
      </c>
      <c r="X29">
        <f>IF(P29=0,0,COUNTIF(Transect1_imgsummary!E29:I29,"ASTRP")*100/P29)</f>
        <v>0</v>
      </c>
      <c r="Y29">
        <f>IF(P29=0,0,COUNTIF(Transect1_imgsummary!E29:I29,"CAUL")*100/P29)</f>
        <v>0</v>
      </c>
      <c r="Z29">
        <f>IF(P29=0,0,COUNTIF(Transect1_imgsummary!E29:I29,"COSC")*100/P29)</f>
        <v>0</v>
      </c>
      <c r="AA29">
        <f>IF(P29=0,0,COUNTIF(Transect1_imgsummary!E29:I29,"CTEN")*100/P29)</f>
        <v>0</v>
      </c>
      <c r="AB29">
        <f>IF(P29=0,0,COUNTIF(Transect1_imgsummary!E29:I29,"CYPH")*100/P29)</f>
        <v>0</v>
      </c>
      <c r="AC29">
        <f>IF(P29=0,0,COUNTIF(Transect1_imgsummary!E29:I29,"DIPLO")*100/P29)</f>
        <v>0</v>
      </c>
      <c r="AD29">
        <f>IF(P29=0,0,COUNTIF(Transect1_imgsummary!E29:I29,"ECHPO")*100/P29)</f>
        <v>0</v>
      </c>
      <c r="AE29">
        <f>IF(P29=0,0,COUNTIF(Transect1_imgsummary!E29:I29,"ECHPHY")*100/P29)</f>
        <v>0</v>
      </c>
      <c r="AF29">
        <f>IF(P29=0,0,COUNTIF(Transect1_imgsummary!E29:I29,"EUPH")*100/P29)</f>
        <v>0</v>
      </c>
      <c r="AG29" s="29">
        <f>IF(P29=0,0,COUNTIF(Transect1_imgsummary!E29:I29,"FAV")*100/P29)</f>
        <v>20</v>
      </c>
      <c r="AH29">
        <f>IF(P29=0,0,COUNTIF(Transect1_imgsummary!E29:I29,"FAVT")*100/P29)</f>
        <v>0</v>
      </c>
      <c r="AI29">
        <f>IF(P29=0,0,COUNTIF(Transect1_imgsummary!E29:I29,"FUNG")*100/P29)</f>
        <v>0</v>
      </c>
      <c r="AJ29">
        <f>IF(P29=0,0,COUNTIF(Transect1_imgsummary!E29:I29,"GAL")*100/P29)</f>
        <v>0</v>
      </c>
      <c r="AK29">
        <f>IF(P29=0,0,COUNTIF(Transect1_imgsummary!E29:I29,"GARD")*100/P29)</f>
        <v>0</v>
      </c>
      <c r="AL29">
        <f>IF(P29=0,0,COUNTIF(Transect1_imgsummary!E29:I29,"GON")*100/P29)</f>
        <v>0</v>
      </c>
      <c r="AM29">
        <f>IF(P29=0,0,COUNTIF(Transect1_imgsummary!E29:I29,"GONIO")*100/P29)</f>
        <v>0</v>
      </c>
      <c r="AN29">
        <f>IF(P29=0,0,COUNTIF(Transect1_imgsummary!E29:I29,"HELIO")*100/P29)</f>
        <v>0</v>
      </c>
      <c r="AO29">
        <f>IF(P29=0,0,COUNTIF(Transect1_imgsummary!E29:I29,"HERP")*100/P29)</f>
        <v>0</v>
      </c>
      <c r="AP29">
        <f>IF(P29=0,0,COUNTIF(Transect1_imgsummary!E29:I29,"HYD")*100/P29)</f>
        <v>0</v>
      </c>
      <c r="AQ29">
        <f>IF(P29=0,0,COUNTIF(Transect1_imgsummary!E29:I29,"ISOP")*100/P29)</f>
        <v>0</v>
      </c>
      <c r="AR29">
        <f>IF(P29=0,0,COUNTIF(Transect1_imgsummary!E29:I29,"LEPT")*100/P29)</f>
        <v>0</v>
      </c>
      <c r="AS29" s="29">
        <f>IF(P29=0,0,COUNTIF(Transect1_imgsummary!E29:I29,"LEPTOR")*100/P29)</f>
        <v>40</v>
      </c>
      <c r="AT29">
        <f>IF(P29=0,0,COUNTIF(Transect1_imgsummary!E29:I29,"LEPTOS")*100/P29)</f>
        <v>0</v>
      </c>
      <c r="AU29">
        <f>IF(P29=0,0,COUNTIF(Transect1_imgsummary!E29:I29,"LOBOPH")*100/P29)</f>
        <v>0</v>
      </c>
      <c r="AV29">
        <f>IF(P29=0,0,COUNTIF(Transect1_imgsummary!E29:I29,"MERU")*100/P29)</f>
        <v>0</v>
      </c>
      <c r="AW29">
        <f>IF(P29=0,0,COUNTIF(Transect1_imgsummary!E29:I29,"MILL")*100/P29)</f>
        <v>0</v>
      </c>
      <c r="AX29">
        <f>IF(P29=0,0,COUNTIF(Transect1_imgsummary!E29:I29,"MONT")*100/P29)</f>
        <v>0</v>
      </c>
      <c r="AY29">
        <f>IF(P29=0,0,COUNTIF(Transect1_imgsummary!E29:I29,"MONTI")*100/P29)</f>
        <v>0</v>
      </c>
      <c r="AZ29">
        <f>IF(P29=0,0,COUNTIF(Transect1_imgsummary!E29:I29,"MYCED")*100/P29)</f>
        <v>0</v>
      </c>
      <c r="BA29">
        <f>IF(P29=0,0,COUNTIF(Transect1_imgsummary!E29:I29,"OULO")*100/P29)</f>
        <v>0</v>
      </c>
      <c r="BB29">
        <f>IF(P29=0,0,COUNTIF(Transect1_imgsummary!E29:I29,"OXYP")*100/P29)</f>
        <v>0</v>
      </c>
      <c r="BC29">
        <f>IF(P29=0,0,COUNTIF(Transect1_imgsummary!E29:I29,"PLSIA")*100/P29)</f>
        <v>0</v>
      </c>
      <c r="BD29">
        <f>IF(P29=0,0,COUNTIF(Transect1_imgsummary!E29:I29,"PACHY")*100/P29)</f>
        <v>0</v>
      </c>
      <c r="BE29">
        <f>IF(P29=0,0,COUNTIF(Transect1_imgsummary!E29:I29,"PAV")*100/P29)</f>
        <v>0</v>
      </c>
      <c r="BF29">
        <f>IF(P29=0,0,COUNTIF(Transect1_imgsummary!E29:I29,"PECT")*100/P29)</f>
        <v>0</v>
      </c>
      <c r="BG29">
        <f>IF(P29=0,0,COUNTIF(Transect1_imgsummary!E29:I29,"PHYSO")*100/P29)</f>
        <v>0</v>
      </c>
      <c r="BH29">
        <f>IF(P29=0,0,COUNTIF(Transect1_imgsummary!E29:I29,"PLAT")*100/P29)</f>
        <v>0</v>
      </c>
      <c r="BI29">
        <f>IF(P29=0,0,COUNTIF(Transect1_imgsummary!E29:I29,"PLERO")*100/P29)</f>
        <v>0</v>
      </c>
      <c r="BJ29">
        <f>IF(P29=0,0,COUNTIF(Transect1_imgsummary!E29:I29,"POC")*100/P29)</f>
        <v>0</v>
      </c>
      <c r="BK29">
        <f>IF(P29=0,0,COUNTIF(Transect1_imgsummary!E29:I29,"POR")*100/P29)</f>
        <v>0</v>
      </c>
      <c r="BL29">
        <f>IF(P29=0,0,COUNTIF(Transect1_imgsummary!E29:I29,"PORCYL")*100/P29)</f>
        <v>0</v>
      </c>
      <c r="BM29">
        <f>IF(P29=0,0,COUNTIF(Transect1_imgsummary!E29:I29,"PORMAS")*100/P29)</f>
        <v>0</v>
      </c>
      <c r="BN29">
        <f>IF(P29=0,0,COUNTIF(Transect1_imgsummary!E29:I29,"PORRUS")*100/P29)</f>
        <v>0</v>
      </c>
      <c r="BO29">
        <f>IF(P29=0,0,COUNTIF(Transect1_imgsummary!E29:I29,"PSAM")*100/P29)</f>
        <v>0</v>
      </c>
      <c r="BP29">
        <f>IF(P29=0,0,COUNTIF(Transect1_imgsummary!E29:I29,"SANDO")*100/P29)</f>
        <v>0</v>
      </c>
      <c r="BQ29">
        <f>IF(P29=0,0,COUNTIF(Transect1_imgsummary!E29:I29,"SCAP")*100/P29)</f>
        <v>0</v>
      </c>
      <c r="BR29">
        <f>IF(P29=0,0,COUNTIF(Transect1_imgsummary!E29:I29,"SERIA")*100/P29)</f>
        <v>0</v>
      </c>
      <c r="BS29">
        <f>IF(P29=0,0,COUNTIF(Transect1_imgsummary!E29:I29,"STYLC")*100/P29)</f>
        <v>0</v>
      </c>
      <c r="BT29">
        <f>IF(P29=0,0,COUNTIF(Transect1_imgsummary!E29:I29,"STYLO")*100/P29)</f>
        <v>0</v>
      </c>
      <c r="BU29">
        <f>IF(P29=0,0,COUNTIF(Transect1_imgsummary!E29:I29,"SYMP")*100/P29)</f>
        <v>0</v>
      </c>
      <c r="BV29">
        <f>IF(P29=0,0,COUNTIF(Transect1_imgsummary!E29:I29,"TURBIN")*100/P29)</f>
        <v>0</v>
      </c>
      <c r="BX29">
        <f>IF(P29=0,0,COUNTIF(Transect1_imgsummary!E29:I29,"ANEM")*100/P29)</f>
        <v>0</v>
      </c>
      <c r="BY29">
        <f>IF(P29=0,0,COUNTIF(Transect1_imgsummary!E29:I29,"ASC")*100/P29)</f>
        <v>0</v>
      </c>
      <c r="BZ29">
        <f>IF(P29=0,0,COUNTIF(Transect1_imgsummary!E29:I29,"CUPS")*100/P29)</f>
        <v>0</v>
      </c>
      <c r="CA29">
        <f>IF(P29=0,0,COUNTIF(Transect1_imgsummary!E29:I29,"DISCO")*100/P29)</f>
        <v>0</v>
      </c>
      <c r="CB29">
        <f>IF(P29=0,0,COUNTIF(Transect1_imgsummary!E29:I29,"DYS")*100/P29)</f>
        <v>0</v>
      </c>
      <c r="CC29">
        <f>IF(P29=0,0,COUNTIF(Transect1_imgsummary!E29:I29,"G")*100/P29)</f>
        <v>0</v>
      </c>
      <c r="CD29">
        <f>IF(P29=0,0,COUNTIF(Transect1_imgsummary!E29:I29,"NoIDINV")*100/P29)</f>
        <v>0</v>
      </c>
      <c r="CE29">
        <f>IF(P29=0,0,COUNTIF(Transect1_imgsummary!E29:I29,"OLV")*100/P29)</f>
        <v>0</v>
      </c>
      <c r="CF29">
        <f>IF(P29=0,0,COUNTIF(Transect1_imgsummary!E29:I29,"SC")*100/P29)</f>
        <v>0</v>
      </c>
      <c r="CG29">
        <f>IF(P29=0,0,COUNTIF(Transect1_imgsummary!E29:I29,"S")*100/P29)</f>
        <v>0</v>
      </c>
      <c r="CH29">
        <f>IF(P29=0,0,COUNTIF(Transect1_imgsummary!E29:I29,"TERPS")*100/P29)</f>
        <v>0</v>
      </c>
      <c r="CI29">
        <f>IF(P29=0,0,COUNTIF(Transect1_imgsummary!E29:I29,"Z")*100/P29)</f>
        <v>0</v>
      </c>
      <c r="CK29">
        <f>IF(P29=0,0,COUNTIF(Transect1_imgsummary!E29:I29,"ASP")*100/P29)</f>
        <v>0</v>
      </c>
      <c r="CL29">
        <f>IF(P29=0,0,COUNTIF(Transect1_imgsummary!E29:I29,"BG")*100/P29)</f>
        <v>0</v>
      </c>
      <c r="CM29">
        <f>IF(P29=0,0,COUNTIF(Transect1_imgsummary!E29:I29,"Bood")*100/P29)</f>
        <v>0</v>
      </c>
      <c r="CN29">
        <f>IF(P29=0,0,COUNTIF(Transect1_imgsummary!E29:I29,"BRYP")*100/P29)</f>
        <v>0</v>
      </c>
      <c r="CO29">
        <f>IF(P29=0,0,COUNTIF(Transect1_imgsummary!E29:I29,"CLP")*100/P29)</f>
        <v>0</v>
      </c>
      <c r="CP29">
        <f>IF(P29=0,0,COUNTIF(Transect1_imgsummary!E29:I29,"CHLDES")*100/P29)</f>
        <v>0</v>
      </c>
      <c r="CQ29">
        <f>IF(P29=0,0,COUNTIF(Transect1_imgsummary!E29:I29,"DYCTY")*100/P29)</f>
        <v>0</v>
      </c>
      <c r="CR29">
        <f>IF(P29=0,0,COUNTIF(Transect1_imgsummary!E29:I29,"DICT")*100/P29)</f>
        <v>0</v>
      </c>
      <c r="CS29">
        <f>IF(P29=0,0,COUNTIF(Transect1_imgsummary!E29:I29,"GLXU")*100/P29)</f>
        <v>0</v>
      </c>
      <c r="CT29">
        <f>IF(P29=0,0,COUNTIF(Transect1_imgsummary!E29:I29,"HALI")*100/P29)</f>
        <v>0</v>
      </c>
      <c r="CU29">
        <f>IF(P29=0,0,COUNTIF(Transect1_imgsummary!E29:I29,"LIAG")*100/P29)</f>
        <v>0</v>
      </c>
      <c r="CV29">
        <f>IF(P29=0,0,COUNTIF(Transect1_imgsummary!E29:I29,"LOBO")*100/P29)</f>
        <v>0</v>
      </c>
      <c r="CW29">
        <f>IF(P29=0,0,COUNTIF(Transect1_imgsummary!E29:I29,"MAST")*100/P29)</f>
        <v>0</v>
      </c>
      <c r="CX29">
        <f>IF(P29=0,0,COUNTIF(Transect1_imgsummary!E29:I29,"MICDTY")*100/P29)</f>
        <v>0</v>
      </c>
      <c r="CY29">
        <f>IF(P29=0,0,COUNTIF(Transect1_imgsummary!E29:I29,"NEOM")*100/P29)</f>
        <v>0</v>
      </c>
      <c r="CZ29">
        <f>IF(P29=0,0,COUNTIF(Transect1_imgsummary!E29:I29,"NOIDMAC")*100/P29)</f>
        <v>0</v>
      </c>
      <c r="DA29">
        <f>IF(P29=0,0,COUNTIF(Transect1_imgsummary!E29:I29,"PAD")*100/P29)</f>
        <v>0</v>
      </c>
      <c r="DB29">
        <f>IF(P29=0,0,COUNTIF(Transect1_imgsummary!E29:I29,"SARG")*100/P29)</f>
        <v>0</v>
      </c>
      <c r="DC29">
        <f>IF(P29=0,0,COUNTIF(Transect1_imgsummary!E29:I29,"SCHIZ")*100/P29)</f>
        <v>0</v>
      </c>
      <c r="DD29">
        <f>IF(P29=0,0,COUNTIF(Transect1_imgsummary!E29:I29,"TURB")*100/P29)</f>
        <v>0</v>
      </c>
      <c r="DE29">
        <f>IF(P29=0,0,COUNTIF(Transect1_imgsummary!E29:I29,"TYDM")*100/P29)</f>
        <v>0</v>
      </c>
      <c r="DG29">
        <f>IF(P29=0,0,COUNTIF(Transect1_imgsummary!E29:I29,"AMP")*100/P29)</f>
        <v>0</v>
      </c>
      <c r="DH29">
        <f>IF(P29=0,0,COUNTIF(Transect1_imgsummary!E29:I29,"BCA1")*100/P29)</f>
        <v>0</v>
      </c>
      <c r="DI29">
        <f>IF(P29=0,0,COUNTIF(Transect1_imgsummary!E29:I29,"JAN")*100/P29)</f>
        <v>0</v>
      </c>
      <c r="DK29" s="29">
        <f>IF(P29=0,0,COUNTIF(Transect1_imgsummary!E29:I29,"CCA1")*100/P29)</f>
        <v>20</v>
      </c>
      <c r="DM29">
        <f>IF(P29=0,0,COUNTIF(Transect1_imgsummary!E29:I29,"Sand")*100/P29)</f>
        <v>0</v>
      </c>
      <c r="DO29">
        <f>IF(P29=0,0,COUNTIF(Transect1_imgsummary!E29:I29,"FCA1")*100/P29)</f>
        <v>0</v>
      </c>
      <c r="DQ29">
        <f>IF(P29=0,0,COUNTIF(Transect1_imgsummary!E29:I29,"CHRYOBRN")*100/P29)</f>
        <v>0</v>
      </c>
      <c r="DS29" s="29">
        <f>IF(P29=0,0,COUNTIF(Transect1_imgsummary!E29:I29,"TURF")*100/P29)</f>
        <v>20</v>
      </c>
      <c r="DU29">
        <f>COUNTIF(Transect1_imgsummary!E29:I29,"Shadow")*100/5</f>
        <v>0</v>
      </c>
      <c r="DV29">
        <f>COUNTIF(Transect1_imgsummary!E29:I29,"Tape")*100/5</f>
        <v>0</v>
      </c>
      <c r="DW29">
        <f>COUNTIF(Transect1_imgsummary!E29:I29,"Wand")*100/5</f>
        <v>0</v>
      </c>
      <c r="DY29">
        <f>IF(P29=0,0,COUNTIF(Transect1_imgsummary!O29:S29,"BC")*100/P29)</f>
        <v>0</v>
      </c>
    </row>
    <row r="30" spans="1:129">
      <c r="A30">
        <v>28</v>
      </c>
      <c r="B30" t="s">
        <v>71</v>
      </c>
      <c r="F30" s="29">
        <f>IF(P30=0,0,COUNTIF(Transect1_imgsummary!J30:N30,"C")*100/P30)</f>
        <v>20</v>
      </c>
      <c r="G30">
        <f>IF(P30=0,0,COUNTIF(Transect1_imgsummary!J30:N30,"OI")*100/P30)</f>
        <v>0</v>
      </c>
      <c r="H30">
        <f>IF(P30=0,0,COUNTIF(Transect1_imgsummary!J30:N30,"MA")*100/P30)</f>
        <v>0</v>
      </c>
      <c r="I30">
        <f>IF(P30=0,0,COUNTIF(Transect1_imgsummary!J30:N30,"BCA")*100/P30)</f>
        <v>0</v>
      </c>
      <c r="J30" s="29">
        <f>IF(P30=0,0,COUNTIF(Transect1_imgsummary!J30:N30,"CCA")*100/P30)</f>
        <v>20</v>
      </c>
      <c r="K30">
        <f>IF(P30=0,0,COUNTIF(Transect1_imgsummary!J30:N30,"SD")*100/P30)</f>
        <v>0</v>
      </c>
      <c r="L30" s="29">
        <f>IF(P30=0,0,COUNTIF(Transect1_imgsummary!J30:N30,"FCA")*100/P30)</f>
        <v>40</v>
      </c>
      <c r="M30">
        <f>IF(P30=0,0,COUNTIF(Transect1_imgsummary!J30:N30,"CHRYS")*100/P30)</f>
        <v>0</v>
      </c>
      <c r="N30" s="29">
        <f>IF(P30=0,0,COUNTIF(Transect1_imgsummary!J30:N30,"T")*100/P30)</f>
        <v>20</v>
      </c>
      <c r="O30">
        <f>IF(P30=0,0,COUNTIF(Transect1_imgsummary!J30:N30,"TWS")*100/P30)</f>
        <v>0</v>
      </c>
      <c r="P30">
        <f>5-COUNTIF(Transect1_imgsummary!J30:N30,"TWS")</f>
        <v>5</v>
      </c>
      <c r="S30">
        <f>IF(P30=0,0,COUNTIF(Transect1_imgsummary!E30:I30,"ACAN")*100/P30)</f>
        <v>0</v>
      </c>
      <c r="T30">
        <f>IF(P30=0,0,COUNTIF(Transect1_imgsummary!E30:I30,"ACROP")*100/P30)</f>
        <v>0</v>
      </c>
      <c r="U30">
        <f>IF(P30=0,0,COUNTIF(Transect1_imgsummary!E30:I30,"ACROPARB")*100/P30)</f>
        <v>0</v>
      </c>
      <c r="V30">
        <f>IF(P30=0,0,COUNTIF(Transect1_imgsummary!E30:I30,"ACROST")*100/P30)</f>
        <v>0</v>
      </c>
      <c r="W30">
        <f>IF(P30=0,0,COUNTIF(Transect1_imgsummary!E30:I30,"ACROTBL")*100/P30)</f>
        <v>0</v>
      </c>
      <c r="X30">
        <f>IF(P30=0,0,COUNTIF(Transect1_imgsummary!E30:I30,"ASTRP")*100/P30)</f>
        <v>0</v>
      </c>
      <c r="Y30">
        <f>IF(P30=0,0,COUNTIF(Transect1_imgsummary!E30:I30,"CAUL")*100/P30)</f>
        <v>0</v>
      </c>
      <c r="Z30">
        <f>IF(P30=0,0,COUNTIF(Transect1_imgsummary!E30:I30,"COSC")*100/P30)</f>
        <v>0</v>
      </c>
      <c r="AA30">
        <f>IF(P30=0,0,COUNTIF(Transect1_imgsummary!E30:I30,"CTEN")*100/P30)</f>
        <v>0</v>
      </c>
      <c r="AB30">
        <f>IF(P30=0,0,COUNTIF(Transect1_imgsummary!E30:I30,"CYPH")*100/P30)</f>
        <v>0</v>
      </c>
      <c r="AC30">
        <f>IF(P30=0,0,COUNTIF(Transect1_imgsummary!E30:I30,"DIPLO")*100/P30)</f>
        <v>0</v>
      </c>
      <c r="AD30">
        <f>IF(P30=0,0,COUNTIF(Transect1_imgsummary!E30:I30,"ECHPO")*100/P30)</f>
        <v>0</v>
      </c>
      <c r="AE30">
        <f>IF(P30=0,0,COUNTIF(Transect1_imgsummary!E30:I30,"ECHPHY")*100/P30)</f>
        <v>0</v>
      </c>
      <c r="AF30">
        <f>IF(P30=0,0,COUNTIF(Transect1_imgsummary!E30:I30,"EUPH")*100/P30)</f>
        <v>0</v>
      </c>
      <c r="AG30">
        <f>IF(P30=0,0,COUNTIF(Transect1_imgsummary!E30:I30,"FAV")*100/P30)</f>
        <v>0</v>
      </c>
      <c r="AH30">
        <f>IF(P30=0,0,COUNTIF(Transect1_imgsummary!E30:I30,"FAVT")*100/P30)</f>
        <v>0</v>
      </c>
      <c r="AI30">
        <f>IF(P30=0,0,COUNTIF(Transect1_imgsummary!E30:I30,"FUNG")*100/P30)</f>
        <v>0</v>
      </c>
      <c r="AJ30">
        <f>IF(P30=0,0,COUNTIF(Transect1_imgsummary!E30:I30,"GAL")*100/P30)</f>
        <v>0</v>
      </c>
      <c r="AK30">
        <f>IF(P30=0,0,COUNTIF(Transect1_imgsummary!E30:I30,"GARD")*100/P30)</f>
        <v>0</v>
      </c>
      <c r="AL30">
        <f>IF(P30=0,0,COUNTIF(Transect1_imgsummary!E30:I30,"GON")*100/P30)</f>
        <v>0</v>
      </c>
      <c r="AM30">
        <f>IF(P30=0,0,COUNTIF(Transect1_imgsummary!E30:I30,"GONIO")*100/P30)</f>
        <v>0</v>
      </c>
      <c r="AN30">
        <f>IF(P30=0,0,COUNTIF(Transect1_imgsummary!E30:I30,"HELIO")*100/P30)</f>
        <v>0</v>
      </c>
      <c r="AO30">
        <f>IF(P30=0,0,COUNTIF(Transect1_imgsummary!E30:I30,"HERP")*100/P30)</f>
        <v>0</v>
      </c>
      <c r="AP30">
        <f>IF(P30=0,0,COUNTIF(Transect1_imgsummary!E30:I30,"HYD")*100/P30)</f>
        <v>0</v>
      </c>
      <c r="AQ30">
        <f>IF(P30=0,0,COUNTIF(Transect1_imgsummary!E30:I30,"ISOP")*100/P30)</f>
        <v>0</v>
      </c>
      <c r="AR30">
        <f>IF(P30=0,0,COUNTIF(Transect1_imgsummary!E30:I30,"LEPT")*100/P30)</f>
        <v>0</v>
      </c>
      <c r="AS30">
        <f>IF(P30=0,0,COUNTIF(Transect1_imgsummary!E30:I30,"LEPTOR")*100/P30)</f>
        <v>0</v>
      </c>
      <c r="AT30">
        <f>IF(P30=0,0,COUNTIF(Transect1_imgsummary!E30:I30,"LEPTOS")*100/P30)</f>
        <v>0</v>
      </c>
      <c r="AU30">
        <f>IF(P30=0,0,COUNTIF(Transect1_imgsummary!E30:I30,"LOBOPH")*100/P30)</f>
        <v>0</v>
      </c>
      <c r="AV30">
        <f>IF(P30=0,0,COUNTIF(Transect1_imgsummary!E30:I30,"MERU")*100/P30)</f>
        <v>0</v>
      </c>
      <c r="AW30">
        <f>IF(P30=0,0,COUNTIF(Transect1_imgsummary!E30:I30,"MILL")*100/P30)</f>
        <v>0</v>
      </c>
      <c r="AX30">
        <f>IF(P30=0,0,COUNTIF(Transect1_imgsummary!E30:I30,"MONT")*100/P30)</f>
        <v>0</v>
      </c>
      <c r="AY30">
        <f>IF(P30=0,0,COUNTIF(Transect1_imgsummary!E30:I30,"MONTI")*100/P30)</f>
        <v>0</v>
      </c>
      <c r="AZ30" s="29">
        <f>IF(P30=0,0,COUNTIF(Transect1_imgsummary!E30:I30,"MYCED")*100/P30)</f>
        <v>20</v>
      </c>
      <c r="BA30">
        <f>IF(P30=0,0,COUNTIF(Transect1_imgsummary!E30:I30,"OULO")*100/P30)</f>
        <v>0</v>
      </c>
      <c r="BB30">
        <f>IF(P30=0,0,COUNTIF(Transect1_imgsummary!E30:I30,"OXYP")*100/P30)</f>
        <v>0</v>
      </c>
      <c r="BC30">
        <f>IF(P30=0,0,COUNTIF(Transect1_imgsummary!E30:I30,"PLSIA")*100/P30)</f>
        <v>0</v>
      </c>
      <c r="BD30">
        <f>IF(P30=0,0,COUNTIF(Transect1_imgsummary!E30:I30,"PACHY")*100/P30)</f>
        <v>0</v>
      </c>
      <c r="BE30">
        <f>IF(P30=0,0,COUNTIF(Transect1_imgsummary!E30:I30,"PAV")*100/P30)</f>
        <v>0</v>
      </c>
      <c r="BF30">
        <f>IF(P30=0,0,COUNTIF(Transect1_imgsummary!E30:I30,"PECT")*100/P30)</f>
        <v>0</v>
      </c>
      <c r="BG30">
        <f>IF(P30=0,0,COUNTIF(Transect1_imgsummary!E30:I30,"PHYSO")*100/P30)</f>
        <v>0</v>
      </c>
      <c r="BH30">
        <f>IF(P30=0,0,COUNTIF(Transect1_imgsummary!E30:I30,"PLAT")*100/P30)</f>
        <v>0</v>
      </c>
      <c r="BI30">
        <f>IF(P30=0,0,COUNTIF(Transect1_imgsummary!E30:I30,"PLERO")*100/P30)</f>
        <v>0</v>
      </c>
      <c r="BJ30">
        <f>IF(P30=0,0,COUNTIF(Transect1_imgsummary!E30:I30,"POC")*100/P30)</f>
        <v>0</v>
      </c>
      <c r="BK30">
        <f>IF(P30=0,0,COUNTIF(Transect1_imgsummary!E30:I30,"POR")*100/P30)</f>
        <v>0</v>
      </c>
      <c r="BL30">
        <f>IF(P30=0,0,COUNTIF(Transect1_imgsummary!E30:I30,"PORCYL")*100/P30)</f>
        <v>0</v>
      </c>
      <c r="BM30">
        <f>IF(P30=0,0,COUNTIF(Transect1_imgsummary!E30:I30,"PORMAS")*100/P30)</f>
        <v>0</v>
      </c>
      <c r="BN30">
        <f>IF(P30=0,0,COUNTIF(Transect1_imgsummary!E30:I30,"PORRUS")*100/P30)</f>
        <v>0</v>
      </c>
      <c r="BO30">
        <f>IF(P30=0,0,COUNTIF(Transect1_imgsummary!E30:I30,"PSAM")*100/P30)</f>
        <v>0</v>
      </c>
      <c r="BP30">
        <f>IF(P30=0,0,COUNTIF(Transect1_imgsummary!E30:I30,"SANDO")*100/P30)</f>
        <v>0</v>
      </c>
      <c r="BQ30">
        <f>IF(P30=0,0,COUNTIF(Transect1_imgsummary!E30:I30,"SCAP")*100/P30)</f>
        <v>0</v>
      </c>
      <c r="BR30">
        <f>IF(P30=0,0,COUNTIF(Transect1_imgsummary!E30:I30,"SERIA")*100/P30)</f>
        <v>0</v>
      </c>
      <c r="BS30">
        <f>IF(P30=0,0,COUNTIF(Transect1_imgsummary!E30:I30,"STYLC")*100/P30)</f>
        <v>0</v>
      </c>
      <c r="BT30">
        <f>IF(P30=0,0,COUNTIF(Transect1_imgsummary!E30:I30,"STYLO")*100/P30)</f>
        <v>0</v>
      </c>
      <c r="BU30">
        <f>IF(P30=0,0,COUNTIF(Transect1_imgsummary!E30:I30,"SYMP")*100/P30)</f>
        <v>0</v>
      </c>
      <c r="BV30">
        <f>IF(P30=0,0,COUNTIF(Transect1_imgsummary!E30:I30,"TURBIN")*100/P30)</f>
        <v>0</v>
      </c>
      <c r="BX30">
        <f>IF(P30=0,0,COUNTIF(Transect1_imgsummary!E30:I30,"ANEM")*100/P30)</f>
        <v>0</v>
      </c>
      <c r="BY30">
        <f>IF(P30=0,0,COUNTIF(Transect1_imgsummary!E30:I30,"ASC")*100/P30)</f>
        <v>0</v>
      </c>
      <c r="BZ30">
        <f>IF(P30=0,0,COUNTIF(Transect1_imgsummary!E30:I30,"CUPS")*100/P30)</f>
        <v>0</v>
      </c>
      <c r="CA30">
        <f>IF(P30=0,0,COUNTIF(Transect1_imgsummary!E30:I30,"DISCO")*100/P30)</f>
        <v>0</v>
      </c>
      <c r="CB30">
        <f>IF(P30=0,0,COUNTIF(Transect1_imgsummary!E30:I30,"DYS")*100/P30)</f>
        <v>0</v>
      </c>
      <c r="CC30">
        <f>IF(P30=0,0,COUNTIF(Transect1_imgsummary!E30:I30,"G")*100/P30)</f>
        <v>0</v>
      </c>
      <c r="CD30">
        <f>IF(P30=0,0,COUNTIF(Transect1_imgsummary!E30:I30,"NoIDINV")*100/P30)</f>
        <v>0</v>
      </c>
      <c r="CE30">
        <f>IF(P30=0,0,COUNTIF(Transect1_imgsummary!E30:I30,"OLV")*100/P30)</f>
        <v>0</v>
      </c>
      <c r="CF30">
        <f>IF(P30=0,0,COUNTIF(Transect1_imgsummary!E30:I30,"SC")*100/P30)</f>
        <v>0</v>
      </c>
      <c r="CG30">
        <f>IF(P30=0,0,COUNTIF(Transect1_imgsummary!E30:I30,"S")*100/P30)</f>
        <v>0</v>
      </c>
      <c r="CH30">
        <f>IF(P30=0,0,COUNTIF(Transect1_imgsummary!E30:I30,"TERPS")*100/P30)</f>
        <v>0</v>
      </c>
      <c r="CI30">
        <f>IF(P30=0,0,COUNTIF(Transect1_imgsummary!E30:I30,"Z")*100/P30)</f>
        <v>0</v>
      </c>
      <c r="CK30">
        <f>IF(P30=0,0,COUNTIF(Transect1_imgsummary!E30:I30,"ASP")*100/P30)</f>
        <v>0</v>
      </c>
      <c r="CL30">
        <f>IF(P30=0,0,COUNTIF(Transect1_imgsummary!E30:I30,"BG")*100/P30)</f>
        <v>0</v>
      </c>
      <c r="CM30">
        <f>IF(P30=0,0,COUNTIF(Transect1_imgsummary!E30:I30,"Bood")*100/P30)</f>
        <v>0</v>
      </c>
      <c r="CN30">
        <f>IF(P30=0,0,COUNTIF(Transect1_imgsummary!E30:I30,"BRYP")*100/P30)</f>
        <v>0</v>
      </c>
      <c r="CO30">
        <f>IF(P30=0,0,COUNTIF(Transect1_imgsummary!E30:I30,"CLP")*100/P30)</f>
        <v>0</v>
      </c>
      <c r="CP30">
        <f>IF(P30=0,0,COUNTIF(Transect1_imgsummary!E30:I30,"CHLDES")*100/P30)</f>
        <v>0</v>
      </c>
      <c r="CQ30">
        <f>IF(P30=0,0,COUNTIF(Transect1_imgsummary!E30:I30,"DYCTY")*100/P30)</f>
        <v>0</v>
      </c>
      <c r="CR30">
        <f>IF(P30=0,0,COUNTIF(Transect1_imgsummary!E30:I30,"DICT")*100/P30)</f>
        <v>0</v>
      </c>
      <c r="CS30">
        <f>IF(P30=0,0,COUNTIF(Transect1_imgsummary!E30:I30,"GLXU")*100/P30)</f>
        <v>0</v>
      </c>
      <c r="CT30">
        <f>IF(P30=0,0,COUNTIF(Transect1_imgsummary!E30:I30,"HALI")*100/P30)</f>
        <v>0</v>
      </c>
      <c r="CU30">
        <f>IF(P30=0,0,COUNTIF(Transect1_imgsummary!E30:I30,"LIAG")*100/P30)</f>
        <v>0</v>
      </c>
      <c r="CV30">
        <f>IF(P30=0,0,COUNTIF(Transect1_imgsummary!E30:I30,"LOBO")*100/P30)</f>
        <v>0</v>
      </c>
      <c r="CW30">
        <f>IF(P30=0,0,COUNTIF(Transect1_imgsummary!E30:I30,"MAST")*100/P30)</f>
        <v>0</v>
      </c>
      <c r="CX30">
        <f>IF(P30=0,0,COUNTIF(Transect1_imgsummary!E30:I30,"MICDTY")*100/P30)</f>
        <v>0</v>
      </c>
      <c r="CY30">
        <f>IF(P30=0,0,COUNTIF(Transect1_imgsummary!E30:I30,"NEOM")*100/P30)</f>
        <v>0</v>
      </c>
      <c r="CZ30">
        <f>IF(P30=0,0,COUNTIF(Transect1_imgsummary!E30:I30,"NOIDMAC")*100/P30)</f>
        <v>0</v>
      </c>
      <c r="DA30">
        <f>IF(P30=0,0,COUNTIF(Transect1_imgsummary!E30:I30,"PAD")*100/P30)</f>
        <v>0</v>
      </c>
      <c r="DB30">
        <f>IF(P30=0,0,COUNTIF(Transect1_imgsummary!E30:I30,"SARG")*100/P30)</f>
        <v>0</v>
      </c>
      <c r="DC30">
        <f>IF(P30=0,0,COUNTIF(Transect1_imgsummary!E30:I30,"SCHIZ")*100/P30)</f>
        <v>0</v>
      </c>
      <c r="DD30">
        <f>IF(P30=0,0,COUNTIF(Transect1_imgsummary!E30:I30,"TURB")*100/P30)</f>
        <v>0</v>
      </c>
      <c r="DE30">
        <f>IF(P30=0,0,COUNTIF(Transect1_imgsummary!E30:I30,"TYDM")*100/P30)</f>
        <v>0</v>
      </c>
      <c r="DG30">
        <f>IF(P30=0,0,COUNTIF(Transect1_imgsummary!E30:I30,"AMP")*100/P30)</f>
        <v>0</v>
      </c>
      <c r="DH30">
        <f>IF(P30=0,0,COUNTIF(Transect1_imgsummary!E30:I30,"BCA1")*100/P30)</f>
        <v>0</v>
      </c>
      <c r="DI30">
        <f>IF(P30=0,0,COUNTIF(Transect1_imgsummary!E30:I30,"JAN")*100/P30)</f>
        <v>0</v>
      </c>
      <c r="DK30" s="29">
        <f>IF(P30=0,0,COUNTIF(Transect1_imgsummary!E30:I30,"CCA1")*100/P30)</f>
        <v>20</v>
      </c>
      <c r="DM30">
        <f>IF(P30=0,0,COUNTIF(Transect1_imgsummary!E30:I30,"Sand")*100/P30)</f>
        <v>0</v>
      </c>
      <c r="DO30" s="29">
        <f>IF(P30=0,0,COUNTIF(Transect1_imgsummary!E30:I30,"FCA1")*100/P30)</f>
        <v>40</v>
      </c>
      <c r="DQ30">
        <f>IF(P30=0,0,COUNTIF(Transect1_imgsummary!E30:I30,"CHRYOBRN")*100/P30)</f>
        <v>0</v>
      </c>
      <c r="DS30" s="29">
        <f>IF(P30=0,0,COUNTIF(Transect1_imgsummary!E30:I30,"TURF")*100/P30)</f>
        <v>20</v>
      </c>
      <c r="DU30">
        <f>COUNTIF(Transect1_imgsummary!E30:I30,"Shadow")*100/5</f>
        <v>0</v>
      </c>
      <c r="DV30">
        <f>COUNTIF(Transect1_imgsummary!E30:I30,"Tape")*100/5</f>
        <v>0</v>
      </c>
      <c r="DW30">
        <f>COUNTIF(Transect1_imgsummary!E30:I30,"Wand")*100/5</f>
        <v>0</v>
      </c>
      <c r="DY30">
        <f>IF(P30=0,0,COUNTIF(Transect1_imgsummary!O30:S30,"BC")*100/P30)</f>
        <v>0</v>
      </c>
    </row>
    <row r="31" spans="1:129">
      <c r="A31">
        <v>29</v>
      </c>
      <c r="B31" t="s">
        <v>73</v>
      </c>
      <c r="F31">
        <f>IF(P31=0,0,COUNTIF(Transect1_imgsummary!J31:N31,"C")*100/P31)</f>
        <v>0</v>
      </c>
      <c r="G31">
        <f>IF(P31=0,0,COUNTIF(Transect1_imgsummary!J31:N31,"OI")*100/P31)</f>
        <v>0</v>
      </c>
      <c r="H31">
        <f>IF(P31=0,0,COUNTIF(Transect1_imgsummary!J31:N31,"MA")*100/P31)</f>
        <v>0</v>
      </c>
      <c r="I31">
        <f>IF(P31=0,0,COUNTIF(Transect1_imgsummary!J31:N31,"BCA")*100/P31)</f>
        <v>0</v>
      </c>
      <c r="J31" s="29">
        <f>IF(P31=0,0,COUNTIF(Transect1_imgsummary!J31:N31,"CCA")*100/P31)</f>
        <v>60</v>
      </c>
      <c r="K31">
        <f>IF(P31=0,0,COUNTIF(Transect1_imgsummary!J31:N31,"SD")*100/P31)</f>
        <v>0</v>
      </c>
      <c r="L31">
        <f>IF(P31=0,0,COUNTIF(Transect1_imgsummary!J31:N31,"FCA")*100/P31)</f>
        <v>0</v>
      </c>
      <c r="M31">
        <f>IF(P31=0,0,COUNTIF(Transect1_imgsummary!J31:N31,"CHRYS")*100/P31)</f>
        <v>0</v>
      </c>
      <c r="N31" s="29">
        <f>IF(P31=0,0,COUNTIF(Transect1_imgsummary!J31:N31,"T")*100/P31)</f>
        <v>40</v>
      </c>
      <c r="O31">
        <f>IF(P31=0,0,COUNTIF(Transect1_imgsummary!J31:N31,"TWS")*100/P31)</f>
        <v>0</v>
      </c>
      <c r="P31">
        <f>5-COUNTIF(Transect1_imgsummary!J31:N31,"TWS")</f>
        <v>5</v>
      </c>
      <c r="S31">
        <f>IF(P31=0,0,COUNTIF(Transect1_imgsummary!E31:I31,"ACAN")*100/P31)</f>
        <v>0</v>
      </c>
      <c r="T31">
        <f>IF(P31=0,0,COUNTIF(Transect1_imgsummary!E31:I31,"ACROP")*100/P31)</f>
        <v>0</v>
      </c>
      <c r="U31">
        <f>IF(P31=0,0,COUNTIF(Transect1_imgsummary!E31:I31,"ACROPARB")*100/P31)</f>
        <v>0</v>
      </c>
      <c r="V31">
        <f>IF(P31=0,0,COUNTIF(Transect1_imgsummary!E31:I31,"ACROST")*100/P31)</f>
        <v>0</v>
      </c>
      <c r="W31">
        <f>IF(P31=0,0,COUNTIF(Transect1_imgsummary!E31:I31,"ACROTBL")*100/P31)</f>
        <v>0</v>
      </c>
      <c r="X31">
        <f>IF(P31=0,0,COUNTIF(Transect1_imgsummary!E31:I31,"ASTRP")*100/P31)</f>
        <v>0</v>
      </c>
      <c r="Y31">
        <f>IF(P31=0,0,COUNTIF(Transect1_imgsummary!E31:I31,"CAUL")*100/P31)</f>
        <v>0</v>
      </c>
      <c r="Z31">
        <f>IF(P31=0,0,COUNTIF(Transect1_imgsummary!E31:I31,"COSC")*100/P31)</f>
        <v>0</v>
      </c>
      <c r="AA31">
        <f>IF(P31=0,0,COUNTIF(Transect1_imgsummary!E31:I31,"CTEN")*100/P31)</f>
        <v>0</v>
      </c>
      <c r="AB31">
        <f>IF(P31=0,0,COUNTIF(Transect1_imgsummary!E31:I31,"CYPH")*100/P31)</f>
        <v>0</v>
      </c>
      <c r="AC31">
        <f>IF(P31=0,0,COUNTIF(Transect1_imgsummary!E31:I31,"DIPLO")*100/P31)</f>
        <v>0</v>
      </c>
      <c r="AD31">
        <f>IF(P31=0,0,COUNTIF(Transect1_imgsummary!E31:I31,"ECHPO")*100/P31)</f>
        <v>0</v>
      </c>
      <c r="AE31">
        <f>IF(P31=0,0,COUNTIF(Transect1_imgsummary!E31:I31,"ECHPHY")*100/P31)</f>
        <v>0</v>
      </c>
      <c r="AF31">
        <f>IF(P31=0,0,COUNTIF(Transect1_imgsummary!E31:I31,"EUPH")*100/P31)</f>
        <v>0</v>
      </c>
      <c r="AG31">
        <f>IF(P31=0,0,COUNTIF(Transect1_imgsummary!E31:I31,"FAV")*100/P31)</f>
        <v>0</v>
      </c>
      <c r="AH31">
        <f>IF(P31=0,0,COUNTIF(Transect1_imgsummary!E31:I31,"FAVT")*100/P31)</f>
        <v>0</v>
      </c>
      <c r="AI31">
        <f>IF(P31=0,0,COUNTIF(Transect1_imgsummary!E31:I31,"FUNG")*100/P31)</f>
        <v>0</v>
      </c>
      <c r="AJ31">
        <f>IF(P31=0,0,COUNTIF(Transect1_imgsummary!E31:I31,"GAL")*100/P31)</f>
        <v>0</v>
      </c>
      <c r="AK31">
        <f>IF(P31=0,0,COUNTIF(Transect1_imgsummary!E31:I31,"GARD")*100/P31)</f>
        <v>0</v>
      </c>
      <c r="AL31">
        <f>IF(P31=0,0,COUNTIF(Transect1_imgsummary!E31:I31,"GON")*100/P31)</f>
        <v>0</v>
      </c>
      <c r="AM31">
        <f>IF(P31=0,0,COUNTIF(Transect1_imgsummary!E31:I31,"GONIO")*100/P31)</f>
        <v>0</v>
      </c>
      <c r="AN31">
        <f>IF(P31=0,0,COUNTIF(Transect1_imgsummary!E31:I31,"HELIO")*100/P31)</f>
        <v>0</v>
      </c>
      <c r="AO31">
        <f>IF(P31=0,0,COUNTIF(Transect1_imgsummary!E31:I31,"HERP")*100/P31)</f>
        <v>0</v>
      </c>
      <c r="AP31">
        <f>IF(P31=0,0,COUNTIF(Transect1_imgsummary!E31:I31,"HYD")*100/P31)</f>
        <v>0</v>
      </c>
      <c r="AQ31">
        <f>IF(P31=0,0,COUNTIF(Transect1_imgsummary!E31:I31,"ISOP")*100/P31)</f>
        <v>0</v>
      </c>
      <c r="AR31">
        <f>IF(P31=0,0,COUNTIF(Transect1_imgsummary!E31:I31,"LEPT")*100/P31)</f>
        <v>0</v>
      </c>
      <c r="AS31">
        <f>IF(P31=0,0,COUNTIF(Transect1_imgsummary!E31:I31,"LEPTOR")*100/P31)</f>
        <v>0</v>
      </c>
      <c r="AT31">
        <f>IF(P31=0,0,COUNTIF(Transect1_imgsummary!E31:I31,"LEPTOS")*100/P31)</f>
        <v>0</v>
      </c>
      <c r="AU31">
        <f>IF(P31=0,0,COUNTIF(Transect1_imgsummary!E31:I31,"LOBOPH")*100/P31)</f>
        <v>0</v>
      </c>
      <c r="AV31">
        <f>IF(P31=0,0,COUNTIF(Transect1_imgsummary!E31:I31,"MERU")*100/P31)</f>
        <v>0</v>
      </c>
      <c r="AW31">
        <f>IF(P31=0,0,COUNTIF(Transect1_imgsummary!E31:I31,"MILL")*100/P31)</f>
        <v>0</v>
      </c>
      <c r="AX31">
        <f>IF(P31=0,0,COUNTIF(Transect1_imgsummary!E31:I31,"MONT")*100/P31)</f>
        <v>0</v>
      </c>
      <c r="AY31">
        <f>IF(P31=0,0,COUNTIF(Transect1_imgsummary!E31:I31,"MONTI")*100/P31)</f>
        <v>0</v>
      </c>
      <c r="AZ31">
        <f>IF(P31=0,0,COUNTIF(Transect1_imgsummary!E31:I31,"MYCED")*100/P31)</f>
        <v>0</v>
      </c>
      <c r="BA31">
        <f>IF(P31=0,0,COUNTIF(Transect1_imgsummary!E31:I31,"OULO")*100/P31)</f>
        <v>0</v>
      </c>
      <c r="BB31">
        <f>IF(P31=0,0,COUNTIF(Transect1_imgsummary!E31:I31,"OXYP")*100/P31)</f>
        <v>0</v>
      </c>
      <c r="BC31">
        <f>IF(P31=0,0,COUNTIF(Transect1_imgsummary!E31:I31,"PLSIA")*100/P31)</f>
        <v>0</v>
      </c>
      <c r="BD31">
        <f>IF(P31=0,0,COUNTIF(Transect1_imgsummary!E31:I31,"PACHY")*100/P31)</f>
        <v>0</v>
      </c>
      <c r="BE31">
        <f>IF(P31=0,0,COUNTIF(Transect1_imgsummary!E31:I31,"PAV")*100/P31)</f>
        <v>0</v>
      </c>
      <c r="BF31">
        <f>IF(P31=0,0,COUNTIF(Transect1_imgsummary!E31:I31,"PECT")*100/P31)</f>
        <v>0</v>
      </c>
      <c r="BG31">
        <f>IF(P31=0,0,COUNTIF(Transect1_imgsummary!E31:I31,"PHYSO")*100/P31)</f>
        <v>0</v>
      </c>
      <c r="BH31">
        <f>IF(P31=0,0,COUNTIF(Transect1_imgsummary!E31:I31,"PLAT")*100/P31)</f>
        <v>0</v>
      </c>
      <c r="BI31">
        <f>IF(P31=0,0,COUNTIF(Transect1_imgsummary!E31:I31,"PLERO")*100/P31)</f>
        <v>0</v>
      </c>
      <c r="BJ31">
        <f>IF(P31=0,0,COUNTIF(Transect1_imgsummary!E31:I31,"POC")*100/P31)</f>
        <v>0</v>
      </c>
      <c r="BK31">
        <f>IF(P31=0,0,COUNTIF(Transect1_imgsummary!E31:I31,"POR")*100/P31)</f>
        <v>0</v>
      </c>
      <c r="BL31">
        <f>IF(P31=0,0,COUNTIF(Transect1_imgsummary!E31:I31,"PORCYL")*100/P31)</f>
        <v>0</v>
      </c>
      <c r="BM31">
        <f>IF(P31=0,0,COUNTIF(Transect1_imgsummary!E31:I31,"PORMAS")*100/P31)</f>
        <v>0</v>
      </c>
      <c r="BN31">
        <f>IF(P31=0,0,COUNTIF(Transect1_imgsummary!E31:I31,"PORRUS")*100/P31)</f>
        <v>0</v>
      </c>
      <c r="BO31">
        <f>IF(P31=0,0,COUNTIF(Transect1_imgsummary!E31:I31,"PSAM")*100/P31)</f>
        <v>0</v>
      </c>
      <c r="BP31">
        <f>IF(P31=0,0,COUNTIF(Transect1_imgsummary!E31:I31,"SANDO")*100/P31)</f>
        <v>0</v>
      </c>
      <c r="BQ31">
        <f>IF(P31=0,0,COUNTIF(Transect1_imgsummary!E31:I31,"SCAP")*100/P31)</f>
        <v>0</v>
      </c>
      <c r="BR31">
        <f>IF(P31=0,0,COUNTIF(Transect1_imgsummary!E31:I31,"SERIA")*100/P31)</f>
        <v>0</v>
      </c>
      <c r="BS31">
        <f>IF(P31=0,0,COUNTIF(Transect1_imgsummary!E31:I31,"STYLC")*100/P31)</f>
        <v>0</v>
      </c>
      <c r="BT31">
        <f>IF(P31=0,0,COUNTIF(Transect1_imgsummary!E31:I31,"STYLO")*100/P31)</f>
        <v>0</v>
      </c>
      <c r="BU31">
        <f>IF(P31=0,0,COUNTIF(Transect1_imgsummary!E31:I31,"SYMP")*100/P31)</f>
        <v>0</v>
      </c>
      <c r="BV31">
        <f>IF(P31=0,0,COUNTIF(Transect1_imgsummary!E31:I31,"TURBIN")*100/P31)</f>
        <v>0</v>
      </c>
      <c r="BX31">
        <f>IF(P31=0,0,COUNTIF(Transect1_imgsummary!E31:I31,"ANEM")*100/P31)</f>
        <v>0</v>
      </c>
      <c r="BY31">
        <f>IF(P31=0,0,COUNTIF(Transect1_imgsummary!E31:I31,"ASC")*100/P31)</f>
        <v>0</v>
      </c>
      <c r="BZ31">
        <f>IF(P31=0,0,COUNTIF(Transect1_imgsummary!E31:I31,"CUPS")*100/P31)</f>
        <v>0</v>
      </c>
      <c r="CA31">
        <f>IF(P31=0,0,COUNTIF(Transect1_imgsummary!E31:I31,"DISCO")*100/P31)</f>
        <v>0</v>
      </c>
      <c r="CB31">
        <f>IF(P31=0,0,COUNTIF(Transect1_imgsummary!E31:I31,"DYS")*100/P31)</f>
        <v>0</v>
      </c>
      <c r="CC31">
        <f>IF(P31=0,0,COUNTIF(Transect1_imgsummary!E31:I31,"G")*100/P31)</f>
        <v>0</v>
      </c>
      <c r="CD31">
        <f>IF(P31=0,0,COUNTIF(Transect1_imgsummary!E31:I31,"NoIDINV")*100/P31)</f>
        <v>0</v>
      </c>
      <c r="CE31">
        <f>IF(P31=0,0,COUNTIF(Transect1_imgsummary!E31:I31,"OLV")*100/P31)</f>
        <v>0</v>
      </c>
      <c r="CF31">
        <f>IF(P31=0,0,COUNTIF(Transect1_imgsummary!E31:I31,"SC")*100/P31)</f>
        <v>0</v>
      </c>
      <c r="CG31">
        <f>IF(P31=0,0,COUNTIF(Transect1_imgsummary!E31:I31,"S")*100/P31)</f>
        <v>0</v>
      </c>
      <c r="CH31">
        <f>IF(P31=0,0,COUNTIF(Transect1_imgsummary!E31:I31,"TERPS")*100/P31)</f>
        <v>0</v>
      </c>
      <c r="CI31">
        <f>IF(P31=0,0,COUNTIF(Transect1_imgsummary!E31:I31,"Z")*100/P31)</f>
        <v>0</v>
      </c>
      <c r="CK31">
        <f>IF(P31=0,0,COUNTIF(Transect1_imgsummary!E31:I31,"ASP")*100/P31)</f>
        <v>0</v>
      </c>
      <c r="CL31">
        <f>IF(P31=0,0,COUNTIF(Transect1_imgsummary!E31:I31,"BG")*100/P31)</f>
        <v>0</v>
      </c>
      <c r="CM31">
        <f>IF(P31=0,0,COUNTIF(Transect1_imgsummary!E31:I31,"Bood")*100/P31)</f>
        <v>0</v>
      </c>
      <c r="CN31">
        <f>IF(P31=0,0,COUNTIF(Transect1_imgsummary!E31:I31,"BRYP")*100/P31)</f>
        <v>0</v>
      </c>
      <c r="CO31">
        <f>IF(P31=0,0,COUNTIF(Transect1_imgsummary!E31:I31,"CLP")*100/P31)</f>
        <v>0</v>
      </c>
      <c r="CP31">
        <f>IF(P31=0,0,COUNTIF(Transect1_imgsummary!E31:I31,"CHLDES")*100/P31)</f>
        <v>0</v>
      </c>
      <c r="CQ31">
        <f>IF(P31=0,0,COUNTIF(Transect1_imgsummary!E31:I31,"DYCTY")*100/P31)</f>
        <v>0</v>
      </c>
      <c r="CR31">
        <f>IF(P31=0,0,COUNTIF(Transect1_imgsummary!E31:I31,"DICT")*100/P31)</f>
        <v>0</v>
      </c>
      <c r="CS31">
        <f>IF(P31=0,0,COUNTIF(Transect1_imgsummary!E31:I31,"GLXU")*100/P31)</f>
        <v>0</v>
      </c>
      <c r="CT31">
        <f>IF(P31=0,0,COUNTIF(Transect1_imgsummary!E31:I31,"HALI")*100/P31)</f>
        <v>0</v>
      </c>
      <c r="CU31">
        <f>IF(P31=0,0,COUNTIF(Transect1_imgsummary!E31:I31,"LIAG")*100/P31)</f>
        <v>0</v>
      </c>
      <c r="CV31">
        <f>IF(P31=0,0,COUNTIF(Transect1_imgsummary!E31:I31,"LOBO")*100/P31)</f>
        <v>0</v>
      </c>
      <c r="CW31">
        <f>IF(P31=0,0,COUNTIF(Transect1_imgsummary!E31:I31,"MAST")*100/P31)</f>
        <v>0</v>
      </c>
      <c r="CX31">
        <f>IF(P31=0,0,COUNTIF(Transect1_imgsummary!E31:I31,"MICDTY")*100/P31)</f>
        <v>0</v>
      </c>
      <c r="CY31">
        <f>IF(P31=0,0,COUNTIF(Transect1_imgsummary!E31:I31,"NEOM")*100/P31)</f>
        <v>0</v>
      </c>
      <c r="CZ31">
        <f>IF(P31=0,0,COUNTIF(Transect1_imgsummary!E31:I31,"NOIDMAC")*100/P31)</f>
        <v>0</v>
      </c>
      <c r="DA31">
        <f>IF(P31=0,0,COUNTIF(Transect1_imgsummary!E31:I31,"PAD")*100/P31)</f>
        <v>0</v>
      </c>
      <c r="DB31">
        <f>IF(P31=0,0,COUNTIF(Transect1_imgsummary!E31:I31,"SARG")*100/P31)</f>
        <v>0</v>
      </c>
      <c r="DC31">
        <f>IF(P31=0,0,COUNTIF(Transect1_imgsummary!E31:I31,"SCHIZ")*100/P31)</f>
        <v>0</v>
      </c>
      <c r="DD31">
        <f>IF(P31=0,0,COUNTIF(Transect1_imgsummary!E31:I31,"TURB")*100/P31)</f>
        <v>0</v>
      </c>
      <c r="DE31">
        <f>IF(P31=0,0,COUNTIF(Transect1_imgsummary!E31:I31,"TYDM")*100/P31)</f>
        <v>0</v>
      </c>
      <c r="DG31">
        <f>IF(P31=0,0,COUNTIF(Transect1_imgsummary!E31:I31,"AMP")*100/P31)</f>
        <v>0</v>
      </c>
      <c r="DH31">
        <f>IF(P31=0,0,COUNTIF(Transect1_imgsummary!E31:I31,"BCA1")*100/P31)</f>
        <v>0</v>
      </c>
      <c r="DI31">
        <f>IF(P31=0,0,COUNTIF(Transect1_imgsummary!E31:I31,"JAN")*100/P31)</f>
        <v>0</v>
      </c>
      <c r="DK31" s="29">
        <f>IF(P31=0,0,COUNTIF(Transect1_imgsummary!E31:I31,"CCA1")*100/P31)</f>
        <v>60</v>
      </c>
      <c r="DM31">
        <f>IF(P31=0,0,COUNTIF(Transect1_imgsummary!E31:I31,"Sand")*100/P31)</f>
        <v>0</v>
      </c>
      <c r="DO31">
        <f>IF(P31=0,0,COUNTIF(Transect1_imgsummary!E31:I31,"FCA1")*100/P31)</f>
        <v>0</v>
      </c>
      <c r="DQ31">
        <f>IF(P31=0,0,COUNTIF(Transect1_imgsummary!E31:I31,"CHRYOBRN")*100/P31)</f>
        <v>0</v>
      </c>
      <c r="DS31" s="29">
        <f>IF(P31=0,0,COUNTIF(Transect1_imgsummary!E31:I31,"TURF")*100/P31)</f>
        <v>40</v>
      </c>
      <c r="DU31">
        <f>COUNTIF(Transect1_imgsummary!E31:I31,"Shadow")*100/5</f>
        <v>0</v>
      </c>
      <c r="DV31">
        <f>COUNTIF(Transect1_imgsummary!E31:I31,"Tape")*100/5</f>
        <v>0</v>
      </c>
      <c r="DW31">
        <f>COUNTIF(Transect1_imgsummary!E31:I31,"Wand")*100/5</f>
        <v>0</v>
      </c>
      <c r="DY31">
        <f>IF(P31=0,0,COUNTIF(Transect1_imgsummary!O31:S31,"BC")*100/P31)</f>
        <v>0</v>
      </c>
    </row>
    <row r="32" spans="1:129">
      <c r="A32">
        <v>30</v>
      </c>
      <c r="B32" t="s">
        <v>74</v>
      </c>
      <c r="F32" s="29">
        <f>IF(P32=0,0,COUNTIF(Transect1_imgsummary!J32:N32,"C")*100/P32)</f>
        <v>80</v>
      </c>
      <c r="G32">
        <f>IF(P32=0,0,COUNTIF(Transect1_imgsummary!J32:N32,"OI")*100/P32)</f>
        <v>0</v>
      </c>
      <c r="H32">
        <f>IF(P32=0,0,COUNTIF(Transect1_imgsummary!J32:N32,"MA")*100/P32)</f>
        <v>0</v>
      </c>
      <c r="I32">
        <f>IF(P32=0,0,COUNTIF(Transect1_imgsummary!J32:N32,"BCA")*100/P32)</f>
        <v>0</v>
      </c>
      <c r="J32" s="29">
        <f>IF(P32=0,0,COUNTIF(Transect1_imgsummary!J32:N32,"CCA")*100/P32)</f>
        <v>20</v>
      </c>
      <c r="K32">
        <f>IF(P32=0,0,COUNTIF(Transect1_imgsummary!J32:N32,"SD")*100/P32)</f>
        <v>0</v>
      </c>
      <c r="L32">
        <f>IF(P32=0,0,COUNTIF(Transect1_imgsummary!J32:N32,"FCA")*100/P32)</f>
        <v>0</v>
      </c>
      <c r="M32">
        <f>IF(P32=0,0,COUNTIF(Transect1_imgsummary!J32:N32,"CHRYS")*100/P32)</f>
        <v>0</v>
      </c>
      <c r="N32">
        <f>IF(P32=0,0,COUNTIF(Transect1_imgsummary!J32:N32,"T")*100/P32)</f>
        <v>0</v>
      </c>
      <c r="O32">
        <f>IF(P32=0,0,COUNTIF(Transect1_imgsummary!J32:N32,"TWS")*100/P32)</f>
        <v>0</v>
      </c>
      <c r="P32">
        <f>5-COUNTIF(Transect1_imgsummary!J32:N32,"TWS")</f>
        <v>5</v>
      </c>
      <c r="S32">
        <f>IF(P32=0,0,COUNTIF(Transect1_imgsummary!E32:I32,"ACAN")*100/P32)</f>
        <v>0</v>
      </c>
      <c r="T32">
        <f>IF(P32=0,0,COUNTIF(Transect1_imgsummary!E32:I32,"ACROP")*100/P32)</f>
        <v>0</v>
      </c>
      <c r="U32">
        <f>IF(P32=0,0,COUNTIF(Transect1_imgsummary!E32:I32,"ACROPARB")*100/P32)</f>
        <v>0</v>
      </c>
      <c r="V32">
        <f>IF(P32=0,0,COUNTIF(Transect1_imgsummary!E32:I32,"ACROST")*100/P32)</f>
        <v>0</v>
      </c>
      <c r="W32" s="29">
        <f>IF(P32=0,0,COUNTIF(Transect1_imgsummary!E32:I32,"ACROTBL")*100/P32)</f>
        <v>20</v>
      </c>
      <c r="X32">
        <f>IF(P32=0,0,COUNTIF(Transect1_imgsummary!E32:I32,"ASTRP")*100/P32)</f>
        <v>0</v>
      </c>
      <c r="Y32">
        <f>IF(P32=0,0,COUNTIF(Transect1_imgsummary!E32:I32,"CAUL")*100/P32)</f>
        <v>0</v>
      </c>
      <c r="Z32">
        <f>IF(P32=0,0,COUNTIF(Transect1_imgsummary!E32:I32,"COSC")*100/P32)</f>
        <v>0</v>
      </c>
      <c r="AA32">
        <f>IF(P32=0,0,COUNTIF(Transect1_imgsummary!E32:I32,"CTEN")*100/P32)</f>
        <v>0</v>
      </c>
      <c r="AB32">
        <f>IF(P32=0,0,COUNTIF(Transect1_imgsummary!E32:I32,"CYPH")*100/P32)</f>
        <v>0</v>
      </c>
      <c r="AC32">
        <f>IF(P32=0,0,COUNTIF(Transect1_imgsummary!E32:I32,"DIPLO")*100/P32)</f>
        <v>0</v>
      </c>
      <c r="AD32" s="29">
        <f>IF(P32=0,0,COUNTIF(Transect1_imgsummary!E32:I32,"ECHPO")*100/P32)</f>
        <v>40</v>
      </c>
      <c r="AE32">
        <f>IF(P32=0,0,COUNTIF(Transect1_imgsummary!E32:I32,"ECHPHY")*100/P32)</f>
        <v>0</v>
      </c>
      <c r="AF32">
        <f>IF(P32=0,0,COUNTIF(Transect1_imgsummary!E32:I32,"EUPH")*100/P32)</f>
        <v>0</v>
      </c>
      <c r="AG32">
        <f>IF(P32=0,0,COUNTIF(Transect1_imgsummary!E32:I32,"FAV")*100/P32)</f>
        <v>0</v>
      </c>
      <c r="AH32">
        <f>IF(P32=0,0,COUNTIF(Transect1_imgsummary!E32:I32,"FAVT")*100/P32)</f>
        <v>0</v>
      </c>
      <c r="AI32">
        <f>IF(P32=0,0,COUNTIF(Transect1_imgsummary!E32:I32,"FUNG")*100/P32)</f>
        <v>0</v>
      </c>
      <c r="AJ32">
        <f>IF(P32=0,0,COUNTIF(Transect1_imgsummary!E32:I32,"GAL")*100/P32)</f>
        <v>0</v>
      </c>
      <c r="AK32">
        <f>IF(P32=0,0,COUNTIF(Transect1_imgsummary!E32:I32,"GARD")*100/P32)</f>
        <v>0</v>
      </c>
      <c r="AL32">
        <f>IF(P32=0,0,COUNTIF(Transect1_imgsummary!E32:I32,"GON")*100/P32)</f>
        <v>0</v>
      </c>
      <c r="AM32">
        <f>IF(P32=0,0,COUNTIF(Transect1_imgsummary!E32:I32,"GONIO")*100/P32)</f>
        <v>0</v>
      </c>
      <c r="AN32">
        <f>IF(P32=0,0,COUNTIF(Transect1_imgsummary!E32:I32,"HELIO")*100/P32)</f>
        <v>0</v>
      </c>
      <c r="AO32">
        <f>IF(P32=0,0,COUNTIF(Transect1_imgsummary!E32:I32,"HERP")*100/P32)</f>
        <v>0</v>
      </c>
      <c r="AP32">
        <f>IF(P32=0,0,COUNTIF(Transect1_imgsummary!E32:I32,"HYD")*100/P32)</f>
        <v>0</v>
      </c>
      <c r="AQ32">
        <f>IF(P32=0,0,COUNTIF(Transect1_imgsummary!E32:I32,"ISOP")*100/P32)</f>
        <v>0</v>
      </c>
      <c r="AR32">
        <f>IF(P32=0,0,COUNTIF(Transect1_imgsummary!E32:I32,"LEPT")*100/P32)</f>
        <v>0</v>
      </c>
      <c r="AS32">
        <f>IF(P32=0,0,COUNTIF(Transect1_imgsummary!E32:I32,"LEPTOR")*100/P32)</f>
        <v>0</v>
      </c>
      <c r="AT32">
        <f>IF(P32=0,0,COUNTIF(Transect1_imgsummary!E32:I32,"LEPTOS")*100/P32)</f>
        <v>0</v>
      </c>
      <c r="AU32">
        <f>IF(P32=0,0,COUNTIF(Transect1_imgsummary!E32:I32,"LOBOPH")*100/P32)</f>
        <v>0</v>
      </c>
      <c r="AV32">
        <f>IF(P32=0,0,COUNTIF(Transect1_imgsummary!E32:I32,"MERU")*100/P32)</f>
        <v>0</v>
      </c>
      <c r="AW32">
        <f>IF(P32=0,0,COUNTIF(Transect1_imgsummary!E32:I32,"MILL")*100/P32)</f>
        <v>0</v>
      </c>
      <c r="AX32">
        <f>IF(P32=0,0,COUNTIF(Transect1_imgsummary!E32:I32,"MONT")*100/P32)</f>
        <v>0</v>
      </c>
      <c r="AY32">
        <f>IF(P32=0,0,COUNTIF(Transect1_imgsummary!E32:I32,"MONTI")*100/P32)</f>
        <v>0</v>
      </c>
      <c r="AZ32">
        <f>IF(P32=0,0,COUNTIF(Transect1_imgsummary!E32:I32,"MYCED")*100/P32)</f>
        <v>0</v>
      </c>
      <c r="BA32">
        <f>IF(P32=0,0,COUNTIF(Transect1_imgsummary!E32:I32,"OULO")*100/P32)</f>
        <v>0</v>
      </c>
      <c r="BB32">
        <f>IF(P32=0,0,COUNTIF(Transect1_imgsummary!E32:I32,"OXYP")*100/P32)</f>
        <v>0</v>
      </c>
      <c r="BC32">
        <f>IF(P32=0,0,COUNTIF(Transect1_imgsummary!E32:I32,"PLSIA")*100/P32)</f>
        <v>0</v>
      </c>
      <c r="BD32">
        <f>IF(P32=0,0,COUNTIF(Transect1_imgsummary!E32:I32,"PACHY")*100/P32)</f>
        <v>0</v>
      </c>
      <c r="BE32">
        <f>IF(P32=0,0,COUNTIF(Transect1_imgsummary!E32:I32,"PAV")*100/P32)</f>
        <v>0</v>
      </c>
      <c r="BF32">
        <f>IF(P32=0,0,COUNTIF(Transect1_imgsummary!E32:I32,"PECT")*100/P32)</f>
        <v>0</v>
      </c>
      <c r="BG32">
        <f>IF(P32=0,0,COUNTIF(Transect1_imgsummary!E32:I32,"PHYSO")*100/P32)</f>
        <v>0</v>
      </c>
      <c r="BH32" s="29">
        <f>IF(P32=0,0,COUNTIF(Transect1_imgsummary!E32:I32,"PLAT")*100/P32)</f>
        <v>20</v>
      </c>
      <c r="BI32">
        <f>IF(P32=0,0,COUNTIF(Transect1_imgsummary!E32:I32,"PLERO")*100/P32)</f>
        <v>0</v>
      </c>
      <c r="BJ32">
        <f>IF(P32=0,0,COUNTIF(Transect1_imgsummary!E32:I32,"POC")*100/P32)</f>
        <v>0</v>
      </c>
      <c r="BK32">
        <f>IF(P32=0,0,COUNTIF(Transect1_imgsummary!E32:I32,"POR")*100/P32)</f>
        <v>0</v>
      </c>
      <c r="BL32">
        <f>IF(P32=0,0,COUNTIF(Transect1_imgsummary!E32:I32,"PORCYL")*100/P32)</f>
        <v>0</v>
      </c>
      <c r="BM32">
        <f>IF(P32=0,0,COUNTIF(Transect1_imgsummary!E32:I32,"PORMAS")*100/P32)</f>
        <v>0</v>
      </c>
      <c r="BN32">
        <f>IF(P32=0,0,COUNTIF(Transect1_imgsummary!E32:I32,"PORRUS")*100/P32)</f>
        <v>0</v>
      </c>
      <c r="BO32">
        <f>IF(P32=0,0,COUNTIF(Transect1_imgsummary!E32:I32,"PSAM")*100/P32)</f>
        <v>0</v>
      </c>
      <c r="BP32">
        <f>IF(P32=0,0,COUNTIF(Transect1_imgsummary!E32:I32,"SANDO")*100/P32)</f>
        <v>0</v>
      </c>
      <c r="BQ32">
        <f>IF(P32=0,0,COUNTIF(Transect1_imgsummary!E32:I32,"SCAP")*100/P32)</f>
        <v>0</v>
      </c>
      <c r="BR32">
        <f>IF(P32=0,0,COUNTIF(Transect1_imgsummary!E32:I32,"SERIA")*100/P32)</f>
        <v>0</v>
      </c>
      <c r="BS32">
        <f>IF(P32=0,0,COUNTIF(Transect1_imgsummary!E32:I32,"STYLC")*100/P32)</f>
        <v>0</v>
      </c>
      <c r="BT32">
        <f>IF(P32=0,0,COUNTIF(Transect1_imgsummary!E32:I32,"STYLO")*100/P32)</f>
        <v>0</v>
      </c>
      <c r="BU32">
        <f>IF(P32=0,0,COUNTIF(Transect1_imgsummary!E32:I32,"SYMP")*100/P32)</f>
        <v>0</v>
      </c>
      <c r="BV32">
        <f>IF(P32=0,0,COUNTIF(Transect1_imgsummary!E32:I32,"TURBIN")*100/P32)</f>
        <v>0</v>
      </c>
      <c r="BX32">
        <f>IF(P32=0,0,COUNTIF(Transect1_imgsummary!E32:I32,"ANEM")*100/P32)</f>
        <v>0</v>
      </c>
      <c r="BY32">
        <f>IF(P32=0,0,COUNTIF(Transect1_imgsummary!E32:I32,"ASC")*100/P32)</f>
        <v>0</v>
      </c>
      <c r="BZ32">
        <f>IF(P32=0,0,COUNTIF(Transect1_imgsummary!E32:I32,"CUPS")*100/P32)</f>
        <v>0</v>
      </c>
      <c r="CA32">
        <f>IF(P32=0,0,COUNTIF(Transect1_imgsummary!E32:I32,"DISCO")*100/P32)</f>
        <v>0</v>
      </c>
      <c r="CB32">
        <f>IF(P32=0,0,COUNTIF(Transect1_imgsummary!E32:I32,"DYS")*100/P32)</f>
        <v>0</v>
      </c>
      <c r="CC32">
        <f>IF(P32=0,0,COUNTIF(Transect1_imgsummary!E32:I32,"G")*100/P32)</f>
        <v>0</v>
      </c>
      <c r="CD32">
        <f>IF(P32=0,0,COUNTIF(Transect1_imgsummary!E32:I32,"NoIDINV")*100/P32)</f>
        <v>0</v>
      </c>
      <c r="CE32">
        <f>IF(P32=0,0,COUNTIF(Transect1_imgsummary!E32:I32,"OLV")*100/P32)</f>
        <v>0</v>
      </c>
      <c r="CF32">
        <f>IF(P32=0,0,COUNTIF(Transect1_imgsummary!E32:I32,"SC")*100/P32)</f>
        <v>0</v>
      </c>
      <c r="CG32">
        <f>IF(P32=0,0,COUNTIF(Transect1_imgsummary!E32:I32,"S")*100/P32)</f>
        <v>0</v>
      </c>
      <c r="CH32">
        <f>IF(P32=0,0,COUNTIF(Transect1_imgsummary!E32:I32,"TERPS")*100/P32)</f>
        <v>0</v>
      </c>
      <c r="CI32">
        <f>IF(P32=0,0,COUNTIF(Transect1_imgsummary!E32:I32,"Z")*100/P32)</f>
        <v>0</v>
      </c>
      <c r="CK32">
        <f>IF(P32=0,0,COUNTIF(Transect1_imgsummary!E32:I32,"ASP")*100/P32)</f>
        <v>0</v>
      </c>
      <c r="CL32">
        <f>IF(P32=0,0,COUNTIF(Transect1_imgsummary!E32:I32,"BG")*100/P32)</f>
        <v>0</v>
      </c>
      <c r="CM32">
        <f>IF(P32=0,0,COUNTIF(Transect1_imgsummary!E32:I32,"Bood")*100/P32)</f>
        <v>0</v>
      </c>
      <c r="CN32">
        <f>IF(P32=0,0,COUNTIF(Transect1_imgsummary!E32:I32,"BRYP")*100/P32)</f>
        <v>0</v>
      </c>
      <c r="CO32">
        <f>IF(P32=0,0,COUNTIF(Transect1_imgsummary!E32:I32,"CLP")*100/P32)</f>
        <v>0</v>
      </c>
      <c r="CP32">
        <f>IF(P32=0,0,COUNTIF(Transect1_imgsummary!E32:I32,"CHLDES")*100/P32)</f>
        <v>0</v>
      </c>
      <c r="CQ32">
        <f>IF(P32=0,0,COUNTIF(Transect1_imgsummary!E32:I32,"DYCTY")*100/P32)</f>
        <v>0</v>
      </c>
      <c r="CR32">
        <f>IF(P32=0,0,COUNTIF(Transect1_imgsummary!E32:I32,"DICT")*100/P32)</f>
        <v>0</v>
      </c>
      <c r="CS32">
        <f>IF(P32=0,0,COUNTIF(Transect1_imgsummary!E32:I32,"GLXU")*100/P32)</f>
        <v>0</v>
      </c>
      <c r="CT32">
        <f>IF(P32=0,0,COUNTIF(Transect1_imgsummary!E32:I32,"HALI")*100/P32)</f>
        <v>0</v>
      </c>
      <c r="CU32">
        <f>IF(P32=0,0,COUNTIF(Transect1_imgsummary!E32:I32,"LIAG")*100/P32)</f>
        <v>0</v>
      </c>
      <c r="CV32">
        <f>IF(P32=0,0,COUNTIF(Transect1_imgsummary!E32:I32,"LOBO")*100/P32)</f>
        <v>0</v>
      </c>
      <c r="CW32">
        <f>IF(P32=0,0,COUNTIF(Transect1_imgsummary!E32:I32,"MAST")*100/P32)</f>
        <v>0</v>
      </c>
      <c r="CX32">
        <f>IF(P32=0,0,COUNTIF(Transect1_imgsummary!E32:I32,"MICDTY")*100/P32)</f>
        <v>0</v>
      </c>
      <c r="CY32">
        <f>IF(P32=0,0,COUNTIF(Transect1_imgsummary!E32:I32,"NEOM")*100/P32)</f>
        <v>0</v>
      </c>
      <c r="CZ32">
        <f>IF(P32=0,0,COUNTIF(Transect1_imgsummary!E32:I32,"NOIDMAC")*100/P32)</f>
        <v>0</v>
      </c>
      <c r="DA32">
        <f>IF(P32=0,0,COUNTIF(Transect1_imgsummary!E32:I32,"PAD")*100/P32)</f>
        <v>0</v>
      </c>
      <c r="DB32">
        <f>IF(P32=0,0,COUNTIF(Transect1_imgsummary!E32:I32,"SARG")*100/P32)</f>
        <v>0</v>
      </c>
      <c r="DC32">
        <f>IF(P32=0,0,COUNTIF(Transect1_imgsummary!E32:I32,"SCHIZ")*100/P32)</f>
        <v>0</v>
      </c>
      <c r="DD32">
        <f>IF(P32=0,0,COUNTIF(Transect1_imgsummary!E32:I32,"TURB")*100/P32)</f>
        <v>0</v>
      </c>
      <c r="DE32">
        <f>IF(P32=0,0,COUNTIF(Transect1_imgsummary!E32:I32,"TYDM")*100/P32)</f>
        <v>0</v>
      </c>
      <c r="DG32">
        <f>IF(P32=0,0,COUNTIF(Transect1_imgsummary!E32:I32,"AMP")*100/P32)</f>
        <v>0</v>
      </c>
      <c r="DH32">
        <f>IF(P32=0,0,COUNTIF(Transect1_imgsummary!E32:I32,"BCA1")*100/P32)</f>
        <v>0</v>
      </c>
      <c r="DI32">
        <f>IF(P32=0,0,COUNTIF(Transect1_imgsummary!E32:I32,"JAN")*100/P32)</f>
        <v>0</v>
      </c>
      <c r="DK32" s="29">
        <f>IF(P32=0,0,COUNTIF(Transect1_imgsummary!E32:I32,"CCA1")*100/P32)</f>
        <v>20</v>
      </c>
      <c r="DM32">
        <f>IF(P32=0,0,COUNTIF(Transect1_imgsummary!E32:I32,"Sand")*100/P32)</f>
        <v>0</v>
      </c>
      <c r="DO32">
        <f>IF(P32=0,0,COUNTIF(Transect1_imgsummary!E32:I32,"FCA1")*100/P32)</f>
        <v>0</v>
      </c>
      <c r="DQ32">
        <f>IF(P32=0,0,COUNTIF(Transect1_imgsummary!E32:I32,"CHRYOBRN")*100/P32)</f>
        <v>0</v>
      </c>
      <c r="DS32">
        <f>IF(P32=0,0,COUNTIF(Transect1_imgsummary!E32:I32,"TURF")*100/P32)</f>
        <v>0</v>
      </c>
      <c r="DU32">
        <f>COUNTIF(Transect1_imgsummary!E32:I32,"Shadow")*100/5</f>
        <v>0</v>
      </c>
      <c r="DV32">
        <f>COUNTIF(Transect1_imgsummary!E32:I32,"Tape")*100/5</f>
        <v>0</v>
      </c>
      <c r="DW32">
        <f>COUNTIF(Transect1_imgsummary!E32:I32,"Wand")*100/5</f>
        <v>0</v>
      </c>
      <c r="DY32">
        <f>IF(P32=0,0,COUNTIF(Transect1_imgsummary!O32:S32,"BC")*100/P32)</f>
        <v>0</v>
      </c>
    </row>
    <row r="33" spans="1:129">
      <c r="A33">
        <v>31</v>
      </c>
      <c r="B33" t="s">
        <v>75</v>
      </c>
      <c r="F33" s="29">
        <f>IF(P33=0,0,COUNTIF(Transect1_imgsummary!J33:N33,"C")*100/P33)</f>
        <v>80</v>
      </c>
      <c r="G33">
        <f>IF(P33=0,0,COUNTIF(Transect1_imgsummary!J33:N33,"OI")*100/P33)</f>
        <v>0</v>
      </c>
      <c r="H33">
        <f>IF(P33=0,0,COUNTIF(Transect1_imgsummary!J33:N33,"MA")*100/P33)</f>
        <v>0</v>
      </c>
      <c r="I33">
        <f>IF(P33=0,0,COUNTIF(Transect1_imgsummary!J33:N33,"BCA")*100/P33)</f>
        <v>0</v>
      </c>
      <c r="J33" s="29">
        <f>IF(P33=0,0,COUNTIF(Transect1_imgsummary!J33:N33,"CCA")*100/P33)</f>
        <v>20</v>
      </c>
      <c r="K33">
        <f>IF(P33=0,0,COUNTIF(Transect1_imgsummary!J33:N33,"SD")*100/P33)</f>
        <v>0</v>
      </c>
      <c r="L33">
        <f>IF(P33=0,0,COUNTIF(Transect1_imgsummary!J33:N33,"FCA")*100/P33)</f>
        <v>0</v>
      </c>
      <c r="M33">
        <f>IF(P33=0,0,COUNTIF(Transect1_imgsummary!J33:N33,"CHRYS")*100/P33)</f>
        <v>0</v>
      </c>
      <c r="N33">
        <f>IF(P33=0,0,COUNTIF(Transect1_imgsummary!J33:N33,"T")*100/P33)</f>
        <v>0</v>
      </c>
      <c r="O33">
        <f>IF(P33=0,0,COUNTIF(Transect1_imgsummary!J33:N33,"TWS")*100/P33)</f>
        <v>0</v>
      </c>
      <c r="P33">
        <f>5-COUNTIF(Transect1_imgsummary!J33:N33,"TWS")</f>
        <v>5</v>
      </c>
      <c r="S33">
        <f>IF(P33=0,0,COUNTIF(Transect1_imgsummary!E33:I33,"ACAN")*100/P33)</f>
        <v>0</v>
      </c>
      <c r="T33">
        <f>IF(P33=0,0,COUNTIF(Transect1_imgsummary!E33:I33,"ACROP")*100/P33)</f>
        <v>0</v>
      </c>
      <c r="U33">
        <f>IF(P33=0,0,COUNTIF(Transect1_imgsummary!E33:I33,"ACROPARB")*100/P33)</f>
        <v>0</v>
      </c>
      <c r="V33">
        <f>IF(P33=0,0,COUNTIF(Transect1_imgsummary!E33:I33,"ACROST")*100/P33)</f>
        <v>0</v>
      </c>
      <c r="W33">
        <f>IF(P33=0,0,COUNTIF(Transect1_imgsummary!E33:I33,"ACROTBL")*100/P33)</f>
        <v>0</v>
      </c>
      <c r="X33">
        <f>IF(P33=0,0,COUNTIF(Transect1_imgsummary!E33:I33,"ASTRP")*100/P33)</f>
        <v>0</v>
      </c>
      <c r="Y33">
        <f>IF(P33=0,0,COUNTIF(Transect1_imgsummary!E33:I33,"CAUL")*100/P33)</f>
        <v>0</v>
      </c>
      <c r="Z33">
        <f>IF(P33=0,0,COUNTIF(Transect1_imgsummary!E33:I33,"COSC")*100/P33)</f>
        <v>0</v>
      </c>
      <c r="AA33">
        <f>IF(P33=0,0,COUNTIF(Transect1_imgsummary!E33:I33,"CTEN")*100/P33)</f>
        <v>0</v>
      </c>
      <c r="AB33">
        <f>IF(P33=0,0,COUNTIF(Transect1_imgsummary!E33:I33,"CYPH")*100/P33)</f>
        <v>0</v>
      </c>
      <c r="AC33">
        <f>IF(P33=0,0,COUNTIF(Transect1_imgsummary!E33:I33,"DIPLO")*100/P33)</f>
        <v>0</v>
      </c>
      <c r="AD33" s="29">
        <f>IF(P33=0,0,COUNTIF(Transect1_imgsummary!E33:I33,"ECHPO")*100/P33)</f>
        <v>80</v>
      </c>
      <c r="AE33">
        <f>IF(P33=0,0,COUNTIF(Transect1_imgsummary!E33:I33,"ECHPHY")*100/P33)</f>
        <v>0</v>
      </c>
      <c r="AF33">
        <f>IF(P33=0,0,COUNTIF(Transect1_imgsummary!E33:I33,"EUPH")*100/P33)</f>
        <v>0</v>
      </c>
      <c r="AG33">
        <f>IF(P33=0,0,COUNTIF(Transect1_imgsummary!E33:I33,"FAV")*100/P33)</f>
        <v>0</v>
      </c>
      <c r="AH33">
        <f>IF(P33=0,0,COUNTIF(Transect1_imgsummary!E33:I33,"FAVT")*100/P33)</f>
        <v>0</v>
      </c>
      <c r="AI33">
        <f>IF(P33=0,0,COUNTIF(Transect1_imgsummary!E33:I33,"FUNG")*100/P33)</f>
        <v>0</v>
      </c>
      <c r="AJ33">
        <f>IF(P33=0,0,COUNTIF(Transect1_imgsummary!E33:I33,"GAL")*100/P33)</f>
        <v>0</v>
      </c>
      <c r="AK33">
        <f>IF(P33=0,0,COUNTIF(Transect1_imgsummary!E33:I33,"GARD")*100/P33)</f>
        <v>0</v>
      </c>
      <c r="AL33">
        <f>IF(P33=0,0,COUNTIF(Transect1_imgsummary!E33:I33,"GON")*100/P33)</f>
        <v>0</v>
      </c>
      <c r="AM33">
        <f>IF(P33=0,0,COUNTIF(Transect1_imgsummary!E33:I33,"GONIO")*100/P33)</f>
        <v>0</v>
      </c>
      <c r="AN33">
        <f>IF(P33=0,0,COUNTIF(Transect1_imgsummary!E33:I33,"HELIO")*100/P33)</f>
        <v>0</v>
      </c>
      <c r="AO33">
        <f>IF(P33=0,0,COUNTIF(Transect1_imgsummary!E33:I33,"HERP")*100/P33)</f>
        <v>0</v>
      </c>
      <c r="AP33">
        <f>IF(P33=0,0,COUNTIF(Transect1_imgsummary!E33:I33,"HYD")*100/P33)</f>
        <v>0</v>
      </c>
      <c r="AQ33">
        <f>IF(P33=0,0,COUNTIF(Transect1_imgsummary!E33:I33,"ISOP")*100/P33)</f>
        <v>0</v>
      </c>
      <c r="AR33">
        <f>IF(P33=0,0,COUNTIF(Transect1_imgsummary!E33:I33,"LEPT")*100/P33)</f>
        <v>0</v>
      </c>
      <c r="AS33">
        <f>IF(P33=0,0,COUNTIF(Transect1_imgsummary!E33:I33,"LEPTOR")*100/P33)</f>
        <v>0</v>
      </c>
      <c r="AT33">
        <f>IF(P33=0,0,COUNTIF(Transect1_imgsummary!E33:I33,"LEPTOS")*100/P33)</f>
        <v>0</v>
      </c>
      <c r="AU33">
        <f>IF(P33=0,0,COUNTIF(Transect1_imgsummary!E33:I33,"LOBOPH")*100/P33)</f>
        <v>0</v>
      </c>
      <c r="AV33">
        <f>IF(P33=0,0,COUNTIF(Transect1_imgsummary!E33:I33,"MERU")*100/P33)</f>
        <v>0</v>
      </c>
      <c r="AW33">
        <f>IF(P33=0,0,COUNTIF(Transect1_imgsummary!E33:I33,"MILL")*100/P33)</f>
        <v>0</v>
      </c>
      <c r="AX33">
        <f>IF(P33=0,0,COUNTIF(Transect1_imgsummary!E33:I33,"MONT")*100/P33)</f>
        <v>0</v>
      </c>
      <c r="AY33">
        <f>IF(P33=0,0,COUNTIF(Transect1_imgsummary!E33:I33,"MONTI")*100/P33)</f>
        <v>0</v>
      </c>
      <c r="AZ33">
        <f>IF(P33=0,0,COUNTIF(Transect1_imgsummary!E33:I33,"MYCED")*100/P33)</f>
        <v>0</v>
      </c>
      <c r="BA33">
        <f>IF(P33=0,0,COUNTIF(Transect1_imgsummary!E33:I33,"OULO")*100/P33)</f>
        <v>0</v>
      </c>
      <c r="BB33">
        <f>IF(P33=0,0,COUNTIF(Transect1_imgsummary!E33:I33,"OXYP")*100/P33)</f>
        <v>0</v>
      </c>
      <c r="BC33">
        <f>IF(P33=0,0,COUNTIF(Transect1_imgsummary!E33:I33,"PLSIA")*100/P33)</f>
        <v>0</v>
      </c>
      <c r="BD33">
        <f>IF(P33=0,0,COUNTIF(Transect1_imgsummary!E33:I33,"PACHY")*100/P33)</f>
        <v>0</v>
      </c>
      <c r="BE33">
        <f>IF(P33=0,0,COUNTIF(Transect1_imgsummary!E33:I33,"PAV")*100/P33)</f>
        <v>0</v>
      </c>
      <c r="BF33">
        <f>IF(P33=0,0,COUNTIF(Transect1_imgsummary!E33:I33,"PECT")*100/P33)</f>
        <v>0</v>
      </c>
      <c r="BG33">
        <f>IF(P33=0,0,COUNTIF(Transect1_imgsummary!E33:I33,"PHYSO")*100/P33)</f>
        <v>0</v>
      </c>
      <c r="BH33">
        <f>IF(P33=0,0,COUNTIF(Transect1_imgsummary!E33:I33,"PLAT")*100/P33)</f>
        <v>0</v>
      </c>
      <c r="BI33">
        <f>IF(P33=0,0,COUNTIF(Transect1_imgsummary!E33:I33,"PLERO")*100/P33)</f>
        <v>0</v>
      </c>
      <c r="BJ33">
        <f>IF(P33=0,0,COUNTIF(Transect1_imgsummary!E33:I33,"POC")*100/P33)</f>
        <v>0</v>
      </c>
      <c r="BK33">
        <f>IF(P33=0,0,COUNTIF(Transect1_imgsummary!E33:I33,"POR")*100/P33)</f>
        <v>0</v>
      </c>
      <c r="BL33">
        <f>IF(P33=0,0,COUNTIF(Transect1_imgsummary!E33:I33,"PORCYL")*100/P33)</f>
        <v>0</v>
      </c>
      <c r="BM33">
        <f>IF(P33=0,0,COUNTIF(Transect1_imgsummary!E33:I33,"PORMAS")*100/P33)</f>
        <v>0</v>
      </c>
      <c r="BN33">
        <f>IF(P33=0,0,COUNTIF(Transect1_imgsummary!E33:I33,"PORRUS")*100/P33)</f>
        <v>0</v>
      </c>
      <c r="BO33">
        <f>IF(P33=0,0,COUNTIF(Transect1_imgsummary!E33:I33,"PSAM")*100/P33)</f>
        <v>0</v>
      </c>
      <c r="BP33">
        <f>IF(P33=0,0,COUNTIF(Transect1_imgsummary!E33:I33,"SANDO")*100/P33)</f>
        <v>0</v>
      </c>
      <c r="BQ33">
        <f>IF(P33=0,0,COUNTIF(Transect1_imgsummary!E33:I33,"SCAP")*100/P33)</f>
        <v>0</v>
      </c>
      <c r="BR33">
        <f>IF(P33=0,0,COUNTIF(Transect1_imgsummary!E33:I33,"SERIA")*100/P33)</f>
        <v>0</v>
      </c>
      <c r="BS33">
        <f>IF(P33=0,0,COUNTIF(Transect1_imgsummary!E33:I33,"STYLC")*100/P33)</f>
        <v>0</v>
      </c>
      <c r="BT33">
        <f>IF(P33=0,0,COUNTIF(Transect1_imgsummary!E33:I33,"STYLO")*100/P33)</f>
        <v>0</v>
      </c>
      <c r="BU33">
        <f>IF(P33=0,0,COUNTIF(Transect1_imgsummary!E33:I33,"SYMP")*100/P33)</f>
        <v>0</v>
      </c>
      <c r="BV33">
        <f>IF(P33=0,0,COUNTIF(Transect1_imgsummary!E33:I33,"TURBIN")*100/P33)</f>
        <v>0</v>
      </c>
      <c r="BX33">
        <f>IF(P33=0,0,COUNTIF(Transect1_imgsummary!E33:I33,"ANEM")*100/P33)</f>
        <v>0</v>
      </c>
      <c r="BY33">
        <f>IF(P33=0,0,COUNTIF(Transect1_imgsummary!E33:I33,"ASC")*100/P33)</f>
        <v>0</v>
      </c>
      <c r="BZ33">
        <f>IF(P33=0,0,COUNTIF(Transect1_imgsummary!E33:I33,"CUPS")*100/P33)</f>
        <v>0</v>
      </c>
      <c r="CA33">
        <f>IF(P33=0,0,COUNTIF(Transect1_imgsummary!E33:I33,"DISCO")*100/P33)</f>
        <v>0</v>
      </c>
      <c r="CB33">
        <f>IF(P33=0,0,COUNTIF(Transect1_imgsummary!E33:I33,"DYS")*100/P33)</f>
        <v>0</v>
      </c>
      <c r="CC33">
        <f>IF(P33=0,0,COUNTIF(Transect1_imgsummary!E33:I33,"G")*100/P33)</f>
        <v>0</v>
      </c>
      <c r="CD33">
        <f>IF(P33=0,0,COUNTIF(Transect1_imgsummary!E33:I33,"NoIDINV")*100/P33)</f>
        <v>0</v>
      </c>
      <c r="CE33">
        <f>IF(P33=0,0,COUNTIF(Transect1_imgsummary!E33:I33,"OLV")*100/P33)</f>
        <v>0</v>
      </c>
      <c r="CF33">
        <f>IF(P33=0,0,COUNTIF(Transect1_imgsummary!E33:I33,"SC")*100/P33)</f>
        <v>0</v>
      </c>
      <c r="CG33">
        <f>IF(P33=0,0,COUNTIF(Transect1_imgsummary!E33:I33,"S")*100/P33)</f>
        <v>0</v>
      </c>
      <c r="CH33">
        <f>IF(P33=0,0,COUNTIF(Transect1_imgsummary!E33:I33,"TERPS")*100/P33)</f>
        <v>0</v>
      </c>
      <c r="CI33">
        <f>IF(P33=0,0,COUNTIF(Transect1_imgsummary!E33:I33,"Z")*100/P33)</f>
        <v>0</v>
      </c>
      <c r="CK33">
        <f>IF(P33=0,0,COUNTIF(Transect1_imgsummary!E33:I33,"ASP")*100/P33)</f>
        <v>0</v>
      </c>
      <c r="CL33">
        <f>IF(P33=0,0,COUNTIF(Transect1_imgsummary!E33:I33,"BG")*100/P33)</f>
        <v>0</v>
      </c>
      <c r="CM33">
        <f>IF(P33=0,0,COUNTIF(Transect1_imgsummary!E33:I33,"Bood")*100/P33)</f>
        <v>0</v>
      </c>
      <c r="CN33">
        <f>IF(P33=0,0,COUNTIF(Transect1_imgsummary!E33:I33,"BRYP")*100/P33)</f>
        <v>0</v>
      </c>
      <c r="CO33">
        <f>IF(P33=0,0,COUNTIF(Transect1_imgsummary!E33:I33,"CLP")*100/P33)</f>
        <v>0</v>
      </c>
      <c r="CP33">
        <f>IF(P33=0,0,COUNTIF(Transect1_imgsummary!E33:I33,"CHLDES")*100/P33)</f>
        <v>0</v>
      </c>
      <c r="CQ33">
        <f>IF(P33=0,0,COUNTIF(Transect1_imgsummary!E33:I33,"DYCTY")*100/P33)</f>
        <v>0</v>
      </c>
      <c r="CR33">
        <f>IF(P33=0,0,COUNTIF(Transect1_imgsummary!E33:I33,"DICT")*100/P33)</f>
        <v>0</v>
      </c>
      <c r="CS33">
        <f>IF(P33=0,0,COUNTIF(Transect1_imgsummary!E33:I33,"GLXU")*100/P33)</f>
        <v>0</v>
      </c>
      <c r="CT33">
        <f>IF(P33=0,0,COUNTIF(Transect1_imgsummary!E33:I33,"HALI")*100/P33)</f>
        <v>0</v>
      </c>
      <c r="CU33">
        <f>IF(P33=0,0,COUNTIF(Transect1_imgsummary!E33:I33,"LIAG")*100/P33)</f>
        <v>0</v>
      </c>
      <c r="CV33">
        <f>IF(P33=0,0,COUNTIF(Transect1_imgsummary!E33:I33,"LOBO")*100/P33)</f>
        <v>0</v>
      </c>
      <c r="CW33">
        <f>IF(P33=0,0,COUNTIF(Transect1_imgsummary!E33:I33,"MAST")*100/P33)</f>
        <v>0</v>
      </c>
      <c r="CX33">
        <f>IF(P33=0,0,COUNTIF(Transect1_imgsummary!E33:I33,"MICDTY")*100/P33)</f>
        <v>0</v>
      </c>
      <c r="CY33">
        <f>IF(P33=0,0,COUNTIF(Transect1_imgsummary!E33:I33,"NEOM")*100/P33)</f>
        <v>0</v>
      </c>
      <c r="CZ33">
        <f>IF(P33=0,0,COUNTIF(Transect1_imgsummary!E33:I33,"NOIDMAC")*100/P33)</f>
        <v>0</v>
      </c>
      <c r="DA33">
        <f>IF(P33=0,0,COUNTIF(Transect1_imgsummary!E33:I33,"PAD")*100/P33)</f>
        <v>0</v>
      </c>
      <c r="DB33">
        <f>IF(P33=0,0,COUNTIF(Transect1_imgsummary!E33:I33,"SARG")*100/P33)</f>
        <v>0</v>
      </c>
      <c r="DC33">
        <f>IF(P33=0,0,COUNTIF(Transect1_imgsummary!E33:I33,"SCHIZ")*100/P33)</f>
        <v>0</v>
      </c>
      <c r="DD33">
        <f>IF(P33=0,0,COUNTIF(Transect1_imgsummary!E33:I33,"TURB")*100/P33)</f>
        <v>0</v>
      </c>
      <c r="DE33">
        <f>IF(P33=0,0,COUNTIF(Transect1_imgsummary!E33:I33,"TYDM")*100/P33)</f>
        <v>0</v>
      </c>
      <c r="DG33">
        <f>IF(P33=0,0,COUNTIF(Transect1_imgsummary!E33:I33,"AMP")*100/P33)</f>
        <v>0</v>
      </c>
      <c r="DH33">
        <f>IF(P33=0,0,COUNTIF(Transect1_imgsummary!E33:I33,"BCA1")*100/P33)</f>
        <v>0</v>
      </c>
      <c r="DI33">
        <f>IF(P33=0,0,COUNTIF(Transect1_imgsummary!E33:I33,"JAN")*100/P33)</f>
        <v>0</v>
      </c>
      <c r="DK33" s="29">
        <f>IF(P33=0,0,COUNTIF(Transect1_imgsummary!E33:I33,"CCA1")*100/P33)</f>
        <v>20</v>
      </c>
      <c r="DM33">
        <f>IF(P33=0,0,COUNTIF(Transect1_imgsummary!E33:I33,"Sand")*100/P33)</f>
        <v>0</v>
      </c>
      <c r="DO33">
        <f>IF(P33=0,0,COUNTIF(Transect1_imgsummary!E33:I33,"FCA1")*100/P33)</f>
        <v>0</v>
      </c>
      <c r="DQ33">
        <f>IF(P33=0,0,COUNTIF(Transect1_imgsummary!E33:I33,"CHRYOBRN")*100/P33)</f>
        <v>0</v>
      </c>
      <c r="DS33">
        <f>IF(P33=0,0,COUNTIF(Transect1_imgsummary!E33:I33,"TURF")*100/P33)</f>
        <v>0</v>
      </c>
      <c r="DU33">
        <f>COUNTIF(Transect1_imgsummary!E33:I33,"Shadow")*100/5</f>
        <v>0</v>
      </c>
      <c r="DV33">
        <f>COUNTIF(Transect1_imgsummary!E33:I33,"Tape")*100/5</f>
        <v>0</v>
      </c>
      <c r="DW33">
        <f>COUNTIF(Transect1_imgsummary!E33:I33,"Wand")*100/5</f>
        <v>0</v>
      </c>
      <c r="DY33">
        <f>IF(P33=0,0,COUNTIF(Transect1_imgsummary!O33:S33,"BC")*100/P33)</f>
        <v>0</v>
      </c>
    </row>
    <row r="34" spans="1:129">
      <c r="A34">
        <v>32</v>
      </c>
      <c r="B34" t="s">
        <v>76</v>
      </c>
      <c r="F34" s="29">
        <f>IF(P34=0,0,COUNTIF(Transect1_imgsummary!J34:N34,"C")*100/P34)</f>
        <v>40</v>
      </c>
      <c r="G34">
        <f>IF(P34=0,0,COUNTIF(Transect1_imgsummary!J34:N34,"OI")*100/P34)</f>
        <v>0</v>
      </c>
      <c r="H34">
        <f>IF(P34=0,0,COUNTIF(Transect1_imgsummary!J34:N34,"MA")*100/P34)</f>
        <v>0</v>
      </c>
      <c r="I34">
        <f>IF(P34=0,0,COUNTIF(Transect1_imgsummary!J34:N34,"BCA")*100/P34)</f>
        <v>0</v>
      </c>
      <c r="J34" s="29">
        <f>IF(P34=0,0,COUNTIF(Transect1_imgsummary!J34:N34,"CCA")*100/P34)</f>
        <v>40</v>
      </c>
      <c r="K34">
        <f>IF(P34=0,0,COUNTIF(Transect1_imgsummary!J34:N34,"SD")*100/P34)</f>
        <v>0</v>
      </c>
      <c r="L34">
        <f>IF(P34=0,0,COUNTIF(Transect1_imgsummary!J34:N34,"FCA")*100/P34)</f>
        <v>0</v>
      </c>
      <c r="M34">
        <f>IF(P34=0,0,COUNTIF(Transect1_imgsummary!J34:N34,"CHRYS")*100/P34)</f>
        <v>0</v>
      </c>
      <c r="N34" s="29">
        <f>IF(P34=0,0,COUNTIF(Transect1_imgsummary!J34:N34,"T")*100/P34)</f>
        <v>20</v>
      </c>
      <c r="O34">
        <f>IF(P34=0,0,COUNTIF(Transect1_imgsummary!J34:N34,"TWS")*100/P34)</f>
        <v>0</v>
      </c>
      <c r="P34">
        <f>5-COUNTIF(Transect1_imgsummary!J34:N34,"TWS")</f>
        <v>5</v>
      </c>
      <c r="S34">
        <f>IF(P34=0,0,COUNTIF(Transect1_imgsummary!E34:I34,"ACAN")*100/P34)</f>
        <v>0</v>
      </c>
      <c r="T34">
        <f>IF(P34=0,0,COUNTIF(Transect1_imgsummary!E34:I34,"ACROP")*100/P34)</f>
        <v>0</v>
      </c>
      <c r="U34">
        <f>IF(P34=0,0,COUNTIF(Transect1_imgsummary!E34:I34,"ACROPARB")*100/P34)</f>
        <v>0</v>
      </c>
      <c r="V34">
        <f>IF(P34=0,0,COUNTIF(Transect1_imgsummary!E34:I34,"ACROST")*100/P34)</f>
        <v>0</v>
      </c>
      <c r="W34">
        <f>IF(P34=0,0,COUNTIF(Transect1_imgsummary!E34:I34,"ACROTBL")*100/P34)</f>
        <v>0</v>
      </c>
      <c r="X34">
        <f>IF(P34=0,0,COUNTIF(Transect1_imgsummary!E34:I34,"ASTRP")*100/P34)</f>
        <v>0</v>
      </c>
      <c r="Y34">
        <f>IF(P34=0,0,COUNTIF(Transect1_imgsummary!E34:I34,"CAUL")*100/P34)</f>
        <v>0</v>
      </c>
      <c r="Z34">
        <f>IF(P34=0,0,COUNTIF(Transect1_imgsummary!E34:I34,"COSC")*100/P34)</f>
        <v>0</v>
      </c>
      <c r="AA34">
        <f>IF(P34=0,0,COUNTIF(Transect1_imgsummary!E34:I34,"CTEN")*100/P34)</f>
        <v>0</v>
      </c>
      <c r="AB34">
        <f>IF(P34=0,0,COUNTIF(Transect1_imgsummary!E34:I34,"CYPH")*100/P34)</f>
        <v>0</v>
      </c>
      <c r="AC34">
        <f>IF(P34=0,0,COUNTIF(Transect1_imgsummary!E34:I34,"DIPLO")*100/P34)</f>
        <v>0</v>
      </c>
      <c r="AD34" s="29">
        <f>IF(P34=0,0,COUNTIF(Transect1_imgsummary!E34:I34,"ECHPO")*100/P34)</f>
        <v>20</v>
      </c>
      <c r="AE34">
        <f>IF(P34=0,0,COUNTIF(Transect1_imgsummary!E34:I34,"ECHPHY")*100/P34)</f>
        <v>0</v>
      </c>
      <c r="AF34">
        <f>IF(P34=0,0,COUNTIF(Transect1_imgsummary!E34:I34,"EUPH")*100/P34)</f>
        <v>0</v>
      </c>
      <c r="AG34">
        <f>IF(P34=0,0,COUNTIF(Transect1_imgsummary!E34:I34,"FAV")*100/P34)</f>
        <v>0</v>
      </c>
      <c r="AH34">
        <f>IF(P34=0,0,COUNTIF(Transect1_imgsummary!E34:I34,"FAVT")*100/P34)</f>
        <v>0</v>
      </c>
      <c r="AI34">
        <f>IF(P34=0,0,COUNTIF(Transect1_imgsummary!E34:I34,"FUNG")*100/P34)</f>
        <v>0</v>
      </c>
      <c r="AJ34">
        <f>IF(P34=0,0,COUNTIF(Transect1_imgsummary!E34:I34,"GAL")*100/P34)</f>
        <v>0</v>
      </c>
      <c r="AK34">
        <f>IF(P34=0,0,COUNTIF(Transect1_imgsummary!E34:I34,"GARD")*100/P34)</f>
        <v>0</v>
      </c>
      <c r="AL34">
        <f>IF(P34=0,0,COUNTIF(Transect1_imgsummary!E34:I34,"GON")*100/P34)</f>
        <v>0</v>
      </c>
      <c r="AM34">
        <f>IF(P34=0,0,COUNTIF(Transect1_imgsummary!E34:I34,"GONIO")*100/P34)</f>
        <v>0</v>
      </c>
      <c r="AN34">
        <f>IF(P34=0,0,COUNTIF(Transect1_imgsummary!E34:I34,"HELIO")*100/P34)</f>
        <v>0</v>
      </c>
      <c r="AO34">
        <f>IF(P34=0,0,COUNTIF(Transect1_imgsummary!E34:I34,"HERP")*100/P34)</f>
        <v>0</v>
      </c>
      <c r="AP34">
        <f>IF(P34=0,0,COUNTIF(Transect1_imgsummary!E34:I34,"HYD")*100/P34)</f>
        <v>0</v>
      </c>
      <c r="AQ34">
        <f>IF(P34=0,0,COUNTIF(Transect1_imgsummary!E34:I34,"ISOP")*100/P34)</f>
        <v>0</v>
      </c>
      <c r="AR34">
        <f>IF(P34=0,0,COUNTIF(Transect1_imgsummary!E34:I34,"LEPT")*100/P34)</f>
        <v>0</v>
      </c>
      <c r="AS34" s="29">
        <f>IF(P34=0,0,COUNTIF(Transect1_imgsummary!E34:I34,"LEPTOR")*100/P34)</f>
        <v>20</v>
      </c>
      <c r="AT34">
        <f>IF(P34=0,0,COUNTIF(Transect1_imgsummary!E34:I34,"LEPTOS")*100/P34)</f>
        <v>0</v>
      </c>
      <c r="AU34">
        <f>IF(P34=0,0,COUNTIF(Transect1_imgsummary!E34:I34,"LOBOPH")*100/P34)</f>
        <v>0</v>
      </c>
      <c r="AV34">
        <f>IF(P34=0,0,COUNTIF(Transect1_imgsummary!E34:I34,"MERU")*100/P34)</f>
        <v>0</v>
      </c>
      <c r="AW34">
        <f>IF(P34=0,0,COUNTIF(Transect1_imgsummary!E34:I34,"MILL")*100/P34)</f>
        <v>0</v>
      </c>
      <c r="AX34">
        <f>IF(P34=0,0,COUNTIF(Transect1_imgsummary!E34:I34,"MONT")*100/P34)</f>
        <v>0</v>
      </c>
      <c r="AY34">
        <f>IF(P34=0,0,COUNTIF(Transect1_imgsummary!E34:I34,"MONTI")*100/P34)</f>
        <v>0</v>
      </c>
      <c r="AZ34">
        <f>IF(P34=0,0,COUNTIF(Transect1_imgsummary!E34:I34,"MYCED")*100/P34)</f>
        <v>0</v>
      </c>
      <c r="BA34">
        <f>IF(P34=0,0,COUNTIF(Transect1_imgsummary!E34:I34,"OULO")*100/P34)</f>
        <v>0</v>
      </c>
      <c r="BB34">
        <f>IF(P34=0,0,COUNTIF(Transect1_imgsummary!E34:I34,"OXYP")*100/P34)</f>
        <v>0</v>
      </c>
      <c r="BC34">
        <f>IF(P34=0,0,COUNTIF(Transect1_imgsummary!E34:I34,"PLSIA")*100/P34)</f>
        <v>0</v>
      </c>
      <c r="BD34">
        <f>IF(P34=0,0,COUNTIF(Transect1_imgsummary!E34:I34,"PACHY")*100/P34)</f>
        <v>0</v>
      </c>
      <c r="BE34">
        <f>IF(P34=0,0,COUNTIF(Transect1_imgsummary!E34:I34,"PAV")*100/P34)</f>
        <v>0</v>
      </c>
      <c r="BF34">
        <f>IF(P34=0,0,COUNTIF(Transect1_imgsummary!E34:I34,"PECT")*100/P34)</f>
        <v>0</v>
      </c>
      <c r="BG34">
        <f>IF(P34=0,0,COUNTIF(Transect1_imgsummary!E34:I34,"PHYSO")*100/P34)</f>
        <v>0</v>
      </c>
      <c r="BH34">
        <f>IF(P34=0,0,COUNTIF(Transect1_imgsummary!E34:I34,"PLAT")*100/P34)</f>
        <v>0</v>
      </c>
      <c r="BI34">
        <f>IF(P34=0,0,COUNTIF(Transect1_imgsummary!E34:I34,"PLERO")*100/P34)</f>
        <v>0</v>
      </c>
      <c r="BJ34">
        <f>IF(P34=0,0,COUNTIF(Transect1_imgsummary!E34:I34,"POC")*100/P34)</f>
        <v>0</v>
      </c>
      <c r="BK34">
        <f>IF(P34=0,0,COUNTIF(Transect1_imgsummary!E34:I34,"POR")*100/P34)</f>
        <v>0</v>
      </c>
      <c r="BL34">
        <f>IF(P34=0,0,COUNTIF(Transect1_imgsummary!E34:I34,"PORCYL")*100/P34)</f>
        <v>0</v>
      </c>
      <c r="BM34">
        <f>IF(P34=0,0,COUNTIF(Transect1_imgsummary!E34:I34,"PORMAS")*100/P34)</f>
        <v>0</v>
      </c>
      <c r="BN34">
        <f>IF(P34=0,0,COUNTIF(Transect1_imgsummary!E34:I34,"PORRUS")*100/P34)</f>
        <v>0</v>
      </c>
      <c r="BO34">
        <f>IF(P34=0,0,COUNTIF(Transect1_imgsummary!E34:I34,"PSAM")*100/P34)</f>
        <v>0</v>
      </c>
      <c r="BP34">
        <f>IF(P34=0,0,COUNTIF(Transect1_imgsummary!E34:I34,"SANDO")*100/P34)</f>
        <v>0</v>
      </c>
      <c r="BQ34">
        <f>IF(P34=0,0,COUNTIF(Transect1_imgsummary!E34:I34,"SCAP")*100/P34)</f>
        <v>0</v>
      </c>
      <c r="BR34">
        <f>IF(P34=0,0,COUNTIF(Transect1_imgsummary!E34:I34,"SERIA")*100/P34)</f>
        <v>0</v>
      </c>
      <c r="BS34">
        <f>IF(P34=0,0,COUNTIF(Transect1_imgsummary!E34:I34,"STYLC")*100/P34)</f>
        <v>0</v>
      </c>
      <c r="BT34">
        <f>IF(P34=0,0,COUNTIF(Transect1_imgsummary!E34:I34,"STYLO")*100/P34)</f>
        <v>0</v>
      </c>
      <c r="BU34">
        <f>IF(P34=0,0,COUNTIF(Transect1_imgsummary!E34:I34,"SYMP")*100/P34)</f>
        <v>0</v>
      </c>
      <c r="BV34">
        <f>IF(P34=0,0,COUNTIF(Transect1_imgsummary!E34:I34,"TURBIN")*100/P34)</f>
        <v>0</v>
      </c>
      <c r="BX34">
        <f>IF(P34=0,0,COUNTIF(Transect1_imgsummary!E34:I34,"ANEM")*100/P34)</f>
        <v>0</v>
      </c>
      <c r="BY34">
        <f>IF(P34=0,0,COUNTIF(Transect1_imgsummary!E34:I34,"ASC")*100/P34)</f>
        <v>0</v>
      </c>
      <c r="BZ34">
        <f>IF(P34=0,0,COUNTIF(Transect1_imgsummary!E34:I34,"CUPS")*100/P34)</f>
        <v>0</v>
      </c>
      <c r="CA34">
        <f>IF(P34=0,0,COUNTIF(Transect1_imgsummary!E34:I34,"DISCO")*100/P34)</f>
        <v>0</v>
      </c>
      <c r="CB34">
        <f>IF(P34=0,0,COUNTIF(Transect1_imgsummary!E34:I34,"DYS")*100/P34)</f>
        <v>0</v>
      </c>
      <c r="CC34">
        <f>IF(P34=0,0,COUNTIF(Transect1_imgsummary!E34:I34,"G")*100/P34)</f>
        <v>0</v>
      </c>
      <c r="CD34">
        <f>IF(P34=0,0,COUNTIF(Transect1_imgsummary!E34:I34,"NoIDINV")*100/P34)</f>
        <v>0</v>
      </c>
      <c r="CE34">
        <f>IF(P34=0,0,COUNTIF(Transect1_imgsummary!E34:I34,"OLV")*100/P34)</f>
        <v>0</v>
      </c>
      <c r="CF34">
        <f>IF(P34=0,0,COUNTIF(Transect1_imgsummary!E34:I34,"SC")*100/P34)</f>
        <v>0</v>
      </c>
      <c r="CG34">
        <f>IF(P34=0,0,COUNTIF(Transect1_imgsummary!E34:I34,"S")*100/P34)</f>
        <v>0</v>
      </c>
      <c r="CH34">
        <f>IF(P34=0,0,COUNTIF(Transect1_imgsummary!E34:I34,"TERPS")*100/P34)</f>
        <v>0</v>
      </c>
      <c r="CI34">
        <f>IF(P34=0,0,COUNTIF(Transect1_imgsummary!E34:I34,"Z")*100/P34)</f>
        <v>0</v>
      </c>
      <c r="CK34">
        <f>IF(P34=0,0,COUNTIF(Transect1_imgsummary!E34:I34,"ASP")*100/P34)</f>
        <v>0</v>
      </c>
      <c r="CL34">
        <f>IF(P34=0,0,COUNTIF(Transect1_imgsummary!E34:I34,"BG")*100/P34)</f>
        <v>0</v>
      </c>
      <c r="CM34">
        <f>IF(P34=0,0,COUNTIF(Transect1_imgsummary!E34:I34,"Bood")*100/P34)</f>
        <v>0</v>
      </c>
      <c r="CN34">
        <f>IF(P34=0,0,COUNTIF(Transect1_imgsummary!E34:I34,"BRYP")*100/P34)</f>
        <v>0</v>
      </c>
      <c r="CO34">
        <f>IF(P34=0,0,COUNTIF(Transect1_imgsummary!E34:I34,"CLP")*100/P34)</f>
        <v>0</v>
      </c>
      <c r="CP34">
        <f>IF(P34=0,0,COUNTIF(Transect1_imgsummary!E34:I34,"CHLDES")*100/P34)</f>
        <v>0</v>
      </c>
      <c r="CQ34">
        <f>IF(P34=0,0,COUNTIF(Transect1_imgsummary!E34:I34,"DYCTY")*100/P34)</f>
        <v>0</v>
      </c>
      <c r="CR34">
        <f>IF(P34=0,0,COUNTIF(Transect1_imgsummary!E34:I34,"DICT")*100/P34)</f>
        <v>0</v>
      </c>
      <c r="CS34">
        <f>IF(P34=0,0,COUNTIF(Transect1_imgsummary!E34:I34,"GLXU")*100/P34)</f>
        <v>0</v>
      </c>
      <c r="CT34">
        <f>IF(P34=0,0,COUNTIF(Transect1_imgsummary!E34:I34,"HALI")*100/P34)</f>
        <v>0</v>
      </c>
      <c r="CU34">
        <f>IF(P34=0,0,COUNTIF(Transect1_imgsummary!E34:I34,"LIAG")*100/P34)</f>
        <v>0</v>
      </c>
      <c r="CV34">
        <f>IF(P34=0,0,COUNTIF(Transect1_imgsummary!E34:I34,"LOBO")*100/P34)</f>
        <v>0</v>
      </c>
      <c r="CW34">
        <f>IF(P34=0,0,COUNTIF(Transect1_imgsummary!E34:I34,"MAST")*100/P34)</f>
        <v>0</v>
      </c>
      <c r="CX34">
        <f>IF(P34=0,0,COUNTIF(Transect1_imgsummary!E34:I34,"MICDTY")*100/P34)</f>
        <v>0</v>
      </c>
      <c r="CY34">
        <f>IF(P34=0,0,COUNTIF(Transect1_imgsummary!E34:I34,"NEOM")*100/P34)</f>
        <v>0</v>
      </c>
      <c r="CZ34">
        <f>IF(P34=0,0,COUNTIF(Transect1_imgsummary!E34:I34,"NOIDMAC")*100/P34)</f>
        <v>0</v>
      </c>
      <c r="DA34">
        <f>IF(P34=0,0,COUNTIF(Transect1_imgsummary!E34:I34,"PAD")*100/P34)</f>
        <v>0</v>
      </c>
      <c r="DB34">
        <f>IF(P34=0,0,COUNTIF(Transect1_imgsummary!E34:I34,"SARG")*100/P34)</f>
        <v>0</v>
      </c>
      <c r="DC34">
        <f>IF(P34=0,0,COUNTIF(Transect1_imgsummary!E34:I34,"SCHIZ")*100/P34)</f>
        <v>0</v>
      </c>
      <c r="DD34">
        <f>IF(P34=0,0,COUNTIF(Transect1_imgsummary!E34:I34,"TURB")*100/P34)</f>
        <v>0</v>
      </c>
      <c r="DE34">
        <f>IF(P34=0,0,COUNTIF(Transect1_imgsummary!E34:I34,"TYDM")*100/P34)</f>
        <v>0</v>
      </c>
      <c r="DG34">
        <f>IF(P34=0,0,COUNTIF(Transect1_imgsummary!E34:I34,"AMP")*100/P34)</f>
        <v>0</v>
      </c>
      <c r="DH34">
        <f>IF(P34=0,0,COUNTIF(Transect1_imgsummary!E34:I34,"BCA1")*100/P34)</f>
        <v>0</v>
      </c>
      <c r="DI34">
        <f>IF(P34=0,0,COUNTIF(Transect1_imgsummary!E34:I34,"JAN")*100/P34)</f>
        <v>0</v>
      </c>
      <c r="DK34" s="29">
        <f>IF(P34=0,0,COUNTIF(Transect1_imgsummary!E34:I34,"CCA1")*100/P34)</f>
        <v>40</v>
      </c>
      <c r="DM34">
        <f>IF(P34=0,0,COUNTIF(Transect1_imgsummary!E34:I34,"Sand")*100/P34)</f>
        <v>0</v>
      </c>
      <c r="DO34">
        <f>IF(P34=0,0,COUNTIF(Transect1_imgsummary!E34:I34,"FCA1")*100/P34)</f>
        <v>0</v>
      </c>
      <c r="DQ34">
        <f>IF(P34=0,0,COUNTIF(Transect1_imgsummary!E34:I34,"CHRYOBRN")*100/P34)</f>
        <v>0</v>
      </c>
      <c r="DS34" s="29">
        <f>IF(P34=0,0,COUNTIF(Transect1_imgsummary!E34:I34,"TURF")*100/P34)</f>
        <v>20</v>
      </c>
      <c r="DU34">
        <f>COUNTIF(Transect1_imgsummary!E34:I34,"Shadow")*100/5</f>
        <v>0</v>
      </c>
      <c r="DV34">
        <f>COUNTIF(Transect1_imgsummary!E34:I34,"Tape")*100/5</f>
        <v>0</v>
      </c>
      <c r="DW34">
        <f>COUNTIF(Transect1_imgsummary!E34:I34,"Wand")*100/5</f>
        <v>0</v>
      </c>
      <c r="DY34">
        <f>IF(P34=0,0,COUNTIF(Transect1_imgsummary!O34:S34,"BC")*100/P34)</f>
        <v>0</v>
      </c>
    </row>
    <row r="35" spans="1:129">
      <c r="A35">
        <v>33</v>
      </c>
      <c r="B35" t="s">
        <v>77</v>
      </c>
      <c r="F35" s="29">
        <f>IF(P35=0,0,COUNTIF(Transect1_imgsummary!J35:N35,"C")*100/P35)</f>
        <v>40</v>
      </c>
      <c r="G35">
        <f>IF(P35=0,0,COUNTIF(Transect1_imgsummary!J35:N35,"OI")*100/P35)</f>
        <v>0</v>
      </c>
      <c r="H35">
        <f>IF(P35=0,0,COUNTIF(Transect1_imgsummary!J35:N35,"MA")*100/P35)</f>
        <v>0</v>
      </c>
      <c r="I35">
        <f>IF(P35=0,0,COUNTIF(Transect1_imgsummary!J35:N35,"BCA")*100/P35)</f>
        <v>0</v>
      </c>
      <c r="J35" s="29">
        <f>IF(P35=0,0,COUNTIF(Transect1_imgsummary!J35:N35,"CCA")*100/P35)</f>
        <v>20</v>
      </c>
      <c r="K35">
        <f>IF(P35=0,0,COUNTIF(Transect1_imgsummary!J35:N35,"SD")*100/P35)</f>
        <v>0</v>
      </c>
      <c r="L35" s="29">
        <f>IF(P35=0,0,COUNTIF(Transect1_imgsummary!J35:N35,"FCA")*100/P35)</f>
        <v>20</v>
      </c>
      <c r="M35">
        <f>IF(P35=0,0,COUNTIF(Transect1_imgsummary!J35:N35,"CHRYS")*100/P35)</f>
        <v>0</v>
      </c>
      <c r="N35" s="29">
        <f>IF(P35=0,0,COUNTIF(Transect1_imgsummary!J35:N35,"T")*100/P35)</f>
        <v>20</v>
      </c>
      <c r="O35">
        <f>IF(P35=0,0,COUNTIF(Transect1_imgsummary!J35:N35,"TWS")*100/P35)</f>
        <v>0</v>
      </c>
      <c r="P35">
        <f>5-COUNTIF(Transect1_imgsummary!J35:N35,"TWS")</f>
        <v>5</v>
      </c>
      <c r="S35">
        <f>IF(P35=0,0,COUNTIF(Transect1_imgsummary!E35:I35,"ACAN")*100/P35)</f>
        <v>0</v>
      </c>
      <c r="T35">
        <f>IF(P35=0,0,COUNTIF(Transect1_imgsummary!E35:I35,"ACROP")*100/P35)</f>
        <v>0</v>
      </c>
      <c r="U35">
        <f>IF(P35=0,0,COUNTIF(Transect1_imgsummary!E35:I35,"ACROPARB")*100/P35)</f>
        <v>0</v>
      </c>
      <c r="V35">
        <f>IF(P35=0,0,COUNTIF(Transect1_imgsummary!E35:I35,"ACROST")*100/P35)</f>
        <v>0</v>
      </c>
      <c r="W35">
        <f>IF(P35=0,0,COUNTIF(Transect1_imgsummary!E35:I35,"ACROTBL")*100/P35)</f>
        <v>0</v>
      </c>
      <c r="X35">
        <f>IF(P35=0,0,COUNTIF(Transect1_imgsummary!E35:I35,"ASTRP")*100/P35)</f>
        <v>0</v>
      </c>
      <c r="Y35">
        <f>IF(P35=0,0,COUNTIF(Transect1_imgsummary!E35:I35,"CAUL")*100/P35)</f>
        <v>0</v>
      </c>
      <c r="Z35">
        <f>IF(P35=0,0,COUNTIF(Transect1_imgsummary!E35:I35,"COSC")*100/P35)</f>
        <v>0</v>
      </c>
      <c r="AA35">
        <f>IF(P35=0,0,COUNTIF(Transect1_imgsummary!E35:I35,"CTEN")*100/P35)</f>
        <v>0</v>
      </c>
      <c r="AB35">
        <f>IF(P35=0,0,COUNTIF(Transect1_imgsummary!E35:I35,"CYPH")*100/P35)</f>
        <v>0</v>
      </c>
      <c r="AC35">
        <f>IF(P35=0,0,COUNTIF(Transect1_imgsummary!E35:I35,"DIPLO")*100/P35)</f>
        <v>0</v>
      </c>
      <c r="AD35">
        <f>IF(P35=0,0,COUNTIF(Transect1_imgsummary!E35:I35,"ECHPO")*100/P35)</f>
        <v>0</v>
      </c>
      <c r="AE35">
        <f>IF(P35=0,0,COUNTIF(Transect1_imgsummary!E35:I35,"ECHPHY")*100/P35)</f>
        <v>0</v>
      </c>
      <c r="AF35">
        <f>IF(P35=0,0,COUNTIF(Transect1_imgsummary!E35:I35,"EUPH")*100/P35)</f>
        <v>0</v>
      </c>
      <c r="AG35">
        <f>IF(P35=0,0,COUNTIF(Transect1_imgsummary!E35:I35,"FAV")*100/P35)</f>
        <v>0</v>
      </c>
      <c r="AH35">
        <f>IF(P35=0,0,COUNTIF(Transect1_imgsummary!E35:I35,"FAVT")*100/P35)</f>
        <v>0</v>
      </c>
      <c r="AI35">
        <f>IF(P35=0,0,COUNTIF(Transect1_imgsummary!E35:I35,"FUNG")*100/P35)</f>
        <v>0</v>
      </c>
      <c r="AJ35">
        <f>IF(P35=0,0,COUNTIF(Transect1_imgsummary!E35:I35,"GAL")*100/P35)</f>
        <v>0</v>
      </c>
      <c r="AK35">
        <f>IF(P35=0,0,COUNTIF(Transect1_imgsummary!E35:I35,"GARD")*100/P35)</f>
        <v>0</v>
      </c>
      <c r="AL35">
        <f>IF(P35=0,0,COUNTIF(Transect1_imgsummary!E35:I35,"GON")*100/P35)</f>
        <v>0</v>
      </c>
      <c r="AM35">
        <f>IF(P35=0,0,COUNTIF(Transect1_imgsummary!E35:I35,"GONIO")*100/P35)</f>
        <v>0</v>
      </c>
      <c r="AN35">
        <f>IF(P35=0,0,COUNTIF(Transect1_imgsummary!E35:I35,"HELIO")*100/P35)</f>
        <v>0</v>
      </c>
      <c r="AO35">
        <f>IF(P35=0,0,COUNTIF(Transect1_imgsummary!E35:I35,"HERP")*100/P35)</f>
        <v>0</v>
      </c>
      <c r="AP35">
        <f>IF(P35=0,0,COUNTIF(Transect1_imgsummary!E35:I35,"HYD")*100/P35)</f>
        <v>0</v>
      </c>
      <c r="AQ35">
        <f>IF(P35=0,0,COUNTIF(Transect1_imgsummary!E35:I35,"ISOP")*100/P35)</f>
        <v>0</v>
      </c>
      <c r="AR35">
        <f>IF(P35=0,0,COUNTIF(Transect1_imgsummary!E35:I35,"LEPT")*100/P35)</f>
        <v>0</v>
      </c>
      <c r="AS35">
        <f>IF(P35=0,0,COUNTIF(Transect1_imgsummary!E35:I35,"LEPTOR")*100/P35)</f>
        <v>0</v>
      </c>
      <c r="AT35">
        <f>IF(P35=0,0,COUNTIF(Transect1_imgsummary!E35:I35,"LEPTOS")*100/P35)</f>
        <v>0</v>
      </c>
      <c r="AU35">
        <f>IF(P35=0,0,COUNTIF(Transect1_imgsummary!E35:I35,"LOBOPH")*100/P35)</f>
        <v>0</v>
      </c>
      <c r="AV35">
        <f>IF(P35=0,0,COUNTIF(Transect1_imgsummary!E35:I35,"MERU")*100/P35)</f>
        <v>0</v>
      </c>
      <c r="AW35">
        <f>IF(P35=0,0,COUNTIF(Transect1_imgsummary!E35:I35,"MILL")*100/P35)</f>
        <v>0</v>
      </c>
      <c r="AX35">
        <f>IF(P35=0,0,COUNTIF(Transect1_imgsummary!E35:I35,"MONT")*100/P35)</f>
        <v>0</v>
      </c>
      <c r="AY35">
        <f>IF(P35=0,0,COUNTIF(Transect1_imgsummary!E35:I35,"MONTI")*100/P35)</f>
        <v>0</v>
      </c>
      <c r="AZ35">
        <f>IF(P35=0,0,COUNTIF(Transect1_imgsummary!E35:I35,"MYCED")*100/P35)</f>
        <v>0</v>
      </c>
      <c r="BA35">
        <f>IF(P35=0,0,COUNTIF(Transect1_imgsummary!E35:I35,"OULO")*100/P35)</f>
        <v>0</v>
      </c>
      <c r="BB35">
        <f>IF(P35=0,0,COUNTIF(Transect1_imgsummary!E35:I35,"OXYP")*100/P35)</f>
        <v>0</v>
      </c>
      <c r="BC35">
        <f>IF(P35=0,0,COUNTIF(Transect1_imgsummary!E35:I35,"PLSIA")*100/P35)</f>
        <v>0</v>
      </c>
      <c r="BD35">
        <f>IF(P35=0,0,COUNTIF(Transect1_imgsummary!E35:I35,"PACHY")*100/P35)</f>
        <v>0</v>
      </c>
      <c r="BE35">
        <f>IF(P35=0,0,COUNTIF(Transect1_imgsummary!E35:I35,"PAV")*100/P35)</f>
        <v>0</v>
      </c>
      <c r="BF35">
        <f>IF(P35=0,0,COUNTIF(Transect1_imgsummary!E35:I35,"PECT")*100/P35)</f>
        <v>0</v>
      </c>
      <c r="BG35">
        <f>IF(P35=0,0,COUNTIF(Transect1_imgsummary!E35:I35,"PHYSO")*100/P35)</f>
        <v>0</v>
      </c>
      <c r="BH35" s="29">
        <f>IF(P35=0,0,COUNTIF(Transect1_imgsummary!E35:I35,"PLAT")*100/P35)</f>
        <v>40</v>
      </c>
      <c r="BI35">
        <f>IF(P35=0,0,COUNTIF(Transect1_imgsummary!E35:I35,"PLERO")*100/P35)</f>
        <v>0</v>
      </c>
      <c r="BJ35">
        <f>IF(P35=0,0,COUNTIF(Transect1_imgsummary!E35:I35,"POC")*100/P35)</f>
        <v>0</v>
      </c>
      <c r="BK35">
        <f>IF(P35=0,0,COUNTIF(Transect1_imgsummary!E35:I35,"POR")*100/P35)</f>
        <v>0</v>
      </c>
      <c r="BL35">
        <f>IF(P35=0,0,COUNTIF(Transect1_imgsummary!E35:I35,"PORCYL")*100/P35)</f>
        <v>0</v>
      </c>
      <c r="BM35">
        <f>IF(P35=0,0,COUNTIF(Transect1_imgsummary!E35:I35,"PORMAS")*100/P35)</f>
        <v>0</v>
      </c>
      <c r="BN35">
        <f>IF(P35=0,0,COUNTIF(Transect1_imgsummary!E35:I35,"PORRUS")*100/P35)</f>
        <v>0</v>
      </c>
      <c r="BO35">
        <f>IF(P35=0,0,COUNTIF(Transect1_imgsummary!E35:I35,"PSAM")*100/P35)</f>
        <v>0</v>
      </c>
      <c r="BP35">
        <f>IF(P35=0,0,COUNTIF(Transect1_imgsummary!E35:I35,"SANDO")*100/P35)</f>
        <v>0</v>
      </c>
      <c r="BQ35">
        <f>IF(P35=0,0,COUNTIF(Transect1_imgsummary!E35:I35,"SCAP")*100/P35)</f>
        <v>0</v>
      </c>
      <c r="BR35">
        <f>IF(P35=0,0,COUNTIF(Transect1_imgsummary!E35:I35,"SERIA")*100/P35)</f>
        <v>0</v>
      </c>
      <c r="BS35">
        <f>IF(P35=0,0,COUNTIF(Transect1_imgsummary!E35:I35,"STYLC")*100/P35)</f>
        <v>0</v>
      </c>
      <c r="BT35">
        <f>IF(P35=0,0,COUNTIF(Transect1_imgsummary!E35:I35,"STYLO")*100/P35)</f>
        <v>0</v>
      </c>
      <c r="BU35">
        <f>IF(P35=0,0,COUNTIF(Transect1_imgsummary!E35:I35,"SYMP")*100/P35)</f>
        <v>0</v>
      </c>
      <c r="BV35">
        <f>IF(P35=0,0,COUNTIF(Transect1_imgsummary!E35:I35,"TURBIN")*100/P35)</f>
        <v>0</v>
      </c>
      <c r="BX35">
        <f>IF(P35=0,0,COUNTIF(Transect1_imgsummary!E35:I35,"ANEM")*100/P35)</f>
        <v>0</v>
      </c>
      <c r="BY35">
        <f>IF(P35=0,0,COUNTIF(Transect1_imgsummary!E35:I35,"ASC")*100/P35)</f>
        <v>0</v>
      </c>
      <c r="BZ35">
        <f>IF(P35=0,0,COUNTIF(Transect1_imgsummary!E35:I35,"CUPS")*100/P35)</f>
        <v>0</v>
      </c>
      <c r="CA35">
        <f>IF(P35=0,0,COUNTIF(Transect1_imgsummary!E35:I35,"DISCO")*100/P35)</f>
        <v>0</v>
      </c>
      <c r="CB35">
        <f>IF(P35=0,0,COUNTIF(Transect1_imgsummary!E35:I35,"DYS")*100/P35)</f>
        <v>0</v>
      </c>
      <c r="CC35">
        <f>IF(P35=0,0,COUNTIF(Transect1_imgsummary!E35:I35,"G")*100/P35)</f>
        <v>0</v>
      </c>
      <c r="CD35">
        <f>IF(P35=0,0,COUNTIF(Transect1_imgsummary!E35:I35,"NoIDINV")*100/P35)</f>
        <v>0</v>
      </c>
      <c r="CE35">
        <f>IF(P35=0,0,COUNTIF(Transect1_imgsummary!E35:I35,"OLV")*100/P35)</f>
        <v>0</v>
      </c>
      <c r="CF35">
        <f>IF(P35=0,0,COUNTIF(Transect1_imgsummary!E35:I35,"SC")*100/P35)</f>
        <v>0</v>
      </c>
      <c r="CG35">
        <f>IF(P35=0,0,COUNTIF(Transect1_imgsummary!E35:I35,"S")*100/P35)</f>
        <v>0</v>
      </c>
      <c r="CH35">
        <f>IF(P35=0,0,COUNTIF(Transect1_imgsummary!E35:I35,"TERPS")*100/P35)</f>
        <v>0</v>
      </c>
      <c r="CI35">
        <f>IF(P35=0,0,COUNTIF(Transect1_imgsummary!E35:I35,"Z")*100/P35)</f>
        <v>0</v>
      </c>
      <c r="CK35">
        <f>IF(P35=0,0,COUNTIF(Transect1_imgsummary!E35:I35,"ASP")*100/P35)</f>
        <v>0</v>
      </c>
      <c r="CL35">
        <f>IF(P35=0,0,COUNTIF(Transect1_imgsummary!E35:I35,"BG")*100/P35)</f>
        <v>0</v>
      </c>
      <c r="CM35">
        <f>IF(P35=0,0,COUNTIF(Transect1_imgsummary!E35:I35,"Bood")*100/P35)</f>
        <v>0</v>
      </c>
      <c r="CN35">
        <f>IF(P35=0,0,COUNTIF(Transect1_imgsummary!E35:I35,"BRYP")*100/P35)</f>
        <v>0</v>
      </c>
      <c r="CO35">
        <f>IF(P35=0,0,COUNTIF(Transect1_imgsummary!E35:I35,"CLP")*100/P35)</f>
        <v>0</v>
      </c>
      <c r="CP35">
        <f>IF(P35=0,0,COUNTIF(Transect1_imgsummary!E35:I35,"CHLDES")*100/P35)</f>
        <v>0</v>
      </c>
      <c r="CQ35">
        <f>IF(P35=0,0,COUNTIF(Transect1_imgsummary!E35:I35,"DYCTY")*100/P35)</f>
        <v>0</v>
      </c>
      <c r="CR35">
        <f>IF(P35=0,0,COUNTIF(Transect1_imgsummary!E35:I35,"DICT")*100/P35)</f>
        <v>0</v>
      </c>
      <c r="CS35">
        <f>IF(P35=0,0,COUNTIF(Transect1_imgsummary!E35:I35,"GLXU")*100/P35)</f>
        <v>0</v>
      </c>
      <c r="CT35">
        <f>IF(P35=0,0,COUNTIF(Transect1_imgsummary!E35:I35,"HALI")*100/P35)</f>
        <v>0</v>
      </c>
      <c r="CU35">
        <f>IF(P35=0,0,COUNTIF(Transect1_imgsummary!E35:I35,"LIAG")*100/P35)</f>
        <v>0</v>
      </c>
      <c r="CV35">
        <f>IF(P35=0,0,COUNTIF(Transect1_imgsummary!E35:I35,"LOBO")*100/P35)</f>
        <v>0</v>
      </c>
      <c r="CW35">
        <f>IF(P35=0,0,COUNTIF(Transect1_imgsummary!E35:I35,"MAST")*100/P35)</f>
        <v>0</v>
      </c>
      <c r="CX35">
        <f>IF(P35=0,0,COUNTIF(Transect1_imgsummary!E35:I35,"MICDTY")*100/P35)</f>
        <v>0</v>
      </c>
      <c r="CY35">
        <f>IF(P35=0,0,COUNTIF(Transect1_imgsummary!E35:I35,"NEOM")*100/P35)</f>
        <v>0</v>
      </c>
      <c r="CZ35">
        <f>IF(P35=0,0,COUNTIF(Transect1_imgsummary!E35:I35,"NOIDMAC")*100/P35)</f>
        <v>0</v>
      </c>
      <c r="DA35">
        <f>IF(P35=0,0,COUNTIF(Transect1_imgsummary!E35:I35,"PAD")*100/P35)</f>
        <v>0</v>
      </c>
      <c r="DB35">
        <f>IF(P35=0,0,COUNTIF(Transect1_imgsummary!E35:I35,"SARG")*100/P35)</f>
        <v>0</v>
      </c>
      <c r="DC35">
        <f>IF(P35=0,0,COUNTIF(Transect1_imgsummary!E35:I35,"SCHIZ")*100/P35)</f>
        <v>0</v>
      </c>
      <c r="DD35">
        <f>IF(P35=0,0,COUNTIF(Transect1_imgsummary!E35:I35,"TURB")*100/P35)</f>
        <v>0</v>
      </c>
      <c r="DE35">
        <f>IF(P35=0,0,COUNTIF(Transect1_imgsummary!E35:I35,"TYDM")*100/P35)</f>
        <v>0</v>
      </c>
      <c r="DG35">
        <f>IF(P35=0,0,COUNTIF(Transect1_imgsummary!E35:I35,"AMP")*100/P35)</f>
        <v>0</v>
      </c>
      <c r="DH35">
        <f>IF(P35=0,0,COUNTIF(Transect1_imgsummary!E35:I35,"BCA1")*100/P35)</f>
        <v>0</v>
      </c>
      <c r="DI35">
        <f>IF(P35=0,0,COUNTIF(Transect1_imgsummary!E35:I35,"JAN")*100/P35)</f>
        <v>0</v>
      </c>
      <c r="DK35" s="29">
        <f>IF(P35=0,0,COUNTIF(Transect1_imgsummary!E35:I35,"CCA1")*100/P35)</f>
        <v>20</v>
      </c>
      <c r="DM35">
        <f>IF(P35=0,0,COUNTIF(Transect1_imgsummary!E35:I35,"Sand")*100/P35)</f>
        <v>0</v>
      </c>
      <c r="DO35" s="29">
        <f>IF(P35=0,0,COUNTIF(Transect1_imgsummary!E35:I35,"FCA1")*100/P35)</f>
        <v>20</v>
      </c>
      <c r="DQ35">
        <f>IF(P35=0,0,COUNTIF(Transect1_imgsummary!E35:I35,"CHRYOBRN")*100/P35)</f>
        <v>0</v>
      </c>
      <c r="DS35" s="29">
        <f>IF(P35=0,0,COUNTIF(Transect1_imgsummary!E35:I35,"TURF")*100/P35)</f>
        <v>20</v>
      </c>
      <c r="DU35">
        <f>COUNTIF(Transect1_imgsummary!E35:I35,"Shadow")*100/5</f>
        <v>0</v>
      </c>
      <c r="DV35">
        <f>COUNTIF(Transect1_imgsummary!E35:I35,"Tape")*100/5</f>
        <v>0</v>
      </c>
      <c r="DW35">
        <f>COUNTIF(Transect1_imgsummary!E35:I35,"Wand")*100/5</f>
        <v>0</v>
      </c>
      <c r="DY35">
        <f>IF(P35=0,0,COUNTIF(Transect1_imgsummary!O35:S35,"BC")*100/P35)</f>
        <v>0</v>
      </c>
    </row>
    <row r="36" spans="1:129">
      <c r="A36">
        <v>34</v>
      </c>
      <c r="B36" t="s">
        <v>78</v>
      </c>
      <c r="F36">
        <f>IF(P36=0,0,COUNTIF(Transect1_imgsummary!J36:N36,"C")*100/P36)</f>
        <v>0</v>
      </c>
      <c r="G36">
        <f>IF(P36=0,0,COUNTIF(Transect1_imgsummary!J36:N36,"OI")*100/P36)</f>
        <v>0</v>
      </c>
      <c r="H36">
        <f>IF(P36=0,0,COUNTIF(Transect1_imgsummary!J36:N36,"MA")*100/P36)</f>
        <v>0</v>
      </c>
      <c r="I36">
        <f>IF(P36=0,0,COUNTIF(Transect1_imgsummary!J36:N36,"BCA")*100/P36)</f>
        <v>0</v>
      </c>
      <c r="J36" s="29">
        <f>IF(P36=0,0,COUNTIF(Transect1_imgsummary!J36:N36,"CCA")*100/P36)</f>
        <v>80</v>
      </c>
      <c r="K36">
        <f>IF(P36=0,0,COUNTIF(Transect1_imgsummary!J36:N36,"SD")*100/P36)</f>
        <v>0</v>
      </c>
      <c r="L36">
        <f>IF(P36=0,0,COUNTIF(Transect1_imgsummary!J36:N36,"FCA")*100/P36)</f>
        <v>0</v>
      </c>
      <c r="M36">
        <f>IF(P36=0,0,COUNTIF(Transect1_imgsummary!J36:N36,"CHRYS")*100/P36)</f>
        <v>0</v>
      </c>
      <c r="N36" s="29">
        <f>IF(P36=0,0,COUNTIF(Transect1_imgsummary!J36:N36,"T")*100/P36)</f>
        <v>20</v>
      </c>
      <c r="O36">
        <f>IF(P36=0,0,COUNTIF(Transect1_imgsummary!J36:N36,"TWS")*100/P36)</f>
        <v>0</v>
      </c>
      <c r="P36">
        <f>5-COUNTIF(Transect1_imgsummary!J36:N36,"TWS")</f>
        <v>5</v>
      </c>
      <c r="S36">
        <f>IF(P36=0,0,COUNTIF(Transect1_imgsummary!E36:I36,"ACAN")*100/P36)</f>
        <v>0</v>
      </c>
      <c r="T36">
        <f>IF(P36=0,0,COUNTIF(Transect1_imgsummary!E36:I36,"ACROP")*100/P36)</f>
        <v>0</v>
      </c>
      <c r="U36">
        <f>IF(P36=0,0,COUNTIF(Transect1_imgsummary!E36:I36,"ACROPARB")*100/P36)</f>
        <v>0</v>
      </c>
      <c r="V36">
        <f>IF(P36=0,0,COUNTIF(Transect1_imgsummary!E36:I36,"ACROST")*100/P36)</f>
        <v>0</v>
      </c>
      <c r="W36">
        <f>IF(P36=0,0,COUNTIF(Transect1_imgsummary!E36:I36,"ACROTBL")*100/P36)</f>
        <v>0</v>
      </c>
      <c r="X36">
        <f>IF(P36=0,0,COUNTIF(Transect1_imgsummary!E36:I36,"ASTRP")*100/P36)</f>
        <v>0</v>
      </c>
      <c r="Y36">
        <f>IF(P36=0,0,COUNTIF(Transect1_imgsummary!E36:I36,"CAUL")*100/P36)</f>
        <v>0</v>
      </c>
      <c r="Z36">
        <f>IF(P36=0,0,COUNTIF(Transect1_imgsummary!E36:I36,"COSC")*100/P36)</f>
        <v>0</v>
      </c>
      <c r="AA36">
        <f>IF(P36=0,0,COUNTIF(Transect1_imgsummary!E36:I36,"CTEN")*100/P36)</f>
        <v>0</v>
      </c>
      <c r="AB36">
        <f>IF(P36=0,0,COUNTIF(Transect1_imgsummary!E36:I36,"CYPH")*100/P36)</f>
        <v>0</v>
      </c>
      <c r="AC36">
        <f>IF(P36=0,0,COUNTIF(Transect1_imgsummary!E36:I36,"DIPLO")*100/P36)</f>
        <v>0</v>
      </c>
      <c r="AD36">
        <f>IF(P36=0,0,COUNTIF(Transect1_imgsummary!E36:I36,"ECHPO")*100/P36)</f>
        <v>0</v>
      </c>
      <c r="AE36">
        <f>IF(P36=0,0,COUNTIF(Transect1_imgsummary!E36:I36,"ECHPHY")*100/P36)</f>
        <v>0</v>
      </c>
      <c r="AF36">
        <f>IF(P36=0,0,COUNTIF(Transect1_imgsummary!E36:I36,"EUPH")*100/P36)</f>
        <v>0</v>
      </c>
      <c r="AG36">
        <f>IF(P36=0,0,COUNTIF(Transect1_imgsummary!E36:I36,"FAV")*100/P36)</f>
        <v>0</v>
      </c>
      <c r="AH36">
        <f>IF(P36=0,0,COUNTIF(Transect1_imgsummary!E36:I36,"FAVT")*100/P36)</f>
        <v>0</v>
      </c>
      <c r="AI36">
        <f>IF(P36=0,0,COUNTIF(Transect1_imgsummary!E36:I36,"FUNG")*100/P36)</f>
        <v>0</v>
      </c>
      <c r="AJ36">
        <f>IF(P36=0,0,COUNTIF(Transect1_imgsummary!E36:I36,"GAL")*100/P36)</f>
        <v>0</v>
      </c>
      <c r="AK36">
        <f>IF(P36=0,0,COUNTIF(Transect1_imgsummary!E36:I36,"GARD")*100/P36)</f>
        <v>0</v>
      </c>
      <c r="AL36">
        <f>IF(P36=0,0,COUNTIF(Transect1_imgsummary!E36:I36,"GON")*100/P36)</f>
        <v>0</v>
      </c>
      <c r="AM36">
        <f>IF(P36=0,0,COUNTIF(Transect1_imgsummary!E36:I36,"GONIO")*100/P36)</f>
        <v>0</v>
      </c>
      <c r="AN36">
        <f>IF(P36=0,0,COUNTIF(Transect1_imgsummary!E36:I36,"HELIO")*100/P36)</f>
        <v>0</v>
      </c>
      <c r="AO36">
        <f>IF(P36=0,0,COUNTIF(Transect1_imgsummary!E36:I36,"HERP")*100/P36)</f>
        <v>0</v>
      </c>
      <c r="AP36">
        <f>IF(P36=0,0,COUNTIF(Transect1_imgsummary!E36:I36,"HYD")*100/P36)</f>
        <v>0</v>
      </c>
      <c r="AQ36">
        <f>IF(P36=0,0,COUNTIF(Transect1_imgsummary!E36:I36,"ISOP")*100/P36)</f>
        <v>0</v>
      </c>
      <c r="AR36">
        <f>IF(P36=0,0,COUNTIF(Transect1_imgsummary!E36:I36,"LEPT")*100/P36)</f>
        <v>0</v>
      </c>
      <c r="AS36">
        <f>IF(P36=0,0,COUNTIF(Transect1_imgsummary!E36:I36,"LEPTOR")*100/P36)</f>
        <v>0</v>
      </c>
      <c r="AT36">
        <f>IF(P36=0,0,COUNTIF(Transect1_imgsummary!E36:I36,"LEPTOS")*100/P36)</f>
        <v>0</v>
      </c>
      <c r="AU36">
        <f>IF(P36=0,0,COUNTIF(Transect1_imgsummary!E36:I36,"LOBOPH")*100/P36)</f>
        <v>0</v>
      </c>
      <c r="AV36">
        <f>IF(P36=0,0,COUNTIF(Transect1_imgsummary!E36:I36,"MERU")*100/P36)</f>
        <v>0</v>
      </c>
      <c r="AW36">
        <f>IF(P36=0,0,COUNTIF(Transect1_imgsummary!E36:I36,"MILL")*100/P36)</f>
        <v>0</v>
      </c>
      <c r="AX36">
        <f>IF(P36=0,0,COUNTIF(Transect1_imgsummary!E36:I36,"MONT")*100/P36)</f>
        <v>0</v>
      </c>
      <c r="AY36">
        <f>IF(P36=0,0,COUNTIF(Transect1_imgsummary!E36:I36,"MONTI")*100/P36)</f>
        <v>0</v>
      </c>
      <c r="AZ36">
        <f>IF(P36=0,0,COUNTIF(Transect1_imgsummary!E36:I36,"MYCED")*100/P36)</f>
        <v>0</v>
      </c>
      <c r="BA36">
        <f>IF(P36=0,0,COUNTIF(Transect1_imgsummary!E36:I36,"OULO")*100/P36)</f>
        <v>0</v>
      </c>
      <c r="BB36">
        <f>IF(P36=0,0,COUNTIF(Transect1_imgsummary!E36:I36,"OXYP")*100/P36)</f>
        <v>0</v>
      </c>
      <c r="BC36">
        <f>IF(P36=0,0,COUNTIF(Transect1_imgsummary!E36:I36,"PLSIA")*100/P36)</f>
        <v>0</v>
      </c>
      <c r="BD36">
        <f>IF(P36=0,0,COUNTIF(Transect1_imgsummary!E36:I36,"PACHY")*100/P36)</f>
        <v>0</v>
      </c>
      <c r="BE36">
        <f>IF(P36=0,0,COUNTIF(Transect1_imgsummary!E36:I36,"PAV")*100/P36)</f>
        <v>0</v>
      </c>
      <c r="BF36">
        <f>IF(P36=0,0,COUNTIF(Transect1_imgsummary!E36:I36,"PECT")*100/P36)</f>
        <v>0</v>
      </c>
      <c r="BG36">
        <f>IF(P36=0,0,COUNTIF(Transect1_imgsummary!E36:I36,"PHYSO")*100/P36)</f>
        <v>0</v>
      </c>
      <c r="BH36">
        <f>IF(P36=0,0,COUNTIF(Transect1_imgsummary!E36:I36,"PLAT")*100/P36)</f>
        <v>0</v>
      </c>
      <c r="BI36">
        <f>IF(P36=0,0,COUNTIF(Transect1_imgsummary!E36:I36,"PLERO")*100/P36)</f>
        <v>0</v>
      </c>
      <c r="BJ36">
        <f>IF(P36=0,0,COUNTIF(Transect1_imgsummary!E36:I36,"POC")*100/P36)</f>
        <v>0</v>
      </c>
      <c r="BK36">
        <f>IF(P36=0,0,COUNTIF(Transect1_imgsummary!E36:I36,"POR")*100/P36)</f>
        <v>0</v>
      </c>
      <c r="BL36">
        <f>IF(P36=0,0,COUNTIF(Transect1_imgsummary!E36:I36,"PORCYL")*100/P36)</f>
        <v>0</v>
      </c>
      <c r="BM36">
        <f>IF(P36=0,0,COUNTIF(Transect1_imgsummary!E36:I36,"PORMAS")*100/P36)</f>
        <v>0</v>
      </c>
      <c r="BN36">
        <f>IF(P36=0,0,COUNTIF(Transect1_imgsummary!E36:I36,"PORRUS")*100/P36)</f>
        <v>0</v>
      </c>
      <c r="BO36">
        <f>IF(P36=0,0,COUNTIF(Transect1_imgsummary!E36:I36,"PSAM")*100/P36)</f>
        <v>0</v>
      </c>
      <c r="BP36">
        <f>IF(P36=0,0,COUNTIF(Transect1_imgsummary!E36:I36,"SANDO")*100/P36)</f>
        <v>0</v>
      </c>
      <c r="BQ36">
        <f>IF(P36=0,0,COUNTIF(Transect1_imgsummary!E36:I36,"SCAP")*100/P36)</f>
        <v>0</v>
      </c>
      <c r="BR36">
        <f>IF(P36=0,0,COUNTIF(Transect1_imgsummary!E36:I36,"SERIA")*100/P36)</f>
        <v>0</v>
      </c>
      <c r="BS36">
        <f>IF(P36=0,0,COUNTIF(Transect1_imgsummary!E36:I36,"STYLC")*100/P36)</f>
        <v>0</v>
      </c>
      <c r="BT36">
        <f>IF(P36=0,0,COUNTIF(Transect1_imgsummary!E36:I36,"STYLO")*100/P36)</f>
        <v>0</v>
      </c>
      <c r="BU36">
        <f>IF(P36=0,0,COUNTIF(Transect1_imgsummary!E36:I36,"SYMP")*100/P36)</f>
        <v>0</v>
      </c>
      <c r="BV36">
        <f>IF(P36=0,0,COUNTIF(Transect1_imgsummary!E36:I36,"TURBIN")*100/P36)</f>
        <v>0</v>
      </c>
      <c r="BX36">
        <f>IF(P36=0,0,COUNTIF(Transect1_imgsummary!E36:I36,"ANEM")*100/P36)</f>
        <v>0</v>
      </c>
      <c r="BY36">
        <f>IF(P36=0,0,COUNTIF(Transect1_imgsummary!E36:I36,"ASC")*100/P36)</f>
        <v>0</v>
      </c>
      <c r="BZ36">
        <f>IF(P36=0,0,COUNTIF(Transect1_imgsummary!E36:I36,"CUPS")*100/P36)</f>
        <v>0</v>
      </c>
      <c r="CA36">
        <f>IF(P36=0,0,COUNTIF(Transect1_imgsummary!E36:I36,"DISCO")*100/P36)</f>
        <v>0</v>
      </c>
      <c r="CB36">
        <f>IF(P36=0,0,COUNTIF(Transect1_imgsummary!E36:I36,"DYS")*100/P36)</f>
        <v>0</v>
      </c>
      <c r="CC36">
        <f>IF(P36=0,0,COUNTIF(Transect1_imgsummary!E36:I36,"G")*100/P36)</f>
        <v>0</v>
      </c>
      <c r="CD36">
        <f>IF(P36=0,0,COUNTIF(Transect1_imgsummary!E36:I36,"NoIDINV")*100/P36)</f>
        <v>0</v>
      </c>
      <c r="CE36">
        <f>IF(P36=0,0,COUNTIF(Transect1_imgsummary!E36:I36,"OLV")*100/P36)</f>
        <v>0</v>
      </c>
      <c r="CF36">
        <f>IF(P36=0,0,COUNTIF(Transect1_imgsummary!E36:I36,"SC")*100/P36)</f>
        <v>0</v>
      </c>
      <c r="CG36">
        <f>IF(P36=0,0,COUNTIF(Transect1_imgsummary!E36:I36,"S")*100/P36)</f>
        <v>0</v>
      </c>
      <c r="CH36">
        <f>IF(P36=0,0,COUNTIF(Transect1_imgsummary!E36:I36,"TERPS")*100/P36)</f>
        <v>0</v>
      </c>
      <c r="CI36">
        <f>IF(P36=0,0,COUNTIF(Transect1_imgsummary!E36:I36,"Z")*100/P36)</f>
        <v>0</v>
      </c>
      <c r="CK36">
        <f>IF(P36=0,0,COUNTIF(Transect1_imgsummary!E36:I36,"ASP")*100/P36)</f>
        <v>0</v>
      </c>
      <c r="CL36">
        <f>IF(P36=0,0,COUNTIF(Transect1_imgsummary!E36:I36,"BG")*100/P36)</f>
        <v>0</v>
      </c>
      <c r="CM36">
        <f>IF(P36=0,0,COUNTIF(Transect1_imgsummary!E36:I36,"Bood")*100/P36)</f>
        <v>0</v>
      </c>
      <c r="CN36">
        <f>IF(P36=0,0,COUNTIF(Transect1_imgsummary!E36:I36,"BRYP")*100/P36)</f>
        <v>0</v>
      </c>
      <c r="CO36">
        <f>IF(P36=0,0,COUNTIF(Transect1_imgsummary!E36:I36,"CLP")*100/P36)</f>
        <v>0</v>
      </c>
      <c r="CP36">
        <f>IF(P36=0,0,COUNTIF(Transect1_imgsummary!E36:I36,"CHLDES")*100/P36)</f>
        <v>0</v>
      </c>
      <c r="CQ36">
        <f>IF(P36=0,0,COUNTIF(Transect1_imgsummary!E36:I36,"DYCTY")*100/P36)</f>
        <v>0</v>
      </c>
      <c r="CR36">
        <f>IF(P36=0,0,COUNTIF(Transect1_imgsummary!E36:I36,"DICT")*100/P36)</f>
        <v>0</v>
      </c>
      <c r="CS36">
        <f>IF(P36=0,0,COUNTIF(Transect1_imgsummary!E36:I36,"GLXU")*100/P36)</f>
        <v>0</v>
      </c>
      <c r="CT36">
        <f>IF(P36=0,0,COUNTIF(Transect1_imgsummary!E36:I36,"HALI")*100/P36)</f>
        <v>0</v>
      </c>
      <c r="CU36">
        <f>IF(P36=0,0,COUNTIF(Transect1_imgsummary!E36:I36,"LIAG")*100/P36)</f>
        <v>0</v>
      </c>
      <c r="CV36">
        <f>IF(P36=0,0,COUNTIF(Transect1_imgsummary!E36:I36,"LOBO")*100/P36)</f>
        <v>0</v>
      </c>
      <c r="CW36">
        <f>IF(P36=0,0,COUNTIF(Transect1_imgsummary!E36:I36,"MAST")*100/P36)</f>
        <v>0</v>
      </c>
      <c r="CX36">
        <f>IF(P36=0,0,COUNTIF(Transect1_imgsummary!E36:I36,"MICDTY")*100/P36)</f>
        <v>0</v>
      </c>
      <c r="CY36">
        <f>IF(P36=0,0,COUNTIF(Transect1_imgsummary!E36:I36,"NEOM")*100/P36)</f>
        <v>0</v>
      </c>
      <c r="CZ36">
        <f>IF(P36=0,0,COUNTIF(Transect1_imgsummary!E36:I36,"NOIDMAC")*100/P36)</f>
        <v>0</v>
      </c>
      <c r="DA36">
        <f>IF(P36=0,0,COUNTIF(Transect1_imgsummary!E36:I36,"PAD")*100/P36)</f>
        <v>0</v>
      </c>
      <c r="DB36">
        <f>IF(P36=0,0,COUNTIF(Transect1_imgsummary!E36:I36,"SARG")*100/P36)</f>
        <v>0</v>
      </c>
      <c r="DC36">
        <f>IF(P36=0,0,COUNTIF(Transect1_imgsummary!E36:I36,"SCHIZ")*100/P36)</f>
        <v>0</v>
      </c>
      <c r="DD36">
        <f>IF(P36=0,0,COUNTIF(Transect1_imgsummary!E36:I36,"TURB")*100/P36)</f>
        <v>0</v>
      </c>
      <c r="DE36">
        <f>IF(P36=0,0,COUNTIF(Transect1_imgsummary!E36:I36,"TYDM")*100/P36)</f>
        <v>0</v>
      </c>
      <c r="DG36">
        <f>IF(P36=0,0,COUNTIF(Transect1_imgsummary!E36:I36,"AMP")*100/P36)</f>
        <v>0</v>
      </c>
      <c r="DH36">
        <f>IF(P36=0,0,COUNTIF(Transect1_imgsummary!E36:I36,"BCA1")*100/P36)</f>
        <v>0</v>
      </c>
      <c r="DI36">
        <f>IF(P36=0,0,COUNTIF(Transect1_imgsummary!E36:I36,"JAN")*100/P36)</f>
        <v>0</v>
      </c>
      <c r="DK36" s="29">
        <f>IF(P36=0,0,COUNTIF(Transect1_imgsummary!E36:I36,"CCA1")*100/P36)</f>
        <v>80</v>
      </c>
      <c r="DM36">
        <f>IF(P36=0,0,COUNTIF(Transect1_imgsummary!E36:I36,"Sand")*100/P36)</f>
        <v>0</v>
      </c>
      <c r="DO36">
        <f>IF(P36=0,0,COUNTIF(Transect1_imgsummary!E36:I36,"FCA1")*100/P36)</f>
        <v>0</v>
      </c>
      <c r="DQ36">
        <f>IF(P36=0,0,COUNTIF(Transect1_imgsummary!E36:I36,"CHRYOBRN")*100/P36)</f>
        <v>0</v>
      </c>
      <c r="DS36" s="29">
        <f>IF(P36=0,0,COUNTIF(Transect1_imgsummary!E36:I36,"TURF")*100/P36)</f>
        <v>20</v>
      </c>
      <c r="DU36">
        <f>COUNTIF(Transect1_imgsummary!E36:I36,"Shadow")*100/5</f>
        <v>0</v>
      </c>
      <c r="DV36">
        <f>COUNTIF(Transect1_imgsummary!E36:I36,"Tape")*100/5</f>
        <v>0</v>
      </c>
      <c r="DW36">
        <f>COUNTIF(Transect1_imgsummary!E36:I36,"Wand")*100/5</f>
        <v>0</v>
      </c>
      <c r="DY36">
        <f>IF(P36=0,0,COUNTIF(Transect1_imgsummary!O36:S36,"BC")*100/P36)</f>
        <v>0</v>
      </c>
    </row>
    <row r="37" spans="1:129">
      <c r="A37">
        <v>35</v>
      </c>
      <c r="B37" t="s">
        <v>79</v>
      </c>
      <c r="F37" s="29">
        <f>IF(P37=0,0,COUNTIF(Transect1_imgsummary!J37:N37,"C")*100/P37)</f>
        <v>20</v>
      </c>
      <c r="G37">
        <f>IF(P37=0,0,COUNTIF(Transect1_imgsummary!J37:N37,"OI")*100/P37)</f>
        <v>0</v>
      </c>
      <c r="H37">
        <f>IF(P37=0,0,COUNTIF(Transect1_imgsummary!J37:N37,"MA")*100/P37)</f>
        <v>0</v>
      </c>
      <c r="I37">
        <f>IF(P37=0,0,COUNTIF(Transect1_imgsummary!J37:N37,"BCA")*100/P37)</f>
        <v>0</v>
      </c>
      <c r="J37" s="29">
        <f>IF(P37=0,0,COUNTIF(Transect1_imgsummary!J37:N37,"CCA")*100/P37)</f>
        <v>20</v>
      </c>
      <c r="K37">
        <f>IF(P37=0,0,COUNTIF(Transect1_imgsummary!J37:N37,"SD")*100/P37)</f>
        <v>0</v>
      </c>
      <c r="L37">
        <f>IF(P37=0,0,COUNTIF(Transect1_imgsummary!J37:N37,"FCA")*100/P37)</f>
        <v>0</v>
      </c>
      <c r="M37">
        <f>IF(P37=0,0,COUNTIF(Transect1_imgsummary!J37:N37,"CHRYS")*100/P37)</f>
        <v>0</v>
      </c>
      <c r="N37" s="29">
        <f>IF(P37=0,0,COUNTIF(Transect1_imgsummary!J37:N37,"T")*100/P37)</f>
        <v>60</v>
      </c>
      <c r="O37">
        <f>IF(P37=0,0,COUNTIF(Transect1_imgsummary!J37:N37,"TWS")*100/P37)</f>
        <v>0</v>
      </c>
      <c r="P37">
        <f>5-COUNTIF(Transect1_imgsummary!J37:N37,"TWS")</f>
        <v>5</v>
      </c>
      <c r="S37">
        <f>IF(P37=0,0,COUNTIF(Transect1_imgsummary!E37:I37,"ACAN")*100/P37)</f>
        <v>0</v>
      </c>
      <c r="T37">
        <f>IF(P37=0,0,COUNTIF(Transect1_imgsummary!E37:I37,"ACROP")*100/P37)</f>
        <v>0</v>
      </c>
      <c r="U37">
        <f>IF(P37=0,0,COUNTIF(Transect1_imgsummary!E37:I37,"ACROPARB")*100/P37)</f>
        <v>0</v>
      </c>
      <c r="V37">
        <f>IF(P37=0,0,COUNTIF(Transect1_imgsummary!E37:I37,"ACROST")*100/P37)</f>
        <v>0</v>
      </c>
      <c r="W37">
        <f>IF(P37=0,0,COUNTIF(Transect1_imgsummary!E37:I37,"ACROTBL")*100/P37)</f>
        <v>0</v>
      </c>
      <c r="X37">
        <f>IF(P37=0,0,COUNTIF(Transect1_imgsummary!E37:I37,"ASTRP")*100/P37)</f>
        <v>0</v>
      </c>
      <c r="Y37">
        <f>IF(P37=0,0,COUNTIF(Transect1_imgsummary!E37:I37,"CAUL")*100/P37)</f>
        <v>0</v>
      </c>
      <c r="Z37">
        <f>IF(P37=0,0,COUNTIF(Transect1_imgsummary!E37:I37,"COSC")*100/P37)</f>
        <v>0</v>
      </c>
      <c r="AA37">
        <f>IF(P37=0,0,COUNTIF(Transect1_imgsummary!E37:I37,"CTEN")*100/P37)</f>
        <v>0</v>
      </c>
      <c r="AB37">
        <f>IF(P37=0,0,COUNTIF(Transect1_imgsummary!E37:I37,"CYPH")*100/P37)</f>
        <v>0</v>
      </c>
      <c r="AC37">
        <f>IF(P37=0,0,COUNTIF(Transect1_imgsummary!E37:I37,"DIPLO")*100/P37)</f>
        <v>0</v>
      </c>
      <c r="AD37" s="29">
        <f>IF(P37=0,0,COUNTIF(Transect1_imgsummary!E37:I37,"ECHPO")*100/P37)</f>
        <v>20</v>
      </c>
      <c r="AE37">
        <f>IF(P37=0,0,COUNTIF(Transect1_imgsummary!E37:I37,"ECHPHY")*100/P37)</f>
        <v>0</v>
      </c>
      <c r="AF37">
        <f>IF(P37=0,0,COUNTIF(Transect1_imgsummary!E37:I37,"EUPH")*100/P37)</f>
        <v>0</v>
      </c>
      <c r="AG37">
        <f>IF(P37=0,0,COUNTIF(Transect1_imgsummary!E37:I37,"FAV")*100/P37)</f>
        <v>0</v>
      </c>
      <c r="AH37">
        <f>IF(P37=0,0,COUNTIF(Transect1_imgsummary!E37:I37,"FAVT")*100/P37)</f>
        <v>0</v>
      </c>
      <c r="AI37">
        <f>IF(P37=0,0,COUNTIF(Transect1_imgsummary!E37:I37,"FUNG")*100/P37)</f>
        <v>0</v>
      </c>
      <c r="AJ37">
        <f>IF(P37=0,0,COUNTIF(Transect1_imgsummary!E37:I37,"GAL")*100/P37)</f>
        <v>0</v>
      </c>
      <c r="AK37">
        <f>IF(P37=0,0,COUNTIF(Transect1_imgsummary!E37:I37,"GARD")*100/P37)</f>
        <v>0</v>
      </c>
      <c r="AL37">
        <f>IF(P37=0,0,COUNTIF(Transect1_imgsummary!E37:I37,"GON")*100/P37)</f>
        <v>0</v>
      </c>
      <c r="AM37">
        <f>IF(P37=0,0,COUNTIF(Transect1_imgsummary!E37:I37,"GONIO")*100/P37)</f>
        <v>0</v>
      </c>
      <c r="AN37">
        <f>IF(P37=0,0,COUNTIF(Transect1_imgsummary!E37:I37,"HELIO")*100/P37)</f>
        <v>0</v>
      </c>
      <c r="AO37">
        <f>IF(P37=0,0,COUNTIF(Transect1_imgsummary!E37:I37,"HERP")*100/P37)</f>
        <v>0</v>
      </c>
      <c r="AP37">
        <f>IF(P37=0,0,COUNTIF(Transect1_imgsummary!E37:I37,"HYD")*100/P37)</f>
        <v>0</v>
      </c>
      <c r="AQ37">
        <f>IF(P37=0,0,COUNTIF(Transect1_imgsummary!E37:I37,"ISOP")*100/P37)</f>
        <v>0</v>
      </c>
      <c r="AR37">
        <f>IF(P37=0,0,COUNTIF(Transect1_imgsummary!E37:I37,"LEPT")*100/P37)</f>
        <v>0</v>
      </c>
      <c r="AS37">
        <f>IF(P37=0,0,COUNTIF(Transect1_imgsummary!E37:I37,"LEPTOR")*100/P37)</f>
        <v>0</v>
      </c>
      <c r="AT37">
        <f>IF(P37=0,0,COUNTIF(Transect1_imgsummary!E37:I37,"LEPTOS")*100/P37)</f>
        <v>0</v>
      </c>
      <c r="AU37">
        <f>IF(P37=0,0,COUNTIF(Transect1_imgsummary!E37:I37,"LOBOPH")*100/P37)</f>
        <v>0</v>
      </c>
      <c r="AV37">
        <f>IF(P37=0,0,COUNTIF(Transect1_imgsummary!E37:I37,"MERU")*100/P37)</f>
        <v>0</v>
      </c>
      <c r="AW37">
        <f>IF(P37=0,0,COUNTIF(Transect1_imgsummary!E37:I37,"MILL")*100/P37)</f>
        <v>0</v>
      </c>
      <c r="AX37">
        <f>IF(P37=0,0,COUNTIF(Transect1_imgsummary!E37:I37,"MONT")*100/P37)</f>
        <v>0</v>
      </c>
      <c r="AY37">
        <f>IF(P37=0,0,COUNTIF(Transect1_imgsummary!E37:I37,"MONTI")*100/P37)</f>
        <v>0</v>
      </c>
      <c r="AZ37">
        <f>IF(P37=0,0,COUNTIF(Transect1_imgsummary!E37:I37,"MYCED")*100/P37)</f>
        <v>0</v>
      </c>
      <c r="BA37">
        <f>IF(P37=0,0,COUNTIF(Transect1_imgsummary!E37:I37,"OULO")*100/P37)</f>
        <v>0</v>
      </c>
      <c r="BB37">
        <f>IF(P37=0,0,COUNTIF(Transect1_imgsummary!E37:I37,"OXYP")*100/P37)</f>
        <v>0</v>
      </c>
      <c r="BC37">
        <f>IF(P37=0,0,COUNTIF(Transect1_imgsummary!E37:I37,"PLSIA")*100/P37)</f>
        <v>0</v>
      </c>
      <c r="BD37">
        <f>IF(P37=0,0,COUNTIF(Transect1_imgsummary!E37:I37,"PACHY")*100/P37)</f>
        <v>0</v>
      </c>
      <c r="BE37">
        <f>IF(P37=0,0,COUNTIF(Transect1_imgsummary!E37:I37,"PAV")*100/P37)</f>
        <v>0</v>
      </c>
      <c r="BF37">
        <f>IF(P37=0,0,COUNTIF(Transect1_imgsummary!E37:I37,"PECT")*100/P37)</f>
        <v>0</v>
      </c>
      <c r="BG37">
        <f>IF(P37=0,0,COUNTIF(Transect1_imgsummary!E37:I37,"PHYSO")*100/P37)</f>
        <v>0</v>
      </c>
      <c r="BH37">
        <f>IF(P37=0,0,COUNTIF(Transect1_imgsummary!E37:I37,"PLAT")*100/P37)</f>
        <v>0</v>
      </c>
      <c r="BI37">
        <f>IF(P37=0,0,COUNTIF(Transect1_imgsummary!E37:I37,"PLERO")*100/P37)</f>
        <v>0</v>
      </c>
      <c r="BJ37">
        <f>IF(P37=0,0,COUNTIF(Transect1_imgsummary!E37:I37,"POC")*100/P37)</f>
        <v>0</v>
      </c>
      <c r="BK37">
        <f>IF(P37=0,0,COUNTIF(Transect1_imgsummary!E37:I37,"POR")*100/P37)</f>
        <v>0</v>
      </c>
      <c r="BL37">
        <f>IF(P37=0,0,COUNTIF(Transect1_imgsummary!E37:I37,"PORCYL")*100/P37)</f>
        <v>0</v>
      </c>
      <c r="BM37">
        <f>IF(P37=0,0,COUNTIF(Transect1_imgsummary!E37:I37,"PORMAS")*100/P37)</f>
        <v>0</v>
      </c>
      <c r="BN37">
        <f>IF(P37=0,0,COUNTIF(Transect1_imgsummary!E37:I37,"PORRUS")*100/P37)</f>
        <v>0</v>
      </c>
      <c r="BO37">
        <f>IF(P37=0,0,COUNTIF(Transect1_imgsummary!E37:I37,"PSAM")*100/P37)</f>
        <v>0</v>
      </c>
      <c r="BP37">
        <f>IF(P37=0,0,COUNTIF(Transect1_imgsummary!E37:I37,"SANDO")*100/P37)</f>
        <v>0</v>
      </c>
      <c r="BQ37">
        <f>IF(P37=0,0,COUNTIF(Transect1_imgsummary!E37:I37,"SCAP")*100/P37)</f>
        <v>0</v>
      </c>
      <c r="BR37">
        <f>IF(P37=0,0,COUNTIF(Transect1_imgsummary!E37:I37,"SERIA")*100/P37)</f>
        <v>0</v>
      </c>
      <c r="BS37">
        <f>IF(P37=0,0,COUNTIF(Transect1_imgsummary!E37:I37,"STYLC")*100/P37)</f>
        <v>0</v>
      </c>
      <c r="BT37">
        <f>IF(P37=0,0,COUNTIF(Transect1_imgsummary!E37:I37,"STYLO")*100/P37)</f>
        <v>0</v>
      </c>
      <c r="BU37">
        <f>IF(P37=0,0,COUNTIF(Transect1_imgsummary!E37:I37,"SYMP")*100/P37)</f>
        <v>0</v>
      </c>
      <c r="BV37">
        <f>IF(P37=0,0,COUNTIF(Transect1_imgsummary!E37:I37,"TURBIN")*100/P37)</f>
        <v>0</v>
      </c>
      <c r="BX37">
        <f>IF(P37=0,0,COUNTIF(Transect1_imgsummary!E37:I37,"ANEM")*100/P37)</f>
        <v>0</v>
      </c>
      <c r="BY37">
        <f>IF(P37=0,0,COUNTIF(Transect1_imgsummary!E37:I37,"ASC")*100/P37)</f>
        <v>0</v>
      </c>
      <c r="BZ37">
        <f>IF(P37=0,0,COUNTIF(Transect1_imgsummary!E37:I37,"CUPS")*100/P37)</f>
        <v>0</v>
      </c>
      <c r="CA37">
        <f>IF(P37=0,0,COUNTIF(Transect1_imgsummary!E37:I37,"DISCO")*100/P37)</f>
        <v>0</v>
      </c>
      <c r="CB37">
        <f>IF(P37=0,0,COUNTIF(Transect1_imgsummary!E37:I37,"DYS")*100/P37)</f>
        <v>0</v>
      </c>
      <c r="CC37">
        <f>IF(P37=0,0,COUNTIF(Transect1_imgsummary!E37:I37,"G")*100/P37)</f>
        <v>0</v>
      </c>
      <c r="CD37">
        <f>IF(P37=0,0,COUNTIF(Transect1_imgsummary!E37:I37,"NoIDINV")*100/P37)</f>
        <v>0</v>
      </c>
      <c r="CE37">
        <f>IF(P37=0,0,COUNTIF(Transect1_imgsummary!E37:I37,"OLV")*100/P37)</f>
        <v>0</v>
      </c>
      <c r="CF37">
        <f>IF(P37=0,0,COUNTIF(Transect1_imgsummary!E37:I37,"SC")*100/P37)</f>
        <v>0</v>
      </c>
      <c r="CG37">
        <f>IF(P37=0,0,COUNTIF(Transect1_imgsummary!E37:I37,"S")*100/P37)</f>
        <v>0</v>
      </c>
      <c r="CH37">
        <f>IF(P37=0,0,COUNTIF(Transect1_imgsummary!E37:I37,"TERPS")*100/P37)</f>
        <v>0</v>
      </c>
      <c r="CI37">
        <f>IF(P37=0,0,COUNTIF(Transect1_imgsummary!E37:I37,"Z")*100/P37)</f>
        <v>0</v>
      </c>
      <c r="CK37">
        <f>IF(P37=0,0,COUNTIF(Transect1_imgsummary!E37:I37,"ASP")*100/P37)</f>
        <v>0</v>
      </c>
      <c r="CL37">
        <f>IF(P37=0,0,COUNTIF(Transect1_imgsummary!E37:I37,"BG")*100/P37)</f>
        <v>0</v>
      </c>
      <c r="CM37">
        <f>IF(P37=0,0,COUNTIF(Transect1_imgsummary!E37:I37,"Bood")*100/P37)</f>
        <v>0</v>
      </c>
      <c r="CN37">
        <f>IF(P37=0,0,COUNTIF(Transect1_imgsummary!E37:I37,"BRYP")*100/P37)</f>
        <v>0</v>
      </c>
      <c r="CO37">
        <f>IF(P37=0,0,COUNTIF(Transect1_imgsummary!E37:I37,"CLP")*100/P37)</f>
        <v>0</v>
      </c>
      <c r="CP37">
        <f>IF(P37=0,0,COUNTIF(Transect1_imgsummary!E37:I37,"CHLDES")*100/P37)</f>
        <v>0</v>
      </c>
      <c r="CQ37">
        <f>IF(P37=0,0,COUNTIF(Transect1_imgsummary!E37:I37,"DYCTY")*100/P37)</f>
        <v>0</v>
      </c>
      <c r="CR37">
        <f>IF(P37=0,0,COUNTIF(Transect1_imgsummary!E37:I37,"DICT")*100/P37)</f>
        <v>0</v>
      </c>
      <c r="CS37">
        <f>IF(P37=0,0,COUNTIF(Transect1_imgsummary!E37:I37,"GLXU")*100/P37)</f>
        <v>0</v>
      </c>
      <c r="CT37">
        <f>IF(P37=0,0,COUNTIF(Transect1_imgsummary!E37:I37,"HALI")*100/P37)</f>
        <v>0</v>
      </c>
      <c r="CU37">
        <f>IF(P37=0,0,COUNTIF(Transect1_imgsummary!E37:I37,"LIAG")*100/P37)</f>
        <v>0</v>
      </c>
      <c r="CV37">
        <f>IF(P37=0,0,COUNTIF(Transect1_imgsummary!E37:I37,"LOBO")*100/P37)</f>
        <v>0</v>
      </c>
      <c r="CW37">
        <f>IF(P37=0,0,COUNTIF(Transect1_imgsummary!E37:I37,"MAST")*100/P37)</f>
        <v>0</v>
      </c>
      <c r="CX37">
        <f>IF(P37=0,0,COUNTIF(Transect1_imgsummary!E37:I37,"MICDTY")*100/P37)</f>
        <v>0</v>
      </c>
      <c r="CY37">
        <f>IF(P37=0,0,COUNTIF(Transect1_imgsummary!E37:I37,"NEOM")*100/P37)</f>
        <v>0</v>
      </c>
      <c r="CZ37">
        <f>IF(P37=0,0,COUNTIF(Transect1_imgsummary!E37:I37,"NOIDMAC")*100/P37)</f>
        <v>0</v>
      </c>
      <c r="DA37">
        <f>IF(P37=0,0,COUNTIF(Transect1_imgsummary!E37:I37,"PAD")*100/P37)</f>
        <v>0</v>
      </c>
      <c r="DB37">
        <f>IF(P37=0,0,COUNTIF(Transect1_imgsummary!E37:I37,"SARG")*100/P37)</f>
        <v>0</v>
      </c>
      <c r="DC37">
        <f>IF(P37=0,0,COUNTIF(Transect1_imgsummary!E37:I37,"SCHIZ")*100/P37)</f>
        <v>0</v>
      </c>
      <c r="DD37">
        <f>IF(P37=0,0,COUNTIF(Transect1_imgsummary!E37:I37,"TURB")*100/P37)</f>
        <v>0</v>
      </c>
      <c r="DE37">
        <f>IF(P37=0,0,COUNTIF(Transect1_imgsummary!E37:I37,"TYDM")*100/P37)</f>
        <v>0</v>
      </c>
      <c r="DG37">
        <f>IF(P37=0,0,COUNTIF(Transect1_imgsummary!E37:I37,"AMP")*100/P37)</f>
        <v>0</v>
      </c>
      <c r="DH37">
        <f>IF(P37=0,0,COUNTIF(Transect1_imgsummary!E37:I37,"BCA1")*100/P37)</f>
        <v>0</v>
      </c>
      <c r="DI37">
        <f>IF(P37=0,0,COUNTIF(Transect1_imgsummary!E37:I37,"JAN")*100/P37)</f>
        <v>0</v>
      </c>
      <c r="DK37" s="29">
        <f>IF(P37=0,0,COUNTIF(Transect1_imgsummary!E37:I37,"CCA1")*100/P37)</f>
        <v>20</v>
      </c>
      <c r="DM37">
        <f>IF(P37=0,0,COUNTIF(Transect1_imgsummary!E37:I37,"Sand")*100/P37)</f>
        <v>0</v>
      </c>
      <c r="DO37">
        <f>IF(P37=0,0,COUNTIF(Transect1_imgsummary!E37:I37,"FCA1")*100/P37)</f>
        <v>0</v>
      </c>
      <c r="DQ37">
        <f>IF(P37=0,0,COUNTIF(Transect1_imgsummary!E37:I37,"CHRYOBRN")*100/P37)</f>
        <v>0</v>
      </c>
      <c r="DS37" s="29">
        <f>IF(P37=0,0,COUNTIF(Transect1_imgsummary!E37:I37,"TURF")*100/P37)</f>
        <v>60</v>
      </c>
      <c r="DU37">
        <f>COUNTIF(Transect1_imgsummary!E37:I37,"Shadow")*100/5</f>
        <v>0</v>
      </c>
      <c r="DV37">
        <f>COUNTIF(Transect1_imgsummary!E37:I37,"Tape")*100/5</f>
        <v>0</v>
      </c>
      <c r="DW37">
        <f>COUNTIF(Transect1_imgsummary!E37:I37,"Wand")*100/5</f>
        <v>0</v>
      </c>
      <c r="DY37">
        <f>IF(P37=0,0,COUNTIF(Transect1_imgsummary!O37:S37,"BC")*100/P37)</f>
        <v>0</v>
      </c>
    </row>
    <row r="38" spans="1:129">
      <c r="A38">
        <v>36</v>
      </c>
      <c r="B38" t="s">
        <v>80</v>
      </c>
      <c r="F38" s="29">
        <f>IF(P38=0,0,COUNTIF(Transect1_imgsummary!J38:N38,"C")*100/P38)</f>
        <v>40</v>
      </c>
      <c r="G38">
        <f>IF(P38=0,0,COUNTIF(Transect1_imgsummary!J38:N38,"OI")*100/P38)</f>
        <v>0</v>
      </c>
      <c r="H38">
        <f>IF(P38=0,0,COUNTIF(Transect1_imgsummary!J38:N38,"MA")*100/P38)</f>
        <v>0</v>
      </c>
      <c r="I38">
        <f>IF(P38=0,0,COUNTIF(Transect1_imgsummary!J38:N38,"BCA")*100/P38)</f>
        <v>0</v>
      </c>
      <c r="J38" s="29">
        <f>IF(P38=0,0,COUNTIF(Transect1_imgsummary!J38:N38,"CCA")*100/P38)</f>
        <v>40</v>
      </c>
      <c r="K38">
        <f>IF(P38=0,0,COUNTIF(Transect1_imgsummary!J38:N38,"SD")*100/P38)</f>
        <v>0</v>
      </c>
      <c r="L38">
        <f>IF(P38=0,0,COUNTIF(Transect1_imgsummary!J38:N38,"FCA")*100/P38)</f>
        <v>0</v>
      </c>
      <c r="M38">
        <f>IF(P38=0,0,COUNTIF(Transect1_imgsummary!J38:N38,"CHRYS")*100/P38)</f>
        <v>0</v>
      </c>
      <c r="N38" s="29">
        <f>IF(P38=0,0,COUNTIF(Transect1_imgsummary!J38:N38,"T")*100/P38)</f>
        <v>20</v>
      </c>
      <c r="O38">
        <f>IF(P38=0,0,COUNTIF(Transect1_imgsummary!J38:N38,"TWS")*100/P38)</f>
        <v>0</v>
      </c>
      <c r="P38">
        <f>5-COUNTIF(Transect1_imgsummary!J38:N38,"TWS")</f>
        <v>5</v>
      </c>
      <c r="S38">
        <f>IF(P38=0,0,COUNTIF(Transect1_imgsummary!E38:I38,"ACAN")*100/P38)</f>
        <v>0</v>
      </c>
      <c r="T38">
        <f>IF(P38=0,0,COUNTIF(Transect1_imgsummary!E38:I38,"ACROP")*100/P38)</f>
        <v>0</v>
      </c>
      <c r="U38">
        <f>IF(P38=0,0,COUNTIF(Transect1_imgsummary!E38:I38,"ACROPARB")*100/P38)</f>
        <v>0</v>
      </c>
      <c r="V38">
        <f>IF(P38=0,0,COUNTIF(Transect1_imgsummary!E38:I38,"ACROST")*100/P38)</f>
        <v>0</v>
      </c>
      <c r="W38">
        <f>IF(P38=0,0,COUNTIF(Transect1_imgsummary!E38:I38,"ACROTBL")*100/P38)</f>
        <v>0</v>
      </c>
      <c r="X38">
        <f>IF(P38=0,0,COUNTIF(Transect1_imgsummary!E38:I38,"ASTRP")*100/P38)</f>
        <v>0</v>
      </c>
      <c r="Y38">
        <f>IF(P38=0,0,COUNTIF(Transect1_imgsummary!E38:I38,"CAUL")*100/P38)</f>
        <v>0</v>
      </c>
      <c r="Z38">
        <f>IF(P38=0,0,COUNTIF(Transect1_imgsummary!E38:I38,"COSC")*100/P38)</f>
        <v>0</v>
      </c>
      <c r="AA38">
        <f>IF(P38=0,0,COUNTIF(Transect1_imgsummary!E38:I38,"CTEN")*100/P38)</f>
        <v>0</v>
      </c>
      <c r="AB38">
        <f>IF(P38=0,0,COUNTIF(Transect1_imgsummary!E38:I38,"CYPH")*100/P38)</f>
        <v>0</v>
      </c>
      <c r="AC38">
        <f>IF(P38=0,0,COUNTIF(Transect1_imgsummary!E38:I38,"DIPLO")*100/P38)</f>
        <v>0</v>
      </c>
      <c r="AD38" s="29">
        <f>IF(P38=0,0,COUNTIF(Transect1_imgsummary!E38:I38,"ECHPO")*100/P38)</f>
        <v>20</v>
      </c>
      <c r="AE38">
        <f>IF(P38=0,0,COUNTIF(Transect1_imgsummary!E38:I38,"ECHPHY")*100/P38)</f>
        <v>0</v>
      </c>
      <c r="AF38">
        <f>IF(P38=0,0,COUNTIF(Transect1_imgsummary!E38:I38,"EUPH")*100/P38)</f>
        <v>0</v>
      </c>
      <c r="AG38">
        <f>IF(P38=0,0,COUNTIF(Transect1_imgsummary!E38:I38,"FAV")*100/P38)</f>
        <v>0</v>
      </c>
      <c r="AH38">
        <f>IF(P38=0,0,COUNTIF(Transect1_imgsummary!E38:I38,"FAVT")*100/P38)</f>
        <v>0</v>
      </c>
      <c r="AI38">
        <f>IF(P38=0,0,COUNTIF(Transect1_imgsummary!E38:I38,"FUNG")*100/P38)</f>
        <v>0</v>
      </c>
      <c r="AJ38">
        <f>IF(P38=0,0,COUNTIF(Transect1_imgsummary!E38:I38,"GAL")*100/P38)</f>
        <v>0</v>
      </c>
      <c r="AK38">
        <f>IF(P38=0,0,COUNTIF(Transect1_imgsummary!E38:I38,"GARD")*100/P38)</f>
        <v>0</v>
      </c>
      <c r="AL38">
        <f>IF(P38=0,0,COUNTIF(Transect1_imgsummary!E38:I38,"GON")*100/P38)</f>
        <v>0</v>
      </c>
      <c r="AM38">
        <f>IF(P38=0,0,COUNTIF(Transect1_imgsummary!E38:I38,"GONIO")*100/P38)</f>
        <v>0</v>
      </c>
      <c r="AN38">
        <f>IF(P38=0,0,COUNTIF(Transect1_imgsummary!E38:I38,"HELIO")*100/P38)</f>
        <v>0</v>
      </c>
      <c r="AO38">
        <f>IF(P38=0,0,COUNTIF(Transect1_imgsummary!E38:I38,"HERP")*100/P38)</f>
        <v>0</v>
      </c>
      <c r="AP38">
        <f>IF(P38=0,0,COUNTIF(Transect1_imgsummary!E38:I38,"HYD")*100/P38)</f>
        <v>0</v>
      </c>
      <c r="AQ38">
        <f>IF(P38=0,0,COUNTIF(Transect1_imgsummary!E38:I38,"ISOP")*100/P38)</f>
        <v>0</v>
      </c>
      <c r="AR38">
        <f>IF(P38=0,0,COUNTIF(Transect1_imgsummary!E38:I38,"LEPT")*100/P38)</f>
        <v>0</v>
      </c>
      <c r="AS38">
        <f>IF(P38=0,0,COUNTIF(Transect1_imgsummary!E38:I38,"LEPTOR")*100/P38)</f>
        <v>0</v>
      </c>
      <c r="AT38">
        <f>IF(P38=0,0,COUNTIF(Transect1_imgsummary!E38:I38,"LEPTOS")*100/P38)</f>
        <v>0</v>
      </c>
      <c r="AU38">
        <f>IF(P38=0,0,COUNTIF(Transect1_imgsummary!E38:I38,"LOBOPH")*100/P38)</f>
        <v>0</v>
      </c>
      <c r="AV38">
        <f>IF(P38=0,0,COUNTIF(Transect1_imgsummary!E38:I38,"MERU")*100/P38)</f>
        <v>0</v>
      </c>
      <c r="AW38">
        <f>IF(P38=0,0,COUNTIF(Transect1_imgsummary!E38:I38,"MILL")*100/P38)</f>
        <v>0</v>
      </c>
      <c r="AX38">
        <f>IF(P38=0,0,COUNTIF(Transect1_imgsummary!E38:I38,"MONT")*100/P38)</f>
        <v>0</v>
      </c>
      <c r="AY38">
        <f>IF(P38=0,0,COUNTIF(Transect1_imgsummary!E38:I38,"MONTI")*100/P38)</f>
        <v>0</v>
      </c>
      <c r="AZ38">
        <f>IF(P38=0,0,COUNTIF(Transect1_imgsummary!E38:I38,"MYCED")*100/P38)</f>
        <v>0</v>
      </c>
      <c r="BA38">
        <f>IF(P38=0,0,COUNTIF(Transect1_imgsummary!E38:I38,"OULO")*100/P38)</f>
        <v>0</v>
      </c>
      <c r="BB38">
        <f>IF(P38=0,0,COUNTIF(Transect1_imgsummary!E38:I38,"OXYP")*100/P38)</f>
        <v>0</v>
      </c>
      <c r="BC38">
        <f>IF(P38=0,0,COUNTIF(Transect1_imgsummary!E38:I38,"PLSIA")*100/P38)</f>
        <v>0</v>
      </c>
      <c r="BD38">
        <f>IF(P38=0,0,COUNTIF(Transect1_imgsummary!E38:I38,"PACHY")*100/P38)</f>
        <v>0</v>
      </c>
      <c r="BE38">
        <f>IF(P38=0,0,COUNTIF(Transect1_imgsummary!E38:I38,"PAV")*100/P38)</f>
        <v>0</v>
      </c>
      <c r="BF38">
        <f>IF(P38=0,0,COUNTIF(Transect1_imgsummary!E38:I38,"PECT")*100/P38)</f>
        <v>0</v>
      </c>
      <c r="BG38">
        <f>IF(P38=0,0,COUNTIF(Transect1_imgsummary!E38:I38,"PHYSO")*100/P38)</f>
        <v>0</v>
      </c>
      <c r="BH38" s="29">
        <f>IF(P38=0,0,COUNTIF(Transect1_imgsummary!E38:I38,"PLAT")*100/P38)</f>
        <v>20</v>
      </c>
      <c r="BI38">
        <f>IF(P38=0,0,COUNTIF(Transect1_imgsummary!E38:I38,"PLERO")*100/P38)</f>
        <v>0</v>
      </c>
      <c r="BJ38">
        <f>IF(P38=0,0,COUNTIF(Transect1_imgsummary!E38:I38,"POC")*100/P38)</f>
        <v>0</v>
      </c>
      <c r="BK38">
        <f>IF(P38=0,0,COUNTIF(Transect1_imgsummary!E38:I38,"POR")*100/P38)</f>
        <v>0</v>
      </c>
      <c r="BL38">
        <f>IF(P38=0,0,COUNTIF(Transect1_imgsummary!E38:I38,"PORCYL")*100/P38)</f>
        <v>0</v>
      </c>
      <c r="BM38">
        <f>IF(P38=0,0,COUNTIF(Transect1_imgsummary!E38:I38,"PORMAS")*100/P38)</f>
        <v>0</v>
      </c>
      <c r="BN38">
        <f>IF(P38=0,0,COUNTIF(Transect1_imgsummary!E38:I38,"PORRUS")*100/P38)</f>
        <v>0</v>
      </c>
      <c r="BO38">
        <f>IF(P38=0,0,COUNTIF(Transect1_imgsummary!E38:I38,"PSAM")*100/P38)</f>
        <v>0</v>
      </c>
      <c r="BP38">
        <f>IF(P38=0,0,COUNTIF(Transect1_imgsummary!E38:I38,"SANDO")*100/P38)</f>
        <v>0</v>
      </c>
      <c r="BQ38">
        <f>IF(P38=0,0,COUNTIF(Transect1_imgsummary!E38:I38,"SCAP")*100/P38)</f>
        <v>0</v>
      </c>
      <c r="BR38">
        <f>IF(P38=0,0,COUNTIF(Transect1_imgsummary!E38:I38,"SERIA")*100/P38)</f>
        <v>0</v>
      </c>
      <c r="BS38">
        <f>IF(P38=0,0,COUNTIF(Transect1_imgsummary!E38:I38,"STYLC")*100/P38)</f>
        <v>0</v>
      </c>
      <c r="BT38">
        <f>IF(P38=0,0,COUNTIF(Transect1_imgsummary!E38:I38,"STYLO")*100/P38)</f>
        <v>0</v>
      </c>
      <c r="BU38">
        <f>IF(P38=0,0,COUNTIF(Transect1_imgsummary!E38:I38,"SYMP")*100/P38)</f>
        <v>0</v>
      </c>
      <c r="BV38">
        <f>IF(P38=0,0,COUNTIF(Transect1_imgsummary!E38:I38,"TURBIN")*100/P38)</f>
        <v>0</v>
      </c>
      <c r="BX38">
        <f>IF(P38=0,0,COUNTIF(Transect1_imgsummary!E38:I38,"ANEM")*100/P38)</f>
        <v>0</v>
      </c>
      <c r="BY38">
        <f>IF(P38=0,0,COUNTIF(Transect1_imgsummary!E38:I38,"ASC")*100/P38)</f>
        <v>0</v>
      </c>
      <c r="BZ38">
        <f>IF(P38=0,0,COUNTIF(Transect1_imgsummary!E38:I38,"CUPS")*100/P38)</f>
        <v>0</v>
      </c>
      <c r="CA38">
        <f>IF(P38=0,0,COUNTIF(Transect1_imgsummary!E38:I38,"DISCO")*100/P38)</f>
        <v>0</v>
      </c>
      <c r="CB38">
        <f>IF(P38=0,0,COUNTIF(Transect1_imgsummary!E38:I38,"DYS")*100/P38)</f>
        <v>0</v>
      </c>
      <c r="CC38">
        <f>IF(P38=0,0,COUNTIF(Transect1_imgsummary!E38:I38,"G")*100/P38)</f>
        <v>0</v>
      </c>
      <c r="CD38">
        <f>IF(P38=0,0,COUNTIF(Transect1_imgsummary!E38:I38,"NoIDINV")*100/P38)</f>
        <v>0</v>
      </c>
      <c r="CE38">
        <f>IF(P38=0,0,COUNTIF(Transect1_imgsummary!E38:I38,"OLV")*100/P38)</f>
        <v>0</v>
      </c>
      <c r="CF38">
        <f>IF(P38=0,0,COUNTIF(Transect1_imgsummary!E38:I38,"SC")*100/P38)</f>
        <v>0</v>
      </c>
      <c r="CG38">
        <f>IF(P38=0,0,COUNTIF(Transect1_imgsummary!E38:I38,"S")*100/P38)</f>
        <v>0</v>
      </c>
      <c r="CH38">
        <f>IF(P38=0,0,COUNTIF(Transect1_imgsummary!E38:I38,"TERPS")*100/P38)</f>
        <v>0</v>
      </c>
      <c r="CI38">
        <f>IF(P38=0,0,COUNTIF(Transect1_imgsummary!E38:I38,"Z")*100/P38)</f>
        <v>0</v>
      </c>
      <c r="CK38">
        <f>IF(P38=0,0,COUNTIF(Transect1_imgsummary!E38:I38,"ASP")*100/P38)</f>
        <v>0</v>
      </c>
      <c r="CL38">
        <f>IF(P38=0,0,COUNTIF(Transect1_imgsummary!E38:I38,"BG")*100/P38)</f>
        <v>0</v>
      </c>
      <c r="CM38">
        <f>IF(P38=0,0,COUNTIF(Transect1_imgsummary!E38:I38,"Bood")*100/P38)</f>
        <v>0</v>
      </c>
      <c r="CN38">
        <f>IF(P38=0,0,COUNTIF(Transect1_imgsummary!E38:I38,"BRYP")*100/P38)</f>
        <v>0</v>
      </c>
      <c r="CO38">
        <f>IF(P38=0,0,COUNTIF(Transect1_imgsummary!E38:I38,"CLP")*100/P38)</f>
        <v>0</v>
      </c>
      <c r="CP38">
        <f>IF(P38=0,0,COUNTIF(Transect1_imgsummary!E38:I38,"CHLDES")*100/P38)</f>
        <v>0</v>
      </c>
      <c r="CQ38">
        <f>IF(P38=0,0,COUNTIF(Transect1_imgsummary!E38:I38,"DYCTY")*100/P38)</f>
        <v>0</v>
      </c>
      <c r="CR38">
        <f>IF(P38=0,0,COUNTIF(Transect1_imgsummary!E38:I38,"DICT")*100/P38)</f>
        <v>0</v>
      </c>
      <c r="CS38">
        <f>IF(P38=0,0,COUNTIF(Transect1_imgsummary!E38:I38,"GLXU")*100/P38)</f>
        <v>0</v>
      </c>
      <c r="CT38">
        <f>IF(P38=0,0,COUNTIF(Transect1_imgsummary!E38:I38,"HALI")*100/P38)</f>
        <v>0</v>
      </c>
      <c r="CU38">
        <f>IF(P38=0,0,COUNTIF(Transect1_imgsummary!E38:I38,"LIAG")*100/P38)</f>
        <v>0</v>
      </c>
      <c r="CV38">
        <f>IF(P38=0,0,COUNTIF(Transect1_imgsummary!E38:I38,"LOBO")*100/P38)</f>
        <v>0</v>
      </c>
      <c r="CW38">
        <f>IF(P38=0,0,COUNTIF(Transect1_imgsummary!E38:I38,"MAST")*100/P38)</f>
        <v>0</v>
      </c>
      <c r="CX38">
        <f>IF(P38=0,0,COUNTIF(Transect1_imgsummary!E38:I38,"MICDTY")*100/P38)</f>
        <v>0</v>
      </c>
      <c r="CY38">
        <f>IF(P38=0,0,COUNTIF(Transect1_imgsummary!E38:I38,"NEOM")*100/P38)</f>
        <v>0</v>
      </c>
      <c r="CZ38">
        <f>IF(P38=0,0,COUNTIF(Transect1_imgsummary!E38:I38,"NOIDMAC")*100/P38)</f>
        <v>0</v>
      </c>
      <c r="DA38">
        <f>IF(P38=0,0,COUNTIF(Transect1_imgsummary!E38:I38,"PAD")*100/P38)</f>
        <v>0</v>
      </c>
      <c r="DB38">
        <f>IF(P38=0,0,COUNTIF(Transect1_imgsummary!E38:I38,"SARG")*100/P38)</f>
        <v>0</v>
      </c>
      <c r="DC38">
        <f>IF(P38=0,0,COUNTIF(Transect1_imgsummary!E38:I38,"SCHIZ")*100/P38)</f>
        <v>0</v>
      </c>
      <c r="DD38">
        <f>IF(P38=0,0,COUNTIF(Transect1_imgsummary!E38:I38,"TURB")*100/P38)</f>
        <v>0</v>
      </c>
      <c r="DE38">
        <f>IF(P38=0,0,COUNTIF(Transect1_imgsummary!E38:I38,"TYDM")*100/P38)</f>
        <v>0</v>
      </c>
      <c r="DG38">
        <f>IF(P38=0,0,COUNTIF(Transect1_imgsummary!E38:I38,"AMP")*100/P38)</f>
        <v>0</v>
      </c>
      <c r="DH38">
        <f>IF(P38=0,0,COUNTIF(Transect1_imgsummary!E38:I38,"BCA1")*100/P38)</f>
        <v>0</v>
      </c>
      <c r="DI38">
        <f>IF(P38=0,0,COUNTIF(Transect1_imgsummary!E38:I38,"JAN")*100/P38)</f>
        <v>0</v>
      </c>
      <c r="DK38" s="29">
        <f>IF(P38=0,0,COUNTIF(Transect1_imgsummary!E38:I38,"CCA1")*100/P38)</f>
        <v>40</v>
      </c>
      <c r="DM38">
        <f>IF(P38=0,0,COUNTIF(Transect1_imgsummary!E38:I38,"Sand")*100/P38)</f>
        <v>0</v>
      </c>
      <c r="DO38">
        <f>IF(P38=0,0,COUNTIF(Transect1_imgsummary!E38:I38,"FCA1")*100/P38)</f>
        <v>0</v>
      </c>
      <c r="DQ38">
        <f>IF(P38=0,0,COUNTIF(Transect1_imgsummary!E38:I38,"CHRYOBRN")*100/P38)</f>
        <v>0</v>
      </c>
      <c r="DS38" s="29">
        <f>IF(P38=0,0,COUNTIF(Transect1_imgsummary!E38:I38,"TURF")*100/P38)</f>
        <v>20</v>
      </c>
      <c r="DU38">
        <f>COUNTIF(Transect1_imgsummary!E38:I38,"Shadow")*100/5</f>
        <v>0</v>
      </c>
      <c r="DV38">
        <f>COUNTIF(Transect1_imgsummary!E38:I38,"Tape")*100/5</f>
        <v>0</v>
      </c>
      <c r="DW38">
        <f>COUNTIF(Transect1_imgsummary!E38:I38,"Wand")*100/5</f>
        <v>0</v>
      </c>
      <c r="DY38">
        <f>IF(P38=0,0,COUNTIF(Transect1_imgsummary!O38:S38,"BC")*100/P38)</f>
        <v>0</v>
      </c>
    </row>
    <row r="39" spans="1:129">
      <c r="A39">
        <v>37</v>
      </c>
      <c r="B39" t="s">
        <v>81</v>
      </c>
      <c r="F39" s="29">
        <f>IF(P39=0,0,COUNTIF(Transect1_imgsummary!J39:N39,"C")*100/P39)</f>
        <v>40</v>
      </c>
      <c r="G39">
        <f>IF(P39=0,0,COUNTIF(Transect1_imgsummary!J39:N39,"OI")*100/P39)</f>
        <v>0</v>
      </c>
      <c r="H39">
        <f>IF(P39=0,0,COUNTIF(Transect1_imgsummary!J39:N39,"MA")*100/P39)</f>
        <v>0</v>
      </c>
      <c r="I39">
        <f>IF(P39=0,0,COUNTIF(Transect1_imgsummary!J39:N39,"BCA")*100/P39)</f>
        <v>0</v>
      </c>
      <c r="J39" s="29">
        <f>IF(P39=0,0,COUNTIF(Transect1_imgsummary!J39:N39,"CCA")*100/P39)</f>
        <v>20</v>
      </c>
      <c r="K39">
        <f>IF(P39=0,0,COUNTIF(Transect1_imgsummary!J39:N39,"SD")*100/P39)</f>
        <v>0</v>
      </c>
      <c r="L39" s="29">
        <f>IF(P39=0,0,COUNTIF(Transect1_imgsummary!J39:N39,"FCA")*100/P39)</f>
        <v>20</v>
      </c>
      <c r="M39">
        <f>IF(P39=0,0,COUNTIF(Transect1_imgsummary!J39:N39,"CHRYS")*100/P39)</f>
        <v>0</v>
      </c>
      <c r="N39" s="29">
        <f>IF(P39=0,0,COUNTIF(Transect1_imgsummary!J39:N39,"T")*100/P39)</f>
        <v>20</v>
      </c>
      <c r="O39">
        <f>IF(P39=0,0,COUNTIF(Transect1_imgsummary!J39:N39,"TWS")*100/P39)</f>
        <v>0</v>
      </c>
      <c r="P39">
        <f>5-COUNTIF(Transect1_imgsummary!J39:N39,"TWS")</f>
        <v>5</v>
      </c>
      <c r="S39">
        <f>IF(P39=0,0,COUNTIF(Transect1_imgsummary!E39:I39,"ACAN")*100/P39)</f>
        <v>0</v>
      </c>
      <c r="T39">
        <f>IF(P39=0,0,COUNTIF(Transect1_imgsummary!E39:I39,"ACROP")*100/P39)</f>
        <v>0</v>
      </c>
      <c r="U39">
        <f>IF(P39=0,0,COUNTIF(Transect1_imgsummary!E39:I39,"ACROPARB")*100/P39)</f>
        <v>0</v>
      </c>
      <c r="V39">
        <f>IF(P39=0,0,COUNTIF(Transect1_imgsummary!E39:I39,"ACROST")*100/P39)</f>
        <v>0</v>
      </c>
      <c r="W39">
        <f>IF(P39=0,0,COUNTIF(Transect1_imgsummary!E39:I39,"ACROTBL")*100/P39)</f>
        <v>0</v>
      </c>
      <c r="X39">
        <f>IF(P39=0,0,COUNTIF(Transect1_imgsummary!E39:I39,"ASTRP")*100/P39)</f>
        <v>0</v>
      </c>
      <c r="Y39">
        <f>IF(P39=0,0,COUNTIF(Transect1_imgsummary!E39:I39,"CAUL")*100/P39)</f>
        <v>0</v>
      </c>
      <c r="Z39">
        <f>IF(P39=0,0,COUNTIF(Transect1_imgsummary!E39:I39,"COSC")*100/P39)</f>
        <v>0</v>
      </c>
      <c r="AA39">
        <f>IF(P39=0,0,COUNTIF(Transect1_imgsummary!E39:I39,"CTEN")*100/P39)</f>
        <v>0</v>
      </c>
      <c r="AB39">
        <f>IF(P39=0,0,COUNTIF(Transect1_imgsummary!E39:I39,"CYPH")*100/P39)</f>
        <v>0</v>
      </c>
      <c r="AC39">
        <f>IF(P39=0,0,COUNTIF(Transect1_imgsummary!E39:I39,"DIPLO")*100/P39)</f>
        <v>0</v>
      </c>
      <c r="AD39">
        <f>IF(P39=0,0,COUNTIF(Transect1_imgsummary!E39:I39,"ECHPO")*100/P39)</f>
        <v>0</v>
      </c>
      <c r="AE39">
        <f>IF(P39=0,0,COUNTIF(Transect1_imgsummary!E39:I39,"ECHPHY")*100/P39)</f>
        <v>0</v>
      </c>
      <c r="AF39">
        <f>IF(P39=0,0,COUNTIF(Transect1_imgsummary!E39:I39,"EUPH")*100/P39)</f>
        <v>0</v>
      </c>
      <c r="AG39">
        <f>IF(P39=0,0,COUNTIF(Transect1_imgsummary!E39:I39,"FAV")*100/P39)</f>
        <v>0</v>
      </c>
      <c r="AH39">
        <f>IF(P39=0,0,COUNTIF(Transect1_imgsummary!E39:I39,"FAVT")*100/P39)</f>
        <v>0</v>
      </c>
      <c r="AI39">
        <f>IF(P39=0,0,COUNTIF(Transect1_imgsummary!E39:I39,"FUNG")*100/P39)</f>
        <v>0</v>
      </c>
      <c r="AJ39">
        <f>IF(P39=0,0,COUNTIF(Transect1_imgsummary!E39:I39,"GAL")*100/P39)</f>
        <v>0</v>
      </c>
      <c r="AK39">
        <f>IF(P39=0,0,COUNTIF(Transect1_imgsummary!E39:I39,"GARD")*100/P39)</f>
        <v>0</v>
      </c>
      <c r="AL39">
        <f>IF(P39=0,0,COUNTIF(Transect1_imgsummary!E39:I39,"GON")*100/P39)</f>
        <v>0</v>
      </c>
      <c r="AM39">
        <f>IF(P39=0,0,COUNTIF(Transect1_imgsummary!E39:I39,"GONIO")*100/P39)</f>
        <v>0</v>
      </c>
      <c r="AN39">
        <f>IF(P39=0,0,COUNTIF(Transect1_imgsummary!E39:I39,"HELIO")*100/P39)</f>
        <v>0</v>
      </c>
      <c r="AO39">
        <f>IF(P39=0,0,COUNTIF(Transect1_imgsummary!E39:I39,"HERP")*100/P39)</f>
        <v>0</v>
      </c>
      <c r="AP39">
        <f>IF(P39=0,0,COUNTIF(Transect1_imgsummary!E39:I39,"HYD")*100/P39)</f>
        <v>0</v>
      </c>
      <c r="AQ39">
        <f>IF(P39=0,0,COUNTIF(Transect1_imgsummary!E39:I39,"ISOP")*100/P39)</f>
        <v>0</v>
      </c>
      <c r="AR39">
        <f>IF(P39=0,0,COUNTIF(Transect1_imgsummary!E39:I39,"LEPT")*100/P39)</f>
        <v>0</v>
      </c>
      <c r="AS39">
        <f>IF(P39=0,0,COUNTIF(Transect1_imgsummary!E39:I39,"LEPTOR")*100/P39)</f>
        <v>0</v>
      </c>
      <c r="AT39">
        <f>IF(P39=0,0,COUNTIF(Transect1_imgsummary!E39:I39,"LEPTOS")*100/P39)</f>
        <v>0</v>
      </c>
      <c r="AU39">
        <f>IF(P39=0,0,COUNTIF(Transect1_imgsummary!E39:I39,"LOBOPH")*100/P39)</f>
        <v>0</v>
      </c>
      <c r="AV39">
        <f>IF(P39=0,0,COUNTIF(Transect1_imgsummary!E39:I39,"MERU")*100/P39)</f>
        <v>0</v>
      </c>
      <c r="AW39">
        <f>IF(P39=0,0,COUNTIF(Transect1_imgsummary!E39:I39,"MILL")*100/P39)</f>
        <v>0</v>
      </c>
      <c r="AX39">
        <f>IF(P39=0,0,COUNTIF(Transect1_imgsummary!E39:I39,"MONT")*100/P39)</f>
        <v>0</v>
      </c>
      <c r="AY39">
        <f>IF(P39=0,0,COUNTIF(Transect1_imgsummary!E39:I39,"MONTI")*100/P39)</f>
        <v>0</v>
      </c>
      <c r="AZ39">
        <f>IF(P39=0,0,COUNTIF(Transect1_imgsummary!E39:I39,"MYCED")*100/P39)</f>
        <v>0</v>
      </c>
      <c r="BA39">
        <f>IF(P39=0,0,COUNTIF(Transect1_imgsummary!E39:I39,"OULO")*100/P39)</f>
        <v>0</v>
      </c>
      <c r="BB39">
        <f>IF(P39=0,0,COUNTIF(Transect1_imgsummary!E39:I39,"OXYP")*100/P39)</f>
        <v>0</v>
      </c>
      <c r="BC39">
        <f>IF(P39=0,0,COUNTIF(Transect1_imgsummary!E39:I39,"PLSIA")*100/P39)</f>
        <v>0</v>
      </c>
      <c r="BD39">
        <f>IF(P39=0,0,COUNTIF(Transect1_imgsummary!E39:I39,"PACHY")*100/P39)</f>
        <v>0</v>
      </c>
      <c r="BE39">
        <f>IF(P39=0,0,COUNTIF(Transect1_imgsummary!E39:I39,"PAV")*100/P39)</f>
        <v>0</v>
      </c>
      <c r="BF39">
        <f>IF(P39=0,0,COUNTIF(Transect1_imgsummary!E39:I39,"PECT")*100/P39)</f>
        <v>0</v>
      </c>
      <c r="BG39">
        <f>IF(P39=0,0,COUNTIF(Transect1_imgsummary!E39:I39,"PHYSO")*100/P39)</f>
        <v>0</v>
      </c>
      <c r="BH39" s="29">
        <f>IF(P39=0,0,COUNTIF(Transect1_imgsummary!E39:I39,"PLAT")*100/P39)</f>
        <v>20</v>
      </c>
      <c r="BI39">
        <f>IF(P39=0,0,COUNTIF(Transect1_imgsummary!E39:I39,"PLERO")*100/P39)</f>
        <v>0</v>
      </c>
      <c r="BJ39">
        <f>IF(P39=0,0,COUNTIF(Transect1_imgsummary!E39:I39,"POC")*100/P39)</f>
        <v>0</v>
      </c>
      <c r="BK39">
        <f>IF(P39=0,0,COUNTIF(Transect1_imgsummary!E39:I39,"POR")*100/P39)</f>
        <v>0</v>
      </c>
      <c r="BL39">
        <f>IF(P39=0,0,COUNTIF(Transect1_imgsummary!E39:I39,"PORCYL")*100/P39)</f>
        <v>0</v>
      </c>
      <c r="BM39">
        <f>IF(P39=0,0,COUNTIF(Transect1_imgsummary!E39:I39,"PORMAS")*100/P39)</f>
        <v>0</v>
      </c>
      <c r="BN39">
        <f>IF(P39=0,0,COUNTIF(Transect1_imgsummary!E39:I39,"PORRUS")*100/P39)</f>
        <v>0</v>
      </c>
      <c r="BO39">
        <f>IF(P39=0,0,COUNTIF(Transect1_imgsummary!E39:I39,"PSAM")*100/P39)</f>
        <v>0</v>
      </c>
      <c r="BP39">
        <f>IF(P39=0,0,COUNTIF(Transect1_imgsummary!E39:I39,"SANDO")*100/P39)</f>
        <v>0</v>
      </c>
      <c r="BQ39">
        <f>IF(P39=0,0,COUNTIF(Transect1_imgsummary!E39:I39,"SCAP")*100/P39)</f>
        <v>0</v>
      </c>
      <c r="BR39">
        <f>IF(P39=0,0,COUNTIF(Transect1_imgsummary!E39:I39,"SERIA")*100/P39)</f>
        <v>0</v>
      </c>
      <c r="BS39">
        <f>IF(P39=0,0,COUNTIF(Transect1_imgsummary!E39:I39,"STYLC")*100/P39)</f>
        <v>0</v>
      </c>
      <c r="BT39" s="29">
        <f>IF(P39=0,0,COUNTIF(Transect1_imgsummary!E39:I39,"STYLO")*100/P39)</f>
        <v>20</v>
      </c>
      <c r="BU39">
        <f>IF(P39=0,0,COUNTIF(Transect1_imgsummary!E39:I39,"SYMP")*100/P39)</f>
        <v>0</v>
      </c>
      <c r="BV39">
        <f>IF(P39=0,0,COUNTIF(Transect1_imgsummary!E39:I39,"TURBIN")*100/P39)</f>
        <v>0</v>
      </c>
      <c r="BX39">
        <f>IF(P39=0,0,COUNTIF(Transect1_imgsummary!E39:I39,"ANEM")*100/P39)</f>
        <v>0</v>
      </c>
      <c r="BY39">
        <f>IF(P39=0,0,COUNTIF(Transect1_imgsummary!E39:I39,"ASC")*100/P39)</f>
        <v>0</v>
      </c>
      <c r="BZ39">
        <f>IF(P39=0,0,COUNTIF(Transect1_imgsummary!E39:I39,"CUPS")*100/P39)</f>
        <v>0</v>
      </c>
      <c r="CA39">
        <f>IF(P39=0,0,COUNTIF(Transect1_imgsummary!E39:I39,"DISCO")*100/P39)</f>
        <v>0</v>
      </c>
      <c r="CB39">
        <f>IF(P39=0,0,COUNTIF(Transect1_imgsummary!E39:I39,"DYS")*100/P39)</f>
        <v>0</v>
      </c>
      <c r="CC39">
        <f>IF(P39=0,0,COUNTIF(Transect1_imgsummary!E39:I39,"G")*100/P39)</f>
        <v>0</v>
      </c>
      <c r="CD39">
        <f>IF(P39=0,0,COUNTIF(Transect1_imgsummary!E39:I39,"NoIDINV")*100/P39)</f>
        <v>0</v>
      </c>
      <c r="CE39">
        <f>IF(P39=0,0,COUNTIF(Transect1_imgsummary!E39:I39,"OLV")*100/P39)</f>
        <v>0</v>
      </c>
      <c r="CF39">
        <f>IF(P39=0,0,COUNTIF(Transect1_imgsummary!E39:I39,"SC")*100/P39)</f>
        <v>0</v>
      </c>
      <c r="CG39">
        <f>IF(P39=0,0,COUNTIF(Transect1_imgsummary!E39:I39,"S")*100/P39)</f>
        <v>0</v>
      </c>
      <c r="CH39">
        <f>IF(P39=0,0,COUNTIF(Transect1_imgsummary!E39:I39,"TERPS")*100/P39)</f>
        <v>0</v>
      </c>
      <c r="CI39">
        <f>IF(P39=0,0,COUNTIF(Transect1_imgsummary!E39:I39,"Z")*100/P39)</f>
        <v>0</v>
      </c>
      <c r="CK39">
        <f>IF(P39=0,0,COUNTIF(Transect1_imgsummary!E39:I39,"ASP")*100/P39)</f>
        <v>0</v>
      </c>
      <c r="CL39">
        <f>IF(P39=0,0,COUNTIF(Transect1_imgsummary!E39:I39,"BG")*100/P39)</f>
        <v>0</v>
      </c>
      <c r="CM39">
        <f>IF(P39=0,0,COUNTIF(Transect1_imgsummary!E39:I39,"Bood")*100/P39)</f>
        <v>0</v>
      </c>
      <c r="CN39">
        <f>IF(P39=0,0,COUNTIF(Transect1_imgsummary!E39:I39,"BRYP")*100/P39)</f>
        <v>0</v>
      </c>
      <c r="CO39">
        <f>IF(P39=0,0,COUNTIF(Transect1_imgsummary!E39:I39,"CLP")*100/P39)</f>
        <v>0</v>
      </c>
      <c r="CP39">
        <f>IF(P39=0,0,COUNTIF(Transect1_imgsummary!E39:I39,"CHLDES")*100/P39)</f>
        <v>0</v>
      </c>
      <c r="CQ39">
        <f>IF(P39=0,0,COUNTIF(Transect1_imgsummary!E39:I39,"DYCTY")*100/P39)</f>
        <v>0</v>
      </c>
      <c r="CR39">
        <f>IF(P39=0,0,COUNTIF(Transect1_imgsummary!E39:I39,"DICT")*100/P39)</f>
        <v>0</v>
      </c>
      <c r="CS39">
        <f>IF(P39=0,0,COUNTIF(Transect1_imgsummary!E39:I39,"GLXU")*100/P39)</f>
        <v>0</v>
      </c>
      <c r="CT39">
        <f>IF(P39=0,0,COUNTIF(Transect1_imgsummary!E39:I39,"HALI")*100/P39)</f>
        <v>0</v>
      </c>
      <c r="CU39">
        <f>IF(P39=0,0,COUNTIF(Transect1_imgsummary!E39:I39,"LIAG")*100/P39)</f>
        <v>0</v>
      </c>
      <c r="CV39">
        <f>IF(P39=0,0,COUNTIF(Transect1_imgsummary!E39:I39,"LOBO")*100/P39)</f>
        <v>0</v>
      </c>
      <c r="CW39">
        <f>IF(P39=0,0,COUNTIF(Transect1_imgsummary!E39:I39,"MAST")*100/P39)</f>
        <v>0</v>
      </c>
      <c r="CX39">
        <f>IF(P39=0,0,COUNTIF(Transect1_imgsummary!E39:I39,"MICDTY")*100/P39)</f>
        <v>0</v>
      </c>
      <c r="CY39">
        <f>IF(P39=0,0,COUNTIF(Transect1_imgsummary!E39:I39,"NEOM")*100/P39)</f>
        <v>0</v>
      </c>
      <c r="CZ39">
        <f>IF(P39=0,0,COUNTIF(Transect1_imgsummary!E39:I39,"NOIDMAC")*100/P39)</f>
        <v>0</v>
      </c>
      <c r="DA39">
        <f>IF(P39=0,0,COUNTIF(Transect1_imgsummary!E39:I39,"PAD")*100/P39)</f>
        <v>0</v>
      </c>
      <c r="DB39">
        <f>IF(P39=0,0,COUNTIF(Transect1_imgsummary!E39:I39,"SARG")*100/P39)</f>
        <v>0</v>
      </c>
      <c r="DC39">
        <f>IF(P39=0,0,COUNTIF(Transect1_imgsummary!E39:I39,"SCHIZ")*100/P39)</f>
        <v>0</v>
      </c>
      <c r="DD39">
        <f>IF(P39=0,0,COUNTIF(Transect1_imgsummary!E39:I39,"TURB")*100/P39)</f>
        <v>0</v>
      </c>
      <c r="DE39">
        <f>IF(P39=0,0,COUNTIF(Transect1_imgsummary!E39:I39,"TYDM")*100/P39)</f>
        <v>0</v>
      </c>
      <c r="DG39">
        <f>IF(P39=0,0,COUNTIF(Transect1_imgsummary!E39:I39,"AMP")*100/P39)</f>
        <v>0</v>
      </c>
      <c r="DH39">
        <f>IF(P39=0,0,COUNTIF(Transect1_imgsummary!E39:I39,"BCA1")*100/P39)</f>
        <v>0</v>
      </c>
      <c r="DI39">
        <f>IF(P39=0,0,COUNTIF(Transect1_imgsummary!E39:I39,"JAN")*100/P39)</f>
        <v>0</v>
      </c>
      <c r="DK39" s="29">
        <f>IF(P39=0,0,COUNTIF(Transect1_imgsummary!E39:I39,"CCA1")*100/P39)</f>
        <v>20</v>
      </c>
      <c r="DM39">
        <f>IF(P39=0,0,COUNTIF(Transect1_imgsummary!E39:I39,"Sand")*100/P39)</f>
        <v>0</v>
      </c>
      <c r="DO39" s="29">
        <f>IF(P39=0,0,COUNTIF(Transect1_imgsummary!E39:I39,"FCA1")*100/P39)</f>
        <v>20</v>
      </c>
      <c r="DQ39">
        <f>IF(P39=0,0,COUNTIF(Transect1_imgsummary!E39:I39,"CHRYOBRN")*100/P39)</f>
        <v>0</v>
      </c>
      <c r="DS39" s="29">
        <f>IF(P39=0,0,COUNTIF(Transect1_imgsummary!E39:I39,"TURF")*100/P39)</f>
        <v>20</v>
      </c>
      <c r="DU39">
        <f>COUNTIF(Transect1_imgsummary!E39:I39,"Shadow")*100/5</f>
        <v>0</v>
      </c>
      <c r="DV39">
        <f>COUNTIF(Transect1_imgsummary!E39:I39,"Tape")*100/5</f>
        <v>0</v>
      </c>
      <c r="DW39">
        <f>COUNTIF(Transect1_imgsummary!E39:I39,"Wand")*100/5</f>
        <v>0</v>
      </c>
      <c r="DY39">
        <f>IF(P39=0,0,COUNTIF(Transect1_imgsummary!O39:S39,"BC")*100/P39)</f>
        <v>0</v>
      </c>
    </row>
    <row r="40" spans="1:129">
      <c r="A40">
        <v>38</v>
      </c>
      <c r="B40" t="s">
        <v>82</v>
      </c>
      <c r="F40">
        <f>IF(P40=0,0,COUNTIF(Transect1_imgsummary!J40:N40,"C")*100/P40)</f>
        <v>0</v>
      </c>
      <c r="G40">
        <f>IF(P40=0,0,COUNTIF(Transect1_imgsummary!J40:N40,"OI")*100/P40)</f>
        <v>0</v>
      </c>
      <c r="H40">
        <f>IF(P40=0,0,COUNTIF(Transect1_imgsummary!J40:N40,"MA")*100/P40)</f>
        <v>0</v>
      </c>
      <c r="I40">
        <f>IF(P40=0,0,COUNTIF(Transect1_imgsummary!J40:N40,"BCA")*100/P40)</f>
        <v>0</v>
      </c>
      <c r="J40" s="29">
        <f>IF(P40=0,0,COUNTIF(Transect1_imgsummary!J40:N40,"CCA")*100/P40)</f>
        <v>20</v>
      </c>
      <c r="K40">
        <f>IF(P40=0,0,COUNTIF(Transect1_imgsummary!J40:N40,"SD")*100/P40)</f>
        <v>0</v>
      </c>
      <c r="L40" s="29">
        <f>IF(P40=0,0,COUNTIF(Transect1_imgsummary!J40:N40,"FCA")*100/P40)</f>
        <v>60</v>
      </c>
      <c r="M40">
        <f>IF(P40=0,0,COUNTIF(Transect1_imgsummary!J40:N40,"CHRYS")*100/P40)</f>
        <v>0</v>
      </c>
      <c r="N40" s="29">
        <f>IF(P40=0,0,COUNTIF(Transect1_imgsummary!J40:N40,"T")*100/P40)</f>
        <v>20</v>
      </c>
      <c r="O40">
        <f>IF(P40=0,0,COUNTIF(Transect1_imgsummary!J40:N40,"TWS")*100/P40)</f>
        <v>0</v>
      </c>
      <c r="P40">
        <f>5-COUNTIF(Transect1_imgsummary!J40:N40,"TWS")</f>
        <v>5</v>
      </c>
      <c r="S40">
        <f>IF(P40=0,0,COUNTIF(Transect1_imgsummary!E40:I40,"ACAN")*100/P40)</f>
        <v>0</v>
      </c>
      <c r="T40">
        <f>IF(P40=0,0,COUNTIF(Transect1_imgsummary!E40:I40,"ACROP")*100/P40)</f>
        <v>0</v>
      </c>
      <c r="U40">
        <f>IF(P40=0,0,COUNTIF(Transect1_imgsummary!E40:I40,"ACROPARB")*100/P40)</f>
        <v>0</v>
      </c>
      <c r="V40">
        <f>IF(P40=0,0,COUNTIF(Transect1_imgsummary!E40:I40,"ACROST")*100/P40)</f>
        <v>0</v>
      </c>
      <c r="W40">
        <f>IF(P40=0,0,COUNTIF(Transect1_imgsummary!E40:I40,"ACROTBL")*100/P40)</f>
        <v>0</v>
      </c>
      <c r="X40">
        <f>IF(P40=0,0,COUNTIF(Transect1_imgsummary!E40:I40,"ASTRP")*100/P40)</f>
        <v>0</v>
      </c>
      <c r="Y40">
        <f>IF(P40=0,0,COUNTIF(Transect1_imgsummary!E40:I40,"CAUL")*100/P40)</f>
        <v>0</v>
      </c>
      <c r="Z40">
        <f>IF(P40=0,0,COUNTIF(Transect1_imgsummary!E40:I40,"COSC")*100/P40)</f>
        <v>0</v>
      </c>
      <c r="AA40">
        <f>IF(P40=0,0,COUNTIF(Transect1_imgsummary!E40:I40,"CTEN")*100/P40)</f>
        <v>0</v>
      </c>
      <c r="AB40">
        <f>IF(P40=0,0,COUNTIF(Transect1_imgsummary!E40:I40,"CYPH")*100/P40)</f>
        <v>0</v>
      </c>
      <c r="AC40">
        <f>IF(P40=0,0,COUNTIF(Transect1_imgsummary!E40:I40,"DIPLO")*100/P40)</f>
        <v>0</v>
      </c>
      <c r="AD40">
        <f>IF(P40=0,0,COUNTIF(Transect1_imgsummary!E40:I40,"ECHPO")*100/P40)</f>
        <v>0</v>
      </c>
      <c r="AE40">
        <f>IF(P40=0,0,COUNTIF(Transect1_imgsummary!E40:I40,"ECHPHY")*100/P40)</f>
        <v>0</v>
      </c>
      <c r="AF40">
        <f>IF(P40=0,0,COUNTIF(Transect1_imgsummary!E40:I40,"EUPH")*100/P40)</f>
        <v>0</v>
      </c>
      <c r="AG40">
        <f>IF(P40=0,0,COUNTIF(Transect1_imgsummary!E40:I40,"FAV")*100/P40)</f>
        <v>0</v>
      </c>
      <c r="AH40">
        <f>IF(P40=0,0,COUNTIF(Transect1_imgsummary!E40:I40,"FAVT")*100/P40)</f>
        <v>0</v>
      </c>
      <c r="AI40">
        <f>IF(P40=0,0,COUNTIF(Transect1_imgsummary!E40:I40,"FUNG")*100/P40)</f>
        <v>0</v>
      </c>
      <c r="AJ40">
        <f>IF(P40=0,0,COUNTIF(Transect1_imgsummary!E40:I40,"GAL")*100/P40)</f>
        <v>0</v>
      </c>
      <c r="AK40">
        <f>IF(P40=0,0,COUNTIF(Transect1_imgsummary!E40:I40,"GARD")*100/P40)</f>
        <v>0</v>
      </c>
      <c r="AL40">
        <f>IF(P40=0,0,COUNTIF(Transect1_imgsummary!E40:I40,"GON")*100/P40)</f>
        <v>0</v>
      </c>
      <c r="AM40">
        <f>IF(P40=0,0,COUNTIF(Transect1_imgsummary!E40:I40,"GONIO")*100/P40)</f>
        <v>0</v>
      </c>
      <c r="AN40">
        <f>IF(P40=0,0,COUNTIF(Transect1_imgsummary!E40:I40,"HELIO")*100/P40)</f>
        <v>0</v>
      </c>
      <c r="AO40">
        <f>IF(P40=0,0,COUNTIF(Transect1_imgsummary!E40:I40,"HERP")*100/P40)</f>
        <v>0</v>
      </c>
      <c r="AP40">
        <f>IF(P40=0,0,COUNTIF(Transect1_imgsummary!E40:I40,"HYD")*100/P40)</f>
        <v>0</v>
      </c>
      <c r="AQ40">
        <f>IF(P40=0,0,COUNTIF(Transect1_imgsummary!E40:I40,"ISOP")*100/P40)</f>
        <v>0</v>
      </c>
      <c r="AR40">
        <f>IF(P40=0,0,COUNTIF(Transect1_imgsummary!E40:I40,"LEPT")*100/P40)</f>
        <v>0</v>
      </c>
      <c r="AS40">
        <f>IF(P40=0,0,COUNTIF(Transect1_imgsummary!E40:I40,"LEPTOR")*100/P40)</f>
        <v>0</v>
      </c>
      <c r="AT40">
        <f>IF(P40=0,0,COUNTIF(Transect1_imgsummary!E40:I40,"LEPTOS")*100/P40)</f>
        <v>0</v>
      </c>
      <c r="AU40">
        <f>IF(P40=0,0,COUNTIF(Transect1_imgsummary!E40:I40,"LOBOPH")*100/P40)</f>
        <v>0</v>
      </c>
      <c r="AV40">
        <f>IF(P40=0,0,COUNTIF(Transect1_imgsummary!E40:I40,"MERU")*100/P40)</f>
        <v>0</v>
      </c>
      <c r="AW40">
        <f>IF(P40=0,0,COUNTIF(Transect1_imgsummary!E40:I40,"MILL")*100/P40)</f>
        <v>0</v>
      </c>
      <c r="AX40">
        <f>IF(P40=0,0,COUNTIF(Transect1_imgsummary!E40:I40,"MONT")*100/P40)</f>
        <v>0</v>
      </c>
      <c r="AY40">
        <f>IF(P40=0,0,COUNTIF(Transect1_imgsummary!E40:I40,"MONTI")*100/P40)</f>
        <v>0</v>
      </c>
      <c r="AZ40">
        <f>IF(P40=0,0,COUNTIF(Transect1_imgsummary!E40:I40,"MYCED")*100/P40)</f>
        <v>0</v>
      </c>
      <c r="BA40">
        <f>IF(P40=0,0,COUNTIF(Transect1_imgsummary!E40:I40,"OULO")*100/P40)</f>
        <v>0</v>
      </c>
      <c r="BB40">
        <f>IF(P40=0,0,COUNTIF(Transect1_imgsummary!E40:I40,"OXYP")*100/P40)</f>
        <v>0</v>
      </c>
      <c r="BC40">
        <f>IF(P40=0,0,COUNTIF(Transect1_imgsummary!E40:I40,"PLSIA")*100/P40)</f>
        <v>0</v>
      </c>
      <c r="BD40">
        <f>IF(P40=0,0,COUNTIF(Transect1_imgsummary!E40:I40,"PACHY")*100/P40)</f>
        <v>0</v>
      </c>
      <c r="BE40">
        <f>IF(P40=0,0,COUNTIF(Transect1_imgsummary!E40:I40,"PAV")*100/P40)</f>
        <v>0</v>
      </c>
      <c r="BF40">
        <f>IF(P40=0,0,COUNTIF(Transect1_imgsummary!E40:I40,"PECT")*100/P40)</f>
        <v>0</v>
      </c>
      <c r="BG40">
        <f>IF(P40=0,0,COUNTIF(Transect1_imgsummary!E40:I40,"PHYSO")*100/P40)</f>
        <v>0</v>
      </c>
      <c r="BH40">
        <f>IF(P40=0,0,COUNTIF(Transect1_imgsummary!E40:I40,"PLAT")*100/P40)</f>
        <v>0</v>
      </c>
      <c r="BI40">
        <f>IF(P40=0,0,COUNTIF(Transect1_imgsummary!E40:I40,"PLERO")*100/P40)</f>
        <v>0</v>
      </c>
      <c r="BJ40">
        <f>IF(P40=0,0,COUNTIF(Transect1_imgsummary!E40:I40,"POC")*100/P40)</f>
        <v>0</v>
      </c>
      <c r="BK40">
        <f>IF(P40=0,0,COUNTIF(Transect1_imgsummary!E40:I40,"POR")*100/P40)</f>
        <v>0</v>
      </c>
      <c r="BL40">
        <f>IF(P40=0,0,COUNTIF(Transect1_imgsummary!E40:I40,"PORCYL")*100/P40)</f>
        <v>0</v>
      </c>
      <c r="BM40">
        <f>IF(P40=0,0,COUNTIF(Transect1_imgsummary!E40:I40,"PORMAS")*100/P40)</f>
        <v>0</v>
      </c>
      <c r="BN40">
        <f>IF(P40=0,0,COUNTIF(Transect1_imgsummary!E40:I40,"PORRUS")*100/P40)</f>
        <v>0</v>
      </c>
      <c r="BO40">
        <f>IF(P40=0,0,COUNTIF(Transect1_imgsummary!E40:I40,"PSAM")*100/P40)</f>
        <v>0</v>
      </c>
      <c r="BP40">
        <f>IF(P40=0,0,COUNTIF(Transect1_imgsummary!E40:I40,"SANDO")*100/P40)</f>
        <v>0</v>
      </c>
      <c r="BQ40">
        <f>IF(P40=0,0,COUNTIF(Transect1_imgsummary!E40:I40,"SCAP")*100/P40)</f>
        <v>0</v>
      </c>
      <c r="BR40">
        <f>IF(P40=0,0,COUNTIF(Transect1_imgsummary!E40:I40,"SERIA")*100/P40)</f>
        <v>0</v>
      </c>
      <c r="BS40">
        <f>IF(P40=0,0,COUNTIF(Transect1_imgsummary!E40:I40,"STYLC")*100/P40)</f>
        <v>0</v>
      </c>
      <c r="BT40">
        <f>IF(P40=0,0,COUNTIF(Transect1_imgsummary!E40:I40,"STYLO")*100/P40)</f>
        <v>0</v>
      </c>
      <c r="BU40">
        <f>IF(P40=0,0,COUNTIF(Transect1_imgsummary!E40:I40,"SYMP")*100/P40)</f>
        <v>0</v>
      </c>
      <c r="BV40">
        <f>IF(P40=0,0,COUNTIF(Transect1_imgsummary!E40:I40,"TURBIN")*100/P40)</f>
        <v>0</v>
      </c>
      <c r="BX40">
        <f>IF(P40=0,0,COUNTIF(Transect1_imgsummary!E40:I40,"ANEM")*100/P40)</f>
        <v>0</v>
      </c>
      <c r="BY40">
        <f>IF(P40=0,0,COUNTIF(Transect1_imgsummary!E40:I40,"ASC")*100/P40)</f>
        <v>0</v>
      </c>
      <c r="BZ40">
        <f>IF(P40=0,0,COUNTIF(Transect1_imgsummary!E40:I40,"CUPS")*100/P40)</f>
        <v>0</v>
      </c>
      <c r="CA40">
        <f>IF(P40=0,0,COUNTIF(Transect1_imgsummary!E40:I40,"DISCO")*100/P40)</f>
        <v>0</v>
      </c>
      <c r="CB40">
        <f>IF(P40=0,0,COUNTIF(Transect1_imgsummary!E40:I40,"DYS")*100/P40)</f>
        <v>0</v>
      </c>
      <c r="CC40">
        <f>IF(P40=0,0,COUNTIF(Transect1_imgsummary!E40:I40,"G")*100/P40)</f>
        <v>0</v>
      </c>
      <c r="CD40">
        <f>IF(P40=0,0,COUNTIF(Transect1_imgsummary!E40:I40,"NoIDINV")*100/P40)</f>
        <v>0</v>
      </c>
      <c r="CE40">
        <f>IF(P40=0,0,COUNTIF(Transect1_imgsummary!E40:I40,"OLV")*100/P40)</f>
        <v>0</v>
      </c>
      <c r="CF40">
        <f>IF(P40=0,0,COUNTIF(Transect1_imgsummary!E40:I40,"SC")*100/P40)</f>
        <v>0</v>
      </c>
      <c r="CG40">
        <f>IF(P40=0,0,COUNTIF(Transect1_imgsummary!E40:I40,"S")*100/P40)</f>
        <v>0</v>
      </c>
      <c r="CH40">
        <f>IF(P40=0,0,COUNTIF(Transect1_imgsummary!E40:I40,"TERPS")*100/P40)</f>
        <v>0</v>
      </c>
      <c r="CI40">
        <f>IF(P40=0,0,COUNTIF(Transect1_imgsummary!E40:I40,"Z")*100/P40)</f>
        <v>0</v>
      </c>
      <c r="CK40">
        <f>IF(P40=0,0,COUNTIF(Transect1_imgsummary!E40:I40,"ASP")*100/P40)</f>
        <v>0</v>
      </c>
      <c r="CL40">
        <f>IF(P40=0,0,COUNTIF(Transect1_imgsummary!E40:I40,"BG")*100/P40)</f>
        <v>0</v>
      </c>
      <c r="CM40">
        <f>IF(P40=0,0,COUNTIF(Transect1_imgsummary!E40:I40,"Bood")*100/P40)</f>
        <v>0</v>
      </c>
      <c r="CN40">
        <f>IF(P40=0,0,COUNTIF(Transect1_imgsummary!E40:I40,"BRYP")*100/P40)</f>
        <v>0</v>
      </c>
      <c r="CO40">
        <f>IF(P40=0,0,COUNTIF(Transect1_imgsummary!E40:I40,"CLP")*100/P40)</f>
        <v>0</v>
      </c>
      <c r="CP40">
        <f>IF(P40=0,0,COUNTIF(Transect1_imgsummary!E40:I40,"CHLDES")*100/P40)</f>
        <v>0</v>
      </c>
      <c r="CQ40">
        <f>IF(P40=0,0,COUNTIF(Transect1_imgsummary!E40:I40,"DYCTY")*100/P40)</f>
        <v>0</v>
      </c>
      <c r="CR40">
        <f>IF(P40=0,0,COUNTIF(Transect1_imgsummary!E40:I40,"DICT")*100/P40)</f>
        <v>0</v>
      </c>
      <c r="CS40">
        <f>IF(P40=0,0,COUNTIF(Transect1_imgsummary!E40:I40,"GLXU")*100/P40)</f>
        <v>0</v>
      </c>
      <c r="CT40">
        <f>IF(P40=0,0,COUNTIF(Transect1_imgsummary!E40:I40,"HALI")*100/P40)</f>
        <v>0</v>
      </c>
      <c r="CU40">
        <f>IF(P40=0,0,COUNTIF(Transect1_imgsummary!E40:I40,"LIAG")*100/P40)</f>
        <v>0</v>
      </c>
      <c r="CV40">
        <f>IF(P40=0,0,COUNTIF(Transect1_imgsummary!E40:I40,"LOBO")*100/P40)</f>
        <v>0</v>
      </c>
      <c r="CW40">
        <f>IF(P40=0,0,COUNTIF(Transect1_imgsummary!E40:I40,"MAST")*100/P40)</f>
        <v>0</v>
      </c>
      <c r="CX40">
        <f>IF(P40=0,0,COUNTIF(Transect1_imgsummary!E40:I40,"MICDTY")*100/P40)</f>
        <v>0</v>
      </c>
      <c r="CY40">
        <f>IF(P40=0,0,COUNTIF(Transect1_imgsummary!E40:I40,"NEOM")*100/P40)</f>
        <v>0</v>
      </c>
      <c r="CZ40">
        <f>IF(P40=0,0,COUNTIF(Transect1_imgsummary!E40:I40,"NOIDMAC")*100/P40)</f>
        <v>0</v>
      </c>
      <c r="DA40">
        <f>IF(P40=0,0,COUNTIF(Transect1_imgsummary!E40:I40,"PAD")*100/P40)</f>
        <v>0</v>
      </c>
      <c r="DB40">
        <f>IF(P40=0,0,COUNTIF(Transect1_imgsummary!E40:I40,"SARG")*100/P40)</f>
        <v>0</v>
      </c>
      <c r="DC40">
        <f>IF(P40=0,0,COUNTIF(Transect1_imgsummary!E40:I40,"SCHIZ")*100/P40)</f>
        <v>0</v>
      </c>
      <c r="DD40">
        <f>IF(P40=0,0,COUNTIF(Transect1_imgsummary!E40:I40,"TURB")*100/P40)</f>
        <v>0</v>
      </c>
      <c r="DE40">
        <f>IF(P40=0,0,COUNTIF(Transect1_imgsummary!E40:I40,"TYDM")*100/P40)</f>
        <v>0</v>
      </c>
      <c r="DG40">
        <f>IF(P40=0,0,COUNTIF(Transect1_imgsummary!E40:I40,"AMP")*100/P40)</f>
        <v>0</v>
      </c>
      <c r="DH40">
        <f>IF(P40=0,0,COUNTIF(Transect1_imgsummary!E40:I40,"BCA1")*100/P40)</f>
        <v>0</v>
      </c>
      <c r="DI40">
        <f>IF(P40=0,0,COUNTIF(Transect1_imgsummary!E40:I40,"JAN")*100/P40)</f>
        <v>0</v>
      </c>
      <c r="DK40" s="29">
        <f>IF(P40=0,0,COUNTIF(Transect1_imgsummary!E40:I40,"CCA1")*100/P40)</f>
        <v>20</v>
      </c>
      <c r="DM40">
        <f>IF(P40=0,0,COUNTIF(Transect1_imgsummary!E40:I40,"Sand")*100/P40)</f>
        <v>0</v>
      </c>
      <c r="DO40" s="29">
        <f>IF(P40=0,0,COUNTIF(Transect1_imgsummary!E40:I40,"FCA1")*100/P40)</f>
        <v>60</v>
      </c>
      <c r="DQ40">
        <f>IF(P40=0,0,COUNTIF(Transect1_imgsummary!E40:I40,"CHRYOBRN")*100/P40)</f>
        <v>0</v>
      </c>
      <c r="DS40" s="29">
        <f>IF(P40=0,0,COUNTIF(Transect1_imgsummary!E40:I40,"TURF")*100/P40)</f>
        <v>20</v>
      </c>
      <c r="DU40">
        <f>COUNTIF(Transect1_imgsummary!E40:I40,"Shadow")*100/5</f>
        <v>0</v>
      </c>
      <c r="DV40">
        <f>COUNTIF(Transect1_imgsummary!E40:I40,"Tape")*100/5</f>
        <v>0</v>
      </c>
      <c r="DW40">
        <f>COUNTIF(Transect1_imgsummary!E40:I40,"Wand")*100/5</f>
        <v>0</v>
      </c>
      <c r="DY40">
        <f>IF(P40=0,0,COUNTIF(Transect1_imgsummary!O40:S40,"BC")*100/P40)</f>
        <v>0</v>
      </c>
    </row>
    <row r="41" spans="1:129">
      <c r="A41">
        <v>39</v>
      </c>
      <c r="B41" t="s">
        <v>83</v>
      </c>
      <c r="F41">
        <f>IF(P41=0,0,COUNTIF(Transect1_imgsummary!J41:N41,"C")*100/P41)</f>
        <v>0</v>
      </c>
      <c r="G41">
        <f>IF(P41=0,0,COUNTIF(Transect1_imgsummary!J41:N41,"OI")*100/P41)</f>
        <v>0</v>
      </c>
      <c r="H41">
        <f>IF(P41=0,0,COUNTIF(Transect1_imgsummary!J41:N41,"MA")*100/P41)</f>
        <v>0</v>
      </c>
      <c r="I41">
        <f>IF(P41=0,0,COUNTIF(Transect1_imgsummary!J41:N41,"BCA")*100/P41)</f>
        <v>0</v>
      </c>
      <c r="J41" s="29">
        <f>IF(P41=0,0,COUNTIF(Transect1_imgsummary!J41:N41,"CCA")*100/P41)</f>
        <v>20</v>
      </c>
      <c r="K41">
        <f>IF(P41=0,0,COUNTIF(Transect1_imgsummary!J41:N41,"SD")*100/P41)</f>
        <v>0</v>
      </c>
      <c r="L41">
        <f>IF(P41=0,0,COUNTIF(Transect1_imgsummary!J41:N41,"FCA")*100/P41)</f>
        <v>0</v>
      </c>
      <c r="M41">
        <f>IF(P41=0,0,COUNTIF(Transect1_imgsummary!J41:N41,"CHRYS")*100/P41)</f>
        <v>0</v>
      </c>
      <c r="N41" s="29">
        <f>IF(P41=0,0,COUNTIF(Transect1_imgsummary!J41:N41,"T")*100/P41)</f>
        <v>80</v>
      </c>
      <c r="O41">
        <f>IF(P41=0,0,COUNTIF(Transect1_imgsummary!J41:N41,"TWS")*100/P41)</f>
        <v>0</v>
      </c>
      <c r="P41">
        <f>5-COUNTIF(Transect1_imgsummary!J41:N41,"TWS")</f>
        <v>5</v>
      </c>
      <c r="S41">
        <f>IF(P41=0,0,COUNTIF(Transect1_imgsummary!E41:I41,"ACAN")*100/P41)</f>
        <v>0</v>
      </c>
      <c r="T41">
        <f>IF(P41=0,0,COUNTIF(Transect1_imgsummary!E41:I41,"ACROP")*100/P41)</f>
        <v>0</v>
      </c>
      <c r="U41">
        <f>IF(P41=0,0,COUNTIF(Transect1_imgsummary!E41:I41,"ACROPARB")*100/P41)</f>
        <v>0</v>
      </c>
      <c r="V41">
        <f>IF(P41=0,0,COUNTIF(Transect1_imgsummary!E41:I41,"ACROST")*100/P41)</f>
        <v>0</v>
      </c>
      <c r="W41">
        <f>IF(P41=0,0,COUNTIF(Transect1_imgsummary!E41:I41,"ACROTBL")*100/P41)</f>
        <v>0</v>
      </c>
      <c r="X41">
        <f>IF(P41=0,0,COUNTIF(Transect1_imgsummary!E41:I41,"ASTRP")*100/P41)</f>
        <v>0</v>
      </c>
      <c r="Y41">
        <f>IF(P41=0,0,COUNTIF(Transect1_imgsummary!E41:I41,"CAUL")*100/P41)</f>
        <v>0</v>
      </c>
      <c r="Z41">
        <f>IF(P41=0,0,COUNTIF(Transect1_imgsummary!E41:I41,"COSC")*100/P41)</f>
        <v>0</v>
      </c>
      <c r="AA41">
        <f>IF(P41=0,0,COUNTIF(Transect1_imgsummary!E41:I41,"CTEN")*100/P41)</f>
        <v>0</v>
      </c>
      <c r="AB41">
        <f>IF(P41=0,0,COUNTIF(Transect1_imgsummary!E41:I41,"CYPH")*100/P41)</f>
        <v>0</v>
      </c>
      <c r="AC41">
        <f>IF(P41=0,0,COUNTIF(Transect1_imgsummary!E41:I41,"DIPLO")*100/P41)</f>
        <v>0</v>
      </c>
      <c r="AD41">
        <f>IF(P41=0,0,COUNTIF(Transect1_imgsummary!E41:I41,"ECHPO")*100/P41)</f>
        <v>0</v>
      </c>
      <c r="AE41">
        <f>IF(P41=0,0,COUNTIF(Transect1_imgsummary!E41:I41,"ECHPHY")*100/P41)</f>
        <v>0</v>
      </c>
      <c r="AF41">
        <f>IF(P41=0,0,COUNTIF(Transect1_imgsummary!E41:I41,"EUPH")*100/P41)</f>
        <v>0</v>
      </c>
      <c r="AG41">
        <f>IF(P41=0,0,COUNTIF(Transect1_imgsummary!E41:I41,"FAV")*100/P41)</f>
        <v>0</v>
      </c>
      <c r="AH41">
        <f>IF(P41=0,0,COUNTIF(Transect1_imgsummary!E41:I41,"FAVT")*100/P41)</f>
        <v>0</v>
      </c>
      <c r="AI41">
        <f>IF(P41=0,0,COUNTIF(Transect1_imgsummary!E41:I41,"FUNG")*100/P41)</f>
        <v>0</v>
      </c>
      <c r="AJ41">
        <f>IF(P41=0,0,COUNTIF(Transect1_imgsummary!E41:I41,"GAL")*100/P41)</f>
        <v>0</v>
      </c>
      <c r="AK41">
        <f>IF(P41=0,0,COUNTIF(Transect1_imgsummary!E41:I41,"GARD")*100/P41)</f>
        <v>0</v>
      </c>
      <c r="AL41">
        <f>IF(P41=0,0,COUNTIF(Transect1_imgsummary!E41:I41,"GON")*100/P41)</f>
        <v>0</v>
      </c>
      <c r="AM41">
        <f>IF(P41=0,0,COUNTIF(Transect1_imgsummary!E41:I41,"GONIO")*100/P41)</f>
        <v>0</v>
      </c>
      <c r="AN41">
        <f>IF(P41=0,0,COUNTIF(Transect1_imgsummary!E41:I41,"HELIO")*100/P41)</f>
        <v>0</v>
      </c>
      <c r="AO41">
        <f>IF(P41=0,0,COUNTIF(Transect1_imgsummary!E41:I41,"HERP")*100/P41)</f>
        <v>0</v>
      </c>
      <c r="AP41">
        <f>IF(P41=0,0,COUNTIF(Transect1_imgsummary!E41:I41,"HYD")*100/P41)</f>
        <v>0</v>
      </c>
      <c r="AQ41">
        <f>IF(P41=0,0,COUNTIF(Transect1_imgsummary!E41:I41,"ISOP")*100/P41)</f>
        <v>0</v>
      </c>
      <c r="AR41">
        <f>IF(P41=0,0,COUNTIF(Transect1_imgsummary!E41:I41,"LEPT")*100/P41)</f>
        <v>0</v>
      </c>
      <c r="AS41">
        <f>IF(P41=0,0,COUNTIF(Transect1_imgsummary!E41:I41,"LEPTOR")*100/P41)</f>
        <v>0</v>
      </c>
      <c r="AT41">
        <f>IF(P41=0,0,COUNTIF(Transect1_imgsummary!E41:I41,"LEPTOS")*100/P41)</f>
        <v>0</v>
      </c>
      <c r="AU41">
        <f>IF(P41=0,0,COUNTIF(Transect1_imgsummary!E41:I41,"LOBOPH")*100/P41)</f>
        <v>0</v>
      </c>
      <c r="AV41">
        <f>IF(P41=0,0,COUNTIF(Transect1_imgsummary!E41:I41,"MERU")*100/P41)</f>
        <v>0</v>
      </c>
      <c r="AW41">
        <f>IF(P41=0,0,COUNTIF(Transect1_imgsummary!E41:I41,"MILL")*100/P41)</f>
        <v>0</v>
      </c>
      <c r="AX41">
        <f>IF(P41=0,0,COUNTIF(Transect1_imgsummary!E41:I41,"MONT")*100/P41)</f>
        <v>0</v>
      </c>
      <c r="AY41">
        <f>IF(P41=0,0,COUNTIF(Transect1_imgsummary!E41:I41,"MONTI")*100/P41)</f>
        <v>0</v>
      </c>
      <c r="AZ41">
        <f>IF(P41=0,0,COUNTIF(Transect1_imgsummary!E41:I41,"MYCED")*100/P41)</f>
        <v>0</v>
      </c>
      <c r="BA41">
        <f>IF(P41=0,0,COUNTIF(Transect1_imgsummary!E41:I41,"OULO")*100/P41)</f>
        <v>0</v>
      </c>
      <c r="BB41">
        <f>IF(P41=0,0,COUNTIF(Transect1_imgsummary!E41:I41,"OXYP")*100/P41)</f>
        <v>0</v>
      </c>
      <c r="BC41">
        <f>IF(P41=0,0,COUNTIF(Transect1_imgsummary!E41:I41,"PLSIA")*100/P41)</f>
        <v>0</v>
      </c>
      <c r="BD41">
        <f>IF(P41=0,0,COUNTIF(Transect1_imgsummary!E41:I41,"PACHY")*100/P41)</f>
        <v>0</v>
      </c>
      <c r="BE41">
        <f>IF(P41=0,0,COUNTIF(Transect1_imgsummary!E41:I41,"PAV")*100/P41)</f>
        <v>0</v>
      </c>
      <c r="BF41">
        <f>IF(P41=0,0,COUNTIF(Transect1_imgsummary!E41:I41,"PECT")*100/P41)</f>
        <v>0</v>
      </c>
      <c r="BG41">
        <f>IF(P41=0,0,COUNTIF(Transect1_imgsummary!E41:I41,"PHYSO")*100/P41)</f>
        <v>0</v>
      </c>
      <c r="BH41">
        <f>IF(P41=0,0,COUNTIF(Transect1_imgsummary!E41:I41,"PLAT")*100/P41)</f>
        <v>0</v>
      </c>
      <c r="BI41">
        <f>IF(P41=0,0,COUNTIF(Transect1_imgsummary!E41:I41,"PLERO")*100/P41)</f>
        <v>0</v>
      </c>
      <c r="BJ41">
        <f>IF(P41=0,0,COUNTIF(Transect1_imgsummary!E41:I41,"POC")*100/P41)</f>
        <v>0</v>
      </c>
      <c r="BK41">
        <f>IF(P41=0,0,COUNTIF(Transect1_imgsummary!E41:I41,"POR")*100/P41)</f>
        <v>0</v>
      </c>
      <c r="BL41">
        <f>IF(P41=0,0,COUNTIF(Transect1_imgsummary!E41:I41,"PORCYL")*100/P41)</f>
        <v>0</v>
      </c>
      <c r="BM41">
        <f>IF(P41=0,0,COUNTIF(Transect1_imgsummary!E41:I41,"PORMAS")*100/P41)</f>
        <v>0</v>
      </c>
      <c r="BN41">
        <f>IF(P41=0,0,COUNTIF(Transect1_imgsummary!E41:I41,"PORRUS")*100/P41)</f>
        <v>0</v>
      </c>
      <c r="BO41">
        <f>IF(P41=0,0,COUNTIF(Transect1_imgsummary!E41:I41,"PSAM")*100/P41)</f>
        <v>0</v>
      </c>
      <c r="BP41">
        <f>IF(P41=0,0,COUNTIF(Transect1_imgsummary!E41:I41,"SANDO")*100/P41)</f>
        <v>0</v>
      </c>
      <c r="BQ41">
        <f>IF(P41=0,0,COUNTIF(Transect1_imgsummary!E41:I41,"SCAP")*100/P41)</f>
        <v>0</v>
      </c>
      <c r="BR41">
        <f>IF(P41=0,0,COUNTIF(Transect1_imgsummary!E41:I41,"SERIA")*100/P41)</f>
        <v>0</v>
      </c>
      <c r="BS41">
        <f>IF(P41=0,0,COUNTIF(Transect1_imgsummary!E41:I41,"STYLC")*100/P41)</f>
        <v>0</v>
      </c>
      <c r="BT41">
        <f>IF(P41=0,0,COUNTIF(Transect1_imgsummary!E41:I41,"STYLO")*100/P41)</f>
        <v>0</v>
      </c>
      <c r="BU41">
        <f>IF(P41=0,0,COUNTIF(Transect1_imgsummary!E41:I41,"SYMP")*100/P41)</f>
        <v>0</v>
      </c>
      <c r="BV41">
        <f>IF(P41=0,0,COUNTIF(Transect1_imgsummary!E41:I41,"TURBIN")*100/P41)</f>
        <v>0</v>
      </c>
      <c r="BX41">
        <f>IF(P41=0,0,COUNTIF(Transect1_imgsummary!E41:I41,"ANEM")*100/P41)</f>
        <v>0</v>
      </c>
      <c r="BY41">
        <f>IF(P41=0,0,COUNTIF(Transect1_imgsummary!E41:I41,"ASC")*100/P41)</f>
        <v>0</v>
      </c>
      <c r="BZ41">
        <f>IF(P41=0,0,COUNTIF(Transect1_imgsummary!E41:I41,"CUPS")*100/P41)</f>
        <v>0</v>
      </c>
      <c r="CA41">
        <f>IF(P41=0,0,COUNTIF(Transect1_imgsummary!E41:I41,"DISCO")*100/P41)</f>
        <v>0</v>
      </c>
      <c r="CB41">
        <f>IF(P41=0,0,COUNTIF(Transect1_imgsummary!E41:I41,"DYS")*100/P41)</f>
        <v>0</v>
      </c>
      <c r="CC41">
        <f>IF(P41=0,0,COUNTIF(Transect1_imgsummary!E41:I41,"G")*100/P41)</f>
        <v>0</v>
      </c>
      <c r="CD41">
        <f>IF(P41=0,0,COUNTIF(Transect1_imgsummary!E41:I41,"NoIDINV")*100/P41)</f>
        <v>0</v>
      </c>
      <c r="CE41">
        <f>IF(P41=0,0,COUNTIF(Transect1_imgsummary!E41:I41,"OLV")*100/P41)</f>
        <v>0</v>
      </c>
      <c r="CF41">
        <f>IF(P41=0,0,COUNTIF(Transect1_imgsummary!E41:I41,"SC")*100/P41)</f>
        <v>0</v>
      </c>
      <c r="CG41">
        <f>IF(P41=0,0,COUNTIF(Transect1_imgsummary!E41:I41,"S")*100/P41)</f>
        <v>0</v>
      </c>
      <c r="CH41">
        <f>IF(P41=0,0,COUNTIF(Transect1_imgsummary!E41:I41,"TERPS")*100/P41)</f>
        <v>0</v>
      </c>
      <c r="CI41">
        <f>IF(P41=0,0,COUNTIF(Transect1_imgsummary!E41:I41,"Z")*100/P41)</f>
        <v>0</v>
      </c>
      <c r="CK41">
        <f>IF(P41=0,0,COUNTIF(Transect1_imgsummary!E41:I41,"ASP")*100/P41)</f>
        <v>0</v>
      </c>
      <c r="CL41">
        <f>IF(P41=0,0,COUNTIF(Transect1_imgsummary!E41:I41,"BG")*100/P41)</f>
        <v>0</v>
      </c>
      <c r="CM41">
        <f>IF(P41=0,0,COUNTIF(Transect1_imgsummary!E41:I41,"Bood")*100/P41)</f>
        <v>0</v>
      </c>
      <c r="CN41">
        <f>IF(P41=0,0,COUNTIF(Transect1_imgsummary!E41:I41,"BRYP")*100/P41)</f>
        <v>0</v>
      </c>
      <c r="CO41">
        <f>IF(P41=0,0,COUNTIF(Transect1_imgsummary!E41:I41,"CLP")*100/P41)</f>
        <v>0</v>
      </c>
      <c r="CP41">
        <f>IF(P41=0,0,COUNTIF(Transect1_imgsummary!E41:I41,"CHLDES")*100/P41)</f>
        <v>0</v>
      </c>
      <c r="CQ41">
        <f>IF(P41=0,0,COUNTIF(Transect1_imgsummary!E41:I41,"DYCTY")*100/P41)</f>
        <v>0</v>
      </c>
      <c r="CR41">
        <f>IF(P41=0,0,COUNTIF(Transect1_imgsummary!E41:I41,"DICT")*100/P41)</f>
        <v>0</v>
      </c>
      <c r="CS41">
        <f>IF(P41=0,0,COUNTIF(Transect1_imgsummary!E41:I41,"GLXU")*100/P41)</f>
        <v>0</v>
      </c>
      <c r="CT41">
        <f>IF(P41=0,0,COUNTIF(Transect1_imgsummary!E41:I41,"HALI")*100/P41)</f>
        <v>0</v>
      </c>
      <c r="CU41">
        <f>IF(P41=0,0,COUNTIF(Transect1_imgsummary!E41:I41,"LIAG")*100/P41)</f>
        <v>0</v>
      </c>
      <c r="CV41">
        <f>IF(P41=0,0,COUNTIF(Transect1_imgsummary!E41:I41,"LOBO")*100/P41)</f>
        <v>0</v>
      </c>
      <c r="CW41">
        <f>IF(P41=0,0,COUNTIF(Transect1_imgsummary!E41:I41,"MAST")*100/P41)</f>
        <v>0</v>
      </c>
      <c r="CX41">
        <f>IF(P41=0,0,COUNTIF(Transect1_imgsummary!E41:I41,"MICDTY")*100/P41)</f>
        <v>0</v>
      </c>
      <c r="CY41">
        <f>IF(P41=0,0,COUNTIF(Transect1_imgsummary!E41:I41,"NEOM")*100/P41)</f>
        <v>0</v>
      </c>
      <c r="CZ41">
        <f>IF(P41=0,0,COUNTIF(Transect1_imgsummary!E41:I41,"NOIDMAC")*100/P41)</f>
        <v>0</v>
      </c>
      <c r="DA41">
        <f>IF(P41=0,0,COUNTIF(Transect1_imgsummary!E41:I41,"PAD")*100/P41)</f>
        <v>0</v>
      </c>
      <c r="DB41">
        <f>IF(P41=0,0,COUNTIF(Transect1_imgsummary!E41:I41,"SARG")*100/P41)</f>
        <v>0</v>
      </c>
      <c r="DC41">
        <f>IF(P41=0,0,COUNTIF(Transect1_imgsummary!E41:I41,"SCHIZ")*100/P41)</f>
        <v>0</v>
      </c>
      <c r="DD41">
        <f>IF(P41=0,0,COUNTIF(Transect1_imgsummary!E41:I41,"TURB")*100/P41)</f>
        <v>0</v>
      </c>
      <c r="DE41">
        <f>IF(P41=0,0,COUNTIF(Transect1_imgsummary!E41:I41,"TYDM")*100/P41)</f>
        <v>0</v>
      </c>
      <c r="DG41">
        <f>IF(P41=0,0,COUNTIF(Transect1_imgsummary!E41:I41,"AMP")*100/P41)</f>
        <v>0</v>
      </c>
      <c r="DH41">
        <f>IF(P41=0,0,COUNTIF(Transect1_imgsummary!E41:I41,"BCA1")*100/P41)</f>
        <v>0</v>
      </c>
      <c r="DI41">
        <f>IF(P41=0,0,COUNTIF(Transect1_imgsummary!E41:I41,"JAN")*100/P41)</f>
        <v>0</v>
      </c>
      <c r="DK41" s="29">
        <f>IF(P41=0,0,COUNTIF(Transect1_imgsummary!E41:I41,"CCA1")*100/P41)</f>
        <v>20</v>
      </c>
      <c r="DM41">
        <f>IF(P41=0,0,COUNTIF(Transect1_imgsummary!E41:I41,"Sand")*100/P41)</f>
        <v>0</v>
      </c>
      <c r="DO41">
        <f>IF(P41=0,0,COUNTIF(Transect1_imgsummary!E41:I41,"FCA1")*100/P41)</f>
        <v>0</v>
      </c>
      <c r="DQ41">
        <f>IF(P41=0,0,COUNTIF(Transect1_imgsummary!E41:I41,"CHRYOBRN")*100/P41)</f>
        <v>0</v>
      </c>
      <c r="DS41" s="29">
        <f>IF(P41=0,0,COUNTIF(Transect1_imgsummary!E41:I41,"TURF")*100/P41)</f>
        <v>80</v>
      </c>
      <c r="DU41">
        <f>COUNTIF(Transect1_imgsummary!E41:I41,"Shadow")*100/5</f>
        <v>0</v>
      </c>
      <c r="DV41">
        <f>COUNTIF(Transect1_imgsummary!E41:I41,"Tape")*100/5</f>
        <v>0</v>
      </c>
      <c r="DW41">
        <f>COUNTIF(Transect1_imgsummary!E41:I41,"Wand")*100/5</f>
        <v>0</v>
      </c>
      <c r="DY41">
        <f>IF(P41=0,0,COUNTIF(Transect1_imgsummary!O41:S41,"BC")*100/P41)</f>
        <v>0</v>
      </c>
    </row>
    <row r="42" spans="1:129">
      <c r="A42">
        <v>40</v>
      </c>
      <c r="B42" t="s">
        <v>84</v>
      </c>
      <c r="F42">
        <f>IF(P42=0,0,COUNTIF(Transect1_imgsummary!J42:N42,"C")*100/P42)</f>
        <v>0</v>
      </c>
      <c r="G42">
        <f>IF(P42=0,0,COUNTIF(Transect1_imgsummary!J42:N42,"OI")*100/P42)</f>
        <v>0</v>
      </c>
      <c r="H42">
        <f>IF(P42=0,0,COUNTIF(Transect1_imgsummary!J42:N42,"MA")*100/P42)</f>
        <v>0</v>
      </c>
      <c r="I42" s="29">
        <f>IF(P42=0,0,COUNTIF(Transect1_imgsummary!J42:N42,"BCA")*100/P42)</f>
        <v>40</v>
      </c>
      <c r="J42" s="29">
        <f>IF(P42=0,0,COUNTIF(Transect1_imgsummary!J42:N42,"CCA")*100/P42)</f>
        <v>60</v>
      </c>
      <c r="K42">
        <f>IF(P42=0,0,COUNTIF(Transect1_imgsummary!J42:N42,"SD")*100/P42)</f>
        <v>0</v>
      </c>
      <c r="L42">
        <f>IF(P42=0,0,COUNTIF(Transect1_imgsummary!J42:N42,"FCA")*100/P42)</f>
        <v>0</v>
      </c>
      <c r="M42">
        <f>IF(P42=0,0,COUNTIF(Transect1_imgsummary!J42:N42,"CHRYS")*100/P42)</f>
        <v>0</v>
      </c>
      <c r="N42">
        <f>IF(P42=0,0,COUNTIF(Transect1_imgsummary!J42:N42,"T")*100/P42)</f>
        <v>0</v>
      </c>
      <c r="O42">
        <f>IF(P42=0,0,COUNTIF(Transect1_imgsummary!J42:N42,"TWS")*100/P42)</f>
        <v>0</v>
      </c>
      <c r="P42">
        <f>5-COUNTIF(Transect1_imgsummary!J42:N42,"TWS")</f>
        <v>5</v>
      </c>
      <c r="S42">
        <f>IF(P42=0,0,COUNTIF(Transect1_imgsummary!E42:I42,"ACAN")*100/P42)</f>
        <v>0</v>
      </c>
      <c r="T42">
        <f>IF(P42=0,0,COUNTIF(Transect1_imgsummary!E42:I42,"ACROP")*100/P42)</f>
        <v>0</v>
      </c>
      <c r="U42">
        <f>IF(P42=0,0,COUNTIF(Transect1_imgsummary!E42:I42,"ACROPARB")*100/P42)</f>
        <v>0</v>
      </c>
      <c r="V42">
        <f>IF(P42=0,0,COUNTIF(Transect1_imgsummary!E42:I42,"ACROST")*100/P42)</f>
        <v>0</v>
      </c>
      <c r="W42">
        <f>IF(P42=0,0,COUNTIF(Transect1_imgsummary!E42:I42,"ACROTBL")*100/P42)</f>
        <v>0</v>
      </c>
      <c r="X42">
        <f>IF(P42=0,0,COUNTIF(Transect1_imgsummary!E42:I42,"ASTRP")*100/P42)</f>
        <v>0</v>
      </c>
      <c r="Y42">
        <f>IF(P42=0,0,COUNTIF(Transect1_imgsummary!E42:I42,"CAUL")*100/P42)</f>
        <v>0</v>
      </c>
      <c r="Z42">
        <f>IF(P42=0,0,COUNTIF(Transect1_imgsummary!E42:I42,"COSC")*100/P42)</f>
        <v>0</v>
      </c>
      <c r="AA42">
        <f>IF(P42=0,0,COUNTIF(Transect1_imgsummary!E42:I42,"CTEN")*100/P42)</f>
        <v>0</v>
      </c>
      <c r="AB42">
        <f>IF(P42=0,0,COUNTIF(Transect1_imgsummary!E42:I42,"CYPH")*100/P42)</f>
        <v>0</v>
      </c>
      <c r="AC42">
        <f>IF(P42=0,0,COUNTIF(Transect1_imgsummary!E42:I42,"DIPLO")*100/P42)</f>
        <v>0</v>
      </c>
      <c r="AD42">
        <f>IF(P42=0,0,COUNTIF(Transect1_imgsummary!E42:I42,"ECHPO")*100/P42)</f>
        <v>0</v>
      </c>
      <c r="AE42">
        <f>IF(P42=0,0,COUNTIF(Transect1_imgsummary!E42:I42,"ECHPHY")*100/P42)</f>
        <v>0</v>
      </c>
      <c r="AF42">
        <f>IF(P42=0,0,COUNTIF(Transect1_imgsummary!E42:I42,"EUPH")*100/P42)</f>
        <v>0</v>
      </c>
      <c r="AG42">
        <f>IF(P42=0,0,COUNTIF(Transect1_imgsummary!E42:I42,"FAV")*100/P42)</f>
        <v>0</v>
      </c>
      <c r="AH42">
        <f>IF(P42=0,0,COUNTIF(Transect1_imgsummary!E42:I42,"FAVT")*100/P42)</f>
        <v>0</v>
      </c>
      <c r="AI42">
        <f>IF(P42=0,0,COUNTIF(Transect1_imgsummary!E42:I42,"FUNG")*100/P42)</f>
        <v>0</v>
      </c>
      <c r="AJ42">
        <f>IF(P42=0,0,COUNTIF(Transect1_imgsummary!E42:I42,"GAL")*100/P42)</f>
        <v>0</v>
      </c>
      <c r="AK42">
        <f>IF(P42=0,0,COUNTIF(Transect1_imgsummary!E42:I42,"GARD")*100/P42)</f>
        <v>0</v>
      </c>
      <c r="AL42">
        <f>IF(P42=0,0,COUNTIF(Transect1_imgsummary!E42:I42,"GON")*100/P42)</f>
        <v>0</v>
      </c>
      <c r="AM42">
        <f>IF(P42=0,0,COUNTIF(Transect1_imgsummary!E42:I42,"GONIO")*100/P42)</f>
        <v>0</v>
      </c>
      <c r="AN42">
        <f>IF(P42=0,0,COUNTIF(Transect1_imgsummary!E42:I42,"HELIO")*100/P42)</f>
        <v>0</v>
      </c>
      <c r="AO42">
        <f>IF(P42=0,0,COUNTIF(Transect1_imgsummary!E42:I42,"HERP")*100/P42)</f>
        <v>0</v>
      </c>
      <c r="AP42">
        <f>IF(P42=0,0,COUNTIF(Transect1_imgsummary!E42:I42,"HYD")*100/P42)</f>
        <v>0</v>
      </c>
      <c r="AQ42">
        <f>IF(P42=0,0,COUNTIF(Transect1_imgsummary!E42:I42,"ISOP")*100/P42)</f>
        <v>0</v>
      </c>
      <c r="AR42">
        <f>IF(P42=0,0,COUNTIF(Transect1_imgsummary!E42:I42,"LEPT")*100/P42)</f>
        <v>0</v>
      </c>
      <c r="AS42">
        <f>IF(P42=0,0,COUNTIF(Transect1_imgsummary!E42:I42,"LEPTOR")*100/P42)</f>
        <v>0</v>
      </c>
      <c r="AT42">
        <f>IF(P42=0,0,COUNTIF(Transect1_imgsummary!E42:I42,"LEPTOS")*100/P42)</f>
        <v>0</v>
      </c>
      <c r="AU42">
        <f>IF(P42=0,0,COUNTIF(Transect1_imgsummary!E42:I42,"LOBOPH")*100/P42)</f>
        <v>0</v>
      </c>
      <c r="AV42">
        <f>IF(P42=0,0,COUNTIF(Transect1_imgsummary!E42:I42,"MERU")*100/P42)</f>
        <v>0</v>
      </c>
      <c r="AW42">
        <f>IF(P42=0,0,COUNTIF(Transect1_imgsummary!E42:I42,"MILL")*100/P42)</f>
        <v>0</v>
      </c>
      <c r="AX42">
        <f>IF(P42=0,0,COUNTIF(Transect1_imgsummary!E42:I42,"MONT")*100/P42)</f>
        <v>0</v>
      </c>
      <c r="AY42">
        <f>IF(P42=0,0,COUNTIF(Transect1_imgsummary!E42:I42,"MONTI")*100/P42)</f>
        <v>0</v>
      </c>
      <c r="AZ42">
        <f>IF(P42=0,0,COUNTIF(Transect1_imgsummary!E42:I42,"MYCED")*100/P42)</f>
        <v>0</v>
      </c>
      <c r="BA42">
        <f>IF(P42=0,0,COUNTIF(Transect1_imgsummary!E42:I42,"OULO")*100/P42)</f>
        <v>0</v>
      </c>
      <c r="BB42">
        <f>IF(P42=0,0,COUNTIF(Transect1_imgsummary!E42:I42,"OXYP")*100/P42)</f>
        <v>0</v>
      </c>
      <c r="BC42">
        <f>IF(P42=0,0,COUNTIF(Transect1_imgsummary!E42:I42,"PLSIA")*100/P42)</f>
        <v>0</v>
      </c>
      <c r="BD42">
        <f>IF(P42=0,0,COUNTIF(Transect1_imgsummary!E42:I42,"PACHY")*100/P42)</f>
        <v>0</v>
      </c>
      <c r="BE42">
        <f>IF(P42=0,0,COUNTIF(Transect1_imgsummary!E42:I42,"PAV")*100/P42)</f>
        <v>0</v>
      </c>
      <c r="BF42">
        <f>IF(P42=0,0,COUNTIF(Transect1_imgsummary!E42:I42,"PECT")*100/P42)</f>
        <v>0</v>
      </c>
      <c r="BG42">
        <f>IF(P42=0,0,COUNTIF(Transect1_imgsummary!E42:I42,"PHYSO")*100/P42)</f>
        <v>0</v>
      </c>
      <c r="BH42">
        <f>IF(P42=0,0,COUNTIF(Transect1_imgsummary!E42:I42,"PLAT")*100/P42)</f>
        <v>0</v>
      </c>
      <c r="BI42">
        <f>IF(P42=0,0,COUNTIF(Transect1_imgsummary!E42:I42,"PLERO")*100/P42)</f>
        <v>0</v>
      </c>
      <c r="BJ42">
        <f>IF(P42=0,0,COUNTIF(Transect1_imgsummary!E42:I42,"POC")*100/P42)</f>
        <v>0</v>
      </c>
      <c r="BK42">
        <f>IF(P42=0,0,COUNTIF(Transect1_imgsummary!E42:I42,"POR")*100/P42)</f>
        <v>0</v>
      </c>
      <c r="BL42">
        <f>IF(P42=0,0,COUNTIF(Transect1_imgsummary!E42:I42,"PORCYL")*100/P42)</f>
        <v>0</v>
      </c>
      <c r="BM42">
        <f>IF(P42=0,0,COUNTIF(Transect1_imgsummary!E42:I42,"PORMAS")*100/P42)</f>
        <v>0</v>
      </c>
      <c r="BN42">
        <f>IF(P42=0,0,COUNTIF(Transect1_imgsummary!E42:I42,"PORRUS")*100/P42)</f>
        <v>0</v>
      </c>
      <c r="BO42">
        <f>IF(P42=0,0,COUNTIF(Transect1_imgsummary!E42:I42,"PSAM")*100/P42)</f>
        <v>0</v>
      </c>
      <c r="BP42">
        <f>IF(P42=0,0,COUNTIF(Transect1_imgsummary!E42:I42,"SANDO")*100/P42)</f>
        <v>0</v>
      </c>
      <c r="BQ42">
        <f>IF(P42=0,0,COUNTIF(Transect1_imgsummary!E42:I42,"SCAP")*100/P42)</f>
        <v>0</v>
      </c>
      <c r="BR42">
        <f>IF(P42=0,0,COUNTIF(Transect1_imgsummary!E42:I42,"SERIA")*100/P42)</f>
        <v>0</v>
      </c>
      <c r="BS42">
        <f>IF(P42=0,0,COUNTIF(Transect1_imgsummary!E42:I42,"STYLC")*100/P42)</f>
        <v>0</v>
      </c>
      <c r="BT42">
        <f>IF(P42=0,0,COUNTIF(Transect1_imgsummary!E42:I42,"STYLO")*100/P42)</f>
        <v>0</v>
      </c>
      <c r="BU42">
        <f>IF(P42=0,0,COUNTIF(Transect1_imgsummary!E42:I42,"SYMP")*100/P42)</f>
        <v>0</v>
      </c>
      <c r="BV42">
        <f>IF(P42=0,0,COUNTIF(Transect1_imgsummary!E42:I42,"TURBIN")*100/P42)</f>
        <v>0</v>
      </c>
      <c r="BX42">
        <f>IF(P42=0,0,COUNTIF(Transect1_imgsummary!E42:I42,"ANEM")*100/P42)</f>
        <v>0</v>
      </c>
      <c r="BY42">
        <f>IF(P42=0,0,COUNTIF(Transect1_imgsummary!E42:I42,"ASC")*100/P42)</f>
        <v>0</v>
      </c>
      <c r="BZ42">
        <f>IF(P42=0,0,COUNTIF(Transect1_imgsummary!E42:I42,"CUPS")*100/P42)</f>
        <v>0</v>
      </c>
      <c r="CA42">
        <f>IF(P42=0,0,COUNTIF(Transect1_imgsummary!E42:I42,"DISCO")*100/P42)</f>
        <v>0</v>
      </c>
      <c r="CB42">
        <f>IF(P42=0,0,COUNTIF(Transect1_imgsummary!E42:I42,"DYS")*100/P42)</f>
        <v>0</v>
      </c>
      <c r="CC42">
        <f>IF(P42=0,0,COUNTIF(Transect1_imgsummary!E42:I42,"G")*100/P42)</f>
        <v>0</v>
      </c>
      <c r="CD42">
        <f>IF(P42=0,0,COUNTIF(Transect1_imgsummary!E42:I42,"NoIDINV")*100/P42)</f>
        <v>0</v>
      </c>
      <c r="CE42">
        <f>IF(P42=0,0,COUNTIF(Transect1_imgsummary!E42:I42,"OLV")*100/P42)</f>
        <v>0</v>
      </c>
      <c r="CF42">
        <f>IF(P42=0,0,COUNTIF(Transect1_imgsummary!E42:I42,"SC")*100/P42)</f>
        <v>0</v>
      </c>
      <c r="CG42">
        <f>IF(P42=0,0,COUNTIF(Transect1_imgsummary!E42:I42,"S")*100/P42)</f>
        <v>0</v>
      </c>
      <c r="CH42">
        <f>IF(P42=0,0,COUNTIF(Transect1_imgsummary!E42:I42,"TERPS")*100/P42)</f>
        <v>0</v>
      </c>
      <c r="CI42">
        <f>IF(P42=0,0,COUNTIF(Transect1_imgsummary!E42:I42,"Z")*100/P42)</f>
        <v>0</v>
      </c>
      <c r="CK42">
        <f>IF(P42=0,0,COUNTIF(Transect1_imgsummary!E42:I42,"ASP")*100/P42)</f>
        <v>0</v>
      </c>
      <c r="CL42">
        <f>IF(P42=0,0,COUNTIF(Transect1_imgsummary!E42:I42,"BG")*100/P42)</f>
        <v>0</v>
      </c>
      <c r="CM42">
        <f>IF(P42=0,0,COUNTIF(Transect1_imgsummary!E42:I42,"Bood")*100/P42)</f>
        <v>0</v>
      </c>
      <c r="CN42">
        <f>IF(P42=0,0,COUNTIF(Transect1_imgsummary!E42:I42,"BRYP")*100/P42)</f>
        <v>0</v>
      </c>
      <c r="CO42">
        <f>IF(P42=0,0,COUNTIF(Transect1_imgsummary!E42:I42,"CLP")*100/P42)</f>
        <v>0</v>
      </c>
      <c r="CP42">
        <f>IF(P42=0,0,COUNTIF(Transect1_imgsummary!E42:I42,"CHLDES")*100/P42)</f>
        <v>0</v>
      </c>
      <c r="CQ42">
        <f>IF(P42=0,0,COUNTIF(Transect1_imgsummary!E42:I42,"DYCTY")*100/P42)</f>
        <v>0</v>
      </c>
      <c r="CR42">
        <f>IF(P42=0,0,COUNTIF(Transect1_imgsummary!E42:I42,"DICT")*100/P42)</f>
        <v>0</v>
      </c>
      <c r="CS42">
        <f>IF(P42=0,0,COUNTIF(Transect1_imgsummary!E42:I42,"GLXU")*100/P42)</f>
        <v>0</v>
      </c>
      <c r="CT42">
        <f>IF(P42=0,0,COUNTIF(Transect1_imgsummary!E42:I42,"HALI")*100/P42)</f>
        <v>0</v>
      </c>
      <c r="CU42">
        <f>IF(P42=0,0,COUNTIF(Transect1_imgsummary!E42:I42,"LIAG")*100/P42)</f>
        <v>0</v>
      </c>
      <c r="CV42">
        <f>IF(P42=0,0,COUNTIF(Transect1_imgsummary!E42:I42,"LOBO")*100/P42)</f>
        <v>0</v>
      </c>
      <c r="CW42">
        <f>IF(P42=0,0,COUNTIF(Transect1_imgsummary!E42:I42,"MAST")*100/P42)</f>
        <v>0</v>
      </c>
      <c r="CX42">
        <f>IF(P42=0,0,COUNTIF(Transect1_imgsummary!E42:I42,"MICDTY")*100/P42)</f>
        <v>0</v>
      </c>
      <c r="CY42">
        <f>IF(P42=0,0,COUNTIF(Transect1_imgsummary!E42:I42,"NEOM")*100/P42)</f>
        <v>0</v>
      </c>
      <c r="CZ42">
        <f>IF(P42=0,0,COUNTIF(Transect1_imgsummary!E42:I42,"NOIDMAC")*100/P42)</f>
        <v>0</v>
      </c>
      <c r="DA42">
        <f>IF(P42=0,0,COUNTIF(Transect1_imgsummary!E42:I42,"PAD")*100/P42)</f>
        <v>0</v>
      </c>
      <c r="DB42">
        <f>IF(P42=0,0,COUNTIF(Transect1_imgsummary!E42:I42,"SARG")*100/P42)</f>
        <v>0</v>
      </c>
      <c r="DC42">
        <f>IF(P42=0,0,COUNTIF(Transect1_imgsummary!E42:I42,"SCHIZ")*100/P42)</f>
        <v>0</v>
      </c>
      <c r="DD42">
        <f>IF(P42=0,0,COUNTIF(Transect1_imgsummary!E42:I42,"TURB")*100/P42)</f>
        <v>0</v>
      </c>
      <c r="DE42">
        <f>IF(P42=0,0,COUNTIF(Transect1_imgsummary!E42:I42,"TYDM")*100/P42)</f>
        <v>0</v>
      </c>
      <c r="DG42">
        <f>IF(P42=0,0,COUNTIF(Transect1_imgsummary!E42:I42,"AMP")*100/P42)</f>
        <v>0</v>
      </c>
      <c r="DH42" s="29">
        <f>IF(P42=0,0,COUNTIF(Transect1_imgsummary!E42:I42,"BCA1")*100/P42)</f>
        <v>40</v>
      </c>
      <c r="DI42">
        <f>IF(P42=0,0,COUNTIF(Transect1_imgsummary!E42:I42,"JAN")*100/P42)</f>
        <v>0</v>
      </c>
      <c r="DK42" s="29">
        <f>IF(P42=0,0,COUNTIF(Transect1_imgsummary!E42:I42,"CCA1")*100/P42)</f>
        <v>60</v>
      </c>
      <c r="DM42">
        <f>IF(P42=0,0,COUNTIF(Transect1_imgsummary!E42:I42,"Sand")*100/P42)</f>
        <v>0</v>
      </c>
      <c r="DO42">
        <f>IF(P42=0,0,COUNTIF(Transect1_imgsummary!E42:I42,"FCA1")*100/P42)</f>
        <v>0</v>
      </c>
      <c r="DQ42">
        <f>IF(P42=0,0,COUNTIF(Transect1_imgsummary!E42:I42,"CHRYOBRN")*100/P42)</f>
        <v>0</v>
      </c>
      <c r="DS42">
        <f>IF(P42=0,0,COUNTIF(Transect1_imgsummary!E42:I42,"TURF")*100/P42)</f>
        <v>0</v>
      </c>
      <c r="DU42">
        <f>COUNTIF(Transect1_imgsummary!E42:I42,"Shadow")*100/5</f>
        <v>0</v>
      </c>
      <c r="DV42">
        <f>COUNTIF(Transect1_imgsummary!E42:I42,"Tape")*100/5</f>
        <v>0</v>
      </c>
      <c r="DW42">
        <f>COUNTIF(Transect1_imgsummary!E42:I42,"Wand")*100/5</f>
        <v>0</v>
      </c>
      <c r="DY42">
        <f>IF(P42=0,0,COUNTIF(Transect1_imgsummary!O42:S42,"BC")*100/P42)</f>
        <v>0</v>
      </c>
    </row>
    <row r="43" spans="1:129">
      <c r="A43">
        <v>41</v>
      </c>
      <c r="B43" t="s">
        <v>85</v>
      </c>
      <c r="F43">
        <f>IF(P43=0,0,COUNTIF(Transect1_imgsummary!J43:N43,"C")*100/P43)</f>
        <v>0</v>
      </c>
      <c r="G43">
        <f>IF(P43=0,0,COUNTIF(Transect1_imgsummary!J43:N43,"OI")*100/P43)</f>
        <v>0</v>
      </c>
      <c r="H43">
        <f>IF(P43=0,0,COUNTIF(Transect1_imgsummary!J43:N43,"MA")*100/P43)</f>
        <v>0</v>
      </c>
      <c r="I43">
        <f>IF(P43=0,0,COUNTIF(Transect1_imgsummary!J43:N43,"BCA")*100/P43)</f>
        <v>0</v>
      </c>
      <c r="J43" s="29">
        <f>IF(P43=0,0,COUNTIF(Transect1_imgsummary!J43:N43,"CCA")*100/P43)</f>
        <v>80</v>
      </c>
      <c r="K43">
        <f>IF(P43=0,0,COUNTIF(Transect1_imgsummary!J43:N43,"SD")*100/P43)</f>
        <v>0</v>
      </c>
      <c r="L43" s="29">
        <f>IF(P43=0,0,COUNTIF(Transect1_imgsummary!J43:N43,"FCA")*100/P43)</f>
        <v>20</v>
      </c>
      <c r="M43">
        <f>IF(P43=0,0,COUNTIF(Transect1_imgsummary!J43:N43,"CHRYS")*100/P43)</f>
        <v>0</v>
      </c>
      <c r="N43">
        <f>IF(P43=0,0,COUNTIF(Transect1_imgsummary!J43:N43,"T")*100/P43)</f>
        <v>0</v>
      </c>
      <c r="O43">
        <f>IF(P43=0,0,COUNTIF(Transect1_imgsummary!J43:N43,"TWS")*100/P43)</f>
        <v>0</v>
      </c>
      <c r="P43">
        <f>5-COUNTIF(Transect1_imgsummary!J43:N43,"TWS")</f>
        <v>5</v>
      </c>
      <c r="S43">
        <f>IF(P43=0,0,COUNTIF(Transect1_imgsummary!E43:I43,"ACAN")*100/P43)</f>
        <v>0</v>
      </c>
      <c r="T43">
        <f>IF(P43=0,0,COUNTIF(Transect1_imgsummary!E43:I43,"ACROP")*100/P43)</f>
        <v>0</v>
      </c>
      <c r="U43">
        <f>IF(P43=0,0,COUNTIF(Transect1_imgsummary!E43:I43,"ACROPARB")*100/P43)</f>
        <v>0</v>
      </c>
      <c r="V43">
        <f>IF(P43=0,0,COUNTIF(Transect1_imgsummary!E43:I43,"ACROST")*100/P43)</f>
        <v>0</v>
      </c>
      <c r="W43">
        <f>IF(P43=0,0,COUNTIF(Transect1_imgsummary!E43:I43,"ACROTBL")*100/P43)</f>
        <v>0</v>
      </c>
      <c r="X43">
        <f>IF(P43=0,0,COUNTIF(Transect1_imgsummary!E43:I43,"ASTRP")*100/P43)</f>
        <v>0</v>
      </c>
      <c r="Y43">
        <f>IF(P43=0,0,COUNTIF(Transect1_imgsummary!E43:I43,"CAUL")*100/P43)</f>
        <v>0</v>
      </c>
      <c r="Z43">
        <f>IF(P43=0,0,COUNTIF(Transect1_imgsummary!E43:I43,"COSC")*100/P43)</f>
        <v>0</v>
      </c>
      <c r="AA43">
        <f>IF(P43=0,0,COUNTIF(Transect1_imgsummary!E43:I43,"CTEN")*100/P43)</f>
        <v>0</v>
      </c>
      <c r="AB43">
        <f>IF(P43=0,0,COUNTIF(Transect1_imgsummary!E43:I43,"CYPH")*100/P43)</f>
        <v>0</v>
      </c>
      <c r="AC43">
        <f>IF(P43=0,0,COUNTIF(Transect1_imgsummary!E43:I43,"DIPLO")*100/P43)</f>
        <v>0</v>
      </c>
      <c r="AD43">
        <f>IF(P43=0,0,COUNTIF(Transect1_imgsummary!E43:I43,"ECHPO")*100/P43)</f>
        <v>0</v>
      </c>
      <c r="AE43">
        <f>IF(P43=0,0,COUNTIF(Transect1_imgsummary!E43:I43,"ECHPHY")*100/P43)</f>
        <v>0</v>
      </c>
      <c r="AF43">
        <f>IF(P43=0,0,COUNTIF(Transect1_imgsummary!E43:I43,"EUPH")*100/P43)</f>
        <v>0</v>
      </c>
      <c r="AG43">
        <f>IF(P43=0,0,COUNTIF(Transect1_imgsummary!E43:I43,"FAV")*100/P43)</f>
        <v>0</v>
      </c>
      <c r="AH43">
        <f>IF(P43=0,0,COUNTIF(Transect1_imgsummary!E43:I43,"FAVT")*100/P43)</f>
        <v>0</v>
      </c>
      <c r="AI43">
        <f>IF(P43=0,0,COUNTIF(Transect1_imgsummary!E43:I43,"FUNG")*100/P43)</f>
        <v>0</v>
      </c>
      <c r="AJ43">
        <f>IF(P43=0,0,COUNTIF(Transect1_imgsummary!E43:I43,"GAL")*100/P43)</f>
        <v>0</v>
      </c>
      <c r="AK43">
        <f>IF(P43=0,0,COUNTIF(Transect1_imgsummary!E43:I43,"GARD")*100/P43)</f>
        <v>0</v>
      </c>
      <c r="AL43">
        <f>IF(P43=0,0,COUNTIF(Transect1_imgsummary!E43:I43,"GON")*100/P43)</f>
        <v>0</v>
      </c>
      <c r="AM43">
        <f>IF(P43=0,0,COUNTIF(Transect1_imgsummary!E43:I43,"GONIO")*100/P43)</f>
        <v>0</v>
      </c>
      <c r="AN43">
        <f>IF(P43=0,0,COUNTIF(Transect1_imgsummary!E43:I43,"HELIO")*100/P43)</f>
        <v>0</v>
      </c>
      <c r="AO43">
        <f>IF(P43=0,0,COUNTIF(Transect1_imgsummary!E43:I43,"HERP")*100/P43)</f>
        <v>0</v>
      </c>
      <c r="AP43">
        <f>IF(P43=0,0,COUNTIF(Transect1_imgsummary!E43:I43,"HYD")*100/P43)</f>
        <v>0</v>
      </c>
      <c r="AQ43">
        <f>IF(P43=0,0,COUNTIF(Transect1_imgsummary!E43:I43,"ISOP")*100/P43)</f>
        <v>0</v>
      </c>
      <c r="AR43">
        <f>IF(P43=0,0,COUNTIF(Transect1_imgsummary!E43:I43,"LEPT")*100/P43)</f>
        <v>0</v>
      </c>
      <c r="AS43">
        <f>IF(P43=0,0,COUNTIF(Transect1_imgsummary!E43:I43,"LEPTOR")*100/P43)</f>
        <v>0</v>
      </c>
      <c r="AT43">
        <f>IF(P43=0,0,COUNTIF(Transect1_imgsummary!E43:I43,"LEPTOS")*100/P43)</f>
        <v>0</v>
      </c>
      <c r="AU43">
        <f>IF(P43=0,0,COUNTIF(Transect1_imgsummary!E43:I43,"LOBOPH")*100/P43)</f>
        <v>0</v>
      </c>
      <c r="AV43">
        <f>IF(P43=0,0,COUNTIF(Transect1_imgsummary!E43:I43,"MERU")*100/P43)</f>
        <v>0</v>
      </c>
      <c r="AW43">
        <f>IF(P43=0,0,COUNTIF(Transect1_imgsummary!E43:I43,"MILL")*100/P43)</f>
        <v>0</v>
      </c>
      <c r="AX43">
        <f>IF(P43=0,0,COUNTIF(Transect1_imgsummary!E43:I43,"MONT")*100/P43)</f>
        <v>0</v>
      </c>
      <c r="AY43">
        <f>IF(P43=0,0,COUNTIF(Transect1_imgsummary!E43:I43,"MONTI")*100/P43)</f>
        <v>0</v>
      </c>
      <c r="AZ43">
        <f>IF(P43=0,0,COUNTIF(Transect1_imgsummary!E43:I43,"MYCED")*100/P43)</f>
        <v>0</v>
      </c>
      <c r="BA43">
        <f>IF(P43=0,0,COUNTIF(Transect1_imgsummary!E43:I43,"OULO")*100/P43)</f>
        <v>0</v>
      </c>
      <c r="BB43">
        <f>IF(P43=0,0,COUNTIF(Transect1_imgsummary!E43:I43,"OXYP")*100/P43)</f>
        <v>0</v>
      </c>
      <c r="BC43">
        <f>IF(P43=0,0,COUNTIF(Transect1_imgsummary!E43:I43,"PLSIA")*100/P43)</f>
        <v>0</v>
      </c>
      <c r="BD43">
        <f>IF(P43=0,0,COUNTIF(Transect1_imgsummary!E43:I43,"PACHY")*100/P43)</f>
        <v>0</v>
      </c>
      <c r="BE43">
        <f>IF(P43=0,0,COUNTIF(Transect1_imgsummary!E43:I43,"PAV")*100/P43)</f>
        <v>0</v>
      </c>
      <c r="BF43">
        <f>IF(P43=0,0,COUNTIF(Transect1_imgsummary!E43:I43,"PECT")*100/P43)</f>
        <v>0</v>
      </c>
      <c r="BG43">
        <f>IF(P43=0,0,COUNTIF(Transect1_imgsummary!E43:I43,"PHYSO")*100/P43)</f>
        <v>0</v>
      </c>
      <c r="BH43">
        <f>IF(P43=0,0,COUNTIF(Transect1_imgsummary!E43:I43,"PLAT")*100/P43)</f>
        <v>0</v>
      </c>
      <c r="BI43">
        <f>IF(P43=0,0,COUNTIF(Transect1_imgsummary!E43:I43,"PLERO")*100/P43)</f>
        <v>0</v>
      </c>
      <c r="BJ43">
        <f>IF(P43=0,0,COUNTIF(Transect1_imgsummary!E43:I43,"POC")*100/P43)</f>
        <v>0</v>
      </c>
      <c r="BK43">
        <f>IF(P43=0,0,COUNTIF(Transect1_imgsummary!E43:I43,"POR")*100/P43)</f>
        <v>0</v>
      </c>
      <c r="BL43">
        <f>IF(P43=0,0,COUNTIF(Transect1_imgsummary!E43:I43,"PORCYL")*100/P43)</f>
        <v>0</v>
      </c>
      <c r="BM43">
        <f>IF(P43=0,0,COUNTIF(Transect1_imgsummary!E43:I43,"PORMAS")*100/P43)</f>
        <v>0</v>
      </c>
      <c r="BN43">
        <f>IF(P43=0,0,COUNTIF(Transect1_imgsummary!E43:I43,"PORRUS")*100/P43)</f>
        <v>0</v>
      </c>
      <c r="BO43">
        <f>IF(P43=0,0,COUNTIF(Transect1_imgsummary!E43:I43,"PSAM")*100/P43)</f>
        <v>0</v>
      </c>
      <c r="BP43">
        <f>IF(P43=0,0,COUNTIF(Transect1_imgsummary!E43:I43,"SANDO")*100/P43)</f>
        <v>0</v>
      </c>
      <c r="BQ43">
        <f>IF(P43=0,0,COUNTIF(Transect1_imgsummary!E43:I43,"SCAP")*100/P43)</f>
        <v>0</v>
      </c>
      <c r="BR43">
        <f>IF(P43=0,0,COUNTIF(Transect1_imgsummary!E43:I43,"SERIA")*100/P43)</f>
        <v>0</v>
      </c>
      <c r="BS43">
        <f>IF(P43=0,0,COUNTIF(Transect1_imgsummary!E43:I43,"STYLC")*100/P43)</f>
        <v>0</v>
      </c>
      <c r="BT43">
        <f>IF(P43=0,0,COUNTIF(Transect1_imgsummary!E43:I43,"STYLO")*100/P43)</f>
        <v>0</v>
      </c>
      <c r="BU43">
        <f>IF(P43=0,0,COUNTIF(Transect1_imgsummary!E43:I43,"SYMP")*100/P43)</f>
        <v>0</v>
      </c>
      <c r="BV43">
        <f>IF(P43=0,0,COUNTIF(Transect1_imgsummary!E43:I43,"TURBIN")*100/P43)</f>
        <v>0</v>
      </c>
      <c r="BX43">
        <f>IF(P43=0,0,COUNTIF(Transect1_imgsummary!E43:I43,"ANEM")*100/P43)</f>
        <v>0</v>
      </c>
      <c r="BY43">
        <f>IF(P43=0,0,COUNTIF(Transect1_imgsummary!E43:I43,"ASC")*100/P43)</f>
        <v>0</v>
      </c>
      <c r="BZ43">
        <f>IF(P43=0,0,COUNTIF(Transect1_imgsummary!E43:I43,"CUPS")*100/P43)</f>
        <v>0</v>
      </c>
      <c r="CA43">
        <f>IF(P43=0,0,COUNTIF(Transect1_imgsummary!E43:I43,"DISCO")*100/P43)</f>
        <v>0</v>
      </c>
      <c r="CB43">
        <f>IF(P43=0,0,COUNTIF(Transect1_imgsummary!E43:I43,"DYS")*100/P43)</f>
        <v>0</v>
      </c>
      <c r="CC43">
        <f>IF(P43=0,0,COUNTIF(Transect1_imgsummary!E43:I43,"G")*100/P43)</f>
        <v>0</v>
      </c>
      <c r="CD43">
        <f>IF(P43=0,0,COUNTIF(Transect1_imgsummary!E43:I43,"NoIDINV")*100/P43)</f>
        <v>0</v>
      </c>
      <c r="CE43">
        <f>IF(P43=0,0,COUNTIF(Transect1_imgsummary!E43:I43,"OLV")*100/P43)</f>
        <v>0</v>
      </c>
      <c r="CF43">
        <f>IF(P43=0,0,COUNTIF(Transect1_imgsummary!E43:I43,"SC")*100/P43)</f>
        <v>0</v>
      </c>
      <c r="CG43">
        <f>IF(P43=0,0,COUNTIF(Transect1_imgsummary!E43:I43,"S")*100/P43)</f>
        <v>0</v>
      </c>
      <c r="CH43">
        <f>IF(P43=0,0,COUNTIF(Transect1_imgsummary!E43:I43,"TERPS")*100/P43)</f>
        <v>0</v>
      </c>
      <c r="CI43">
        <f>IF(P43=0,0,COUNTIF(Transect1_imgsummary!E43:I43,"Z")*100/P43)</f>
        <v>0</v>
      </c>
      <c r="CK43">
        <f>IF(P43=0,0,COUNTIF(Transect1_imgsummary!E43:I43,"ASP")*100/P43)</f>
        <v>0</v>
      </c>
      <c r="CL43">
        <f>IF(P43=0,0,COUNTIF(Transect1_imgsummary!E43:I43,"BG")*100/P43)</f>
        <v>0</v>
      </c>
      <c r="CM43">
        <f>IF(P43=0,0,COUNTIF(Transect1_imgsummary!E43:I43,"Bood")*100/P43)</f>
        <v>0</v>
      </c>
      <c r="CN43">
        <f>IF(P43=0,0,COUNTIF(Transect1_imgsummary!E43:I43,"BRYP")*100/P43)</f>
        <v>0</v>
      </c>
      <c r="CO43">
        <f>IF(P43=0,0,COUNTIF(Transect1_imgsummary!E43:I43,"CLP")*100/P43)</f>
        <v>0</v>
      </c>
      <c r="CP43">
        <f>IF(P43=0,0,COUNTIF(Transect1_imgsummary!E43:I43,"CHLDES")*100/P43)</f>
        <v>0</v>
      </c>
      <c r="CQ43">
        <f>IF(P43=0,0,COUNTIF(Transect1_imgsummary!E43:I43,"DYCTY")*100/P43)</f>
        <v>0</v>
      </c>
      <c r="CR43">
        <f>IF(P43=0,0,COUNTIF(Transect1_imgsummary!E43:I43,"DICT")*100/P43)</f>
        <v>0</v>
      </c>
      <c r="CS43">
        <f>IF(P43=0,0,COUNTIF(Transect1_imgsummary!E43:I43,"GLXU")*100/P43)</f>
        <v>0</v>
      </c>
      <c r="CT43">
        <f>IF(P43=0,0,COUNTIF(Transect1_imgsummary!E43:I43,"HALI")*100/P43)</f>
        <v>0</v>
      </c>
      <c r="CU43">
        <f>IF(P43=0,0,COUNTIF(Transect1_imgsummary!E43:I43,"LIAG")*100/P43)</f>
        <v>0</v>
      </c>
      <c r="CV43">
        <f>IF(P43=0,0,COUNTIF(Transect1_imgsummary!E43:I43,"LOBO")*100/P43)</f>
        <v>0</v>
      </c>
      <c r="CW43">
        <f>IF(P43=0,0,COUNTIF(Transect1_imgsummary!E43:I43,"MAST")*100/P43)</f>
        <v>0</v>
      </c>
      <c r="CX43">
        <f>IF(P43=0,0,COUNTIF(Transect1_imgsummary!E43:I43,"MICDTY")*100/P43)</f>
        <v>0</v>
      </c>
      <c r="CY43">
        <f>IF(P43=0,0,COUNTIF(Transect1_imgsummary!E43:I43,"NEOM")*100/P43)</f>
        <v>0</v>
      </c>
      <c r="CZ43">
        <f>IF(P43=0,0,COUNTIF(Transect1_imgsummary!E43:I43,"NOIDMAC")*100/P43)</f>
        <v>0</v>
      </c>
      <c r="DA43">
        <f>IF(P43=0,0,COUNTIF(Transect1_imgsummary!E43:I43,"PAD")*100/P43)</f>
        <v>0</v>
      </c>
      <c r="DB43">
        <f>IF(P43=0,0,COUNTIF(Transect1_imgsummary!E43:I43,"SARG")*100/P43)</f>
        <v>0</v>
      </c>
      <c r="DC43">
        <f>IF(P43=0,0,COUNTIF(Transect1_imgsummary!E43:I43,"SCHIZ")*100/P43)</f>
        <v>0</v>
      </c>
      <c r="DD43">
        <f>IF(P43=0,0,COUNTIF(Transect1_imgsummary!E43:I43,"TURB")*100/P43)</f>
        <v>0</v>
      </c>
      <c r="DE43">
        <f>IF(P43=0,0,COUNTIF(Transect1_imgsummary!E43:I43,"TYDM")*100/P43)</f>
        <v>0</v>
      </c>
      <c r="DG43">
        <f>IF(P43=0,0,COUNTIF(Transect1_imgsummary!E43:I43,"AMP")*100/P43)</f>
        <v>0</v>
      </c>
      <c r="DH43">
        <f>IF(P43=0,0,COUNTIF(Transect1_imgsummary!E43:I43,"BCA1")*100/P43)</f>
        <v>0</v>
      </c>
      <c r="DI43">
        <f>IF(P43=0,0,COUNTIF(Transect1_imgsummary!E43:I43,"JAN")*100/P43)</f>
        <v>0</v>
      </c>
      <c r="DK43" s="29">
        <f>IF(P43=0,0,COUNTIF(Transect1_imgsummary!E43:I43,"CCA1")*100/P43)</f>
        <v>80</v>
      </c>
      <c r="DM43">
        <f>IF(P43=0,0,COUNTIF(Transect1_imgsummary!E43:I43,"Sand")*100/P43)</f>
        <v>0</v>
      </c>
      <c r="DO43" s="29">
        <f>IF(P43=0,0,COUNTIF(Transect1_imgsummary!E43:I43,"FCA1")*100/P43)</f>
        <v>20</v>
      </c>
      <c r="DQ43">
        <f>IF(P43=0,0,COUNTIF(Transect1_imgsummary!E43:I43,"CHRYOBRN")*100/P43)</f>
        <v>0</v>
      </c>
      <c r="DS43">
        <f>IF(P43=0,0,COUNTIF(Transect1_imgsummary!E43:I43,"TURF")*100/P43)</f>
        <v>0</v>
      </c>
      <c r="DU43">
        <f>COUNTIF(Transect1_imgsummary!E43:I43,"Shadow")*100/5</f>
        <v>0</v>
      </c>
      <c r="DV43">
        <f>COUNTIF(Transect1_imgsummary!E43:I43,"Tape")*100/5</f>
        <v>0</v>
      </c>
      <c r="DW43">
        <f>COUNTIF(Transect1_imgsummary!E43:I43,"Wand")*100/5</f>
        <v>0</v>
      </c>
      <c r="DY43">
        <f>IF(P43=0,0,COUNTIF(Transect1_imgsummary!O43:S43,"BC")*100/P43)</f>
        <v>0</v>
      </c>
    </row>
    <row r="44" spans="1:129">
      <c r="A44">
        <v>42</v>
      </c>
      <c r="B44" t="s">
        <v>86</v>
      </c>
      <c r="F44" s="29">
        <f>IF(P44=0,0,COUNTIF(Transect1_imgsummary!J44:N44,"C")*100/P44)</f>
        <v>100</v>
      </c>
      <c r="G44">
        <f>IF(P44=0,0,COUNTIF(Transect1_imgsummary!J44:N44,"OI")*100/P44)</f>
        <v>0</v>
      </c>
      <c r="H44">
        <f>IF(P44=0,0,COUNTIF(Transect1_imgsummary!J44:N44,"MA")*100/P44)</f>
        <v>0</v>
      </c>
      <c r="I44">
        <f>IF(P44=0,0,COUNTIF(Transect1_imgsummary!J44:N44,"BCA")*100/P44)</f>
        <v>0</v>
      </c>
      <c r="J44">
        <f>IF(P44=0,0,COUNTIF(Transect1_imgsummary!J44:N44,"CCA")*100/P44)</f>
        <v>0</v>
      </c>
      <c r="K44">
        <f>IF(P44=0,0,COUNTIF(Transect1_imgsummary!J44:N44,"SD")*100/P44)</f>
        <v>0</v>
      </c>
      <c r="L44">
        <f>IF(P44=0,0,COUNTIF(Transect1_imgsummary!J44:N44,"FCA")*100/P44)</f>
        <v>0</v>
      </c>
      <c r="M44">
        <f>IF(P44=0,0,COUNTIF(Transect1_imgsummary!J44:N44,"CHRYS")*100/P44)</f>
        <v>0</v>
      </c>
      <c r="N44">
        <f>IF(P44=0,0,COUNTIF(Transect1_imgsummary!J44:N44,"T")*100/P44)</f>
        <v>0</v>
      </c>
      <c r="O44">
        <f>IF(P44=0,0,COUNTIF(Transect1_imgsummary!J44:N44,"TWS")*100/P44)</f>
        <v>0</v>
      </c>
      <c r="P44">
        <f>5-COUNTIF(Transect1_imgsummary!J44:N44,"TWS")</f>
        <v>5</v>
      </c>
      <c r="S44">
        <f>IF(P44=0,0,COUNTIF(Transect1_imgsummary!E44:I44,"ACAN")*100/P44)</f>
        <v>0</v>
      </c>
      <c r="T44">
        <f>IF(P44=0,0,COUNTIF(Transect1_imgsummary!E44:I44,"ACROP")*100/P44)</f>
        <v>0</v>
      </c>
      <c r="U44">
        <f>IF(P44=0,0,COUNTIF(Transect1_imgsummary!E44:I44,"ACROPARB")*100/P44)</f>
        <v>0</v>
      </c>
      <c r="V44">
        <f>IF(P44=0,0,COUNTIF(Transect1_imgsummary!E44:I44,"ACROST")*100/P44)</f>
        <v>0</v>
      </c>
      <c r="W44" s="29">
        <f>IF(P44=0,0,COUNTIF(Transect1_imgsummary!E44:I44,"ACROTBL")*100/P44)</f>
        <v>40</v>
      </c>
      <c r="X44">
        <f>IF(P44=0,0,COUNTIF(Transect1_imgsummary!E44:I44,"ASTRP")*100/P44)</f>
        <v>0</v>
      </c>
      <c r="Y44">
        <f>IF(P44=0,0,COUNTIF(Transect1_imgsummary!E44:I44,"CAUL")*100/P44)</f>
        <v>0</v>
      </c>
      <c r="Z44">
        <f>IF(P44=0,0,COUNTIF(Transect1_imgsummary!E44:I44,"COSC")*100/P44)</f>
        <v>0</v>
      </c>
      <c r="AA44">
        <f>IF(P44=0,0,COUNTIF(Transect1_imgsummary!E44:I44,"CTEN")*100/P44)</f>
        <v>0</v>
      </c>
      <c r="AB44">
        <f>IF(P44=0,0,COUNTIF(Transect1_imgsummary!E44:I44,"CYPH")*100/P44)</f>
        <v>0</v>
      </c>
      <c r="AC44">
        <f>IF(P44=0,0,COUNTIF(Transect1_imgsummary!E44:I44,"DIPLO")*100/P44)</f>
        <v>0</v>
      </c>
      <c r="AD44">
        <f>IF(P44=0,0,COUNTIF(Transect1_imgsummary!E44:I44,"ECHPO")*100/P44)</f>
        <v>0</v>
      </c>
      <c r="AE44">
        <f>IF(P44=0,0,COUNTIF(Transect1_imgsummary!E44:I44,"ECHPHY")*100/P44)</f>
        <v>0</v>
      </c>
      <c r="AF44">
        <f>IF(P44=0,0,COUNTIF(Transect1_imgsummary!E44:I44,"EUPH")*100/P44)</f>
        <v>0</v>
      </c>
      <c r="AG44">
        <f>IF(P44=0,0,COUNTIF(Transect1_imgsummary!E44:I44,"FAV")*100/P44)</f>
        <v>0</v>
      </c>
      <c r="AH44">
        <f>IF(P44=0,0,COUNTIF(Transect1_imgsummary!E44:I44,"FAVT")*100/P44)</f>
        <v>0</v>
      </c>
      <c r="AI44">
        <f>IF(P44=0,0,COUNTIF(Transect1_imgsummary!E44:I44,"FUNG")*100/P44)</f>
        <v>0</v>
      </c>
      <c r="AJ44">
        <f>IF(P44=0,0,COUNTIF(Transect1_imgsummary!E44:I44,"GAL")*100/P44)</f>
        <v>0</v>
      </c>
      <c r="AK44">
        <f>IF(P44=0,0,COUNTIF(Transect1_imgsummary!E44:I44,"GARD")*100/P44)</f>
        <v>0</v>
      </c>
      <c r="AL44" s="29">
        <f>IF(P44=0,0,COUNTIF(Transect1_imgsummary!E44:I44,"GON")*100/P44)</f>
        <v>20</v>
      </c>
      <c r="AM44">
        <f>IF(P44=0,0,COUNTIF(Transect1_imgsummary!E44:I44,"GONIO")*100/P44)</f>
        <v>0</v>
      </c>
      <c r="AN44">
        <f>IF(P44=0,0,COUNTIF(Transect1_imgsummary!E44:I44,"HELIO")*100/P44)</f>
        <v>0</v>
      </c>
      <c r="AO44">
        <f>IF(P44=0,0,COUNTIF(Transect1_imgsummary!E44:I44,"HERP")*100/P44)</f>
        <v>0</v>
      </c>
      <c r="AP44">
        <f>IF(P44=0,0,COUNTIF(Transect1_imgsummary!E44:I44,"HYD")*100/P44)</f>
        <v>0</v>
      </c>
      <c r="AQ44">
        <f>IF(P44=0,0,COUNTIF(Transect1_imgsummary!E44:I44,"ISOP")*100/P44)</f>
        <v>0</v>
      </c>
      <c r="AR44">
        <f>IF(P44=0,0,COUNTIF(Transect1_imgsummary!E44:I44,"LEPT")*100/P44)</f>
        <v>0</v>
      </c>
      <c r="AS44">
        <f>IF(P44=0,0,COUNTIF(Transect1_imgsummary!E44:I44,"LEPTOR")*100/P44)</f>
        <v>0</v>
      </c>
      <c r="AT44">
        <f>IF(P44=0,0,COUNTIF(Transect1_imgsummary!E44:I44,"LEPTOS")*100/P44)</f>
        <v>0</v>
      </c>
      <c r="AU44" s="29">
        <f>IF(P44=0,0,COUNTIF(Transect1_imgsummary!E44:I44,"LOBOPH")*100/P44)</f>
        <v>40</v>
      </c>
      <c r="AV44">
        <f>IF(P44=0,0,COUNTIF(Transect1_imgsummary!E44:I44,"MERU")*100/P44)</f>
        <v>0</v>
      </c>
      <c r="AW44">
        <f>IF(P44=0,0,COUNTIF(Transect1_imgsummary!E44:I44,"MILL")*100/P44)</f>
        <v>0</v>
      </c>
      <c r="AX44">
        <f>IF(P44=0,0,COUNTIF(Transect1_imgsummary!E44:I44,"MONT")*100/P44)</f>
        <v>0</v>
      </c>
      <c r="AY44">
        <f>IF(P44=0,0,COUNTIF(Transect1_imgsummary!E44:I44,"MONTI")*100/P44)</f>
        <v>0</v>
      </c>
      <c r="AZ44">
        <f>IF(P44=0,0,COUNTIF(Transect1_imgsummary!E44:I44,"MYCED")*100/P44)</f>
        <v>0</v>
      </c>
      <c r="BA44">
        <f>IF(P44=0,0,COUNTIF(Transect1_imgsummary!E44:I44,"OULO")*100/P44)</f>
        <v>0</v>
      </c>
      <c r="BB44">
        <f>IF(P44=0,0,COUNTIF(Transect1_imgsummary!E44:I44,"OXYP")*100/P44)</f>
        <v>0</v>
      </c>
      <c r="BC44">
        <f>IF(P44=0,0,COUNTIF(Transect1_imgsummary!E44:I44,"PLSIA")*100/P44)</f>
        <v>0</v>
      </c>
      <c r="BD44">
        <f>IF(P44=0,0,COUNTIF(Transect1_imgsummary!E44:I44,"PACHY")*100/P44)</f>
        <v>0</v>
      </c>
      <c r="BE44">
        <f>IF(P44=0,0,COUNTIF(Transect1_imgsummary!E44:I44,"PAV")*100/P44)</f>
        <v>0</v>
      </c>
      <c r="BF44">
        <f>IF(P44=0,0,COUNTIF(Transect1_imgsummary!E44:I44,"PECT")*100/P44)</f>
        <v>0</v>
      </c>
      <c r="BG44">
        <f>IF(P44=0,0,COUNTIF(Transect1_imgsummary!E44:I44,"PHYSO")*100/P44)</f>
        <v>0</v>
      </c>
      <c r="BH44">
        <f>IF(P44=0,0,COUNTIF(Transect1_imgsummary!E44:I44,"PLAT")*100/P44)</f>
        <v>0</v>
      </c>
      <c r="BI44">
        <f>IF(P44=0,0,COUNTIF(Transect1_imgsummary!E44:I44,"PLERO")*100/P44)</f>
        <v>0</v>
      </c>
      <c r="BJ44">
        <f>IF(P44=0,0,COUNTIF(Transect1_imgsummary!E44:I44,"POC")*100/P44)</f>
        <v>0</v>
      </c>
      <c r="BK44">
        <f>IF(P44=0,0,COUNTIF(Transect1_imgsummary!E44:I44,"POR")*100/P44)</f>
        <v>0</v>
      </c>
      <c r="BL44">
        <f>IF(P44=0,0,COUNTIF(Transect1_imgsummary!E44:I44,"PORCYL")*100/P44)</f>
        <v>0</v>
      </c>
      <c r="BM44">
        <f>IF(P44=0,0,COUNTIF(Transect1_imgsummary!E44:I44,"PORMAS")*100/P44)</f>
        <v>0</v>
      </c>
      <c r="BN44">
        <f>IF(P44=0,0,COUNTIF(Transect1_imgsummary!E44:I44,"PORRUS")*100/P44)</f>
        <v>0</v>
      </c>
      <c r="BO44">
        <f>IF(P44=0,0,COUNTIF(Transect1_imgsummary!E44:I44,"PSAM")*100/P44)</f>
        <v>0</v>
      </c>
      <c r="BP44">
        <f>IF(P44=0,0,COUNTIF(Transect1_imgsummary!E44:I44,"SANDO")*100/P44)</f>
        <v>0</v>
      </c>
      <c r="BQ44">
        <f>IF(P44=0,0,COUNTIF(Transect1_imgsummary!E44:I44,"SCAP")*100/P44)</f>
        <v>0</v>
      </c>
      <c r="BR44">
        <f>IF(P44=0,0,COUNTIF(Transect1_imgsummary!E44:I44,"SERIA")*100/P44)</f>
        <v>0</v>
      </c>
      <c r="BS44">
        <f>IF(P44=0,0,COUNTIF(Transect1_imgsummary!E44:I44,"STYLC")*100/P44)</f>
        <v>0</v>
      </c>
      <c r="BT44">
        <f>IF(P44=0,0,COUNTIF(Transect1_imgsummary!E44:I44,"STYLO")*100/P44)</f>
        <v>0</v>
      </c>
      <c r="BU44">
        <f>IF(P44=0,0,COUNTIF(Transect1_imgsummary!E44:I44,"SYMP")*100/P44)</f>
        <v>0</v>
      </c>
      <c r="BV44">
        <f>IF(P44=0,0,COUNTIF(Transect1_imgsummary!E44:I44,"TURBIN")*100/P44)</f>
        <v>0</v>
      </c>
      <c r="BX44">
        <f>IF(P44=0,0,COUNTIF(Transect1_imgsummary!E44:I44,"ANEM")*100/P44)</f>
        <v>0</v>
      </c>
      <c r="BY44">
        <f>IF(P44=0,0,COUNTIF(Transect1_imgsummary!E44:I44,"ASC")*100/P44)</f>
        <v>0</v>
      </c>
      <c r="BZ44">
        <f>IF(P44=0,0,COUNTIF(Transect1_imgsummary!E44:I44,"CUPS")*100/P44)</f>
        <v>0</v>
      </c>
      <c r="CA44">
        <f>IF(P44=0,0,COUNTIF(Transect1_imgsummary!E44:I44,"DISCO")*100/P44)</f>
        <v>0</v>
      </c>
      <c r="CB44">
        <f>IF(P44=0,0,COUNTIF(Transect1_imgsummary!E44:I44,"DYS")*100/P44)</f>
        <v>0</v>
      </c>
      <c r="CC44">
        <f>IF(P44=0,0,COUNTIF(Transect1_imgsummary!E44:I44,"G")*100/P44)</f>
        <v>0</v>
      </c>
      <c r="CD44">
        <f>IF(P44=0,0,COUNTIF(Transect1_imgsummary!E44:I44,"NoIDINV")*100/P44)</f>
        <v>0</v>
      </c>
      <c r="CE44">
        <f>IF(P44=0,0,COUNTIF(Transect1_imgsummary!E44:I44,"OLV")*100/P44)</f>
        <v>0</v>
      </c>
      <c r="CF44">
        <f>IF(P44=0,0,COUNTIF(Transect1_imgsummary!E44:I44,"SC")*100/P44)</f>
        <v>0</v>
      </c>
      <c r="CG44">
        <f>IF(P44=0,0,COUNTIF(Transect1_imgsummary!E44:I44,"S")*100/P44)</f>
        <v>0</v>
      </c>
      <c r="CH44">
        <f>IF(P44=0,0,COUNTIF(Transect1_imgsummary!E44:I44,"TERPS")*100/P44)</f>
        <v>0</v>
      </c>
      <c r="CI44">
        <f>IF(P44=0,0,COUNTIF(Transect1_imgsummary!E44:I44,"Z")*100/P44)</f>
        <v>0</v>
      </c>
      <c r="CK44">
        <f>IF(P44=0,0,COUNTIF(Transect1_imgsummary!E44:I44,"ASP")*100/P44)</f>
        <v>0</v>
      </c>
      <c r="CL44">
        <f>IF(P44=0,0,COUNTIF(Transect1_imgsummary!E44:I44,"BG")*100/P44)</f>
        <v>0</v>
      </c>
      <c r="CM44">
        <f>IF(P44=0,0,COUNTIF(Transect1_imgsummary!E44:I44,"Bood")*100/P44)</f>
        <v>0</v>
      </c>
      <c r="CN44">
        <f>IF(P44=0,0,COUNTIF(Transect1_imgsummary!E44:I44,"BRYP")*100/P44)</f>
        <v>0</v>
      </c>
      <c r="CO44">
        <f>IF(P44=0,0,COUNTIF(Transect1_imgsummary!E44:I44,"CLP")*100/P44)</f>
        <v>0</v>
      </c>
      <c r="CP44">
        <f>IF(P44=0,0,COUNTIF(Transect1_imgsummary!E44:I44,"CHLDES")*100/P44)</f>
        <v>0</v>
      </c>
      <c r="CQ44">
        <f>IF(P44=0,0,COUNTIF(Transect1_imgsummary!E44:I44,"DYCTY")*100/P44)</f>
        <v>0</v>
      </c>
      <c r="CR44">
        <f>IF(P44=0,0,COUNTIF(Transect1_imgsummary!E44:I44,"DICT")*100/P44)</f>
        <v>0</v>
      </c>
      <c r="CS44">
        <f>IF(P44=0,0,COUNTIF(Transect1_imgsummary!E44:I44,"GLXU")*100/P44)</f>
        <v>0</v>
      </c>
      <c r="CT44">
        <f>IF(P44=0,0,COUNTIF(Transect1_imgsummary!E44:I44,"HALI")*100/P44)</f>
        <v>0</v>
      </c>
      <c r="CU44">
        <f>IF(P44=0,0,COUNTIF(Transect1_imgsummary!E44:I44,"LIAG")*100/P44)</f>
        <v>0</v>
      </c>
      <c r="CV44">
        <f>IF(P44=0,0,COUNTIF(Transect1_imgsummary!E44:I44,"LOBO")*100/P44)</f>
        <v>0</v>
      </c>
      <c r="CW44">
        <f>IF(P44=0,0,COUNTIF(Transect1_imgsummary!E44:I44,"MAST")*100/P44)</f>
        <v>0</v>
      </c>
      <c r="CX44">
        <f>IF(P44=0,0,COUNTIF(Transect1_imgsummary!E44:I44,"MICDTY")*100/P44)</f>
        <v>0</v>
      </c>
      <c r="CY44">
        <f>IF(P44=0,0,COUNTIF(Transect1_imgsummary!E44:I44,"NEOM")*100/P44)</f>
        <v>0</v>
      </c>
      <c r="CZ44">
        <f>IF(P44=0,0,COUNTIF(Transect1_imgsummary!E44:I44,"NOIDMAC")*100/P44)</f>
        <v>0</v>
      </c>
      <c r="DA44">
        <f>IF(P44=0,0,COUNTIF(Transect1_imgsummary!E44:I44,"PAD")*100/P44)</f>
        <v>0</v>
      </c>
      <c r="DB44">
        <f>IF(P44=0,0,COUNTIF(Transect1_imgsummary!E44:I44,"SARG")*100/P44)</f>
        <v>0</v>
      </c>
      <c r="DC44">
        <f>IF(P44=0,0,COUNTIF(Transect1_imgsummary!E44:I44,"SCHIZ")*100/P44)</f>
        <v>0</v>
      </c>
      <c r="DD44">
        <f>IF(P44=0,0,COUNTIF(Transect1_imgsummary!E44:I44,"TURB")*100/P44)</f>
        <v>0</v>
      </c>
      <c r="DE44">
        <f>IF(P44=0,0,COUNTIF(Transect1_imgsummary!E44:I44,"TYDM")*100/P44)</f>
        <v>0</v>
      </c>
      <c r="DG44">
        <f>IF(P44=0,0,COUNTIF(Transect1_imgsummary!E44:I44,"AMP")*100/P44)</f>
        <v>0</v>
      </c>
      <c r="DH44">
        <f>IF(P44=0,0,COUNTIF(Transect1_imgsummary!E44:I44,"BCA1")*100/P44)</f>
        <v>0</v>
      </c>
      <c r="DI44">
        <f>IF(P44=0,0,COUNTIF(Transect1_imgsummary!E44:I44,"JAN")*100/P44)</f>
        <v>0</v>
      </c>
      <c r="DK44">
        <f>IF(P44=0,0,COUNTIF(Transect1_imgsummary!E44:I44,"CCA1")*100/P44)</f>
        <v>0</v>
      </c>
      <c r="DM44">
        <f>IF(P44=0,0,COUNTIF(Transect1_imgsummary!E44:I44,"Sand")*100/P44)</f>
        <v>0</v>
      </c>
      <c r="DO44">
        <f>IF(P44=0,0,COUNTIF(Transect1_imgsummary!E44:I44,"FCA1")*100/P44)</f>
        <v>0</v>
      </c>
      <c r="DQ44">
        <f>IF(P44=0,0,COUNTIF(Transect1_imgsummary!E44:I44,"CHRYOBRN")*100/P44)</f>
        <v>0</v>
      </c>
      <c r="DS44">
        <f>IF(P44=0,0,COUNTIF(Transect1_imgsummary!E44:I44,"TURF")*100/P44)</f>
        <v>0</v>
      </c>
      <c r="DU44">
        <f>COUNTIF(Transect1_imgsummary!E44:I44,"Shadow")*100/5</f>
        <v>0</v>
      </c>
      <c r="DV44">
        <f>COUNTIF(Transect1_imgsummary!E44:I44,"Tape")*100/5</f>
        <v>0</v>
      </c>
      <c r="DW44">
        <f>COUNTIF(Transect1_imgsummary!E44:I44,"Wand")*100/5</f>
        <v>0</v>
      </c>
      <c r="DY44">
        <f>IF(P44=0,0,COUNTIF(Transect1_imgsummary!O44:S44,"BC")*100/P44)</f>
        <v>0</v>
      </c>
    </row>
    <row r="45" spans="1:129">
      <c r="A45">
        <v>43</v>
      </c>
      <c r="B45" t="s">
        <v>87</v>
      </c>
      <c r="F45" s="29">
        <f>IF(P45=0,0,COUNTIF(Transect1_imgsummary!J45:N45,"C")*100/P45)</f>
        <v>40</v>
      </c>
      <c r="G45">
        <f>IF(P45=0,0,COUNTIF(Transect1_imgsummary!J45:N45,"OI")*100/P45)</f>
        <v>0</v>
      </c>
      <c r="H45">
        <f>IF(P45=0,0,COUNTIF(Transect1_imgsummary!J45:N45,"MA")*100/P45)</f>
        <v>0</v>
      </c>
      <c r="I45">
        <f>IF(P45=0,0,COUNTIF(Transect1_imgsummary!J45:N45,"BCA")*100/P45)</f>
        <v>0</v>
      </c>
      <c r="J45" s="29">
        <f>IF(P45=0,0,COUNTIF(Transect1_imgsummary!J45:N45,"CCA")*100/P45)</f>
        <v>20</v>
      </c>
      <c r="K45">
        <f>IF(P45=0,0,COUNTIF(Transect1_imgsummary!J45:N45,"SD")*100/P45)</f>
        <v>0</v>
      </c>
      <c r="L45">
        <f>IF(P45=0,0,COUNTIF(Transect1_imgsummary!J45:N45,"FCA")*100/P45)</f>
        <v>0</v>
      </c>
      <c r="M45">
        <f>IF(P45=0,0,COUNTIF(Transect1_imgsummary!J45:N45,"CHRYS")*100/P45)</f>
        <v>0</v>
      </c>
      <c r="N45" s="29">
        <f>IF(P45=0,0,COUNTIF(Transect1_imgsummary!J45:N45,"T")*100/P45)</f>
        <v>40</v>
      </c>
      <c r="O45">
        <f>IF(P45=0,0,COUNTIF(Transect1_imgsummary!J45:N45,"TWS")*100/P45)</f>
        <v>0</v>
      </c>
      <c r="P45">
        <f>5-COUNTIF(Transect1_imgsummary!J45:N45,"TWS")</f>
        <v>5</v>
      </c>
      <c r="S45">
        <f>IF(P45=0,0,COUNTIF(Transect1_imgsummary!E45:I45,"ACAN")*100/P45)</f>
        <v>0</v>
      </c>
      <c r="T45">
        <f>IF(P45=0,0,COUNTIF(Transect1_imgsummary!E45:I45,"ACROP")*100/P45)</f>
        <v>0</v>
      </c>
      <c r="U45">
        <f>IF(P45=0,0,COUNTIF(Transect1_imgsummary!E45:I45,"ACROPARB")*100/P45)</f>
        <v>0</v>
      </c>
      <c r="V45">
        <f>IF(P45=0,0,COUNTIF(Transect1_imgsummary!E45:I45,"ACROST")*100/P45)</f>
        <v>0</v>
      </c>
      <c r="W45" s="29">
        <f>IF(P45=0,0,COUNTIF(Transect1_imgsummary!E45:I45,"ACROTBL")*100/P45)</f>
        <v>40</v>
      </c>
      <c r="X45">
        <f>IF(P45=0,0,COUNTIF(Transect1_imgsummary!E45:I45,"ASTRP")*100/P45)</f>
        <v>0</v>
      </c>
      <c r="Y45">
        <f>IF(P45=0,0,COUNTIF(Transect1_imgsummary!E45:I45,"CAUL")*100/P45)</f>
        <v>0</v>
      </c>
      <c r="Z45">
        <f>IF(P45=0,0,COUNTIF(Transect1_imgsummary!E45:I45,"COSC")*100/P45)</f>
        <v>0</v>
      </c>
      <c r="AA45">
        <f>IF(P45=0,0,COUNTIF(Transect1_imgsummary!E45:I45,"CTEN")*100/P45)</f>
        <v>0</v>
      </c>
      <c r="AB45">
        <f>IF(P45=0,0,COUNTIF(Transect1_imgsummary!E45:I45,"CYPH")*100/P45)</f>
        <v>0</v>
      </c>
      <c r="AC45">
        <f>IF(P45=0,0,COUNTIF(Transect1_imgsummary!E45:I45,"DIPLO")*100/P45)</f>
        <v>0</v>
      </c>
      <c r="AD45">
        <f>IF(P45=0,0,COUNTIF(Transect1_imgsummary!E45:I45,"ECHPO")*100/P45)</f>
        <v>0</v>
      </c>
      <c r="AE45">
        <f>IF(P45=0,0,COUNTIF(Transect1_imgsummary!E45:I45,"ECHPHY")*100/P45)</f>
        <v>0</v>
      </c>
      <c r="AF45">
        <f>IF(P45=0,0,COUNTIF(Transect1_imgsummary!E45:I45,"EUPH")*100/P45)</f>
        <v>0</v>
      </c>
      <c r="AG45">
        <f>IF(P45=0,0,COUNTIF(Transect1_imgsummary!E45:I45,"FAV")*100/P45)</f>
        <v>0</v>
      </c>
      <c r="AH45">
        <f>IF(P45=0,0,COUNTIF(Transect1_imgsummary!E45:I45,"FAVT")*100/P45)</f>
        <v>0</v>
      </c>
      <c r="AI45">
        <f>IF(P45=0,0,COUNTIF(Transect1_imgsummary!E45:I45,"FUNG")*100/P45)</f>
        <v>0</v>
      </c>
      <c r="AJ45">
        <f>IF(P45=0,0,COUNTIF(Transect1_imgsummary!E45:I45,"GAL")*100/P45)</f>
        <v>0</v>
      </c>
      <c r="AK45">
        <f>IF(P45=0,0,COUNTIF(Transect1_imgsummary!E45:I45,"GARD")*100/P45)</f>
        <v>0</v>
      </c>
      <c r="AL45">
        <f>IF(P45=0,0,COUNTIF(Transect1_imgsummary!E45:I45,"GON")*100/P45)</f>
        <v>0</v>
      </c>
      <c r="AM45">
        <f>IF(P45=0,0,COUNTIF(Transect1_imgsummary!E45:I45,"GONIO")*100/P45)</f>
        <v>0</v>
      </c>
      <c r="AN45">
        <f>IF(P45=0,0,COUNTIF(Transect1_imgsummary!E45:I45,"HELIO")*100/P45)</f>
        <v>0</v>
      </c>
      <c r="AO45">
        <f>IF(P45=0,0,COUNTIF(Transect1_imgsummary!E45:I45,"HERP")*100/P45)</f>
        <v>0</v>
      </c>
      <c r="AP45">
        <f>IF(P45=0,0,COUNTIF(Transect1_imgsummary!E45:I45,"HYD")*100/P45)</f>
        <v>0</v>
      </c>
      <c r="AQ45">
        <f>IF(P45=0,0,COUNTIF(Transect1_imgsummary!E45:I45,"ISOP")*100/P45)</f>
        <v>0</v>
      </c>
      <c r="AR45">
        <f>IF(P45=0,0,COUNTIF(Transect1_imgsummary!E45:I45,"LEPT")*100/P45)</f>
        <v>0</v>
      </c>
      <c r="AS45">
        <f>IF(P45=0,0,COUNTIF(Transect1_imgsummary!E45:I45,"LEPTOR")*100/P45)</f>
        <v>0</v>
      </c>
      <c r="AT45">
        <f>IF(P45=0,0,COUNTIF(Transect1_imgsummary!E45:I45,"LEPTOS")*100/P45)</f>
        <v>0</v>
      </c>
      <c r="AU45">
        <f>IF(P45=0,0,COUNTIF(Transect1_imgsummary!E45:I45,"LOBOPH")*100/P45)</f>
        <v>0</v>
      </c>
      <c r="AV45">
        <f>IF(P45=0,0,COUNTIF(Transect1_imgsummary!E45:I45,"MERU")*100/P45)</f>
        <v>0</v>
      </c>
      <c r="AW45">
        <f>IF(P45=0,0,COUNTIF(Transect1_imgsummary!E45:I45,"MILL")*100/P45)</f>
        <v>0</v>
      </c>
      <c r="AX45">
        <f>IF(P45=0,0,COUNTIF(Transect1_imgsummary!E45:I45,"MONT")*100/P45)</f>
        <v>0</v>
      </c>
      <c r="AY45">
        <f>IF(P45=0,0,COUNTIF(Transect1_imgsummary!E45:I45,"MONTI")*100/P45)</f>
        <v>0</v>
      </c>
      <c r="AZ45">
        <f>IF(P45=0,0,COUNTIF(Transect1_imgsummary!E45:I45,"MYCED")*100/P45)</f>
        <v>0</v>
      </c>
      <c r="BA45">
        <f>IF(P45=0,0,COUNTIF(Transect1_imgsummary!E45:I45,"OULO")*100/P45)</f>
        <v>0</v>
      </c>
      <c r="BB45">
        <f>IF(P45=0,0,COUNTIF(Transect1_imgsummary!E45:I45,"OXYP")*100/P45)</f>
        <v>0</v>
      </c>
      <c r="BC45">
        <f>IF(P45=0,0,COUNTIF(Transect1_imgsummary!E45:I45,"PLSIA")*100/P45)</f>
        <v>0</v>
      </c>
      <c r="BD45">
        <f>IF(P45=0,0,COUNTIF(Transect1_imgsummary!E45:I45,"PACHY")*100/P45)</f>
        <v>0</v>
      </c>
      <c r="BE45">
        <f>IF(P45=0,0,COUNTIF(Transect1_imgsummary!E45:I45,"PAV")*100/P45)</f>
        <v>0</v>
      </c>
      <c r="BF45">
        <f>IF(P45=0,0,COUNTIF(Transect1_imgsummary!E45:I45,"PECT")*100/P45)</f>
        <v>0</v>
      </c>
      <c r="BG45">
        <f>IF(P45=0,0,COUNTIF(Transect1_imgsummary!E45:I45,"PHYSO")*100/P45)</f>
        <v>0</v>
      </c>
      <c r="BH45">
        <f>IF(P45=0,0,COUNTIF(Transect1_imgsummary!E45:I45,"PLAT")*100/P45)</f>
        <v>0</v>
      </c>
      <c r="BI45">
        <f>IF(P45=0,0,COUNTIF(Transect1_imgsummary!E45:I45,"PLERO")*100/P45)</f>
        <v>0</v>
      </c>
      <c r="BJ45">
        <f>IF(P45=0,0,COUNTIF(Transect1_imgsummary!E45:I45,"POC")*100/P45)</f>
        <v>0</v>
      </c>
      <c r="BK45">
        <f>IF(P45=0,0,COUNTIF(Transect1_imgsummary!E45:I45,"POR")*100/P45)</f>
        <v>0</v>
      </c>
      <c r="BL45">
        <f>IF(P45=0,0,COUNTIF(Transect1_imgsummary!E45:I45,"PORCYL")*100/P45)</f>
        <v>0</v>
      </c>
      <c r="BM45">
        <f>IF(P45=0,0,COUNTIF(Transect1_imgsummary!E45:I45,"PORMAS")*100/P45)</f>
        <v>0</v>
      </c>
      <c r="BN45">
        <f>IF(P45=0,0,COUNTIF(Transect1_imgsummary!E45:I45,"PORRUS")*100/P45)</f>
        <v>0</v>
      </c>
      <c r="BO45">
        <f>IF(P45=0,0,COUNTIF(Transect1_imgsummary!E45:I45,"PSAM")*100/P45)</f>
        <v>0</v>
      </c>
      <c r="BP45">
        <f>IF(P45=0,0,COUNTIF(Transect1_imgsummary!E45:I45,"SANDO")*100/P45)</f>
        <v>0</v>
      </c>
      <c r="BQ45">
        <f>IF(P45=0,0,COUNTIF(Transect1_imgsummary!E45:I45,"SCAP")*100/P45)</f>
        <v>0</v>
      </c>
      <c r="BR45">
        <f>IF(P45=0,0,COUNTIF(Transect1_imgsummary!E45:I45,"SERIA")*100/P45)</f>
        <v>0</v>
      </c>
      <c r="BS45">
        <f>IF(P45=0,0,COUNTIF(Transect1_imgsummary!E45:I45,"STYLC")*100/P45)</f>
        <v>0</v>
      </c>
      <c r="BT45">
        <f>IF(P45=0,0,COUNTIF(Transect1_imgsummary!E45:I45,"STYLO")*100/P45)</f>
        <v>0</v>
      </c>
      <c r="BU45">
        <f>IF(P45=0,0,COUNTIF(Transect1_imgsummary!E45:I45,"SYMP")*100/P45)</f>
        <v>0</v>
      </c>
      <c r="BV45">
        <f>IF(P45=0,0,COUNTIF(Transect1_imgsummary!E45:I45,"TURBIN")*100/P45)</f>
        <v>0</v>
      </c>
      <c r="BX45">
        <f>IF(P45=0,0,COUNTIF(Transect1_imgsummary!E45:I45,"ANEM")*100/P45)</f>
        <v>0</v>
      </c>
      <c r="BY45">
        <f>IF(P45=0,0,COUNTIF(Transect1_imgsummary!E45:I45,"ASC")*100/P45)</f>
        <v>0</v>
      </c>
      <c r="BZ45">
        <f>IF(P45=0,0,COUNTIF(Transect1_imgsummary!E45:I45,"CUPS")*100/P45)</f>
        <v>0</v>
      </c>
      <c r="CA45">
        <f>IF(P45=0,0,COUNTIF(Transect1_imgsummary!E45:I45,"DISCO")*100/P45)</f>
        <v>0</v>
      </c>
      <c r="CB45">
        <f>IF(P45=0,0,COUNTIF(Transect1_imgsummary!E45:I45,"DYS")*100/P45)</f>
        <v>0</v>
      </c>
      <c r="CC45">
        <f>IF(P45=0,0,COUNTIF(Transect1_imgsummary!E45:I45,"G")*100/P45)</f>
        <v>0</v>
      </c>
      <c r="CD45">
        <f>IF(P45=0,0,COUNTIF(Transect1_imgsummary!E45:I45,"NoIDINV")*100/P45)</f>
        <v>0</v>
      </c>
      <c r="CE45">
        <f>IF(P45=0,0,COUNTIF(Transect1_imgsummary!E45:I45,"OLV")*100/P45)</f>
        <v>0</v>
      </c>
      <c r="CF45">
        <f>IF(P45=0,0,COUNTIF(Transect1_imgsummary!E45:I45,"SC")*100/P45)</f>
        <v>0</v>
      </c>
      <c r="CG45">
        <f>IF(P45=0,0,COUNTIF(Transect1_imgsummary!E45:I45,"S")*100/P45)</f>
        <v>0</v>
      </c>
      <c r="CH45">
        <f>IF(P45=0,0,COUNTIF(Transect1_imgsummary!E45:I45,"TERPS")*100/P45)</f>
        <v>0</v>
      </c>
      <c r="CI45">
        <f>IF(P45=0,0,COUNTIF(Transect1_imgsummary!E45:I45,"Z")*100/P45)</f>
        <v>0</v>
      </c>
      <c r="CK45">
        <f>IF(P45=0,0,COUNTIF(Transect1_imgsummary!E45:I45,"ASP")*100/P45)</f>
        <v>0</v>
      </c>
      <c r="CL45">
        <f>IF(P45=0,0,COUNTIF(Transect1_imgsummary!E45:I45,"BG")*100/P45)</f>
        <v>0</v>
      </c>
      <c r="CM45">
        <f>IF(P45=0,0,COUNTIF(Transect1_imgsummary!E45:I45,"Bood")*100/P45)</f>
        <v>0</v>
      </c>
      <c r="CN45">
        <f>IF(P45=0,0,COUNTIF(Transect1_imgsummary!E45:I45,"BRYP")*100/P45)</f>
        <v>0</v>
      </c>
      <c r="CO45">
        <f>IF(P45=0,0,COUNTIF(Transect1_imgsummary!E45:I45,"CLP")*100/P45)</f>
        <v>0</v>
      </c>
      <c r="CP45">
        <f>IF(P45=0,0,COUNTIF(Transect1_imgsummary!E45:I45,"CHLDES")*100/P45)</f>
        <v>0</v>
      </c>
      <c r="CQ45">
        <f>IF(P45=0,0,COUNTIF(Transect1_imgsummary!E45:I45,"DYCTY")*100/P45)</f>
        <v>0</v>
      </c>
      <c r="CR45">
        <f>IF(P45=0,0,COUNTIF(Transect1_imgsummary!E45:I45,"DICT")*100/P45)</f>
        <v>0</v>
      </c>
      <c r="CS45">
        <f>IF(P45=0,0,COUNTIF(Transect1_imgsummary!E45:I45,"GLXU")*100/P45)</f>
        <v>0</v>
      </c>
      <c r="CT45">
        <f>IF(P45=0,0,COUNTIF(Transect1_imgsummary!E45:I45,"HALI")*100/P45)</f>
        <v>0</v>
      </c>
      <c r="CU45">
        <f>IF(P45=0,0,COUNTIF(Transect1_imgsummary!E45:I45,"LIAG")*100/P45)</f>
        <v>0</v>
      </c>
      <c r="CV45">
        <f>IF(P45=0,0,COUNTIF(Transect1_imgsummary!E45:I45,"LOBO")*100/P45)</f>
        <v>0</v>
      </c>
      <c r="CW45">
        <f>IF(P45=0,0,COUNTIF(Transect1_imgsummary!E45:I45,"MAST")*100/P45)</f>
        <v>0</v>
      </c>
      <c r="CX45">
        <f>IF(P45=0,0,COUNTIF(Transect1_imgsummary!E45:I45,"MICDTY")*100/P45)</f>
        <v>0</v>
      </c>
      <c r="CY45">
        <f>IF(P45=0,0,COUNTIF(Transect1_imgsummary!E45:I45,"NEOM")*100/P45)</f>
        <v>0</v>
      </c>
      <c r="CZ45">
        <f>IF(P45=0,0,COUNTIF(Transect1_imgsummary!E45:I45,"NOIDMAC")*100/P45)</f>
        <v>0</v>
      </c>
      <c r="DA45">
        <f>IF(P45=0,0,COUNTIF(Transect1_imgsummary!E45:I45,"PAD")*100/P45)</f>
        <v>0</v>
      </c>
      <c r="DB45">
        <f>IF(P45=0,0,COUNTIF(Transect1_imgsummary!E45:I45,"SARG")*100/P45)</f>
        <v>0</v>
      </c>
      <c r="DC45">
        <f>IF(P45=0,0,COUNTIF(Transect1_imgsummary!E45:I45,"SCHIZ")*100/P45)</f>
        <v>0</v>
      </c>
      <c r="DD45">
        <f>IF(P45=0,0,COUNTIF(Transect1_imgsummary!E45:I45,"TURB")*100/P45)</f>
        <v>0</v>
      </c>
      <c r="DE45">
        <f>IF(P45=0,0,COUNTIF(Transect1_imgsummary!E45:I45,"TYDM")*100/P45)</f>
        <v>0</v>
      </c>
      <c r="DG45">
        <f>IF(P45=0,0,COUNTIF(Transect1_imgsummary!E45:I45,"AMP")*100/P45)</f>
        <v>0</v>
      </c>
      <c r="DH45">
        <f>IF(P45=0,0,COUNTIF(Transect1_imgsummary!E45:I45,"BCA1")*100/P45)</f>
        <v>0</v>
      </c>
      <c r="DI45">
        <f>IF(P45=0,0,COUNTIF(Transect1_imgsummary!E45:I45,"JAN")*100/P45)</f>
        <v>0</v>
      </c>
      <c r="DK45" s="29">
        <f>IF(P45=0,0,COUNTIF(Transect1_imgsummary!E45:I45,"CCA1")*100/P45)</f>
        <v>20</v>
      </c>
      <c r="DM45">
        <f>IF(P45=0,0,COUNTIF(Transect1_imgsummary!E45:I45,"Sand")*100/P45)</f>
        <v>0</v>
      </c>
      <c r="DO45">
        <f>IF(P45=0,0,COUNTIF(Transect1_imgsummary!E45:I45,"FCA1")*100/P45)</f>
        <v>0</v>
      </c>
      <c r="DQ45">
        <f>IF(P45=0,0,COUNTIF(Transect1_imgsummary!E45:I45,"CHRYOBRN")*100/P45)</f>
        <v>0</v>
      </c>
      <c r="DS45" s="29">
        <f>IF(P45=0,0,COUNTIF(Transect1_imgsummary!E45:I45,"TURF")*100/P45)</f>
        <v>40</v>
      </c>
      <c r="DU45">
        <f>COUNTIF(Transect1_imgsummary!E45:I45,"Shadow")*100/5</f>
        <v>0</v>
      </c>
      <c r="DV45">
        <f>COUNTIF(Transect1_imgsummary!E45:I45,"Tape")*100/5</f>
        <v>0</v>
      </c>
      <c r="DW45">
        <f>COUNTIF(Transect1_imgsummary!E45:I45,"Wand")*100/5</f>
        <v>0</v>
      </c>
      <c r="DY45">
        <f>IF(P45=0,0,COUNTIF(Transect1_imgsummary!O45:S45,"BC")*100/P45)</f>
        <v>0</v>
      </c>
    </row>
    <row r="46" spans="1:129">
      <c r="A46">
        <v>44</v>
      </c>
      <c r="B46" t="s">
        <v>88</v>
      </c>
      <c r="F46" s="29">
        <f>IF(P46=0,0,COUNTIF(Transect1_imgsummary!J46:N46,"C")*100/P46)</f>
        <v>20</v>
      </c>
      <c r="G46">
        <f>IF(P46=0,0,COUNTIF(Transect1_imgsummary!J46:N46,"OI")*100/P46)</f>
        <v>0</v>
      </c>
      <c r="H46">
        <f>IF(P46=0,0,COUNTIF(Transect1_imgsummary!J46:N46,"MA")*100/P46)</f>
        <v>0</v>
      </c>
      <c r="I46">
        <f>IF(P46=0,0,COUNTIF(Transect1_imgsummary!J46:N46,"BCA")*100/P46)</f>
        <v>0</v>
      </c>
      <c r="J46" s="29">
        <f>IF(P46=0,0,COUNTIF(Transect1_imgsummary!J46:N46,"CCA")*100/P46)</f>
        <v>40</v>
      </c>
      <c r="K46">
        <f>IF(P46=0,0,COUNTIF(Transect1_imgsummary!J46:N46,"SD")*100/P46)</f>
        <v>0</v>
      </c>
      <c r="L46" s="29">
        <f>IF(P46=0,0,COUNTIF(Transect1_imgsummary!J46:N46,"FCA")*100/P46)</f>
        <v>20</v>
      </c>
      <c r="M46">
        <f>IF(P46=0,0,COUNTIF(Transect1_imgsummary!J46:N46,"CHRYS")*100/P46)</f>
        <v>0</v>
      </c>
      <c r="N46" s="29">
        <f>IF(P46=0,0,COUNTIF(Transect1_imgsummary!J46:N46,"T")*100/P46)</f>
        <v>20</v>
      </c>
      <c r="O46">
        <f>IF(P46=0,0,COUNTIF(Transect1_imgsummary!J46:N46,"TWS")*100/P46)</f>
        <v>0</v>
      </c>
      <c r="P46">
        <f>5-COUNTIF(Transect1_imgsummary!J46:N46,"TWS")</f>
        <v>5</v>
      </c>
      <c r="S46">
        <f>IF(P46=0,0,COUNTIF(Transect1_imgsummary!E46:I46,"ACAN")*100/P46)</f>
        <v>0</v>
      </c>
      <c r="T46" s="29">
        <f>IF(P46=0,0,COUNTIF(Transect1_imgsummary!E46:I46,"ACROP")*100/P46)</f>
        <v>20</v>
      </c>
      <c r="U46">
        <f>IF(P46=0,0,COUNTIF(Transect1_imgsummary!E46:I46,"ACROPARB")*100/P46)</f>
        <v>0</v>
      </c>
      <c r="V46">
        <f>IF(P46=0,0,COUNTIF(Transect1_imgsummary!E46:I46,"ACROST")*100/P46)</f>
        <v>0</v>
      </c>
      <c r="W46">
        <f>IF(P46=0,0,COUNTIF(Transect1_imgsummary!E46:I46,"ACROTBL")*100/P46)</f>
        <v>0</v>
      </c>
      <c r="X46">
        <f>IF(P46=0,0,COUNTIF(Transect1_imgsummary!E46:I46,"ASTRP")*100/P46)</f>
        <v>0</v>
      </c>
      <c r="Y46">
        <f>IF(P46=0,0,COUNTIF(Transect1_imgsummary!E46:I46,"CAUL")*100/P46)</f>
        <v>0</v>
      </c>
      <c r="Z46">
        <f>IF(P46=0,0,COUNTIF(Transect1_imgsummary!E46:I46,"COSC")*100/P46)</f>
        <v>0</v>
      </c>
      <c r="AA46">
        <f>IF(P46=0,0,COUNTIF(Transect1_imgsummary!E46:I46,"CTEN")*100/P46)</f>
        <v>0</v>
      </c>
      <c r="AB46">
        <f>IF(P46=0,0,COUNTIF(Transect1_imgsummary!E46:I46,"CYPH")*100/P46)</f>
        <v>0</v>
      </c>
      <c r="AC46">
        <f>IF(P46=0,0,COUNTIF(Transect1_imgsummary!E46:I46,"DIPLO")*100/P46)</f>
        <v>0</v>
      </c>
      <c r="AD46">
        <f>IF(P46=0,0,COUNTIF(Transect1_imgsummary!E46:I46,"ECHPO")*100/P46)</f>
        <v>0</v>
      </c>
      <c r="AE46">
        <f>IF(P46=0,0,COUNTIF(Transect1_imgsummary!E46:I46,"ECHPHY")*100/P46)</f>
        <v>0</v>
      </c>
      <c r="AF46">
        <f>IF(P46=0,0,COUNTIF(Transect1_imgsummary!E46:I46,"EUPH")*100/P46)</f>
        <v>0</v>
      </c>
      <c r="AG46">
        <f>IF(P46=0,0,COUNTIF(Transect1_imgsummary!E46:I46,"FAV")*100/P46)</f>
        <v>0</v>
      </c>
      <c r="AH46">
        <f>IF(P46=0,0,COUNTIF(Transect1_imgsummary!E46:I46,"FAVT")*100/P46)</f>
        <v>0</v>
      </c>
      <c r="AI46">
        <f>IF(P46=0,0,COUNTIF(Transect1_imgsummary!E46:I46,"FUNG")*100/P46)</f>
        <v>0</v>
      </c>
      <c r="AJ46">
        <f>IF(P46=0,0,COUNTIF(Transect1_imgsummary!E46:I46,"GAL")*100/P46)</f>
        <v>0</v>
      </c>
      <c r="AK46">
        <f>IF(P46=0,0,COUNTIF(Transect1_imgsummary!E46:I46,"GARD")*100/P46)</f>
        <v>0</v>
      </c>
      <c r="AL46">
        <f>IF(P46=0,0,COUNTIF(Transect1_imgsummary!E46:I46,"GON")*100/P46)</f>
        <v>0</v>
      </c>
      <c r="AM46">
        <f>IF(P46=0,0,COUNTIF(Transect1_imgsummary!E46:I46,"GONIO")*100/P46)</f>
        <v>0</v>
      </c>
      <c r="AN46">
        <f>IF(P46=0,0,COUNTIF(Transect1_imgsummary!E46:I46,"HELIO")*100/P46)</f>
        <v>0</v>
      </c>
      <c r="AO46">
        <f>IF(P46=0,0,COUNTIF(Transect1_imgsummary!E46:I46,"HERP")*100/P46)</f>
        <v>0</v>
      </c>
      <c r="AP46">
        <f>IF(P46=0,0,COUNTIF(Transect1_imgsummary!E46:I46,"HYD")*100/P46)</f>
        <v>0</v>
      </c>
      <c r="AQ46">
        <f>IF(P46=0,0,COUNTIF(Transect1_imgsummary!E46:I46,"ISOP")*100/P46)</f>
        <v>0</v>
      </c>
      <c r="AR46">
        <f>IF(P46=0,0,COUNTIF(Transect1_imgsummary!E46:I46,"LEPT")*100/P46)</f>
        <v>0</v>
      </c>
      <c r="AS46">
        <f>IF(P46=0,0,COUNTIF(Transect1_imgsummary!E46:I46,"LEPTOR")*100/P46)</f>
        <v>0</v>
      </c>
      <c r="AT46">
        <f>IF(P46=0,0,COUNTIF(Transect1_imgsummary!E46:I46,"LEPTOS")*100/P46)</f>
        <v>0</v>
      </c>
      <c r="AU46">
        <f>IF(P46=0,0,COUNTIF(Transect1_imgsummary!E46:I46,"LOBOPH")*100/P46)</f>
        <v>0</v>
      </c>
      <c r="AV46">
        <f>IF(P46=0,0,COUNTIF(Transect1_imgsummary!E46:I46,"MERU")*100/P46)</f>
        <v>0</v>
      </c>
      <c r="AW46">
        <f>IF(P46=0,0,COUNTIF(Transect1_imgsummary!E46:I46,"MILL")*100/P46)</f>
        <v>0</v>
      </c>
      <c r="AX46">
        <f>IF(P46=0,0,COUNTIF(Transect1_imgsummary!E46:I46,"MONT")*100/P46)</f>
        <v>0</v>
      </c>
      <c r="AY46">
        <f>IF(P46=0,0,COUNTIF(Transect1_imgsummary!E46:I46,"MONTI")*100/P46)</f>
        <v>0</v>
      </c>
      <c r="AZ46">
        <f>IF(P46=0,0,COUNTIF(Transect1_imgsummary!E46:I46,"MYCED")*100/P46)</f>
        <v>0</v>
      </c>
      <c r="BA46">
        <f>IF(P46=0,0,COUNTIF(Transect1_imgsummary!E46:I46,"OULO")*100/P46)</f>
        <v>0</v>
      </c>
      <c r="BB46">
        <f>IF(P46=0,0,COUNTIF(Transect1_imgsummary!E46:I46,"OXYP")*100/P46)</f>
        <v>0</v>
      </c>
      <c r="BC46">
        <f>IF(P46=0,0,COUNTIF(Transect1_imgsummary!E46:I46,"PLSIA")*100/P46)</f>
        <v>0</v>
      </c>
      <c r="BD46">
        <f>IF(P46=0,0,COUNTIF(Transect1_imgsummary!E46:I46,"PACHY")*100/P46)</f>
        <v>0</v>
      </c>
      <c r="BE46">
        <f>IF(P46=0,0,COUNTIF(Transect1_imgsummary!E46:I46,"PAV")*100/P46)</f>
        <v>0</v>
      </c>
      <c r="BF46">
        <f>IF(P46=0,0,COUNTIF(Transect1_imgsummary!E46:I46,"PECT")*100/P46)</f>
        <v>0</v>
      </c>
      <c r="BG46">
        <f>IF(P46=0,0,COUNTIF(Transect1_imgsummary!E46:I46,"PHYSO")*100/P46)</f>
        <v>0</v>
      </c>
      <c r="BH46">
        <f>IF(P46=0,0,COUNTIF(Transect1_imgsummary!E46:I46,"PLAT")*100/P46)</f>
        <v>0</v>
      </c>
      <c r="BI46">
        <f>IF(P46=0,0,COUNTIF(Transect1_imgsummary!E46:I46,"PLERO")*100/P46)</f>
        <v>0</v>
      </c>
      <c r="BJ46">
        <f>IF(P46=0,0,COUNTIF(Transect1_imgsummary!E46:I46,"POC")*100/P46)</f>
        <v>0</v>
      </c>
      <c r="BK46">
        <f>IF(P46=0,0,COUNTIF(Transect1_imgsummary!E46:I46,"POR")*100/P46)</f>
        <v>0</v>
      </c>
      <c r="BL46">
        <f>IF(P46=0,0,COUNTIF(Transect1_imgsummary!E46:I46,"PORCYL")*100/P46)</f>
        <v>0</v>
      </c>
      <c r="BM46">
        <f>IF(P46=0,0,COUNTIF(Transect1_imgsummary!E46:I46,"PORMAS")*100/P46)</f>
        <v>0</v>
      </c>
      <c r="BN46">
        <f>IF(P46=0,0,COUNTIF(Transect1_imgsummary!E46:I46,"PORRUS")*100/P46)</f>
        <v>0</v>
      </c>
      <c r="BO46">
        <f>IF(P46=0,0,COUNTIF(Transect1_imgsummary!E46:I46,"PSAM")*100/P46)</f>
        <v>0</v>
      </c>
      <c r="BP46">
        <f>IF(P46=0,0,COUNTIF(Transect1_imgsummary!E46:I46,"SANDO")*100/P46)</f>
        <v>0</v>
      </c>
      <c r="BQ46">
        <f>IF(P46=0,0,COUNTIF(Transect1_imgsummary!E46:I46,"SCAP")*100/P46)</f>
        <v>0</v>
      </c>
      <c r="BR46">
        <f>IF(P46=0,0,COUNTIF(Transect1_imgsummary!E46:I46,"SERIA")*100/P46)</f>
        <v>0</v>
      </c>
      <c r="BS46">
        <f>IF(P46=0,0,COUNTIF(Transect1_imgsummary!E46:I46,"STYLC")*100/P46)</f>
        <v>0</v>
      </c>
      <c r="BT46">
        <f>IF(P46=0,0,COUNTIF(Transect1_imgsummary!E46:I46,"STYLO")*100/P46)</f>
        <v>0</v>
      </c>
      <c r="BU46">
        <f>IF(P46=0,0,COUNTIF(Transect1_imgsummary!E46:I46,"SYMP")*100/P46)</f>
        <v>0</v>
      </c>
      <c r="BV46">
        <f>IF(P46=0,0,COUNTIF(Transect1_imgsummary!E46:I46,"TURBIN")*100/P46)</f>
        <v>0</v>
      </c>
      <c r="BX46">
        <f>IF(P46=0,0,COUNTIF(Transect1_imgsummary!E46:I46,"ANEM")*100/P46)</f>
        <v>0</v>
      </c>
      <c r="BY46">
        <f>IF(P46=0,0,COUNTIF(Transect1_imgsummary!E46:I46,"ASC")*100/P46)</f>
        <v>0</v>
      </c>
      <c r="BZ46">
        <f>IF(P46=0,0,COUNTIF(Transect1_imgsummary!E46:I46,"CUPS")*100/P46)</f>
        <v>0</v>
      </c>
      <c r="CA46">
        <f>IF(P46=0,0,COUNTIF(Transect1_imgsummary!E46:I46,"DISCO")*100/P46)</f>
        <v>0</v>
      </c>
      <c r="CB46">
        <f>IF(P46=0,0,COUNTIF(Transect1_imgsummary!E46:I46,"DYS")*100/P46)</f>
        <v>0</v>
      </c>
      <c r="CC46">
        <f>IF(P46=0,0,COUNTIF(Transect1_imgsummary!E46:I46,"G")*100/P46)</f>
        <v>0</v>
      </c>
      <c r="CD46">
        <f>IF(P46=0,0,COUNTIF(Transect1_imgsummary!E46:I46,"NoIDINV")*100/P46)</f>
        <v>0</v>
      </c>
      <c r="CE46">
        <f>IF(P46=0,0,COUNTIF(Transect1_imgsummary!E46:I46,"OLV")*100/P46)</f>
        <v>0</v>
      </c>
      <c r="CF46">
        <f>IF(P46=0,0,COUNTIF(Transect1_imgsummary!E46:I46,"SC")*100/P46)</f>
        <v>0</v>
      </c>
      <c r="CG46">
        <f>IF(P46=0,0,COUNTIF(Transect1_imgsummary!E46:I46,"S")*100/P46)</f>
        <v>0</v>
      </c>
      <c r="CH46">
        <f>IF(P46=0,0,COUNTIF(Transect1_imgsummary!E46:I46,"TERPS")*100/P46)</f>
        <v>0</v>
      </c>
      <c r="CI46">
        <f>IF(P46=0,0,COUNTIF(Transect1_imgsummary!E46:I46,"Z")*100/P46)</f>
        <v>0</v>
      </c>
      <c r="CK46">
        <f>IF(P46=0,0,COUNTIF(Transect1_imgsummary!E46:I46,"ASP")*100/P46)</f>
        <v>0</v>
      </c>
      <c r="CL46">
        <f>IF(P46=0,0,COUNTIF(Transect1_imgsummary!E46:I46,"BG")*100/P46)</f>
        <v>0</v>
      </c>
      <c r="CM46">
        <f>IF(P46=0,0,COUNTIF(Transect1_imgsummary!E46:I46,"Bood")*100/P46)</f>
        <v>0</v>
      </c>
      <c r="CN46">
        <f>IF(P46=0,0,COUNTIF(Transect1_imgsummary!E46:I46,"BRYP")*100/P46)</f>
        <v>0</v>
      </c>
      <c r="CO46">
        <f>IF(P46=0,0,COUNTIF(Transect1_imgsummary!E46:I46,"CLP")*100/P46)</f>
        <v>0</v>
      </c>
      <c r="CP46">
        <f>IF(P46=0,0,COUNTIF(Transect1_imgsummary!E46:I46,"CHLDES")*100/P46)</f>
        <v>0</v>
      </c>
      <c r="CQ46">
        <f>IF(P46=0,0,COUNTIF(Transect1_imgsummary!E46:I46,"DYCTY")*100/P46)</f>
        <v>0</v>
      </c>
      <c r="CR46">
        <f>IF(P46=0,0,COUNTIF(Transect1_imgsummary!E46:I46,"DICT")*100/P46)</f>
        <v>0</v>
      </c>
      <c r="CS46">
        <f>IF(P46=0,0,COUNTIF(Transect1_imgsummary!E46:I46,"GLXU")*100/P46)</f>
        <v>0</v>
      </c>
      <c r="CT46">
        <f>IF(P46=0,0,COUNTIF(Transect1_imgsummary!E46:I46,"HALI")*100/P46)</f>
        <v>0</v>
      </c>
      <c r="CU46">
        <f>IF(P46=0,0,COUNTIF(Transect1_imgsummary!E46:I46,"LIAG")*100/P46)</f>
        <v>0</v>
      </c>
      <c r="CV46">
        <f>IF(P46=0,0,COUNTIF(Transect1_imgsummary!E46:I46,"LOBO")*100/P46)</f>
        <v>0</v>
      </c>
      <c r="CW46">
        <f>IF(P46=0,0,COUNTIF(Transect1_imgsummary!E46:I46,"MAST")*100/P46)</f>
        <v>0</v>
      </c>
      <c r="CX46">
        <f>IF(P46=0,0,COUNTIF(Transect1_imgsummary!E46:I46,"MICDTY")*100/P46)</f>
        <v>0</v>
      </c>
      <c r="CY46">
        <f>IF(P46=0,0,COUNTIF(Transect1_imgsummary!E46:I46,"NEOM")*100/P46)</f>
        <v>0</v>
      </c>
      <c r="CZ46">
        <f>IF(P46=0,0,COUNTIF(Transect1_imgsummary!E46:I46,"NOIDMAC")*100/P46)</f>
        <v>0</v>
      </c>
      <c r="DA46">
        <f>IF(P46=0,0,COUNTIF(Transect1_imgsummary!E46:I46,"PAD")*100/P46)</f>
        <v>0</v>
      </c>
      <c r="DB46">
        <f>IF(P46=0,0,COUNTIF(Transect1_imgsummary!E46:I46,"SARG")*100/P46)</f>
        <v>0</v>
      </c>
      <c r="DC46">
        <f>IF(P46=0,0,COUNTIF(Transect1_imgsummary!E46:I46,"SCHIZ")*100/P46)</f>
        <v>0</v>
      </c>
      <c r="DD46">
        <f>IF(P46=0,0,COUNTIF(Transect1_imgsummary!E46:I46,"TURB")*100/P46)</f>
        <v>0</v>
      </c>
      <c r="DE46">
        <f>IF(P46=0,0,COUNTIF(Transect1_imgsummary!E46:I46,"TYDM")*100/P46)</f>
        <v>0</v>
      </c>
      <c r="DG46">
        <f>IF(P46=0,0,COUNTIF(Transect1_imgsummary!E46:I46,"AMP")*100/P46)</f>
        <v>0</v>
      </c>
      <c r="DH46">
        <f>IF(P46=0,0,COUNTIF(Transect1_imgsummary!E46:I46,"BCA1")*100/P46)</f>
        <v>0</v>
      </c>
      <c r="DI46">
        <f>IF(P46=0,0,COUNTIF(Transect1_imgsummary!E46:I46,"JAN")*100/P46)</f>
        <v>0</v>
      </c>
      <c r="DK46" s="29">
        <f>IF(P46=0,0,COUNTIF(Transect1_imgsummary!E46:I46,"CCA1")*100/P46)</f>
        <v>40</v>
      </c>
      <c r="DM46">
        <f>IF(P46=0,0,COUNTIF(Transect1_imgsummary!E46:I46,"Sand")*100/P46)</f>
        <v>0</v>
      </c>
      <c r="DO46" s="29">
        <f>IF(P46=0,0,COUNTIF(Transect1_imgsummary!E46:I46,"FCA1")*100/P46)</f>
        <v>20</v>
      </c>
      <c r="DQ46">
        <f>IF(P46=0,0,COUNTIF(Transect1_imgsummary!E46:I46,"CHRYOBRN")*100/P46)</f>
        <v>0</v>
      </c>
      <c r="DS46" s="29">
        <f>IF(P46=0,0,COUNTIF(Transect1_imgsummary!E46:I46,"TURF")*100/P46)</f>
        <v>20</v>
      </c>
      <c r="DU46">
        <f>COUNTIF(Transect1_imgsummary!E46:I46,"Shadow")*100/5</f>
        <v>0</v>
      </c>
      <c r="DV46">
        <f>COUNTIF(Transect1_imgsummary!E46:I46,"Tape")*100/5</f>
        <v>0</v>
      </c>
      <c r="DW46">
        <f>COUNTIF(Transect1_imgsummary!E46:I46,"Wand")*100/5</f>
        <v>0</v>
      </c>
      <c r="DY46">
        <f>IF(P46=0,0,COUNTIF(Transect1_imgsummary!O46:S46,"BC")*100/P46)</f>
        <v>0</v>
      </c>
    </row>
    <row r="47" spans="1:129">
      <c r="A47">
        <v>45</v>
      </c>
      <c r="B47" t="s">
        <v>90</v>
      </c>
      <c r="F47" s="29">
        <f>IF(P47=0,0,COUNTIF(Transect1_imgsummary!J47:N47,"C")*100/P47)</f>
        <v>40</v>
      </c>
      <c r="G47">
        <f>IF(P47=0,0,COUNTIF(Transect1_imgsummary!J47:N47,"OI")*100/P47)</f>
        <v>0</v>
      </c>
      <c r="H47">
        <f>IF(P47=0,0,COUNTIF(Transect1_imgsummary!J47:N47,"MA")*100/P47)</f>
        <v>0</v>
      </c>
      <c r="I47">
        <f>IF(P47=0,0,COUNTIF(Transect1_imgsummary!J47:N47,"BCA")*100/P47)</f>
        <v>0</v>
      </c>
      <c r="J47">
        <f>IF(P47=0,0,COUNTIF(Transect1_imgsummary!J47:N47,"CCA")*100/P47)</f>
        <v>0</v>
      </c>
      <c r="K47">
        <f>IF(P47=0,0,COUNTIF(Transect1_imgsummary!J47:N47,"SD")*100/P47)</f>
        <v>0</v>
      </c>
      <c r="L47" s="29">
        <f>IF(P47=0,0,COUNTIF(Transect1_imgsummary!J47:N47,"FCA")*100/P47)</f>
        <v>20</v>
      </c>
      <c r="M47">
        <f>IF(P47=0,0,COUNTIF(Transect1_imgsummary!J47:N47,"CHRYS")*100/P47)</f>
        <v>0</v>
      </c>
      <c r="N47" s="29">
        <f>IF(P47=0,0,COUNTIF(Transect1_imgsummary!J47:N47,"T")*100/P47)</f>
        <v>40</v>
      </c>
      <c r="O47">
        <f>IF(P47=0,0,COUNTIF(Transect1_imgsummary!J47:N47,"TWS")*100/P47)</f>
        <v>0</v>
      </c>
      <c r="P47">
        <f>5-COUNTIF(Transect1_imgsummary!J47:N47,"TWS")</f>
        <v>5</v>
      </c>
      <c r="S47">
        <f>IF(P47=0,0,COUNTIF(Transect1_imgsummary!E47:I47,"ACAN")*100/P47)</f>
        <v>0</v>
      </c>
      <c r="T47" s="29">
        <f>IF(P47=0,0,COUNTIF(Transect1_imgsummary!E47:I47,"ACROP")*100/P47)</f>
        <v>40</v>
      </c>
      <c r="U47">
        <f>IF(P47=0,0,COUNTIF(Transect1_imgsummary!E47:I47,"ACROPARB")*100/P47)</f>
        <v>0</v>
      </c>
      <c r="V47">
        <f>IF(P47=0,0,COUNTIF(Transect1_imgsummary!E47:I47,"ACROST")*100/P47)</f>
        <v>0</v>
      </c>
      <c r="W47">
        <f>IF(P47=0,0,COUNTIF(Transect1_imgsummary!E47:I47,"ACROTBL")*100/P47)</f>
        <v>0</v>
      </c>
      <c r="X47">
        <f>IF(P47=0,0,COUNTIF(Transect1_imgsummary!E47:I47,"ASTRP")*100/P47)</f>
        <v>0</v>
      </c>
      <c r="Y47">
        <f>IF(P47=0,0,COUNTIF(Transect1_imgsummary!E47:I47,"CAUL")*100/P47)</f>
        <v>0</v>
      </c>
      <c r="Z47">
        <f>IF(P47=0,0,COUNTIF(Transect1_imgsummary!E47:I47,"COSC")*100/P47)</f>
        <v>0</v>
      </c>
      <c r="AA47">
        <f>IF(P47=0,0,COUNTIF(Transect1_imgsummary!E47:I47,"CTEN")*100/P47)</f>
        <v>0</v>
      </c>
      <c r="AB47">
        <f>IF(P47=0,0,COUNTIF(Transect1_imgsummary!E47:I47,"CYPH")*100/P47)</f>
        <v>0</v>
      </c>
      <c r="AC47">
        <f>IF(P47=0,0,COUNTIF(Transect1_imgsummary!E47:I47,"DIPLO")*100/P47)</f>
        <v>0</v>
      </c>
      <c r="AD47">
        <f>IF(P47=0,0,COUNTIF(Transect1_imgsummary!E47:I47,"ECHPO")*100/P47)</f>
        <v>0</v>
      </c>
      <c r="AE47">
        <f>IF(P47=0,0,COUNTIF(Transect1_imgsummary!E47:I47,"ECHPHY")*100/P47)</f>
        <v>0</v>
      </c>
      <c r="AF47">
        <f>IF(P47=0,0,COUNTIF(Transect1_imgsummary!E47:I47,"EUPH")*100/P47)</f>
        <v>0</v>
      </c>
      <c r="AG47">
        <f>IF(P47=0,0,COUNTIF(Transect1_imgsummary!E47:I47,"FAV")*100/P47)</f>
        <v>0</v>
      </c>
      <c r="AH47">
        <f>IF(P47=0,0,COUNTIF(Transect1_imgsummary!E47:I47,"FAVT")*100/P47)</f>
        <v>0</v>
      </c>
      <c r="AI47">
        <f>IF(P47=0,0,COUNTIF(Transect1_imgsummary!E47:I47,"FUNG")*100/P47)</f>
        <v>0</v>
      </c>
      <c r="AJ47">
        <f>IF(P47=0,0,COUNTIF(Transect1_imgsummary!E47:I47,"GAL")*100/P47)</f>
        <v>0</v>
      </c>
      <c r="AK47">
        <f>IF(P47=0,0,COUNTIF(Transect1_imgsummary!E47:I47,"GARD")*100/P47)</f>
        <v>0</v>
      </c>
      <c r="AL47">
        <f>IF(P47=0,0,COUNTIF(Transect1_imgsummary!E47:I47,"GON")*100/P47)</f>
        <v>0</v>
      </c>
      <c r="AM47">
        <f>IF(P47=0,0,COUNTIF(Transect1_imgsummary!E47:I47,"GONIO")*100/P47)</f>
        <v>0</v>
      </c>
      <c r="AN47">
        <f>IF(P47=0,0,COUNTIF(Transect1_imgsummary!E47:I47,"HELIO")*100/P47)</f>
        <v>0</v>
      </c>
      <c r="AO47">
        <f>IF(P47=0,0,COUNTIF(Transect1_imgsummary!E47:I47,"HERP")*100/P47)</f>
        <v>0</v>
      </c>
      <c r="AP47">
        <f>IF(P47=0,0,COUNTIF(Transect1_imgsummary!E47:I47,"HYD")*100/P47)</f>
        <v>0</v>
      </c>
      <c r="AQ47">
        <f>IF(P47=0,0,COUNTIF(Transect1_imgsummary!E47:I47,"ISOP")*100/P47)</f>
        <v>0</v>
      </c>
      <c r="AR47">
        <f>IF(P47=0,0,COUNTIF(Transect1_imgsummary!E47:I47,"LEPT")*100/P47)</f>
        <v>0</v>
      </c>
      <c r="AS47">
        <f>IF(P47=0,0,COUNTIF(Transect1_imgsummary!E47:I47,"LEPTOR")*100/P47)</f>
        <v>0</v>
      </c>
      <c r="AT47">
        <f>IF(P47=0,0,COUNTIF(Transect1_imgsummary!E47:I47,"LEPTOS")*100/P47)</f>
        <v>0</v>
      </c>
      <c r="AU47">
        <f>IF(P47=0,0,COUNTIF(Transect1_imgsummary!E47:I47,"LOBOPH")*100/P47)</f>
        <v>0</v>
      </c>
      <c r="AV47">
        <f>IF(P47=0,0,COUNTIF(Transect1_imgsummary!E47:I47,"MERU")*100/P47)</f>
        <v>0</v>
      </c>
      <c r="AW47">
        <f>IF(P47=0,0,COUNTIF(Transect1_imgsummary!E47:I47,"MILL")*100/P47)</f>
        <v>0</v>
      </c>
      <c r="AX47">
        <f>IF(P47=0,0,COUNTIF(Transect1_imgsummary!E47:I47,"MONT")*100/P47)</f>
        <v>0</v>
      </c>
      <c r="AY47">
        <f>IF(P47=0,0,COUNTIF(Transect1_imgsummary!E47:I47,"MONTI")*100/P47)</f>
        <v>0</v>
      </c>
      <c r="AZ47">
        <f>IF(P47=0,0,COUNTIF(Transect1_imgsummary!E47:I47,"MYCED")*100/P47)</f>
        <v>0</v>
      </c>
      <c r="BA47">
        <f>IF(P47=0,0,COUNTIF(Transect1_imgsummary!E47:I47,"OULO")*100/P47)</f>
        <v>0</v>
      </c>
      <c r="BB47">
        <f>IF(P47=0,0,COUNTIF(Transect1_imgsummary!E47:I47,"OXYP")*100/P47)</f>
        <v>0</v>
      </c>
      <c r="BC47">
        <f>IF(P47=0,0,COUNTIF(Transect1_imgsummary!E47:I47,"PLSIA")*100/P47)</f>
        <v>0</v>
      </c>
      <c r="BD47">
        <f>IF(P47=0,0,COUNTIF(Transect1_imgsummary!E47:I47,"PACHY")*100/P47)</f>
        <v>0</v>
      </c>
      <c r="BE47">
        <f>IF(P47=0,0,COUNTIF(Transect1_imgsummary!E47:I47,"PAV")*100/P47)</f>
        <v>0</v>
      </c>
      <c r="BF47">
        <f>IF(P47=0,0,COUNTIF(Transect1_imgsummary!E47:I47,"PECT")*100/P47)</f>
        <v>0</v>
      </c>
      <c r="BG47">
        <f>IF(P47=0,0,COUNTIF(Transect1_imgsummary!E47:I47,"PHYSO")*100/P47)</f>
        <v>0</v>
      </c>
      <c r="BH47">
        <f>IF(P47=0,0,COUNTIF(Transect1_imgsummary!E47:I47,"PLAT")*100/P47)</f>
        <v>0</v>
      </c>
      <c r="BI47">
        <f>IF(P47=0,0,COUNTIF(Transect1_imgsummary!E47:I47,"PLERO")*100/P47)</f>
        <v>0</v>
      </c>
      <c r="BJ47">
        <f>IF(P47=0,0,COUNTIF(Transect1_imgsummary!E47:I47,"POC")*100/P47)</f>
        <v>0</v>
      </c>
      <c r="BK47">
        <f>IF(P47=0,0,COUNTIF(Transect1_imgsummary!E47:I47,"POR")*100/P47)</f>
        <v>0</v>
      </c>
      <c r="BL47">
        <f>IF(P47=0,0,COUNTIF(Transect1_imgsummary!E47:I47,"PORCYL")*100/P47)</f>
        <v>0</v>
      </c>
      <c r="BM47">
        <f>IF(P47=0,0,COUNTIF(Transect1_imgsummary!E47:I47,"PORMAS")*100/P47)</f>
        <v>0</v>
      </c>
      <c r="BN47">
        <f>IF(P47=0,0,COUNTIF(Transect1_imgsummary!E47:I47,"PORRUS")*100/P47)</f>
        <v>0</v>
      </c>
      <c r="BO47">
        <f>IF(P47=0,0,COUNTIF(Transect1_imgsummary!E47:I47,"PSAM")*100/P47)</f>
        <v>0</v>
      </c>
      <c r="BP47">
        <f>IF(P47=0,0,COUNTIF(Transect1_imgsummary!E47:I47,"SANDO")*100/P47)</f>
        <v>0</v>
      </c>
      <c r="BQ47">
        <f>IF(P47=0,0,COUNTIF(Transect1_imgsummary!E47:I47,"SCAP")*100/P47)</f>
        <v>0</v>
      </c>
      <c r="BR47">
        <f>IF(P47=0,0,COUNTIF(Transect1_imgsummary!E47:I47,"SERIA")*100/P47)</f>
        <v>0</v>
      </c>
      <c r="BS47">
        <f>IF(P47=0,0,COUNTIF(Transect1_imgsummary!E47:I47,"STYLC")*100/P47)</f>
        <v>0</v>
      </c>
      <c r="BT47">
        <f>IF(P47=0,0,COUNTIF(Transect1_imgsummary!E47:I47,"STYLO")*100/P47)</f>
        <v>0</v>
      </c>
      <c r="BU47">
        <f>IF(P47=0,0,COUNTIF(Transect1_imgsummary!E47:I47,"SYMP")*100/P47)</f>
        <v>0</v>
      </c>
      <c r="BV47">
        <f>IF(P47=0,0,COUNTIF(Transect1_imgsummary!E47:I47,"TURBIN")*100/P47)</f>
        <v>0</v>
      </c>
      <c r="BX47">
        <f>IF(P47=0,0,COUNTIF(Transect1_imgsummary!E47:I47,"ANEM")*100/P47)</f>
        <v>0</v>
      </c>
      <c r="BY47">
        <f>IF(P47=0,0,COUNTIF(Transect1_imgsummary!E47:I47,"ASC")*100/P47)</f>
        <v>0</v>
      </c>
      <c r="BZ47">
        <f>IF(P47=0,0,COUNTIF(Transect1_imgsummary!E47:I47,"CUPS")*100/P47)</f>
        <v>0</v>
      </c>
      <c r="CA47">
        <f>IF(P47=0,0,COUNTIF(Transect1_imgsummary!E47:I47,"DISCO")*100/P47)</f>
        <v>0</v>
      </c>
      <c r="CB47">
        <f>IF(P47=0,0,COUNTIF(Transect1_imgsummary!E47:I47,"DYS")*100/P47)</f>
        <v>0</v>
      </c>
      <c r="CC47">
        <f>IF(P47=0,0,COUNTIF(Transect1_imgsummary!E47:I47,"G")*100/P47)</f>
        <v>0</v>
      </c>
      <c r="CD47">
        <f>IF(P47=0,0,COUNTIF(Transect1_imgsummary!E47:I47,"NoIDINV")*100/P47)</f>
        <v>0</v>
      </c>
      <c r="CE47">
        <f>IF(P47=0,0,COUNTIF(Transect1_imgsummary!E47:I47,"OLV")*100/P47)</f>
        <v>0</v>
      </c>
      <c r="CF47">
        <f>IF(P47=0,0,COUNTIF(Transect1_imgsummary!E47:I47,"SC")*100/P47)</f>
        <v>0</v>
      </c>
      <c r="CG47">
        <f>IF(P47=0,0,COUNTIF(Transect1_imgsummary!E47:I47,"S")*100/P47)</f>
        <v>0</v>
      </c>
      <c r="CH47">
        <f>IF(P47=0,0,COUNTIF(Transect1_imgsummary!E47:I47,"TERPS")*100/P47)</f>
        <v>0</v>
      </c>
      <c r="CI47">
        <f>IF(P47=0,0,COUNTIF(Transect1_imgsummary!E47:I47,"Z")*100/P47)</f>
        <v>0</v>
      </c>
      <c r="CK47">
        <f>IF(P47=0,0,COUNTIF(Transect1_imgsummary!E47:I47,"ASP")*100/P47)</f>
        <v>0</v>
      </c>
      <c r="CL47">
        <f>IF(P47=0,0,COUNTIF(Transect1_imgsummary!E47:I47,"BG")*100/P47)</f>
        <v>0</v>
      </c>
      <c r="CM47">
        <f>IF(P47=0,0,COUNTIF(Transect1_imgsummary!E47:I47,"Bood")*100/P47)</f>
        <v>0</v>
      </c>
      <c r="CN47">
        <f>IF(P47=0,0,COUNTIF(Transect1_imgsummary!E47:I47,"BRYP")*100/P47)</f>
        <v>0</v>
      </c>
      <c r="CO47">
        <f>IF(P47=0,0,COUNTIF(Transect1_imgsummary!E47:I47,"CLP")*100/P47)</f>
        <v>0</v>
      </c>
      <c r="CP47">
        <f>IF(P47=0,0,COUNTIF(Transect1_imgsummary!E47:I47,"CHLDES")*100/P47)</f>
        <v>0</v>
      </c>
      <c r="CQ47">
        <f>IF(P47=0,0,COUNTIF(Transect1_imgsummary!E47:I47,"DYCTY")*100/P47)</f>
        <v>0</v>
      </c>
      <c r="CR47">
        <f>IF(P47=0,0,COUNTIF(Transect1_imgsummary!E47:I47,"DICT")*100/P47)</f>
        <v>0</v>
      </c>
      <c r="CS47">
        <f>IF(P47=0,0,COUNTIF(Transect1_imgsummary!E47:I47,"GLXU")*100/P47)</f>
        <v>0</v>
      </c>
      <c r="CT47">
        <f>IF(P47=0,0,COUNTIF(Transect1_imgsummary!E47:I47,"HALI")*100/P47)</f>
        <v>0</v>
      </c>
      <c r="CU47">
        <f>IF(P47=0,0,COUNTIF(Transect1_imgsummary!E47:I47,"LIAG")*100/P47)</f>
        <v>0</v>
      </c>
      <c r="CV47">
        <f>IF(P47=0,0,COUNTIF(Transect1_imgsummary!E47:I47,"LOBO")*100/P47)</f>
        <v>0</v>
      </c>
      <c r="CW47">
        <f>IF(P47=0,0,COUNTIF(Transect1_imgsummary!E47:I47,"MAST")*100/P47)</f>
        <v>0</v>
      </c>
      <c r="CX47">
        <f>IF(P47=0,0,COUNTIF(Transect1_imgsummary!E47:I47,"MICDTY")*100/P47)</f>
        <v>0</v>
      </c>
      <c r="CY47">
        <f>IF(P47=0,0,COUNTIF(Transect1_imgsummary!E47:I47,"NEOM")*100/P47)</f>
        <v>0</v>
      </c>
      <c r="CZ47">
        <f>IF(P47=0,0,COUNTIF(Transect1_imgsummary!E47:I47,"NOIDMAC")*100/P47)</f>
        <v>0</v>
      </c>
      <c r="DA47">
        <f>IF(P47=0,0,COUNTIF(Transect1_imgsummary!E47:I47,"PAD")*100/P47)</f>
        <v>0</v>
      </c>
      <c r="DB47">
        <f>IF(P47=0,0,COUNTIF(Transect1_imgsummary!E47:I47,"SARG")*100/P47)</f>
        <v>0</v>
      </c>
      <c r="DC47">
        <f>IF(P47=0,0,COUNTIF(Transect1_imgsummary!E47:I47,"SCHIZ")*100/P47)</f>
        <v>0</v>
      </c>
      <c r="DD47">
        <f>IF(P47=0,0,COUNTIF(Transect1_imgsummary!E47:I47,"TURB")*100/P47)</f>
        <v>0</v>
      </c>
      <c r="DE47">
        <f>IF(P47=0,0,COUNTIF(Transect1_imgsummary!E47:I47,"TYDM")*100/P47)</f>
        <v>0</v>
      </c>
      <c r="DG47">
        <f>IF(P47=0,0,COUNTIF(Transect1_imgsummary!E47:I47,"AMP")*100/P47)</f>
        <v>0</v>
      </c>
      <c r="DH47">
        <f>IF(P47=0,0,COUNTIF(Transect1_imgsummary!E47:I47,"BCA1")*100/P47)</f>
        <v>0</v>
      </c>
      <c r="DI47">
        <f>IF(P47=0,0,COUNTIF(Transect1_imgsummary!E47:I47,"JAN")*100/P47)</f>
        <v>0</v>
      </c>
      <c r="DK47">
        <f>IF(P47=0,0,COUNTIF(Transect1_imgsummary!E47:I47,"CCA1")*100/P47)</f>
        <v>0</v>
      </c>
      <c r="DM47">
        <f>IF(P47=0,0,COUNTIF(Transect1_imgsummary!E47:I47,"Sand")*100/P47)</f>
        <v>0</v>
      </c>
      <c r="DO47" s="29">
        <f>IF(P47=0,0,COUNTIF(Transect1_imgsummary!E47:I47,"FCA1")*100/P47)</f>
        <v>20</v>
      </c>
      <c r="DQ47">
        <f>IF(P47=0,0,COUNTIF(Transect1_imgsummary!E47:I47,"CHRYOBRN")*100/P47)</f>
        <v>0</v>
      </c>
      <c r="DS47" s="29">
        <f>IF(P47=0,0,COUNTIF(Transect1_imgsummary!E47:I47,"TURF")*100/P47)</f>
        <v>40</v>
      </c>
      <c r="DU47">
        <f>COUNTIF(Transect1_imgsummary!E47:I47,"Shadow")*100/5</f>
        <v>0</v>
      </c>
      <c r="DV47">
        <f>COUNTIF(Transect1_imgsummary!E47:I47,"Tape")*100/5</f>
        <v>0</v>
      </c>
      <c r="DW47">
        <f>COUNTIF(Transect1_imgsummary!E47:I47,"Wand")*100/5</f>
        <v>0</v>
      </c>
      <c r="DY47">
        <f>IF(P47=0,0,COUNTIF(Transect1_imgsummary!O47:S47,"BC")*100/P47)</f>
        <v>0</v>
      </c>
    </row>
    <row r="48" spans="1:129">
      <c r="A48">
        <v>46</v>
      </c>
      <c r="B48" t="s">
        <v>91</v>
      </c>
      <c r="F48">
        <f>IF(P48=0,0,COUNTIF(Transect1_imgsummary!J48:N48,"C")*100/P48)</f>
        <v>0</v>
      </c>
      <c r="G48">
        <f>IF(P48=0,0,COUNTIF(Transect1_imgsummary!J48:N48,"OI")*100/P48)</f>
        <v>0</v>
      </c>
      <c r="H48">
        <f>IF(P48=0,0,COUNTIF(Transect1_imgsummary!J48:N48,"MA")*100/P48)</f>
        <v>0</v>
      </c>
      <c r="I48">
        <f>IF(P48=0,0,COUNTIF(Transect1_imgsummary!J48:N48,"BCA")*100/P48)</f>
        <v>0</v>
      </c>
      <c r="J48" s="29">
        <f>IF(P48=0,0,COUNTIF(Transect1_imgsummary!J48:N48,"CCA")*100/P48)</f>
        <v>40</v>
      </c>
      <c r="K48">
        <f>IF(P48=0,0,COUNTIF(Transect1_imgsummary!J48:N48,"SD")*100/P48)</f>
        <v>0</v>
      </c>
      <c r="L48">
        <f>IF(P48=0,0,COUNTIF(Transect1_imgsummary!J48:N48,"FCA")*100/P48)</f>
        <v>0</v>
      </c>
      <c r="M48">
        <f>IF(P48=0,0,COUNTIF(Transect1_imgsummary!J48:N48,"CHRYS")*100/P48)</f>
        <v>0</v>
      </c>
      <c r="N48" s="29">
        <f>IF(P48=0,0,COUNTIF(Transect1_imgsummary!J48:N48,"T")*100/P48)</f>
        <v>60</v>
      </c>
      <c r="O48">
        <f>IF(P48=0,0,COUNTIF(Transect1_imgsummary!J48:N48,"TWS")*100/P48)</f>
        <v>0</v>
      </c>
      <c r="P48">
        <f>5-COUNTIF(Transect1_imgsummary!J48:N48,"TWS")</f>
        <v>5</v>
      </c>
      <c r="S48">
        <f>IF(P48=0,0,COUNTIF(Transect1_imgsummary!E48:I48,"ACAN")*100/P48)</f>
        <v>0</v>
      </c>
      <c r="T48">
        <f>IF(P48=0,0,COUNTIF(Transect1_imgsummary!E48:I48,"ACROP")*100/P48)</f>
        <v>0</v>
      </c>
      <c r="U48">
        <f>IF(P48=0,0,COUNTIF(Transect1_imgsummary!E48:I48,"ACROPARB")*100/P48)</f>
        <v>0</v>
      </c>
      <c r="V48">
        <f>IF(P48=0,0,COUNTIF(Transect1_imgsummary!E48:I48,"ACROST")*100/P48)</f>
        <v>0</v>
      </c>
      <c r="W48">
        <f>IF(P48=0,0,COUNTIF(Transect1_imgsummary!E48:I48,"ACROTBL")*100/P48)</f>
        <v>0</v>
      </c>
      <c r="X48">
        <f>IF(P48=0,0,COUNTIF(Transect1_imgsummary!E48:I48,"ASTRP")*100/P48)</f>
        <v>0</v>
      </c>
      <c r="Y48">
        <f>IF(P48=0,0,COUNTIF(Transect1_imgsummary!E48:I48,"CAUL")*100/P48)</f>
        <v>0</v>
      </c>
      <c r="Z48">
        <f>IF(P48=0,0,COUNTIF(Transect1_imgsummary!E48:I48,"COSC")*100/P48)</f>
        <v>0</v>
      </c>
      <c r="AA48">
        <f>IF(P48=0,0,COUNTIF(Transect1_imgsummary!E48:I48,"CTEN")*100/P48)</f>
        <v>0</v>
      </c>
      <c r="AB48">
        <f>IF(P48=0,0,COUNTIF(Transect1_imgsummary!E48:I48,"CYPH")*100/P48)</f>
        <v>0</v>
      </c>
      <c r="AC48">
        <f>IF(P48=0,0,COUNTIF(Transect1_imgsummary!E48:I48,"DIPLO")*100/P48)</f>
        <v>0</v>
      </c>
      <c r="AD48">
        <f>IF(P48=0,0,COUNTIF(Transect1_imgsummary!E48:I48,"ECHPO")*100/P48)</f>
        <v>0</v>
      </c>
      <c r="AE48">
        <f>IF(P48=0,0,COUNTIF(Transect1_imgsummary!E48:I48,"ECHPHY")*100/P48)</f>
        <v>0</v>
      </c>
      <c r="AF48">
        <f>IF(P48=0,0,COUNTIF(Transect1_imgsummary!E48:I48,"EUPH")*100/P48)</f>
        <v>0</v>
      </c>
      <c r="AG48">
        <f>IF(P48=0,0,COUNTIF(Transect1_imgsummary!E48:I48,"FAV")*100/P48)</f>
        <v>0</v>
      </c>
      <c r="AH48">
        <f>IF(P48=0,0,COUNTIF(Transect1_imgsummary!E48:I48,"FAVT")*100/P48)</f>
        <v>0</v>
      </c>
      <c r="AI48">
        <f>IF(P48=0,0,COUNTIF(Transect1_imgsummary!E48:I48,"FUNG")*100/P48)</f>
        <v>0</v>
      </c>
      <c r="AJ48">
        <f>IF(P48=0,0,COUNTIF(Transect1_imgsummary!E48:I48,"GAL")*100/P48)</f>
        <v>0</v>
      </c>
      <c r="AK48">
        <f>IF(P48=0,0,COUNTIF(Transect1_imgsummary!E48:I48,"GARD")*100/P48)</f>
        <v>0</v>
      </c>
      <c r="AL48">
        <f>IF(P48=0,0,COUNTIF(Transect1_imgsummary!E48:I48,"GON")*100/P48)</f>
        <v>0</v>
      </c>
      <c r="AM48">
        <f>IF(P48=0,0,COUNTIF(Transect1_imgsummary!E48:I48,"GONIO")*100/P48)</f>
        <v>0</v>
      </c>
      <c r="AN48">
        <f>IF(P48=0,0,COUNTIF(Transect1_imgsummary!E48:I48,"HELIO")*100/P48)</f>
        <v>0</v>
      </c>
      <c r="AO48">
        <f>IF(P48=0,0,COUNTIF(Transect1_imgsummary!E48:I48,"HERP")*100/P48)</f>
        <v>0</v>
      </c>
      <c r="AP48">
        <f>IF(P48=0,0,COUNTIF(Transect1_imgsummary!E48:I48,"HYD")*100/P48)</f>
        <v>0</v>
      </c>
      <c r="AQ48">
        <f>IF(P48=0,0,COUNTIF(Transect1_imgsummary!E48:I48,"ISOP")*100/P48)</f>
        <v>0</v>
      </c>
      <c r="AR48">
        <f>IF(P48=0,0,COUNTIF(Transect1_imgsummary!E48:I48,"LEPT")*100/P48)</f>
        <v>0</v>
      </c>
      <c r="AS48">
        <f>IF(P48=0,0,COUNTIF(Transect1_imgsummary!E48:I48,"LEPTOR")*100/P48)</f>
        <v>0</v>
      </c>
      <c r="AT48">
        <f>IF(P48=0,0,COUNTIF(Transect1_imgsummary!E48:I48,"LEPTOS")*100/P48)</f>
        <v>0</v>
      </c>
      <c r="AU48">
        <f>IF(P48=0,0,COUNTIF(Transect1_imgsummary!E48:I48,"LOBOPH")*100/P48)</f>
        <v>0</v>
      </c>
      <c r="AV48">
        <f>IF(P48=0,0,COUNTIF(Transect1_imgsummary!E48:I48,"MERU")*100/P48)</f>
        <v>0</v>
      </c>
      <c r="AW48">
        <f>IF(P48=0,0,COUNTIF(Transect1_imgsummary!E48:I48,"MILL")*100/P48)</f>
        <v>0</v>
      </c>
      <c r="AX48">
        <f>IF(P48=0,0,COUNTIF(Transect1_imgsummary!E48:I48,"MONT")*100/P48)</f>
        <v>0</v>
      </c>
      <c r="AY48">
        <f>IF(P48=0,0,COUNTIF(Transect1_imgsummary!E48:I48,"MONTI")*100/P48)</f>
        <v>0</v>
      </c>
      <c r="AZ48">
        <f>IF(P48=0,0,COUNTIF(Transect1_imgsummary!E48:I48,"MYCED")*100/P48)</f>
        <v>0</v>
      </c>
      <c r="BA48">
        <f>IF(P48=0,0,COUNTIF(Transect1_imgsummary!E48:I48,"OULO")*100/P48)</f>
        <v>0</v>
      </c>
      <c r="BB48">
        <f>IF(P48=0,0,COUNTIF(Transect1_imgsummary!E48:I48,"OXYP")*100/P48)</f>
        <v>0</v>
      </c>
      <c r="BC48">
        <f>IF(P48=0,0,COUNTIF(Transect1_imgsummary!E48:I48,"PLSIA")*100/P48)</f>
        <v>0</v>
      </c>
      <c r="BD48">
        <f>IF(P48=0,0,COUNTIF(Transect1_imgsummary!E48:I48,"PACHY")*100/P48)</f>
        <v>0</v>
      </c>
      <c r="BE48">
        <f>IF(P48=0,0,COUNTIF(Transect1_imgsummary!E48:I48,"PAV")*100/P48)</f>
        <v>0</v>
      </c>
      <c r="BF48">
        <f>IF(P48=0,0,COUNTIF(Transect1_imgsummary!E48:I48,"PECT")*100/P48)</f>
        <v>0</v>
      </c>
      <c r="BG48">
        <f>IF(P48=0,0,COUNTIF(Transect1_imgsummary!E48:I48,"PHYSO")*100/P48)</f>
        <v>0</v>
      </c>
      <c r="BH48">
        <f>IF(P48=0,0,COUNTIF(Transect1_imgsummary!E48:I48,"PLAT")*100/P48)</f>
        <v>0</v>
      </c>
      <c r="BI48">
        <f>IF(P48=0,0,COUNTIF(Transect1_imgsummary!E48:I48,"PLERO")*100/P48)</f>
        <v>0</v>
      </c>
      <c r="BJ48">
        <f>IF(P48=0,0,COUNTIF(Transect1_imgsummary!E48:I48,"POC")*100/P48)</f>
        <v>0</v>
      </c>
      <c r="BK48">
        <f>IF(P48=0,0,COUNTIF(Transect1_imgsummary!E48:I48,"POR")*100/P48)</f>
        <v>0</v>
      </c>
      <c r="BL48">
        <f>IF(P48=0,0,COUNTIF(Transect1_imgsummary!E48:I48,"PORCYL")*100/P48)</f>
        <v>0</v>
      </c>
      <c r="BM48">
        <f>IF(P48=0,0,COUNTIF(Transect1_imgsummary!E48:I48,"PORMAS")*100/P48)</f>
        <v>0</v>
      </c>
      <c r="BN48">
        <f>IF(P48=0,0,COUNTIF(Transect1_imgsummary!E48:I48,"PORRUS")*100/P48)</f>
        <v>0</v>
      </c>
      <c r="BO48">
        <f>IF(P48=0,0,COUNTIF(Transect1_imgsummary!E48:I48,"PSAM")*100/P48)</f>
        <v>0</v>
      </c>
      <c r="BP48">
        <f>IF(P48=0,0,COUNTIF(Transect1_imgsummary!E48:I48,"SANDO")*100/P48)</f>
        <v>0</v>
      </c>
      <c r="BQ48">
        <f>IF(P48=0,0,COUNTIF(Transect1_imgsummary!E48:I48,"SCAP")*100/P48)</f>
        <v>0</v>
      </c>
      <c r="BR48">
        <f>IF(P48=0,0,COUNTIF(Transect1_imgsummary!E48:I48,"SERIA")*100/P48)</f>
        <v>0</v>
      </c>
      <c r="BS48">
        <f>IF(P48=0,0,COUNTIF(Transect1_imgsummary!E48:I48,"STYLC")*100/P48)</f>
        <v>0</v>
      </c>
      <c r="BT48">
        <f>IF(P48=0,0,COUNTIF(Transect1_imgsummary!E48:I48,"STYLO")*100/P48)</f>
        <v>0</v>
      </c>
      <c r="BU48">
        <f>IF(P48=0,0,COUNTIF(Transect1_imgsummary!E48:I48,"SYMP")*100/P48)</f>
        <v>0</v>
      </c>
      <c r="BV48">
        <f>IF(P48=0,0,COUNTIF(Transect1_imgsummary!E48:I48,"TURBIN")*100/P48)</f>
        <v>0</v>
      </c>
      <c r="BX48">
        <f>IF(P48=0,0,COUNTIF(Transect1_imgsummary!E48:I48,"ANEM")*100/P48)</f>
        <v>0</v>
      </c>
      <c r="BY48">
        <f>IF(P48=0,0,COUNTIF(Transect1_imgsummary!E48:I48,"ASC")*100/P48)</f>
        <v>0</v>
      </c>
      <c r="BZ48">
        <f>IF(P48=0,0,COUNTIF(Transect1_imgsummary!E48:I48,"CUPS")*100/P48)</f>
        <v>0</v>
      </c>
      <c r="CA48">
        <f>IF(P48=0,0,COUNTIF(Transect1_imgsummary!E48:I48,"DISCO")*100/P48)</f>
        <v>0</v>
      </c>
      <c r="CB48">
        <f>IF(P48=0,0,COUNTIF(Transect1_imgsummary!E48:I48,"DYS")*100/P48)</f>
        <v>0</v>
      </c>
      <c r="CC48">
        <f>IF(P48=0,0,COUNTIF(Transect1_imgsummary!E48:I48,"G")*100/P48)</f>
        <v>0</v>
      </c>
      <c r="CD48">
        <f>IF(P48=0,0,COUNTIF(Transect1_imgsummary!E48:I48,"NoIDINV")*100/P48)</f>
        <v>0</v>
      </c>
      <c r="CE48">
        <f>IF(P48=0,0,COUNTIF(Transect1_imgsummary!E48:I48,"OLV")*100/P48)</f>
        <v>0</v>
      </c>
      <c r="CF48">
        <f>IF(P48=0,0,COUNTIF(Transect1_imgsummary!E48:I48,"SC")*100/P48)</f>
        <v>0</v>
      </c>
      <c r="CG48">
        <f>IF(P48=0,0,COUNTIF(Transect1_imgsummary!E48:I48,"S")*100/P48)</f>
        <v>0</v>
      </c>
      <c r="CH48">
        <f>IF(P48=0,0,COUNTIF(Transect1_imgsummary!E48:I48,"TERPS")*100/P48)</f>
        <v>0</v>
      </c>
      <c r="CI48">
        <f>IF(P48=0,0,COUNTIF(Transect1_imgsummary!E48:I48,"Z")*100/P48)</f>
        <v>0</v>
      </c>
      <c r="CK48">
        <f>IF(P48=0,0,COUNTIF(Transect1_imgsummary!E48:I48,"ASP")*100/P48)</f>
        <v>0</v>
      </c>
      <c r="CL48">
        <f>IF(P48=0,0,COUNTIF(Transect1_imgsummary!E48:I48,"BG")*100/P48)</f>
        <v>0</v>
      </c>
      <c r="CM48">
        <f>IF(P48=0,0,COUNTIF(Transect1_imgsummary!E48:I48,"Bood")*100/P48)</f>
        <v>0</v>
      </c>
      <c r="CN48">
        <f>IF(P48=0,0,COUNTIF(Transect1_imgsummary!E48:I48,"BRYP")*100/P48)</f>
        <v>0</v>
      </c>
      <c r="CO48">
        <f>IF(P48=0,0,COUNTIF(Transect1_imgsummary!E48:I48,"CLP")*100/P48)</f>
        <v>0</v>
      </c>
      <c r="CP48">
        <f>IF(P48=0,0,COUNTIF(Transect1_imgsummary!E48:I48,"CHLDES")*100/P48)</f>
        <v>0</v>
      </c>
      <c r="CQ48">
        <f>IF(P48=0,0,COUNTIF(Transect1_imgsummary!E48:I48,"DYCTY")*100/P48)</f>
        <v>0</v>
      </c>
      <c r="CR48">
        <f>IF(P48=0,0,COUNTIF(Transect1_imgsummary!E48:I48,"DICT")*100/P48)</f>
        <v>0</v>
      </c>
      <c r="CS48">
        <f>IF(P48=0,0,COUNTIF(Transect1_imgsummary!E48:I48,"GLXU")*100/P48)</f>
        <v>0</v>
      </c>
      <c r="CT48">
        <f>IF(P48=0,0,COUNTIF(Transect1_imgsummary!E48:I48,"HALI")*100/P48)</f>
        <v>0</v>
      </c>
      <c r="CU48">
        <f>IF(P48=0,0,COUNTIF(Transect1_imgsummary!E48:I48,"LIAG")*100/P48)</f>
        <v>0</v>
      </c>
      <c r="CV48">
        <f>IF(P48=0,0,COUNTIF(Transect1_imgsummary!E48:I48,"LOBO")*100/P48)</f>
        <v>0</v>
      </c>
      <c r="CW48">
        <f>IF(P48=0,0,COUNTIF(Transect1_imgsummary!E48:I48,"MAST")*100/P48)</f>
        <v>0</v>
      </c>
      <c r="CX48">
        <f>IF(P48=0,0,COUNTIF(Transect1_imgsummary!E48:I48,"MICDTY")*100/P48)</f>
        <v>0</v>
      </c>
      <c r="CY48">
        <f>IF(P48=0,0,COUNTIF(Transect1_imgsummary!E48:I48,"NEOM")*100/P48)</f>
        <v>0</v>
      </c>
      <c r="CZ48">
        <f>IF(P48=0,0,COUNTIF(Transect1_imgsummary!E48:I48,"NOIDMAC")*100/P48)</f>
        <v>0</v>
      </c>
      <c r="DA48">
        <f>IF(P48=0,0,COUNTIF(Transect1_imgsummary!E48:I48,"PAD")*100/P48)</f>
        <v>0</v>
      </c>
      <c r="DB48">
        <f>IF(P48=0,0,COUNTIF(Transect1_imgsummary!E48:I48,"SARG")*100/P48)</f>
        <v>0</v>
      </c>
      <c r="DC48">
        <f>IF(P48=0,0,COUNTIF(Transect1_imgsummary!E48:I48,"SCHIZ")*100/P48)</f>
        <v>0</v>
      </c>
      <c r="DD48">
        <f>IF(P48=0,0,COUNTIF(Transect1_imgsummary!E48:I48,"TURB")*100/P48)</f>
        <v>0</v>
      </c>
      <c r="DE48">
        <f>IF(P48=0,0,COUNTIF(Transect1_imgsummary!E48:I48,"TYDM")*100/P48)</f>
        <v>0</v>
      </c>
      <c r="DG48">
        <f>IF(P48=0,0,COUNTIF(Transect1_imgsummary!E48:I48,"AMP")*100/P48)</f>
        <v>0</v>
      </c>
      <c r="DH48">
        <f>IF(P48=0,0,COUNTIF(Transect1_imgsummary!E48:I48,"BCA1")*100/P48)</f>
        <v>0</v>
      </c>
      <c r="DI48">
        <f>IF(P48=0,0,COUNTIF(Transect1_imgsummary!E48:I48,"JAN")*100/P48)</f>
        <v>0</v>
      </c>
      <c r="DK48" s="29">
        <f>IF(P48=0,0,COUNTIF(Transect1_imgsummary!E48:I48,"CCA1")*100/P48)</f>
        <v>40</v>
      </c>
      <c r="DM48">
        <f>IF(P48=0,0,COUNTIF(Transect1_imgsummary!E48:I48,"Sand")*100/P48)</f>
        <v>0</v>
      </c>
      <c r="DO48">
        <f>IF(P48=0,0,COUNTIF(Transect1_imgsummary!E48:I48,"FCA1")*100/P48)</f>
        <v>0</v>
      </c>
      <c r="DQ48">
        <f>IF(P48=0,0,COUNTIF(Transect1_imgsummary!E48:I48,"CHRYOBRN")*100/P48)</f>
        <v>0</v>
      </c>
      <c r="DS48" s="29">
        <f>IF(P48=0,0,COUNTIF(Transect1_imgsummary!E48:I48,"TURF")*100/P48)</f>
        <v>60</v>
      </c>
      <c r="DU48">
        <f>COUNTIF(Transect1_imgsummary!E48:I48,"Shadow")*100/5</f>
        <v>0</v>
      </c>
      <c r="DV48">
        <f>COUNTIF(Transect1_imgsummary!E48:I48,"Tape")*100/5</f>
        <v>0</v>
      </c>
      <c r="DW48">
        <f>COUNTIF(Transect1_imgsummary!E48:I48,"Wand")*100/5</f>
        <v>0</v>
      </c>
      <c r="DY48">
        <f>IF(P48=0,0,COUNTIF(Transect1_imgsummary!O48:S48,"BC")*100/P48)</f>
        <v>0</v>
      </c>
    </row>
    <row r="49" spans="1:129">
      <c r="A49">
        <v>47</v>
      </c>
      <c r="B49" t="s">
        <v>92</v>
      </c>
      <c r="F49">
        <f>IF(P49=0,0,COUNTIF(Transect1_imgsummary!J49:N49,"C")*100/P49)</f>
        <v>0</v>
      </c>
      <c r="G49">
        <f>IF(P49=0,0,COUNTIF(Transect1_imgsummary!J49:N49,"OI")*100/P49)</f>
        <v>0</v>
      </c>
      <c r="H49">
        <f>IF(P49=0,0,COUNTIF(Transect1_imgsummary!J49:N49,"MA")*100/P49)</f>
        <v>0</v>
      </c>
      <c r="I49">
        <f>IF(P49=0,0,COUNTIF(Transect1_imgsummary!J49:N49,"BCA")*100/P49)</f>
        <v>0</v>
      </c>
      <c r="J49" s="29">
        <f>IF(P49=0,0,COUNTIF(Transect1_imgsummary!J49:N49,"CCA")*100/P49)</f>
        <v>20</v>
      </c>
      <c r="K49">
        <f>IF(P49=0,0,COUNTIF(Transect1_imgsummary!J49:N49,"SD")*100/P49)</f>
        <v>0</v>
      </c>
      <c r="L49" s="29">
        <f>IF(P49=0,0,COUNTIF(Transect1_imgsummary!J49:N49,"FCA")*100/P49)</f>
        <v>20</v>
      </c>
      <c r="M49">
        <f>IF(P49=0,0,COUNTIF(Transect1_imgsummary!J49:N49,"CHRYS")*100/P49)</f>
        <v>0</v>
      </c>
      <c r="N49" s="29">
        <f>IF(P49=0,0,COUNTIF(Transect1_imgsummary!J49:N49,"T")*100/P49)</f>
        <v>60</v>
      </c>
      <c r="O49">
        <f>IF(P49=0,0,COUNTIF(Transect1_imgsummary!J49:N49,"TWS")*100/P49)</f>
        <v>0</v>
      </c>
      <c r="P49">
        <f>5-COUNTIF(Transect1_imgsummary!J49:N49,"TWS")</f>
        <v>5</v>
      </c>
      <c r="S49">
        <f>IF(P49=0,0,COUNTIF(Transect1_imgsummary!E49:I49,"ACAN")*100/P49)</f>
        <v>0</v>
      </c>
      <c r="T49">
        <f>IF(P49=0,0,COUNTIF(Transect1_imgsummary!E49:I49,"ACROP")*100/P49)</f>
        <v>0</v>
      </c>
      <c r="U49">
        <f>IF(P49=0,0,COUNTIF(Transect1_imgsummary!E49:I49,"ACROPARB")*100/P49)</f>
        <v>0</v>
      </c>
      <c r="V49">
        <f>IF(P49=0,0,COUNTIF(Transect1_imgsummary!E49:I49,"ACROST")*100/P49)</f>
        <v>0</v>
      </c>
      <c r="W49">
        <f>IF(P49=0,0,COUNTIF(Transect1_imgsummary!E49:I49,"ACROTBL")*100/P49)</f>
        <v>0</v>
      </c>
      <c r="X49">
        <f>IF(P49=0,0,COUNTIF(Transect1_imgsummary!E49:I49,"ASTRP")*100/P49)</f>
        <v>0</v>
      </c>
      <c r="Y49">
        <f>IF(P49=0,0,COUNTIF(Transect1_imgsummary!E49:I49,"CAUL")*100/P49)</f>
        <v>0</v>
      </c>
      <c r="Z49">
        <f>IF(P49=0,0,COUNTIF(Transect1_imgsummary!E49:I49,"COSC")*100/P49)</f>
        <v>0</v>
      </c>
      <c r="AA49">
        <f>IF(P49=0,0,COUNTIF(Transect1_imgsummary!E49:I49,"CTEN")*100/P49)</f>
        <v>0</v>
      </c>
      <c r="AB49">
        <f>IF(P49=0,0,COUNTIF(Transect1_imgsummary!E49:I49,"CYPH")*100/P49)</f>
        <v>0</v>
      </c>
      <c r="AC49">
        <f>IF(P49=0,0,COUNTIF(Transect1_imgsummary!E49:I49,"DIPLO")*100/P49)</f>
        <v>0</v>
      </c>
      <c r="AD49">
        <f>IF(P49=0,0,COUNTIF(Transect1_imgsummary!E49:I49,"ECHPO")*100/P49)</f>
        <v>0</v>
      </c>
      <c r="AE49">
        <f>IF(P49=0,0,COUNTIF(Transect1_imgsummary!E49:I49,"ECHPHY")*100/P49)</f>
        <v>0</v>
      </c>
      <c r="AF49">
        <f>IF(P49=0,0,COUNTIF(Transect1_imgsummary!E49:I49,"EUPH")*100/P49)</f>
        <v>0</v>
      </c>
      <c r="AG49">
        <f>IF(P49=0,0,COUNTIF(Transect1_imgsummary!E49:I49,"FAV")*100/P49)</f>
        <v>0</v>
      </c>
      <c r="AH49">
        <f>IF(P49=0,0,COUNTIF(Transect1_imgsummary!E49:I49,"FAVT")*100/P49)</f>
        <v>0</v>
      </c>
      <c r="AI49">
        <f>IF(P49=0,0,COUNTIF(Transect1_imgsummary!E49:I49,"FUNG")*100/P49)</f>
        <v>0</v>
      </c>
      <c r="AJ49">
        <f>IF(P49=0,0,COUNTIF(Transect1_imgsummary!E49:I49,"GAL")*100/P49)</f>
        <v>0</v>
      </c>
      <c r="AK49">
        <f>IF(P49=0,0,COUNTIF(Transect1_imgsummary!E49:I49,"GARD")*100/P49)</f>
        <v>0</v>
      </c>
      <c r="AL49">
        <f>IF(P49=0,0,COUNTIF(Transect1_imgsummary!E49:I49,"GON")*100/P49)</f>
        <v>0</v>
      </c>
      <c r="AM49">
        <f>IF(P49=0,0,COUNTIF(Transect1_imgsummary!E49:I49,"GONIO")*100/P49)</f>
        <v>0</v>
      </c>
      <c r="AN49">
        <f>IF(P49=0,0,COUNTIF(Transect1_imgsummary!E49:I49,"HELIO")*100/P49)</f>
        <v>0</v>
      </c>
      <c r="AO49">
        <f>IF(P49=0,0,COUNTIF(Transect1_imgsummary!E49:I49,"HERP")*100/P49)</f>
        <v>0</v>
      </c>
      <c r="AP49">
        <f>IF(P49=0,0,COUNTIF(Transect1_imgsummary!E49:I49,"HYD")*100/P49)</f>
        <v>0</v>
      </c>
      <c r="AQ49">
        <f>IF(P49=0,0,COUNTIF(Transect1_imgsummary!E49:I49,"ISOP")*100/P49)</f>
        <v>0</v>
      </c>
      <c r="AR49">
        <f>IF(P49=0,0,COUNTIF(Transect1_imgsummary!E49:I49,"LEPT")*100/P49)</f>
        <v>0</v>
      </c>
      <c r="AS49">
        <f>IF(P49=0,0,COUNTIF(Transect1_imgsummary!E49:I49,"LEPTOR")*100/P49)</f>
        <v>0</v>
      </c>
      <c r="AT49">
        <f>IF(P49=0,0,COUNTIF(Transect1_imgsummary!E49:I49,"LEPTOS")*100/P49)</f>
        <v>0</v>
      </c>
      <c r="AU49">
        <f>IF(P49=0,0,COUNTIF(Transect1_imgsummary!E49:I49,"LOBOPH")*100/P49)</f>
        <v>0</v>
      </c>
      <c r="AV49">
        <f>IF(P49=0,0,COUNTIF(Transect1_imgsummary!E49:I49,"MERU")*100/P49)</f>
        <v>0</v>
      </c>
      <c r="AW49">
        <f>IF(P49=0,0,COUNTIF(Transect1_imgsummary!E49:I49,"MILL")*100/P49)</f>
        <v>0</v>
      </c>
      <c r="AX49">
        <f>IF(P49=0,0,COUNTIF(Transect1_imgsummary!E49:I49,"MONT")*100/P49)</f>
        <v>0</v>
      </c>
      <c r="AY49">
        <f>IF(P49=0,0,COUNTIF(Transect1_imgsummary!E49:I49,"MONTI")*100/P49)</f>
        <v>0</v>
      </c>
      <c r="AZ49">
        <f>IF(P49=0,0,COUNTIF(Transect1_imgsummary!E49:I49,"MYCED")*100/P49)</f>
        <v>0</v>
      </c>
      <c r="BA49">
        <f>IF(P49=0,0,COUNTIF(Transect1_imgsummary!E49:I49,"OULO")*100/P49)</f>
        <v>0</v>
      </c>
      <c r="BB49">
        <f>IF(P49=0,0,COUNTIF(Transect1_imgsummary!E49:I49,"OXYP")*100/P49)</f>
        <v>0</v>
      </c>
      <c r="BC49">
        <f>IF(P49=0,0,COUNTIF(Transect1_imgsummary!E49:I49,"PLSIA")*100/P49)</f>
        <v>0</v>
      </c>
      <c r="BD49">
        <f>IF(P49=0,0,COUNTIF(Transect1_imgsummary!E49:I49,"PACHY")*100/P49)</f>
        <v>0</v>
      </c>
      <c r="BE49">
        <f>IF(P49=0,0,COUNTIF(Transect1_imgsummary!E49:I49,"PAV")*100/P49)</f>
        <v>0</v>
      </c>
      <c r="BF49">
        <f>IF(P49=0,0,COUNTIF(Transect1_imgsummary!E49:I49,"PECT")*100/P49)</f>
        <v>0</v>
      </c>
      <c r="BG49">
        <f>IF(P49=0,0,COUNTIF(Transect1_imgsummary!E49:I49,"PHYSO")*100/P49)</f>
        <v>0</v>
      </c>
      <c r="BH49">
        <f>IF(P49=0,0,COUNTIF(Transect1_imgsummary!E49:I49,"PLAT")*100/P49)</f>
        <v>0</v>
      </c>
      <c r="BI49">
        <f>IF(P49=0,0,COUNTIF(Transect1_imgsummary!E49:I49,"PLERO")*100/P49)</f>
        <v>0</v>
      </c>
      <c r="BJ49">
        <f>IF(P49=0,0,COUNTIF(Transect1_imgsummary!E49:I49,"POC")*100/P49)</f>
        <v>0</v>
      </c>
      <c r="BK49">
        <f>IF(P49=0,0,COUNTIF(Transect1_imgsummary!E49:I49,"POR")*100/P49)</f>
        <v>0</v>
      </c>
      <c r="BL49">
        <f>IF(P49=0,0,COUNTIF(Transect1_imgsummary!E49:I49,"PORCYL")*100/P49)</f>
        <v>0</v>
      </c>
      <c r="BM49">
        <f>IF(P49=0,0,COUNTIF(Transect1_imgsummary!E49:I49,"PORMAS")*100/P49)</f>
        <v>0</v>
      </c>
      <c r="BN49">
        <f>IF(P49=0,0,COUNTIF(Transect1_imgsummary!E49:I49,"PORRUS")*100/P49)</f>
        <v>0</v>
      </c>
      <c r="BO49">
        <f>IF(P49=0,0,COUNTIF(Transect1_imgsummary!E49:I49,"PSAM")*100/P49)</f>
        <v>0</v>
      </c>
      <c r="BP49">
        <f>IF(P49=0,0,COUNTIF(Transect1_imgsummary!E49:I49,"SANDO")*100/P49)</f>
        <v>0</v>
      </c>
      <c r="BQ49">
        <f>IF(P49=0,0,COUNTIF(Transect1_imgsummary!E49:I49,"SCAP")*100/P49)</f>
        <v>0</v>
      </c>
      <c r="BR49">
        <f>IF(P49=0,0,COUNTIF(Transect1_imgsummary!E49:I49,"SERIA")*100/P49)</f>
        <v>0</v>
      </c>
      <c r="BS49">
        <f>IF(P49=0,0,COUNTIF(Transect1_imgsummary!E49:I49,"STYLC")*100/P49)</f>
        <v>0</v>
      </c>
      <c r="BT49">
        <f>IF(P49=0,0,COUNTIF(Transect1_imgsummary!E49:I49,"STYLO")*100/P49)</f>
        <v>0</v>
      </c>
      <c r="BU49">
        <f>IF(P49=0,0,COUNTIF(Transect1_imgsummary!E49:I49,"SYMP")*100/P49)</f>
        <v>0</v>
      </c>
      <c r="BV49">
        <f>IF(P49=0,0,COUNTIF(Transect1_imgsummary!E49:I49,"TURBIN")*100/P49)</f>
        <v>0</v>
      </c>
      <c r="BX49">
        <f>IF(P49=0,0,COUNTIF(Transect1_imgsummary!E49:I49,"ANEM")*100/P49)</f>
        <v>0</v>
      </c>
      <c r="BY49">
        <f>IF(P49=0,0,COUNTIF(Transect1_imgsummary!E49:I49,"ASC")*100/P49)</f>
        <v>0</v>
      </c>
      <c r="BZ49">
        <f>IF(P49=0,0,COUNTIF(Transect1_imgsummary!E49:I49,"CUPS")*100/P49)</f>
        <v>0</v>
      </c>
      <c r="CA49">
        <f>IF(P49=0,0,COUNTIF(Transect1_imgsummary!E49:I49,"DISCO")*100/P49)</f>
        <v>0</v>
      </c>
      <c r="CB49">
        <f>IF(P49=0,0,COUNTIF(Transect1_imgsummary!E49:I49,"DYS")*100/P49)</f>
        <v>0</v>
      </c>
      <c r="CC49">
        <f>IF(P49=0,0,COUNTIF(Transect1_imgsummary!E49:I49,"G")*100/P49)</f>
        <v>0</v>
      </c>
      <c r="CD49">
        <f>IF(P49=0,0,COUNTIF(Transect1_imgsummary!E49:I49,"NoIDINV")*100/P49)</f>
        <v>0</v>
      </c>
      <c r="CE49">
        <f>IF(P49=0,0,COUNTIF(Transect1_imgsummary!E49:I49,"OLV")*100/P49)</f>
        <v>0</v>
      </c>
      <c r="CF49">
        <f>IF(P49=0,0,COUNTIF(Transect1_imgsummary!E49:I49,"SC")*100/P49)</f>
        <v>0</v>
      </c>
      <c r="CG49">
        <f>IF(P49=0,0,COUNTIF(Transect1_imgsummary!E49:I49,"S")*100/P49)</f>
        <v>0</v>
      </c>
      <c r="CH49">
        <f>IF(P49=0,0,COUNTIF(Transect1_imgsummary!E49:I49,"TERPS")*100/P49)</f>
        <v>0</v>
      </c>
      <c r="CI49">
        <f>IF(P49=0,0,COUNTIF(Transect1_imgsummary!E49:I49,"Z")*100/P49)</f>
        <v>0</v>
      </c>
      <c r="CK49">
        <f>IF(P49=0,0,COUNTIF(Transect1_imgsummary!E49:I49,"ASP")*100/P49)</f>
        <v>0</v>
      </c>
      <c r="CL49">
        <f>IF(P49=0,0,COUNTIF(Transect1_imgsummary!E49:I49,"BG")*100/P49)</f>
        <v>0</v>
      </c>
      <c r="CM49">
        <f>IF(P49=0,0,COUNTIF(Transect1_imgsummary!E49:I49,"Bood")*100/P49)</f>
        <v>0</v>
      </c>
      <c r="CN49">
        <f>IF(P49=0,0,COUNTIF(Transect1_imgsummary!E49:I49,"BRYP")*100/P49)</f>
        <v>0</v>
      </c>
      <c r="CO49">
        <f>IF(P49=0,0,COUNTIF(Transect1_imgsummary!E49:I49,"CLP")*100/P49)</f>
        <v>0</v>
      </c>
      <c r="CP49">
        <f>IF(P49=0,0,COUNTIF(Transect1_imgsummary!E49:I49,"CHLDES")*100/P49)</f>
        <v>0</v>
      </c>
      <c r="CQ49">
        <f>IF(P49=0,0,COUNTIF(Transect1_imgsummary!E49:I49,"DYCTY")*100/P49)</f>
        <v>0</v>
      </c>
      <c r="CR49">
        <f>IF(P49=0,0,COUNTIF(Transect1_imgsummary!E49:I49,"DICT")*100/P49)</f>
        <v>0</v>
      </c>
      <c r="CS49">
        <f>IF(P49=0,0,COUNTIF(Transect1_imgsummary!E49:I49,"GLXU")*100/P49)</f>
        <v>0</v>
      </c>
      <c r="CT49">
        <f>IF(P49=0,0,COUNTIF(Transect1_imgsummary!E49:I49,"HALI")*100/P49)</f>
        <v>0</v>
      </c>
      <c r="CU49">
        <f>IF(P49=0,0,COUNTIF(Transect1_imgsummary!E49:I49,"LIAG")*100/P49)</f>
        <v>0</v>
      </c>
      <c r="CV49">
        <f>IF(P49=0,0,COUNTIF(Transect1_imgsummary!E49:I49,"LOBO")*100/P49)</f>
        <v>0</v>
      </c>
      <c r="CW49">
        <f>IF(P49=0,0,COUNTIF(Transect1_imgsummary!E49:I49,"MAST")*100/P49)</f>
        <v>0</v>
      </c>
      <c r="CX49">
        <f>IF(P49=0,0,COUNTIF(Transect1_imgsummary!E49:I49,"MICDTY")*100/P49)</f>
        <v>0</v>
      </c>
      <c r="CY49">
        <f>IF(P49=0,0,COUNTIF(Transect1_imgsummary!E49:I49,"NEOM")*100/P49)</f>
        <v>0</v>
      </c>
      <c r="CZ49">
        <f>IF(P49=0,0,COUNTIF(Transect1_imgsummary!E49:I49,"NOIDMAC")*100/P49)</f>
        <v>0</v>
      </c>
      <c r="DA49">
        <f>IF(P49=0,0,COUNTIF(Transect1_imgsummary!E49:I49,"PAD")*100/P49)</f>
        <v>0</v>
      </c>
      <c r="DB49">
        <f>IF(P49=0,0,COUNTIF(Transect1_imgsummary!E49:I49,"SARG")*100/P49)</f>
        <v>0</v>
      </c>
      <c r="DC49">
        <f>IF(P49=0,0,COUNTIF(Transect1_imgsummary!E49:I49,"SCHIZ")*100/P49)</f>
        <v>0</v>
      </c>
      <c r="DD49">
        <f>IF(P49=0,0,COUNTIF(Transect1_imgsummary!E49:I49,"TURB")*100/P49)</f>
        <v>0</v>
      </c>
      <c r="DE49">
        <f>IF(P49=0,0,COUNTIF(Transect1_imgsummary!E49:I49,"TYDM")*100/P49)</f>
        <v>0</v>
      </c>
      <c r="DG49">
        <f>IF(P49=0,0,COUNTIF(Transect1_imgsummary!E49:I49,"AMP")*100/P49)</f>
        <v>0</v>
      </c>
      <c r="DH49">
        <f>IF(P49=0,0,COUNTIF(Transect1_imgsummary!E49:I49,"BCA1")*100/P49)</f>
        <v>0</v>
      </c>
      <c r="DI49">
        <f>IF(P49=0,0,COUNTIF(Transect1_imgsummary!E49:I49,"JAN")*100/P49)</f>
        <v>0</v>
      </c>
      <c r="DK49" s="29">
        <f>IF(P49=0,0,COUNTIF(Transect1_imgsummary!E49:I49,"CCA1")*100/P49)</f>
        <v>20</v>
      </c>
      <c r="DM49">
        <f>IF(P49=0,0,COUNTIF(Transect1_imgsummary!E49:I49,"Sand")*100/P49)</f>
        <v>0</v>
      </c>
      <c r="DO49" s="29">
        <f>IF(P49=0,0,COUNTIF(Transect1_imgsummary!E49:I49,"FCA1")*100/P49)</f>
        <v>20</v>
      </c>
      <c r="DQ49">
        <f>IF(P49=0,0,COUNTIF(Transect1_imgsummary!E49:I49,"CHRYOBRN")*100/P49)</f>
        <v>0</v>
      </c>
      <c r="DS49" s="29">
        <f>IF(P49=0,0,COUNTIF(Transect1_imgsummary!E49:I49,"TURF")*100/P49)</f>
        <v>60</v>
      </c>
      <c r="DU49">
        <f>COUNTIF(Transect1_imgsummary!E49:I49,"Shadow")*100/5</f>
        <v>0</v>
      </c>
      <c r="DV49">
        <f>COUNTIF(Transect1_imgsummary!E49:I49,"Tape")*100/5</f>
        <v>0</v>
      </c>
      <c r="DW49">
        <f>COUNTIF(Transect1_imgsummary!E49:I49,"Wand")*100/5</f>
        <v>0</v>
      </c>
      <c r="DY49">
        <f>IF(P49=0,0,COUNTIF(Transect1_imgsummary!O49:S49,"BC")*100/P49)</f>
        <v>0</v>
      </c>
    </row>
    <row r="50" spans="1:129">
      <c r="A50">
        <v>48</v>
      </c>
      <c r="B50" t="s">
        <v>93</v>
      </c>
      <c r="F50" s="29">
        <f>IF(P50=0,0,COUNTIF(Transect1_imgsummary!J50:N50,"C")*100/P50)</f>
        <v>40</v>
      </c>
      <c r="G50">
        <f>IF(P50=0,0,COUNTIF(Transect1_imgsummary!J50:N50,"OI")*100/P50)</f>
        <v>0</v>
      </c>
      <c r="H50">
        <f>IF(P50=0,0,COUNTIF(Transect1_imgsummary!J50:N50,"MA")*100/P50)</f>
        <v>0</v>
      </c>
      <c r="I50">
        <f>IF(P50=0,0,COUNTIF(Transect1_imgsummary!J50:N50,"BCA")*100/P50)</f>
        <v>0</v>
      </c>
      <c r="J50" s="29">
        <f>IF(P50=0,0,COUNTIF(Transect1_imgsummary!J50:N50,"CCA")*100/P50)</f>
        <v>40</v>
      </c>
      <c r="K50">
        <f>IF(P50=0,0,COUNTIF(Transect1_imgsummary!J50:N50,"SD")*100/P50)</f>
        <v>0</v>
      </c>
      <c r="L50">
        <f>IF(P50=0,0,COUNTIF(Transect1_imgsummary!J50:N50,"FCA")*100/P50)</f>
        <v>0</v>
      </c>
      <c r="M50">
        <f>IF(P50=0,0,COUNTIF(Transect1_imgsummary!J50:N50,"CHRYS")*100/P50)</f>
        <v>0</v>
      </c>
      <c r="N50" s="29">
        <f>IF(P50=0,0,COUNTIF(Transect1_imgsummary!J50:N50,"T")*100/P50)</f>
        <v>20</v>
      </c>
      <c r="O50">
        <f>IF(P50=0,0,COUNTIF(Transect1_imgsummary!J50:N50,"TWS")*100/P50)</f>
        <v>0</v>
      </c>
      <c r="P50">
        <f>5-COUNTIF(Transect1_imgsummary!J50:N50,"TWS")</f>
        <v>5</v>
      </c>
      <c r="S50">
        <f>IF(P50=0,0,COUNTIF(Transect1_imgsummary!E50:I50,"ACAN")*100/P50)</f>
        <v>0</v>
      </c>
      <c r="T50">
        <f>IF(P50=0,0,COUNTIF(Transect1_imgsummary!E50:I50,"ACROP")*100/P50)</f>
        <v>0</v>
      </c>
      <c r="U50">
        <f>IF(P50=0,0,COUNTIF(Transect1_imgsummary!E50:I50,"ACROPARB")*100/P50)</f>
        <v>0</v>
      </c>
      <c r="V50">
        <f>IF(P50=0,0,COUNTIF(Transect1_imgsummary!E50:I50,"ACROST")*100/P50)</f>
        <v>0</v>
      </c>
      <c r="W50">
        <f>IF(P50=0,0,COUNTIF(Transect1_imgsummary!E50:I50,"ACROTBL")*100/P50)</f>
        <v>0</v>
      </c>
      <c r="X50">
        <f>IF(P50=0,0,COUNTIF(Transect1_imgsummary!E50:I50,"ASTRP")*100/P50)</f>
        <v>0</v>
      </c>
      <c r="Y50">
        <f>IF(P50=0,0,COUNTIF(Transect1_imgsummary!E50:I50,"CAUL")*100/P50)</f>
        <v>0</v>
      </c>
      <c r="Z50">
        <f>IF(P50=0,0,COUNTIF(Transect1_imgsummary!E50:I50,"COSC")*100/P50)</f>
        <v>0</v>
      </c>
      <c r="AA50">
        <f>IF(P50=0,0,COUNTIF(Transect1_imgsummary!E50:I50,"CTEN")*100/P50)</f>
        <v>0</v>
      </c>
      <c r="AB50">
        <f>IF(P50=0,0,COUNTIF(Transect1_imgsummary!E50:I50,"CYPH")*100/P50)</f>
        <v>0</v>
      </c>
      <c r="AC50">
        <f>IF(P50=0,0,COUNTIF(Transect1_imgsummary!E50:I50,"DIPLO")*100/P50)</f>
        <v>0</v>
      </c>
      <c r="AD50">
        <f>IF(P50=0,0,COUNTIF(Transect1_imgsummary!E50:I50,"ECHPO")*100/P50)</f>
        <v>0</v>
      </c>
      <c r="AE50">
        <f>IF(P50=0,0,COUNTIF(Transect1_imgsummary!E50:I50,"ECHPHY")*100/P50)</f>
        <v>0</v>
      </c>
      <c r="AF50">
        <f>IF(P50=0,0,COUNTIF(Transect1_imgsummary!E50:I50,"EUPH")*100/P50)</f>
        <v>0</v>
      </c>
      <c r="AG50">
        <f>IF(P50=0,0,COUNTIF(Transect1_imgsummary!E50:I50,"FAV")*100/P50)</f>
        <v>0</v>
      </c>
      <c r="AH50">
        <f>IF(P50=0,0,COUNTIF(Transect1_imgsummary!E50:I50,"FAVT")*100/P50)</f>
        <v>0</v>
      </c>
      <c r="AI50">
        <f>IF(P50=0,0,COUNTIF(Transect1_imgsummary!E50:I50,"FUNG")*100/P50)</f>
        <v>0</v>
      </c>
      <c r="AJ50">
        <f>IF(P50=0,0,COUNTIF(Transect1_imgsummary!E50:I50,"GAL")*100/P50)</f>
        <v>0</v>
      </c>
      <c r="AK50">
        <f>IF(P50=0,0,COUNTIF(Transect1_imgsummary!E50:I50,"GARD")*100/P50)</f>
        <v>0</v>
      </c>
      <c r="AL50">
        <f>IF(P50=0,0,COUNTIF(Transect1_imgsummary!E50:I50,"GON")*100/P50)</f>
        <v>0</v>
      </c>
      <c r="AM50">
        <f>IF(P50=0,0,COUNTIF(Transect1_imgsummary!E50:I50,"GONIO")*100/P50)</f>
        <v>0</v>
      </c>
      <c r="AN50">
        <f>IF(P50=0,0,COUNTIF(Transect1_imgsummary!E50:I50,"HELIO")*100/P50)</f>
        <v>0</v>
      </c>
      <c r="AO50">
        <f>IF(P50=0,0,COUNTIF(Transect1_imgsummary!E50:I50,"HERP")*100/P50)</f>
        <v>0</v>
      </c>
      <c r="AP50">
        <f>IF(P50=0,0,COUNTIF(Transect1_imgsummary!E50:I50,"HYD")*100/P50)</f>
        <v>0</v>
      </c>
      <c r="AQ50">
        <f>IF(P50=0,0,COUNTIF(Transect1_imgsummary!E50:I50,"ISOP")*100/P50)</f>
        <v>0</v>
      </c>
      <c r="AR50">
        <f>IF(P50=0,0,COUNTIF(Transect1_imgsummary!E50:I50,"LEPT")*100/P50)</f>
        <v>0</v>
      </c>
      <c r="AS50">
        <f>IF(P50=0,0,COUNTIF(Transect1_imgsummary!E50:I50,"LEPTOR")*100/P50)</f>
        <v>0</v>
      </c>
      <c r="AT50">
        <f>IF(P50=0,0,COUNTIF(Transect1_imgsummary!E50:I50,"LEPTOS")*100/P50)</f>
        <v>0</v>
      </c>
      <c r="AU50">
        <f>IF(P50=0,0,COUNTIF(Transect1_imgsummary!E50:I50,"LOBOPH")*100/P50)</f>
        <v>0</v>
      </c>
      <c r="AV50">
        <f>IF(P50=0,0,COUNTIF(Transect1_imgsummary!E50:I50,"MERU")*100/P50)</f>
        <v>0</v>
      </c>
      <c r="AW50">
        <f>IF(P50=0,0,COUNTIF(Transect1_imgsummary!E50:I50,"MILL")*100/P50)</f>
        <v>0</v>
      </c>
      <c r="AX50">
        <f>IF(P50=0,0,COUNTIF(Transect1_imgsummary!E50:I50,"MONT")*100/P50)</f>
        <v>0</v>
      </c>
      <c r="AY50">
        <f>IF(P50=0,0,COUNTIF(Transect1_imgsummary!E50:I50,"MONTI")*100/P50)</f>
        <v>0</v>
      </c>
      <c r="AZ50">
        <f>IF(P50=0,0,COUNTIF(Transect1_imgsummary!E50:I50,"MYCED")*100/P50)</f>
        <v>0</v>
      </c>
      <c r="BA50">
        <f>IF(P50=0,0,COUNTIF(Transect1_imgsummary!E50:I50,"OULO")*100/P50)</f>
        <v>0</v>
      </c>
      <c r="BB50">
        <f>IF(P50=0,0,COUNTIF(Transect1_imgsummary!E50:I50,"OXYP")*100/P50)</f>
        <v>0</v>
      </c>
      <c r="BC50">
        <f>IF(P50=0,0,COUNTIF(Transect1_imgsummary!E50:I50,"PLSIA")*100/P50)</f>
        <v>0</v>
      </c>
      <c r="BD50">
        <f>IF(P50=0,0,COUNTIF(Transect1_imgsummary!E50:I50,"PACHY")*100/P50)</f>
        <v>0</v>
      </c>
      <c r="BE50">
        <f>IF(P50=0,0,COUNTIF(Transect1_imgsummary!E50:I50,"PAV")*100/P50)</f>
        <v>0</v>
      </c>
      <c r="BF50">
        <f>IF(P50=0,0,COUNTIF(Transect1_imgsummary!E50:I50,"PECT")*100/P50)</f>
        <v>0</v>
      </c>
      <c r="BG50">
        <f>IF(P50=0,0,COUNTIF(Transect1_imgsummary!E50:I50,"PHYSO")*100/P50)</f>
        <v>0</v>
      </c>
      <c r="BH50" s="29">
        <f>IF(P50=0,0,COUNTIF(Transect1_imgsummary!E50:I50,"PLAT")*100/P50)</f>
        <v>40</v>
      </c>
      <c r="BI50">
        <f>IF(P50=0,0,COUNTIF(Transect1_imgsummary!E50:I50,"PLERO")*100/P50)</f>
        <v>0</v>
      </c>
      <c r="BJ50">
        <f>IF(P50=0,0,COUNTIF(Transect1_imgsummary!E50:I50,"POC")*100/P50)</f>
        <v>0</v>
      </c>
      <c r="BK50">
        <f>IF(P50=0,0,COUNTIF(Transect1_imgsummary!E50:I50,"POR")*100/P50)</f>
        <v>0</v>
      </c>
      <c r="BL50">
        <f>IF(P50=0,0,COUNTIF(Transect1_imgsummary!E50:I50,"PORCYL")*100/P50)</f>
        <v>0</v>
      </c>
      <c r="BM50">
        <f>IF(P50=0,0,COUNTIF(Transect1_imgsummary!E50:I50,"PORMAS")*100/P50)</f>
        <v>0</v>
      </c>
      <c r="BN50">
        <f>IF(P50=0,0,COUNTIF(Transect1_imgsummary!E50:I50,"PORRUS")*100/P50)</f>
        <v>0</v>
      </c>
      <c r="BO50">
        <f>IF(P50=0,0,COUNTIF(Transect1_imgsummary!E50:I50,"PSAM")*100/P50)</f>
        <v>0</v>
      </c>
      <c r="BP50">
        <f>IF(P50=0,0,COUNTIF(Transect1_imgsummary!E50:I50,"SANDO")*100/P50)</f>
        <v>0</v>
      </c>
      <c r="BQ50">
        <f>IF(P50=0,0,COUNTIF(Transect1_imgsummary!E50:I50,"SCAP")*100/P50)</f>
        <v>0</v>
      </c>
      <c r="BR50">
        <f>IF(P50=0,0,COUNTIF(Transect1_imgsummary!E50:I50,"SERIA")*100/P50)</f>
        <v>0</v>
      </c>
      <c r="BS50">
        <f>IF(P50=0,0,COUNTIF(Transect1_imgsummary!E50:I50,"STYLC")*100/P50)</f>
        <v>0</v>
      </c>
      <c r="BT50">
        <f>IF(P50=0,0,COUNTIF(Transect1_imgsummary!E50:I50,"STYLO")*100/P50)</f>
        <v>0</v>
      </c>
      <c r="BU50">
        <f>IF(P50=0,0,COUNTIF(Transect1_imgsummary!E50:I50,"SYMP")*100/P50)</f>
        <v>0</v>
      </c>
      <c r="BV50">
        <f>IF(P50=0,0,COUNTIF(Transect1_imgsummary!E50:I50,"TURBIN")*100/P50)</f>
        <v>0</v>
      </c>
      <c r="BX50">
        <f>IF(P50=0,0,COUNTIF(Transect1_imgsummary!E50:I50,"ANEM")*100/P50)</f>
        <v>0</v>
      </c>
      <c r="BY50">
        <f>IF(P50=0,0,COUNTIF(Transect1_imgsummary!E50:I50,"ASC")*100/P50)</f>
        <v>0</v>
      </c>
      <c r="BZ50">
        <f>IF(P50=0,0,COUNTIF(Transect1_imgsummary!E50:I50,"CUPS")*100/P50)</f>
        <v>0</v>
      </c>
      <c r="CA50">
        <f>IF(P50=0,0,COUNTIF(Transect1_imgsummary!E50:I50,"DISCO")*100/P50)</f>
        <v>0</v>
      </c>
      <c r="CB50">
        <f>IF(P50=0,0,COUNTIF(Transect1_imgsummary!E50:I50,"DYS")*100/P50)</f>
        <v>0</v>
      </c>
      <c r="CC50">
        <f>IF(P50=0,0,COUNTIF(Transect1_imgsummary!E50:I50,"G")*100/P50)</f>
        <v>0</v>
      </c>
      <c r="CD50">
        <f>IF(P50=0,0,COUNTIF(Transect1_imgsummary!E50:I50,"NoIDINV")*100/P50)</f>
        <v>0</v>
      </c>
      <c r="CE50">
        <f>IF(P50=0,0,COUNTIF(Transect1_imgsummary!E50:I50,"OLV")*100/P50)</f>
        <v>0</v>
      </c>
      <c r="CF50">
        <f>IF(P50=0,0,COUNTIF(Transect1_imgsummary!E50:I50,"SC")*100/P50)</f>
        <v>0</v>
      </c>
      <c r="CG50">
        <f>IF(P50=0,0,COUNTIF(Transect1_imgsummary!E50:I50,"S")*100/P50)</f>
        <v>0</v>
      </c>
      <c r="CH50">
        <f>IF(P50=0,0,COUNTIF(Transect1_imgsummary!E50:I50,"TERPS")*100/P50)</f>
        <v>0</v>
      </c>
      <c r="CI50">
        <f>IF(P50=0,0,COUNTIF(Transect1_imgsummary!E50:I50,"Z")*100/P50)</f>
        <v>0</v>
      </c>
      <c r="CK50">
        <f>IF(P50=0,0,COUNTIF(Transect1_imgsummary!E50:I50,"ASP")*100/P50)</f>
        <v>0</v>
      </c>
      <c r="CL50">
        <f>IF(P50=0,0,COUNTIF(Transect1_imgsummary!E50:I50,"BG")*100/P50)</f>
        <v>0</v>
      </c>
      <c r="CM50">
        <f>IF(P50=0,0,COUNTIF(Transect1_imgsummary!E50:I50,"Bood")*100/P50)</f>
        <v>0</v>
      </c>
      <c r="CN50">
        <f>IF(P50=0,0,COUNTIF(Transect1_imgsummary!E50:I50,"BRYP")*100/P50)</f>
        <v>0</v>
      </c>
      <c r="CO50">
        <f>IF(P50=0,0,COUNTIF(Transect1_imgsummary!E50:I50,"CLP")*100/P50)</f>
        <v>0</v>
      </c>
      <c r="CP50">
        <f>IF(P50=0,0,COUNTIF(Transect1_imgsummary!E50:I50,"CHLDES")*100/P50)</f>
        <v>0</v>
      </c>
      <c r="CQ50">
        <f>IF(P50=0,0,COUNTIF(Transect1_imgsummary!E50:I50,"DYCTY")*100/P50)</f>
        <v>0</v>
      </c>
      <c r="CR50">
        <f>IF(P50=0,0,COUNTIF(Transect1_imgsummary!E50:I50,"DICT")*100/P50)</f>
        <v>0</v>
      </c>
      <c r="CS50">
        <f>IF(P50=0,0,COUNTIF(Transect1_imgsummary!E50:I50,"GLXU")*100/P50)</f>
        <v>0</v>
      </c>
      <c r="CT50">
        <f>IF(P50=0,0,COUNTIF(Transect1_imgsummary!E50:I50,"HALI")*100/P50)</f>
        <v>0</v>
      </c>
      <c r="CU50">
        <f>IF(P50=0,0,COUNTIF(Transect1_imgsummary!E50:I50,"LIAG")*100/P50)</f>
        <v>0</v>
      </c>
      <c r="CV50">
        <f>IF(P50=0,0,COUNTIF(Transect1_imgsummary!E50:I50,"LOBO")*100/P50)</f>
        <v>0</v>
      </c>
      <c r="CW50">
        <f>IF(P50=0,0,COUNTIF(Transect1_imgsummary!E50:I50,"MAST")*100/P50)</f>
        <v>0</v>
      </c>
      <c r="CX50">
        <f>IF(P50=0,0,COUNTIF(Transect1_imgsummary!E50:I50,"MICDTY")*100/P50)</f>
        <v>0</v>
      </c>
      <c r="CY50">
        <f>IF(P50=0,0,COUNTIF(Transect1_imgsummary!E50:I50,"NEOM")*100/P50)</f>
        <v>0</v>
      </c>
      <c r="CZ50">
        <f>IF(P50=0,0,COUNTIF(Transect1_imgsummary!E50:I50,"NOIDMAC")*100/P50)</f>
        <v>0</v>
      </c>
      <c r="DA50">
        <f>IF(P50=0,0,COUNTIF(Transect1_imgsummary!E50:I50,"PAD")*100/P50)</f>
        <v>0</v>
      </c>
      <c r="DB50">
        <f>IF(P50=0,0,COUNTIF(Transect1_imgsummary!E50:I50,"SARG")*100/P50)</f>
        <v>0</v>
      </c>
      <c r="DC50">
        <f>IF(P50=0,0,COUNTIF(Transect1_imgsummary!E50:I50,"SCHIZ")*100/P50)</f>
        <v>0</v>
      </c>
      <c r="DD50">
        <f>IF(P50=0,0,COUNTIF(Transect1_imgsummary!E50:I50,"TURB")*100/P50)</f>
        <v>0</v>
      </c>
      <c r="DE50">
        <f>IF(P50=0,0,COUNTIF(Transect1_imgsummary!E50:I50,"TYDM")*100/P50)</f>
        <v>0</v>
      </c>
      <c r="DG50">
        <f>IF(P50=0,0,COUNTIF(Transect1_imgsummary!E50:I50,"AMP")*100/P50)</f>
        <v>0</v>
      </c>
      <c r="DH50">
        <f>IF(P50=0,0,COUNTIF(Transect1_imgsummary!E50:I50,"BCA1")*100/P50)</f>
        <v>0</v>
      </c>
      <c r="DI50">
        <f>IF(P50=0,0,COUNTIF(Transect1_imgsummary!E50:I50,"JAN")*100/P50)</f>
        <v>0</v>
      </c>
      <c r="DK50" s="29">
        <f>IF(P50=0,0,COUNTIF(Transect1_imgsummary!E50:I50,"CCA1")*100/P50)</f>
        <v>40</v>
      </c>
      <c r="DM50">
        <f>IF(P50=0,0,COUNTIF(Transect1_imgsummary!E50:I50,"Sand")*100/P50)</f>
        <v>0</v>
      </c>
      <c r="DO50">
        <f>IF(P50=0,0,COUNTIF(Transect1_imgsummary!E50:I50,"FCA1")*100/P50)</f>
        <v>0</v>
      </c>
      <c r="DQ50">
        <f>IF(P50=0,0,COUNTIF(Transect1_imgsummary!E50:I50,"CHRYOBRN")*100/P50)</f>
        <v>0</v>
      </c>
      <c r="DS50" s="29">
        <f>IF(P50=0,0,COUNTIF(Transect1_imgsummary!E50:I50,"TURF")*100/P50)</f>
        <v>20</v>
      </c>
      <c r="DU50">
        <f>COUNTIF(Transect1_imgsummary!E50:I50,"Shadow")*100/5</f>
        <v>0</v>
      </c>
      <c r="DV50">
        <f>COUNTIF(Transect1_imgsummary!E50:I50,"Tape")*100/5</f>
        <v>0</v>
      </c>
      <c r="DW50">
        <f>COUNTIF(Transect1_imgsummary!E50:I50,"Wand")*100/5</f>
        <v>0</v>
      </c>
      <c r="DY50">
        <f>IF(P50=0,0,COUNTIF(Transect1_imgsummary!O50:S50,"BC")*100/P50)</f>
        <v>0</v>
      </c>
    </row>
    <row r="51" spans="1:129">
      <c r="A51">
        <v>49</v>
      </c>
      <c r="B51" t="s">
        <v>94</v>
      </c>
      <c r="F51" s="29">
        <f>IF(P51=0,0,COUNTIF(Transect1_imgsummary!J51:N51,"C")*100/P51)</f>
        <v>60</v>
      </c>
      <c r="G51">
        <f>IF(P51=0,0,COUNTIF(Transect1_imgsummary!J51:N51,"OI")*100/P51)</f>
        <v>0</v>
      </c>
      <c r="H51">
        <f>IF(P51=0,0,COUNTIF(Transect1_imgsummary!J51:N51,"MA")*100/P51)</f>
        <v>0</v>
      </c>
      <c r="I51">
        <f>IF(P51=0,0,COUNTIF(Transect1_imgsummary!J51:N51,"BCA")*100/P51)</f>
        <v>0</v>
      </c>
      <c r="J51">
        <f>IF(P51=0,0,COUNTIF(Transect1_imgsummary!J51:N51,"CCA")*100/P51)</f>
        <v>0</v>
      </c>
      <c r="K51">
        <f>IF(P51=0,0,COUNTIF(Transect1_imgsummary!J51:N51,"SD")*100/P51)</f>
        <v>0</v>
      </c>
      <c r="L51">
        <f>IF(P51=0,0,COUNTIF(Transect1_imgsummary!J51:N51,"FCA")*100/P51)</f>
        <v>0</v>
      </c>
      <c r="M51">
        <f>IF(P51=0,0,COUNTIF(Transect1_imgsummary!J51:N51,"CHRYS")*100/P51)</f>
        <v>0</v>
      </c>
      <c r="N51" s="29">
        <f>IF(P51=0,0,COUNTIF(Transect1_imgsummary!J51:N51,"T")*100/P51)</f>
        <v>40</v>
      </c>
      <c r="O51">
        <f>IF(P51=0,0,COUNTIF(Transect1_imgsummary!J51:N51,"TWS")*100/P51)</f>
        <v>0</v>
      </c>
      <c r="P51">
        <f>5-COUNTIF(Transect1_imgsummary!J51:N51,"TWS")</f>
        <v>5</v>
      </c>
      <c r="S51">
        <f>IF(P51=0,0,COUNTIF(Transect1_imgsummary!E51:I51,"ACAN")*100/P51)</f>
        <v>0</v>
      </c>
      <c r="T51">
        <f>IF(P51=0,0,COUNTIF(Transect1_imgsummary!E51:I51,"ACROP")*100/P51)</f>
        <v>0</v>
      </c>
      <c r="U51">
        <f>IF(P51=0,0,COUNTIF(Transect1_imgsummary!E51:I51,"ACROPARB")*100/P51)</f>
        <v>0</v>
      </c>
      <c r="V51">
        <f>IF(P51=0,0,COUNTIF(Transect1_imgsummary!E51:I51,"ACROST")*100/P51)</f>
        <v>0</v>
      </c>
      <c r="W51" s="29">
        <f>IF(P51=0,0,COUNTIF(Transect1_imgsummary!E51:I51,"ACROTBL")*100/P51)</f>
        <v>40</v>
      </c>
      <c r="X51">
        <f>IF(P51=0,0,COUNTIF(Transect1_imgsummary!E51:I51,"ASTRP")*100/P51)</f>
        <v>0</v>
      </c>
      <c r="Y51">
        <f>IF(P51=0,0,COUNTIF(Transect1_imgsummary!E51:I51,"CAUL")*100/P51)</f>
        <v>0</v>
      </c>
      <c r="Z51">
        <f>IF(P51=0,0,COUNTIF(Transect1_imgsummary!E51:I51,"COSC")*100/P51)</f>
        <v>0</v>
      </c>
      <c r="AA51">
        <f>IF(P51=0,0,COUNTIF(Transect1_imgsummary!E51:I51,"CTEN")*100/P51)</f>
        <v>0</v>
      </c>
      <c r="AB51">
        <f>IF(P51=0,0,COUNTIF(Transect1_imgsummary!E51:I51,"CYPH")*100/P51)</f>
        <v>0</v>
      </c>
      <c r="AC51">
        <f>IF(P51=0,0,COUNTIF(Transect1_imgsummary!E51:I51,"DIPLO")*100/P51)</f>
        <v>0</v>
      </c>
      <c r="AD51">
        <f>IF(P51=0,0,COUNTIF(Transect1_imgsummary!E51:I51,"ECHPO")*100/P51)</f>
        <v>0</v>
      </c>
      <c r="AE51">
        <f>IF(P51=0,0,COUNTIF(Transect1_imgsummary!E51:I51,"ECHPHY")*100/P51)</f>
        <v>0</v>
      </c>
      <c r="AF51">
        <f>IF(P51=0,0,COUNTIF(Transect1_imgsummary!E51:I51,"EUPH")*100/P51)</f>
        <v>0</v>
      </c>
      <c r="AG51">
        <f>IF(P51=0,0,COUNTIF(Transect1_imgsummary!E51:I51,"FAV")*100/P51)</f>
        <v>0</v>
      </c>
      <c r="AH51">
        <f>IF(P51=0,0,COUNTIF(Transect1_imgsummary!E51:I51,"FAVT")*100/P51)</f>
        <v>0</v>
      </c>
      <c r="AI51">
        <f>IF(P51=0,0,COUNTIF(Transect1_imgsummary!E51:I51,"FUNG")*100/P51)</f>
        <v>0</v>
      </c>
      <c r="AJ51">
        <f>IF(P51=0,0,COUNTIF(Transect1_imgsummary!E51:I51,"GAL")*100/P51)</f>
        <v>0</v>
      </c>
      <c r="AK51">
        <f>IF(P51=0,0,COUNTIF(Transect1_imgsummary!E51:I51,"GARD")*100/P51)</f>
        <v>0</v>
      </c>
      <c r="AL51">
        <f>IF(P51=0,0,COUNTIF(Transect1_imgsummary!E51:I51,"GON")*100/P51)</f>
        <v>0</v>
      </c>
      <c r="AM51">
        <f>IF(P51=0,0,COUNTIF(Transect1_imgsummary!E51:I51,"GONIO")*100/P51)</f>
        <v>0</v>
      </c>
      <c r="AN51">
        <f>IF(P51=0,0,COUNTIF(Transect1_imgsummary!E51:I51,"HELIO")*100/P51)</f>
        <v>0</v>
      </c>
      <c r="AO51">
        <f>IF(P51=0,0,COUNTIF(Transect1_imgsummary!E51:I51,"HERP")*100/P51)</f>
        <v>0</v>
      </c>
      <c r="AP51">
        <f>IF(P51=0,0,COUNTIF(Transect1_imgsummary!E51:I51,"HYD")*100/P51)</f>
        <v>0</v>
      </c>
      <c r="AQ51">
        <f>IF(P51=0,0,COUNTIF(Transect1_imgsummary!E51:I51,"ISOP")*100/P51)</f>
        <v>0</v>
      </c>
      <c r="AR51">
        <f>IF(P51=0,0,COUNTIF(Transect1_imgsummary!E51:I51,"LEPT")*100/P51)</f>
        <v>0</v>
      </c>
      <c r="AS51">
        <f>IF(P51=0,0,COUNTIF(Transect1_imgsummary!E51:I51,"LEPTOR")*100/P51)</f>
        <v>0</v>
      </c>
      <c r="AT51">
        <f>IF(P51=0,0,COUNTIF(Transect1_imgsummary!E51:I51,"LEPTOS")*100/P51)</f>
        <v>0</v>
      </c>
      <c r="AU51">
        <f>IF(P51=0,0,COUNTIF(Transect1_imgsummary!E51:I51,"LOBOPH")*100/P51)</f>
        <v>0</v>
      </c>
      <c r="AV51">
        <f>IF(P51=0,0,COUNTIF(Transect1_imgsummary!E51:I51,"MERU")*100/P51)</f>
        <v>0</v>
      </c>
      <c r="AW51">
        <f>IF(P51=0,0,COUNTIF(Transect1_imgsummary!E51:I51,"MILL")*100/P51)</f>
        <v>0</v>
      </c>
      <c r="AX51">
        <f>IF(P51=0,0,COUNTIF(Transect1_imgsummary!E51:I51,"MONT")*100/P51)</f>
        <v>0</v>
      </c>
      <c r="AY51">
        <f>IF(P51=0,0,COUNTIF(Transect1_imgsummary!E51:I51,"MONTI")*100/P51)</f>
        <v>0</v>
      </c>
      <c r="AZ51">
        <f>IF(P51=0,0,COUNTIF(Transect1_imgsummary!E51:I51,"MYCED")*100/P51)</f>
        <v>0</v>
      </c>
      <c r="BA51">
        <f>IF(P51=0,0,COUNTIF(Transect1_imgsummary!E51:I51,"OULO")*100/P51)</f>
        <v>0</v>
      </c>
      <c r="BB51">
        <f>IF(P51=0,0,COUNTIF(Transect1_imgsummary!E51:I51,"OXYP")*100/P51)</f>
        <v>0</v>
      </c>
      <c r="BC51">
        <f>IF(P51=0,0,COUNTIF(Transect1_imgsummary!E51:I51,"PLSIA")*100/P51)</f>
        <v>0</v>
      </c>
      <c r="BD51">
        <f>IF(P51=0,0,COUNTIF(Transect1_imgsummary!E51:I51,"PACHY")*100/P51)</f>
        <v>0</v>
      </c>
      <c r="BE51">
        <f>IF(P51=0,0,COUNTIF(Transect1_imgsummary!E51:I51,"PAV")*100/P51)</f>
        <v>0</v>
      </c>
      <c r="BF51">
        <f>IF(P51=0,0,COUNTIF(Transect1_imgsummary!E51:I51,"PECT")*100/P51)</f>
        <v>0</v>
      </c>
      <c r="BG51">
        <f>IF(P51=0,0,COUNTIF(Transect1_imgsummary!E51:I51,"PHYSO")*100/P51)</f>
        <v>0</v>
      </c>
      <c r="BH51">
        <f>IF(P51=0,0,COUNTIF(Transect1_imgsummary!E51:I51,"PLAT")*100/P51)</f>
        <v>0</v>
      </c>
      <c r="BI51">
        <f>IF(P51=0,0,COUNTIF(Transect1_imgsummary!E51:I51,"PLERO")*100/P51)</f>
        <v>0</v>
      </c>
      <c r="BJ51">
        <f>IF(P51=0,0,COUNTIF(Transect1_imgsummary!E51:I51,"POC")*100/P51)</f>
        <v>0</v>
      </c>
      <c r="BK51">
        <f>IF(P51=0,0,COUNTIF(Transect1_imgsummary!E51:I51,"POR")*100/P51)</f>
        <v>0</v>
      </c>
      <c r="BL51">
        <f>IF(P51=0,0,COUNTIF(Transect1_imgsummary!E51:I51,"PORCYL")*100/P51)</f>
        <v>0</v>
      </c>
      <c r="BM51">
        <f>IF(P51=0,0,COUNTIF(Transect1_imgsummary!E51:I51,"PORMAS")*100/P51)</f>
        <v>0</v>
      </c>
      <c r="BN51" s="29">
        <f>IF(P51=0,0,COUNTIF(Transect1_imgsummary!E51:I51,"PORRUS")*100/P51)</f>
        <v>20</v>
      </c>
      <c r="BO51">
        <f>IF(P51=0,0,COUNTIF(Transect1_imgsummary!E51:I51,"PSAM")*100/P51)</f>
        <v>0</v>
      </c>
      <c r="BP51">
        <f>IF(P51=0,0,COUNTIF(Transect1_imgsummary!E51:I51,"SANDO")*100/P51)</f>
        <v>0</v>
      </c>
      <c r="BQ51">
        <f>IF(P51=0,0,COUNTIF(Transect1_imgsummary!E51:I51,"SCAP")*100/P51)</f>
        <v>0</v>
      </c>
      <c r="BR51">
        <f>IF(P51=0,0,COUNTIF(Transect1_imgsummary!E51:I51,"SERIA")*100/P51)</f>
        <v>0</v>
      </c>
      <c r="BS51">
        <f>IF(P51=0,0,COUNTIF(Transect1_imgsummary!E51:I51,"STYLC")*100/P51)</f>
        <v>0</v>
      </c>
      <c r="BT51">
        <f>IF(P51=0,0,COUNTIF(Transect1_imgsummary!E51:I51,"STYLO")*100/P51)</f>
        <v>0</v>
      </c>
      <c r="BU51">
        <f>IF(P51=0,0,COUNTIF(Transect1_imgsummary!E51:I51,"SYMP")*100/P51)</f>
        <v>0</v>
      </c>
      <c r="BV51">
        <f>IF(P51=0,0,COUNTIF(Transect1_imgsummary!E51:I51,"TURBIN")*100/P51)</f>
        <v>0</v>
      </c>
      <c r="BX51">
        <f>IF(P51=0,0,COUNTIF(Transect1_imgsummary!E51:I51,"ANEM")*100/P51)</f>
        <v>0</v>
      </c>
      <c r="BY51">
        <f>IF(P51=0,0,COUNTIF(Transect1_imgsummary!E51:I51,"ASC")*100/P51)</f>
        <v>0</v>
      </c>
      <c r="BZ51">
        <f>IF(P51=0,0,COUNTIF(Transect1_imgsummary!E51:I51,"CUPS")*100/P51)</f>
        <v>0</v>
      </c>
      <c r="CA51">
        <f>IF(P51=0,0,COUNTIF(Transect1_imgsummary!E51:I51,"DISCO")*100/P51)</f>
        <v>0</v>
      </c>
      <c r="CB51">
        <f>IF(P51=0,0,COUNTIF(Transect1_imgsummary!E51:I51,"DYS")*100/P51)</f>
        <v>0</v>
      </c>
      <c r="CC51">
        <f>IF(P51=0,0,COUNTIF(Transect1_imgsummary!E51:I51,"G")*100/P51)</f>
        <v>0</v>
      </c>
      <c r="CD51">
        <f>IF(P51=0,0,COUNTIF(Transect1_imgsummary!E51:I51,"NoIDINV")*100/P51)</f>
        <v>0</v>
      </c>
      <c r="CE51">
        <f>IF(P51=0,0,COUNTIF(Transect1_imgsummary!E51:I51,"OLV")*100/P51)</f>
        <v>0</v>
      </c>
      <c r="CF51">
        <f>IF(P51=0,0,COUNTIF(Transect1_imgsummary!E51:I51,"SC")*100/P51)</f>
        <v>0</v>
      </c>
      <c r="CG51">
        <f>IF(P51=0,0,COUNTIF(Transect1_imgsummary!E51:I51,"S")*100/P51)</f>
        <v>0</v>
      </c>
      <c r="CH51">
        <f>IF(P51=0,0,COUNTIF(Transect1_imgsummary!E51:I51,"TERPS")*100/P51)</f>
        <v>0</v>
      </c>
      <c r="CI51">
        <f>IF(P51=0,0,COUNTIF(Transect1_imgsummary!E51:I51,"Z")*100/P51)</f>
        <v>0</v>
      </c>
      <c r="CK51">
        <f>IF(P51=0,0,COUNTIF(Transect1_imgsummary!E51:I51,"ASP")*100/P51)</f>
        <v>0</v>
      </c>
      <c r="CL51">
        <f>IF(P51=0,0,COUNTIF(Transect1_imgsummary!E51:I51,"BG")*100/P51)</f>
        <v>0</v>
      </c>
      <c r="CM51">
        <f>IF(P51=0,0,COUNTIF(Transect1_imgsummary!E51:I51,"Bood")*100/P51)</f>
        <v>0</v>
      </c>
      <c r="CN51">
        <f>IF(P51=0,0,COUNTIF(Transect1_imgsummary!E51:I51,"BRYP")*100/P51)</f>
        <v>0</v>
      </c>
      <c r="CO51">
        <f>IF(P51=0,0,COUNTIF(Transect1_imgsummary!E51:I51,"CLP")*100/P51)</f>
        <v>0</v>
      </c>
      <c r="CP51">
        <f>IF(P51=0,0,COUNTIF(Transect1_imgsummary!E51:I51,"CHLDES")*100/P51)</f>
        <v>0</v>
      </c>
      <c r="CQ51">
        <f>IF(P51=0,0,COUNTIF(Transect1_imgsummary!E51:I51,"DYCTY")*100/P51)</f>
        <v>0</v>
      </c>
      <c r="CR51">
        <f>IF(P51=0,0,COUNTIF(Transect1_imgsummary!E51:I51,"DICT")*100/P51)</f>
        <v>0</v>
      </c>
      <c r="CS51">
        <f>IF(P51=0,0,COUNTIF(Transect1_imgsummary!E51:I51,"GLXU")*100/P51)</f>
        <v>0</v>
      </c>
      <c r="CT51">
        <f>IF(P51=0,0,COUNTIF(Transect1_imgsummary!E51:I51,"HALI")*100/P51)</f>
        <v>0</v>
      </c>
      <c r="CU51">
        <f>IF(P51=0,0,COUNTIF(Transect1_imgsummary!E51:I51,"LIAG")*100/P51)</f>
        <v>0</v>
      </c>
      <c r="CV51">
        <f>IF(P51=0,0,COUNTIF(Transect1_imgsummary!E51:I51,"LOBO")*100/P51)</f>
        <v>0</v>
      </c>
      <c r="CW51">
        <f>IF(P51=0,0,COUNTIF(Transect1_imgsummary!E51:I51,"MAST")*100/P51)</f>
        <v>0</v>
      </c>
      <c r="CX51">
        <f>IF(P51=0,0,COUNTIF(Transect1_imgsummary!E51:I51,"MICDTY")*100/P51)</f>
        <v>0</v>
      </c>
      <c r="CY51">
        <f>IF(P51=0,0,COUNTIF(Transect1_imgsummary!E51:I51,"NEOM")*100/P51)</f>
        <v>0</v>
      </c>
      <c r="CZ51">
        <f>IF(P51=0,0,COUNTIF(Transect1_imgsummary!E51:I51,"NOIDMAC")*100/P51)</f>
        <v>0</v>
      </c>
      <c r="DA51">
        <f>IF(P51=0,0,COUNTIF(Transect1_imgsummary!E51:I51,"PAD")*100/P51)</f>
        <v>0</v>
      </c>
      <c r="DB51">
        <f>IF(P51=0,0,COUNTIF(Transect1_imgsummary!E51:I51,"SARG")*100/P51)</f>
        <v>0</v>
      </c>
      <c r="DC51">
        <f>IF(P51=0,0,COUNTIF(Transect1_imgsummary!E51:I51,"SCHIZ")*100/P51)</f>
        <v>0</v>
      </c>
      <c r="DD51">
        <f>IF(P51=0,0,COUNTIF(Transect1_imgsummary!E51:I51,"TURB")*100/P51)</f>
        <v>0</v>
      </c>
      <c r="DE51">
        <f>IF(P51=0,0,COUNTIF(Transect1_imgsummary!E51:I51,"TYDM")*100/P51)</f>
        <v>0</v>
      </c>
      <c r="DG51">
        <f>IF(P51=0,0,COUNTIF(Transect1_imgsummary!E51:I51,"AMP")*100/P51)</f>
        <v>0</v>
      </c>
      <c r="DH51">
        <f>IF(P51=0,0,COUNTIF(Transect1_imgsummary!E51:I51,"BCA1")*100/P51)</f>
        <v>0</v>
      </c>
      <c r="DI51">
        <f>IF(P51=0,0,COUNTIF(Transect1_imgsummary!E51:I51,"JAN")*100/P51)</f>
        <v>0</v>
      </c>
      <c r="DK51">
        <f>IF(P51=0,0,COUNTIF(Transect1_imgsummary!E51:I51,"CCA1")*100/P51)</f>
        <v>0</v>
      </c>
      <c r="DM51">
        <f>IF(P51=0,0,COUNTIF(Transect1_imgsummary!E51:I51,"Sand")*100/P51)</f>
        <v>0</v>
      </c>
      <c r="DO51">
        <f>IF(P51=0,0,COUNTIF(Transect1_imgsummary!E51:I51,"FCA1")*100/P51)</f>
        <v>0</v>
      </c>
      <c r="DQ51">
        <f>IF(P51=0,0,COUNTIF(Transect1_imgsummary!E51:I51,"CHRYOBRN")*100/P51)</f>
        <v>0</v>
      </c>
      <c r="DS51" s="29">
        <f>IF(P51=0,0,COUNTIF(Transect1_imgsummary!E51:I51,"TURF")*100/P51)</f>
        <v>40</v>
      </c>
      <c r="DU51">
        <f>COUNTIF(Transect1_imgsummary!E51:I51,"Shadow")*100/5</f>
        <v>0</v>
      </c>
      <c r="DV51">
        <f>COUNTIF(Transect1_imgsummary!E51:I51,"Tape")*100/5</f>
        <v>0</v>
      </c>
      <c r="DW51">
        <f>COUNTIF(Transect1_imgsummary!E51:I51,"Wand")*100/5</f>
        <v>0</v>
      </c>
      <c r="DY51">
        <f>IF(P51=0,0,COUNTIF(Transect1_imgsummary!O51:S51,"BC")*100/P51)</f>
        <v>0</v>
      </c>
    </row>
    <row r="52" spans="1:129">
      <c r="A52">
        <v>50</v>
      </c>
      <c r="B52" t="s">
        <v>544</v>
      </c>
      <c r="F52">
        <f>IF(P52=0,0,COUNTIF(Transect1_imgsummary!J52:N52,"C")*100/P52)</f>
        <v>0</v>
      </c>
      <c r="G52">
        <f>IF(P52=0,0,COUNTIF(Transect1_imgsummary!J52:N52,"OI")*100/P52)</f>
        <v>0</v>
      </c>
      <c r="H52">
        <f>IF(P52=0,0,COUNTIF(Transect1_imgsummary!J52:N52,"MA")*100/P52)</f>
        <v>0</v>
      </c>
      <c r="I52">
        <f>IF(P52=0,0,COUNTIF(Transect1_imgsummary!J52:N52,"BCA")*100/P52)</f>
        <v>0</v>
      </c>
      <c r="J52" s="29">
        <f>IF(P52=0,0,COUNTIF(Transect1_imgsummary!J52:N52,"CCA")*100/P52)</f>
        <v>40</v>
      </c>
      <c r="K52">
        <f>IF(P52=0,0,COUNTIF(Transect1_imgsummary!J52:N52,"SD")*100/P52)</f>
        <v>0</v>
      </c>
      <c r="L52" s="29">
        <f>IF(P52=0,0,COUNTIF(Transect1_imgsummary!J52:N52,"FCA")*100/P52)</f>
        <v>20</v>
      </c>
      <c r="M52">
        <f>IF(P52=0,0,COUNTIF(Transect1_imgsummary!J52:N52,"CHRYS")*100/P52)</f>
        <v>0</v>
      </c>
      <c r="N52" s="29">
        <f>IF(P52=0,0,COUNTIF(Transect1_imgsummary!J52:N52,"T")*100/P52)</f>
        <v>40</v>
      </c>
      <c r="O52">
        <f>IF(P52=0,0,COUNTIF(Transect1_imgsummary!J52:N52,"TWS")*100/P52)</f>
        <v>0</v>
      </c>
      <c r="P52">
        <f>5-COUNTIF(Transect1_imgsummary!J52:N52,"TWS")</f>
        <v>5</v>
      </c>
      <c r="S52">
        <f>IF(P52=0,0,COUNTIF(Transect1_imgsummary!E52:I52,"ACAN")*100/P52)</f>
        <v>0</v>
      </c>
      <c r="T52">
        <f>IF(P52=0,0,COUNTIF(Transect1_imgsummary!E52:I52,"ACROP")*100/P52)</f>
        <v>0</v>
      </c>
      <c r="U52">
        <f>IF(P52=0,0,COUNTIF(Transect1_imgsummary!E52:I52,"ACROPARB")*100/P52)</f>
        <v>0</v>
      </c>
      <c r="V52">
        <f>IF(P52=0,0,COUNTIF(Transect1_imgsummary!E52:I52,"ACROST")*100/P52)</f>
        <v>0</v>
      </c>
      <c r="W52">
        <f>IF(P52=0,0,COUNTIF(Transect1_imgsummary!E52:I52,"ACROTBL")*100/P52)</f>
        <v>0</v>
      </c>
      <c r="X52">
        <f>IF(P52=0,0,COUNTIF(Transect1_imgsummary!E52:I52,"ASTRP")*100/P52)</f>
        <v>0</v>
      </c>
      <c r="Y52">
        <f>IF(P52=0,0,COUNTIF(Transect1_imgsummary!E52:I52,"CAUL")*100/P52)</f>
        <v>0</v>
      </c>
      <c r="Z52">
        <f>IF(P52=0,0,COUNTIF(Transect1_imgsummary!E52:I52,"COSC")*100/P52)</f>
        <v>0</v>
      </c>
      <c r="AA52">
        <f>IF(P52=0,0,COUNTIF(Transect1_imgsummary!E52:I52,"CTEN")*100/P52)</f>
        <v>0</v>
      </c>
      <c r="AB52">
        <f>IF(P52=0,0,COUNTIF(Transect1_imgsummary!E52:I52,"CYPH")*100/P52)</f>
        <v>0</v>
      </c>
      <c r="AC52">
        <f>IF(P52=0,0,COUNTIF(Transect1_imgsummary!E52:I52,"DIPLO")*100/P52)</f>
        <v>0</v>
      </c>
      <c r="AD52">
        <f>IF(P52=0,0,COUNTIF(Transect1_imgsummary!E52:I52,"ECHPO")*100/P52)</f>
        <v>0</v>
      </c>
      <c r="AE52">
        <f>IF(P52=0,0,COUNTIF(Transect1_imgsummary!E52:I52,"ECHPHY")*100/P52)</f>
        <v>0</v>
      </c>
      <c r="AF52">
        <f>IF(P52=0,0,COUNTIF(Transect1_imgsummary!E52:I52,"EUPH")*100/P52)</f>
        <v>0</v>
      </c>
      <c r="AG52">
        <f>IF(P52=0,0,COUNTIF(Transect1_imgsummary!E52:I52,"FAV")*100/P52)</f>
        <v>0</v>
      </c>
      <c r="AH52">
        <f>IF(P52=0,0,COUNTIF(Transect1_imgsummary!E52:I52,"FAVT")*100/P52)</f>
        <v>0</v>
      </c>
      <c r="AI52">
        <f>IF(P52=0,0,COUNTIF(Transect1_imgsummary!E52:I52,"FUNG")*100/P52)</f>
        <v>0</v>
      </c>
      <c r="AJ52">
        <f>IF(P52=0,0,COUNTIF(Transect1_imgsummary!E52:I52,"GAL")*100/P52)</f>
        <v>0</v>
      </c>
      <c r="AK52">
        <f>IF(P52=0,0,COUNTIF(Transect1_imgsummary!E52:I52,"GARD")*100/P52)</f>
        <v>0</v>
      </c>
      <c r="AL52">
        <f>IF(P52=0,0,COUNTIF(Transect1_imgsummary!E52:I52,"GON")*100/P52)</f>
        <v>0</v>
      </c>
      <c r="AM52">
        <f>IF(P52=0,0,COUNTIF(Transect1_imgsummary!E52:I52,"GONIO")*100/P52)</f>
        <v>0</v>
      </c>
      <c r="AN52">
        <f>IF(P52=0,0,COUNTIF(Transect1_imgsummary!E52:I52,"HELIO")*100/P52)</f>
        <v>0</v>
      </c>
      <c r="AO52">
        <f>IF(P52=0,0,COUNTIF(Transect1_imgsummary!E52:I52,"HERP")*100/P52)</f>
        <v>0</v>
      </c>
      <c r="AP52">
        <f>IF(P52=0,0,COUNTIF(Transect1_imgsummary!E52:I52,"HYD")*100/P52)</f>
        <v>0</v>
      </c>
      <c r="AQ52">
        <f>IF(P52=0,0,COUNTIF(Transect1_imgsummary!E52:I52,"ISOP")*100/P52)</f>
        <v>0</v>
      </c>
      <c r="AR52">
        <f>IF(P52=0,0,COUNTIF(Transect1_imgsummary!E52:I52,"LEPT")*100/P52)</f>
        <v>0</v>
      </c>
      <c r="AS52">
        <f>IF(P52=0,0,COUNTIF(Transect1_imgsummary!E52:I52,"LEPTOR")*100/P52)</f>
        <v>0</v>
      </c>
      <c r="AT52">
        <f>IF(P52=0,0,COUNTIF(Transect1_imgsummary!E52:I52,"LEPTOS")*100/P52)</f>
        <v>0</v>
      </c>
      <c r="AU52">
        <f>IF(P52=0,0,COUNTIF(Transect1_imgsummary!E52:I52,"LOBOPH")*100/P52)</f>
        <v>0</v>
      </c>
      <c r="AV52">
        <f>IF(P52=0,0,COUNTIF(Transect1_imgsummary!E52:I52,"MERU")*100/P52)</f>
        <v>0</v>
      </c>
      <c r="AW52">
        <f>IF(P52=0,0,COUNTIF(Transect1_imgsummary!E52:I52,"MILL")*100/P52)</f>
        <v>0</v>
      </c>
      <c r="AX52">
        <f>IF(P52=0,0,COUNTIF(Transect1_imgsummary!E52:I52,"MONT")*100/P52)</f>
        <v>0</v>
      </c>
      <c r="AY52">
        <f>IF(P52=0,0,COUNTIF(Transect1_imgsummary!E52:I52,"MONTI")*100/P52)</f>
        <v>0</v>
      </c>
      <c r="AZ52">
        <f>IF(P52=0,0,COUNTIF(Transect1_imgsummary!E52:I52,"MYCED")*100/P52)</f>
        <v>0</v>
      </c>
      <c r="BA52">
        <f>IF(P52=0,0,COUNTIF(Transect1_imgsummary!E52:I52,"OULO")*100/P52)</f>
        <v>0</v>
      </c>
      <c r="BB52">
        <f>IF(P52=0,0,COUNTIF(Transect1_imgsummary!E52:I52,"OXYP")*100/P52)</f>
        <v>0</v>
      </c>
      <c r="BC52">
        <f>IF(P52=0,0,COUNTIF(Transect1_imgsummary!E52:I52,"PLSIA")*100/P52)</f>
        <v>0</v>
      </c>
      <c r="BD52">
        <f>IF(P52=0,0,COUNTIF(Transect1_imgsummary!E52:I52,"PACHY")*100/P52)</f>
        <v>0</v>
      </c>
      <c r="BE52">
        <f>IF(P52=0,0,COUNTIF(Transect1_imgsummary!E52:I52,"PAV")*100/P52)</f>
        <v>0</v>
      </c>
      <c r="BF52">
        <f>IF(P52=0,0,COUNTIF(Transect1_imgsummary!E52:I52,"PECT")*100/P52)</f>
        <v>0</v>
      </c>
      <c r="BG52">
        <f>IF(P52=0,0,COUNTIF(Transect1_imgsummary!E52:I52,"PHYSO")*100/P52)</f>
        <v>0</v>
      </c>
      <c r="BH52">
        <f>IF(P52=0,0,COUNTIF(Transect1_imgsummary!E52:I52,"PLAT")*100/P52)</f>
        <v>0</v>
      </c>
      <c r="BI52">
        <f>IF(P52=0,0,COUNTIF(Transect1_imgsummary!E52:I52,"PLERO")*100/P52)</f>
        <v>0</v>
      </c>
      <c r="BJ52">
        <f>IF(P52=0,0,COUNTIF(Transect1_imgsummary!E52:I52,"POC")*100/P52)</f>
        <v>0</v>
      </c>
      <c r="BK52">
        <f>IF(P52=0,0,COUNTIF(Transect1_imgsummary!E52:I52,"POR")*100/P52)</f>
        <v>0</v>
      </c>
      <c r="BL52">
        <f>IF(P52=0,0,COUNTIF(Transect1_imgsummary!E52:I52,"PORCYL")*100/P52)</f>
        <v>0</v>
      </c>
      <c r="BM52">
        <f>IF(P52=0,0,COUNTIF(Transect1_imgsummary!E52:I52,"PORMAS")*100/P52)</f>
        <v>0</v>
      </c>
      <c r="BN52">
        <f>IF(P52=0,0,COUNTIF(Transect1_imgsummary!E52:I52,"PORRUS")*100/P52)</f>
        <v>0</v>
      </c>
      <c r="BO52">
        <f>IF(P52=0,0,COUNTIF(Transect1_imgsummary!E52:I52,"PSAM")*100/P52)</f>
        <v>0</v>
      </c>
      <c r="BP52">
        <f>IF(P52=0,0,COUNTIF(Transect1_imgsummary!E52:I52,"SANDO")*100/P52)</f>
        <v>0</v>
      </c>
      <c r="BQ52">
        <f>IF(P52=0,0,COUNTIF(Transect1_imgsummary!E52:I52,"SCAP")*100/P52)</f>
        <v>0</v>
      </c>
      <c r="BR52">
        <f>IF(P52=0,0,COUNTIF(Transect1_imgsummary!E52:I52,"SERIA")*100/P52)</f>
        <v>0</v>
      </c>
      <c r="BS52">
        <f>IF(P52=0,0,COUNTIF(Transect1_imgsummary!E52:I52,"STYLC")*100/P52)</f>
        <v>0</v>
      </c>
      <c r="BT52">
        <f>IF(P52=0,0,COUNTIF(Transect1_imgsummary!E52:I52,"STYLO")*100/P52)</f>
        <v>0</v>
      </c>
      <c r="BU52">
        <f>IF(P52=0,0,COUNTIF(Transect1_imgsummary!E52:I52,"SYMP")*100/P52)</f>
        <v>0</v>
      </c>
      <c r="BV52">
        <f>IF(P52=0,0,COUNTIF(Transect1_imgsummary!E52:I52,"TURBIN")*100/P52)</f>
        <v>0</v>
      </c>
      <c r="BX52">
        <f>IF(P52=0,0,COUNTIF(Transect1_imgsummary!E52:I52,"ANEM")*100/P52)</f>
        <v>0</v>
      </c>
      <c r="BY52">
        <f>IF(P52=0,0,COUNTIF(Transect1_imgsummary!E52:I52,"ASC")*100/P52)</f>
        <v>0</v>
      </c>
      <c r="BZ52">
        <f>IF(P52=0,0,COUNTIF(Transect1_imgsummary!E52:I52,"CUPS")*100/P52)</f>
        <v>0</v>
      </c>
      <c r="CA52">
        <f>IF(P52=0,0,COUNTIF(Transect1_imgsummary!E52:I52,"DISCO")*100/P52)</f>
        <v>0</v>
      </c>
      <c r="CB52">
        <f>IF(P52=0,0,COUNTIF(Transect1_imgsummary!E52:I52,"DYS")*100/P52)</f>
        <v>0</v>
      </c>
      <c r="CC52">
        <f>IF(P52=0,0,COUNTIF(Transect1_imgsummary!E52:I52,"G")*100/P52)</f>
        <v>0</v>
      </c>
      <c r="CD52">
        <f>IF(P52=0,0,COUNTIF(Transect1_imgsummary!E52:I52,"NoIDINV")*100/P52)</f>
        <v>0</v>
      </c>
      <c r="CE52">
        <f>IF(P52=0,0,COUNTIF(Transect1_imgsummary!E52:I52,"OLV")*100/P52)</f>
        <v>0</v>
      </c>
      <c r="CF52">
        <f>IF(P52=0,0,COUNTIF(Transect1_imgsummary!E52:I52,"SC")*100/P52)</f>
        <v>0</v>
      </c>
      <c r="CG52">
        <f>IF(P52=0,0,COUNTIF(Transect1_imgsummary!E52:I52,"S")*100/P52)</f>
        <v>0</v>
      </c>
      <c r="CH52">
        <f>IF(P52=0,0,COUNTIF(Transect1_imgsummary!E52:I52,"TERPS")*100/P52)</f>
        <v>0</v>
      </c>
      <c r="CI52">
        <f>IF(P52=0,0,COUNTIF(Transect1_imgsummary!E52:I52,"Z")*100/P52)</f>
        <v>0</v>
      </c>
      <c r="CK52">
        <f>IF(P52=0,0,COUNTIF(Transect1_imgsummary!E52:I52,"ASP")*100/P52)</f>
        <v>0</v>
      </c>
      <c r="CL52">
        <f>IF(P52=0,0,COUNTIF(Transect1_imgsummary!E52:I52,"BG")*100/P52)</f>
        <v>0</v>
      </c>
      <c r="CM52">
        <f>IF(P52=0,0,COUNTIF(Transect1_imgsummary!E52:I52,"Bood")*100/P52)</f>
        <v>0</v>
      </c>
      <c r="CN52">
        <f>IF(P52=0,0,COUNTIF(Transect1_imgsummary!E52:I52,"BRYP")*100/P52)</f>
        <v>0</v>
      </c>
      <c r="CO52">
        <f>IF(P52=0,0,COUNTIF(Transect1_imgsummary!E52:I52,"CLP")*100/P52)</f>
        <v>0</v>
      </c>
      <c r="CP52">
        <f>IF(P52=0,0,COUNTIF(Transect1_imgsummary!E52:I52,"CHLDES")*100/P52)</f>
        <v>0</v>
      </c>
      <c r="CQ52">
        <f>IF(P52=0,0,COUNTIF(Transect1_imgsummary!E52:I52,"DYCTY")*100/P52)</f>
        <v>0</v>
      </c>
      <c r="CR52">
        <f>IF(P52=0,0,COUNTIF(Transect1_imgsummary!E52:I52,"DICT")*100/P52)</f>
        <v>0</v>
      </c>
      <c r="CS52">
        <f>IF(P52=0,0,COUNTIF(Transect1_imgsummary!E52:I52,"GLXU")*100/P52)</f>
        <v>0</v>
      </c>
      <c r="CT52">
        <f>IF(P52=0,0,COUNTIF(Transect1_imgsummary!E52:I52,"HALI")*100/P52)</f>
        <v>0</v>
      </c>
      <c r="CU52">
        <f>IF(P52=0,0,COUNTIF(Transect1_imgsummary!E52:I52,"LIAG")*100/P52)</f>
        <v>0</v>
      </c>
      <c r="CV52">
        <f>IF(P52=0,0,COUNTIF(Transect1_imgsummary!E52:I52,"LOBO")*100/P52)</f>
        <v>0</v>
      </c>
      <c r="CW52">
        <f>IF(P52=0,0,COUNTIF(Transect1_imgsummary!E52:I52,"MAST")*100/P52)</f>
        <v>0</v>
      </c>
      <c r="CX52">
        <f>IF(P52=0,0,COUNTIF(Transect1_imgsummary!E52:I52,"MICDTY")*100/P52)</f>
        <v>0</v>
      </c>
      <c r="CY52">
        <f>IF(P52=0,0,COUNTIF(Transect1_imgsummary!E52:I52,"NEOM")*100/P52)</f>
        <v>0</v>
      </c>
      <c r="CZ52">
        <f>IF(P52=0,0,COUNTIF(Transect1_imgsummary!E52:I52,"NOIDMAC")*100/P52)</f>
        <v>0</v>
      </c>
      <c r="DA52">
        <f>IF(P52=0,0,COUNTIF(Transect1_imgsummary!E52:I52,"PAD")*100/P52)</f>
        <v>0</v>
      </c>
      <c r="DB52">
        <f>IF(P52=0,0,COUNTIF(Transect1_imgsummary!E52:I52,"SARG")*100/P52)</f>
        <v>0</v>
      </c>
      <c r="DC52">
        <f>IF(P52=0,0,COUNTIF(Transect1_imgsummary!E52:I52,"SCHIZ")*100/P52)</f>
        <v>0</v>
      </c>
      <c r="DD52">
        <f>IF(P52=0,0,COUNTIF(Transect1_imgsummary!E52:I52,"TURB")*100/P52)</f>
        <v>0</v>
      </c>
      <c r="DE52">
        <f>IF(P52=0,0,COUNTIF(Transect1_imgsummary!E52:I52,"TYDM")*100/P52)</f>
        <v>0</v>
      </c>
      <c r="DG52">
        <f>IF(P52=0,0,COUNTIF(Transect1_imgsummary!E52:I52,"AMP")*100/P52)</f>
        <v>0</v>
      </c>
      <c r="DH52">
        <f>IF(P52=0,0,COUNTIF(Transect1_imgsummary!E52:I52,"BCA1")*100/P52)</f>
        <v>0</v>
      </c>
      <c r="DI52">
        <f>IF(P52=0,0,COUNTIF(Transect1_imgsummary!E52:I52,"JAN")*100/P52)</f>
        <v>0</v>
      </c>
      <c r="DK52" s="29">
        <f>IF(P52=0,0,COUNTIF(Transect1_imgsummary!E52:I52,"CCA1")*100/P52)</f>
        <v>40</v>
      </c>
      <c r="DM52">
        <f>IF(P52=0,0,COUNTIF(Transect1_imgsummary!E52:I52,"Sand")*100/P52)</f>
        <v>0</v>
      </c>
      <c r="DO52" s="29">
        <f>IF(P52=0,0,COUNTIF(Transect1_imgsummary!E52:I52,"FCA1")*100/P52)</f>
        <v>20</v>
      </c>
      <c r="DQ52">
        <f>IF(P52=0,0,COUNTIF(Transect1_imgsummary!E52:I52,"CHRYOBRN")*100/P52)</f>
        <v>0</v>
      </c>
      <c r="DS52" s="29">
        <f>IF(P52=0,0,COUNTIF(Transect1_imgsummary!E52:I52,"TURF")*100/P52)</f>
        <v>40</v>
      </c>
      <c r="DU52">
        <f>COUNTIF(Transect1_imgsummary!E52:I52,"Shadow")*100/5</f>
        <v>0</v>
      </c>
      <c r="DV52">
        <f>COUNTIF(Transect1_imgsummary!E52:I52,"Tape")*100/5</f>
        <v>0</v>
      </c>
      <c r="DW52">
        <f>COUNTIF(Transect1_imgsummary!E52:I52,"Wand")*100/5</f>
        <v>0</v>
      </c>
      <c r="DY52">
        <f>IF(P52=0,0,COUNTIF(Transect1_imgsummary!O52:S52,"BC")*100/P52)</f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52"/>
  <sheetViews>
    <sheetView workbookViewId="0"/>
  </sheetViews>
  <sheetFormatPr baseColWidth="10" defaultColWidth="8.83203125" defaultRowHeight="14" x14ac:dyDescent="0"/>
  <cols>
    <col min="1" max="1" width="2.83203125" bestFit="1" customWidth="1"/>
    <col min="2" max="2" width="12.83203125" bestFit="1" customWidth="1"/>
    <col min="3" max="4" width="1.83203125" bestFit="1" customWidth="1"/>
    <col min="5" max="5" width="3.33203125" style="17" bestFit="1" customWidth="1"/>
    <col min="6" max="6" width="5.33203125" bestFit="1" customWidth="1"/>
    <col min="7" max="8" width="3.33203125" bestFit="1" customWidth="1"/>
    <col min="9" max="10" width="4.33203125" bestFit="1" customWidth="1"/>
    <col min="11" max="11" width="3.33203125" bestFit="1" customWidth="1"/>
    <col min="12" max="12" width="4.33203125" bestFit="1" customWidth="1"/>
    <col min="13" max="13" width="3.33203125" bestFit="1" customWidth="1"/>
    <col min="14" max="14" width="4.33203125" bestFit="1" customWidth="1"/>
    <col min="15" max="16" width="3.33203125" bestFit="1" customWidth="1"/>
    <col min="17" max="17" width="3.33203125" style="17" bestFit="1" customWidth="1"/>
    <col min="18" max="18" width="3.33203125" style="10" bestFit="1" customWidth="1"/>
    <col min="19" max="19" width="3.33203125" bestFit="1" customWidth="1"/>
    <col min="20" max="20" width="4.33203125" bestFit="1" customWidth="1"/>
    <col min="21" max="22" width="3.33203125" bestFit="1" customWidth="1"/>
    <col min="23" max="23" width="5.33203125" bestFit="1" customWidth="1"/>
    <col min="24" max="29" width="3.33203125" bestFit="1" customWidth="1"/>
    <col min="30" max="30" width="4.33203125" bestFit="1" customWidth="1"/>
    <col min="31" max="32" width="3.33203125" bestFit="1" customWidth="1"/>
    <col min="33" max="34" width="4.33203125" bestFit="1" customWidth="1"/>
    <col min="35" max="38" width="3.33203125" bestFit="1" customWidth="1"/>
    <col min="39" max="39" width="4.33203125" bestFit="1" customWidth="1"/>
    <col min="40" max="41" width="3.33203125" bestFit="1" customWidth="1"/>
    <col min="42" max="43" width="4.33203125" bestFit="1" customWidth="1"/>
    <col min="44" max="44" width="5.33203125" bestFit="1" customWidth="1"/>
    <col min="45" max="45" width="4.33203125" bestFit="1" customWidth="1"/>
    <col min="46" max="47" width="3.33203125" bestFit="1" customWidth="1"/>
    <col min="48" max="48" width="4.33203125" bestFit="1" customWidth="1"/>
    <col min="49" max="50" width="3.33203125" bestFit="1" customWidth="1"/>
    <col min="51" max="51" width="4.33203125" bestFit="1" customWidth="1"/>
    <col min="52" max="55" width="3.33203125" bestFit="1" customWidth="1"/>
    <col min="56" max="56" width="4.33203125" bestFit="1" customWidth="1"/>
    <col min="57" max="59" width="3.33203125" bestFit="1" customWidth="1"/>
    <col min="60" max="60" width="4.33203125" bestFit="1" customWidth="1"/>
    <col min="61" max="61" width="3.33203125" bestFit="1" customWidth="1"/>
    <col min="62" max="62" width="4.33203125" bestFit="1" customWidth="1"/>
    <col min="63" max="65" width="3.33203125" bestFit="1" customWidth="1"/>
    <col min="66" max="66" width="4.33203125" bestFit="1" customWidth="1"/>
    <col min="67" max="71" width="3.33203125" bestFit="1" customWidth="1"/>
    <col min="72" max="73" width="4.33203125" bestFit="1" customWidth="1"/>
    <col min="74" max="74" width="3.33203125" bestFit="1" customWidth="1"/>
    <col min="75" max="75" width="3.33203125" style="10" bestFit="1" customWidth="1"/>
    <col min="76" max="87" width="3.33203125" bestFit="1" customWidth="1"/>
    <col min="88" max="88" width="3.33203125" style="10" bestFit="1" customWidth="1"/>
    <col min="89" max="109" width="3.33203125" bestFit="1" customWidth="1"/>
    <col min="110" max="110" width="3.33203125" style="10" bestFit="1" customWidth="1"/>
    <col min="111" max="111" width="3.33203125" bestFit="1" customWidth="1"/>
    <col min="112" max="112" width="4.33203125" bestFit="1" customWidth="1"/>
    <col min="113" max="113" width="3.33203125" bestFit="1" customWidth="1"/>
    <col min="114" max="114" width="3.33203125" style="10" bestFit="1" customWidth="1"/>
    <col min="115" max="115" width="4.33203125" bestFit="1" customWidth="1"/>
    <col min="116" max="116" width="3.33203125" style="10" bestFit="1" customWidth="1"/>
    <col min="117" max="117" width="3.33203125" bestFit="1" customWidth="1"/>
    <col min="118" max="118" width="3.33203125" style="10" bestFit="1" customWidth="1"/>
    <col min="119" max="119" width="4.33203125" bestFit="1" customWidth="1"/>
    <col min="120" max="120" width="3.33203125" style="10" bestFit="1" customWidth="1"/>
    <col min="121" max="121" width="3.33203125" bestFit="1" customWidth="1"/>
    <col min="122" max="122" width="3.33203125" style="10" bestFit="1" customWidth="1"/>
    <col min="123" max="123" width="4.33203125" bestFit="1" customWidth="1"/>
    <col min="124" max="124" width="3.33203125" style="10" bestFit="1" customWidth="1"/>
    <col min="125" max="127" width="3.33203125" bestFit="1" customWidth="1"/>
    <col min="128" max="128" width="3.33203125" style="17" bestFit="1" customWidth="1"/>
    <col min="129" max="129" width="3.33203125" bestFit="1" customWidth="1"/>
  </cols>
  <sheetData>
    <row r="1" spans="1:129" ht="59">
      <c r="F1" s="15" t="s">
        <v>23</v>
      </c>
      <c r="G1" s="15" t="s">
        <v>99</v>
      </c>
      <c r="H1" s="15" t="s">
        <v>101</v>
      </c>
      <c r="I1" s="15" t="s">
        <v>42</v>
      </c>
      <c r="J1" s="15" t="s">
        <v>30</v>
      </c>
      <c r="K1" s="15" t="s">
        <v>105</v>
      </c>
      <c r="L1" s="15" t="s">
        <v>26</v>
      </c>
      <c r="M1" s="15" t="s">
        <v>108</v>
      </c>
      <c r="N1" s="15" t="s">
        <v>28</v>
      </c>
      <c r="O1" s="15" t="s">
        <v>45</v>
      </c>
      <c r="S1" s="15" t="s">
        <v>114</v>
      </c>
      <c r="T1" s="15" t="s">
        <v>89</v>
      </c>
      <c r="U1" s="15" t="s">
        <v>117</v>
      </c>
      <c r="V1" s="15" t="s">
        <v>119</v>
      </c>
      <c r="W1" s="15" t="s">
        <v>22</v>
      </c>
      <c r="X1" s="15" t="s">
        <v>122</v>
      </c>
      <c r="Y1" s="15" t="s">
        <v>124</v>
      </c>
      <c r="Z1" s="15" t="s">
        <v>126</v>
      </c>
      <c r="AA1" s="15" t="s">
        <v>128</v>
      </c>
      <c r="AB1" s="15" t="s">
        <v>66</v>
      </c>
      <c r="AC1" s="15" t="s">
        <v>131</v>
      </c>
      <c r="AD1" s="15" t="s">
        <v>35</v>
      </c>
      <c r="AE1" s="15" t="s">
        <v>134</v>
      </c>
      <c r="AF1" s="15" t="s">
        <v>136</v>
      </c>
      <c r="AG1" s="15" t="s">
        <v>59</v>
      </c>
      <c r="AH1" s="15" t="s">
        <v>139</v>
      </c>
      <c r="AI1" s="15" t="s">
        <v>141</v>
      </c>
      <c r="AJ1" s="15" t="s">
        <v>37</v>
      </c>
      <c r="AK1" s="15" t="s">
        <v>144</v>
      </c>
      <c r="AL1" s="15" t="s">
        <v>64</v>
      </c>
      <c r="AM1" s="15" t="s">
        <v>147</v>
      </c>
      <c r="AN1" s="15" t="s">
        <v>149</v>
      </c>
      <c r="AO1" s="15" t="s">
        <v>151</v>
      </c>
      <c r="AP1" s="15" t="s">
        <v>153</v>
      </c>
      <c r="AQ1" s="15" t="s">
        <v>155</v>
      </c>
      <c r="AR1" s="15" t="s">
        <v>157</v>
      </c>
      <c r="AS1" s="15" t="s">
        <v>31</v>
      </c>
      <c r="AT1" s="15" t="s">
        <v>160</v>
      </c>
      <c r="AU1" s="15" t="s">
        <v>55</v>
      </c>
      <c r="AV1" s="15" t="s">
        <v>38</v>
      </c>
      <c r="AW1" s="15" t="s">
        <v>164</v>
      </c>
      <c r="AX1" s="15" t="s">
        <v>166</v>
      </c>
      <c r="AY1" s="15" t="s">
        <v>168</v>
      </c>
      <c r="AZ1" s="15" t="s">
        <v>72</v>
      </c>
      <c r="BA1" s="15" t="s">
        <v>171</v>
      </c>
      <c r="BB1" s="15" t="s">
        <v>173</v>
      </c>
      <c r="BC1" s="15" t="s">
        <v>175</v>
      </c>
      <c r="BD1" s="15" t="s">
        <v>33</v>
      </c>
      <c r="BE1" s="15" t="s">
        <v>178</v>
      </c>
      <c r="BF1" s="15" t="s">
        <v>180</v>
      </c>
      <c r="BG1" s="15" t="s">
        <v>182</v>
      </c>
      <c r="BH1" s="15" t="s">
        <v>69</v>
      </c>
      <c r="BI1" s="15" t="s">
        <v>185</v>
      </c>
      <c r="BJ1" s="15" t="s">
        <v>187</v>
      </c>
      <c r="BK1" s="15" t="s">
        <v>189</v>
      </c>
      <c r="BL1" s="15" t="s">
        <v>191</v>
      </c>
      <c r="BM1" s="15" t="s">
        <v>193</v>
      </c>
      <c r="BN1" s="15" t="s">
        <v>95</v>
      </c>
      <c r="BO1" s="15" t="s">
        <v>196</v>
      </c>
      <c r="BP1" s="15" t="s">
        <v>198</v>
      </c>
      <c r="BQ1" s="15" t="s">
        <v>200</v>
      </c>
      <c r="BR1" s="15" t="s">
        <v>202</v>
      </c>
      <c r="BS1" s="15" t="s">
        <v>204</v>
      </c>
      <c r="BT1" s="15" t="s">
        <v>51</v>
      </c>
      <c r="BU1" s="15" t="s">
        <v>207</v>
      </c>
      <c r="BV1" s="15" t="s">
        <v>209</v>
      </c>
      <c r="BX1" s="15" t="s">
        <v>211</v>
      </c>
      <c r="BY1" s="15" t="s">
        <v>213</v>
      </c>
      <c r="BZ1" s="15" t="s">
        <v>215</v>
      </c>
      <c r="CA1" s="15" t="s">
        <v>217</v>
      </c>
      <c r="CB1" s="15" t="s">
        <v>219</v>
      </c>
      <c r="CC1" s="15" t="s">
        <v>221</v>
      </c>
      <c r="CD1" s="15" t="s">
        <v>223</v>
      </c>
      <c r="CE1" s="15" t="s">
        <v>225</v>
      </c>
      <c r="CF1" s="15" t="s">
        <v>227</v>
      </c>
      <c r="CG1" s="15" t="s">
        <v>229</v>
      </c>
      <c r="CH1" s="15" t="s">
        <v>231</v>
      </c>
      <c r="CI1" s="15" t="s">
        <v>233</v>
      </c>
      <c r="CK1" s="15" t="s">
        <v>235</v>
      </c>
      <c r="CL1" s="15" t="s">
        <v>237</v>
      </c>
      <c r="CM1" s="15" t="s">
        <v>239</v>
      </c>
      <c r="CN1" s="15" t="s">
        <v>241</v>
      </c>
      <c r="CO1" s="15" t="s">
        <v>243</v>
      </c>
      <c r="CP1" s="15" t="s">
        <v>245</v>
      </c>
      <c r="CQ1" s="15" t="s">
        <v>247</v>
      </c>
      <c r="CR1" s="15" t="s">
        <v>249</v>
      </c>
      <c r="CS1" s="15" t="s">
        <v>251</v>
      </c>
      <c r="CT1" s="15" t="s">
        <v>253</v>
      </c>
      <c r="CU1" s="15" t="s">
        <v>255</v>
      </c>
      <c r="CV1" s="15" t="s">
        <v>257</v>
      </c>
      <c r="CW1" s="15" t="s">
        <v>259</v>
      </c>
      <c r="CX1" s="15" t="s">
        <v>261</v>
      </c>
      <c r="CY1" s="15" t="s">
        <v>263</v>
      </c>
      <c r="CZ1" s="15" t="s">
        <v>265</v>
      </c>
      <c r="DA1" s="15" t="s">
        <v>267</v>
      </c>
      <c r="DB1" s="15" t="s">
        <v>269</v>
      </c>
      <c r="DC1" s="15" t="s">
        <v>271</v>
      </c>
      <c r="DD1" s="15" t="s">
        <v>273</v>
      </c>
      <c r="DE1" s="15" t="s">
        <v>275</v>
      </c>
      <c r="DG1" s="15" t="s">
        <v>277</v>
      </c>
      <c r="DH1" s="15" t="s">
        <v>41</v>
      </c>
      <c r="DI1" s="15" t="s">
        <v>280</v>
      </c>
      <c r="DK1" s="15" t="s">
        <v>29</v>
      </c>
      <c r="DM1" s="15" t="s">
        <v>104</v>
      </c>
      <c r="DO1" s="15" t="s">
        <v>25</v>
      </c>
      <c r="DQ1" s="15" t="s">
        <v>285</v>
      </c>
      <c r="DS1" s="15" t="s">
        <v>27</v>
      </c>
      <c r="DU1" s="15" t="s">
        <v>288</v>
      </c>
      <c r="DV1" s="15" t="s">
        <v>290</v>
      </c>
      <c r="DW1" s="15" t="s">
        <v>292</v>
      </c>
      <c r="DY1" s="15" t="s">
        <v>295</v>
      </c>
    </row>
    <row r="2" spans="1:129" ht="215">
      <c r="B2" s="1" t="s">
        <v>0</v>
      </c>
      <c r="C2" s="1" t="s">
        <v>1</v>
      </c>
      <c r="D2" s="1" t="s">
        <v>2</v>
      </c>
      <c r="E2" s="16" t="s">
        <v>96</v>
      </c>
      <c r="F2" s="18" t="s">
        <v>97</v>
      </c>
      <c r="G2" s="19" t="s">
        <v>98</v>
      </c>
      <c r="H2" s="20" t="s">
        <v>100</v>
      </c>
      <c r="I2" s="21" t="s">
        <v>102</v>
      </c>
      <c r="J2" s="22" t="s">
        <v>103</v>
      </c>
      <c r="K2" s="23" t="s">
        <v>104</v>
      </c>
      <c r="L2" s="24" t="s">
        <v>106</v>
      </c>
      <c r="M2" s="25" t="s">
        <v>107</v>
      </c>
      <c r="N2" s="26" t="s">
        <v>109</v>
      </c>
      <c r="O2" s="27" t="s">
        <v>110</v>
      </c>
      <c r="P2" s="15" t="s">
        <v>111</v>
      </c>
      <c r="Q2" s="16" t="s">
        <v>112</v>
      </c>
      <c r="R2" s="28" t="s">
        <v>97</v>
      </c>
      <c r="S2" s="15" t="s">
        <v>113</v>
      </c>
      <c r="T2" s="15" t="s">
        <v>115</v>
      </c>
      <c r="U2" s="15" t="s">
        <v>116</v>
      </c>
      <c r="V2" s="15" t="s">
        <v>118</v>
      </c>
      <c r="W2" s="15" t="s">
        <v>120</v>
      </c>
      <c r="X2" s="15" t="s">
        <v>121</v>
      </c>
      <c r="Y2" s="15" t="s">
        <v>123</v>
      </c>
      <c r="Z2" s="15" t="s">
        <v>125</v>
      </c>
      <c r="AA2" s="15" t="s">
        <v>127</v>
      </c>
      <c r="AB2" s="15" t="s">
        <v>129</v>
      </c>
      <c r="AC2" s="15" t="s">
        <v>130</v>
      </c>
      <c r="AD2" s="15" t="s">
        <v>132</v>
      </c>
      <c r="AE2" s="15" t="s">
        <v>133</v>
      </c>
      <c r="AF2" s="15" t="s">
        <v>135</v>
      </c>
      <c r="AG2" s="15" t="s">
        <v>137</v>
      </c>
      <c r="AH2" s="15" t="s">
        <v>138</v>
      </c>
      <c r="AI2" s="15" t="s">
        <v>140</v>
      </c>
      <c r="AJ2" s="15" t="s">
        <v>142</v>
      </c>
      <c r="AK2" s="15" t="s">
        <v>143</v>
      </c>
      <c r="AL2" s="15" t="s">
        <v>145</v>
      </c>
      <c r="AM2" s="15" t="s">
        <v>146</v>
      </c>
      <c r="AN2" s="15" t="s">
        <v>148</v>
      </c>
      <c r="AO2" s="15" t="s">
        <v>150</v>
      </c>
      <c r="AP2" s="15" t="s">
        <v>152</v>
      </c>
      <c r="AQ2" s="15" t="s">
        <v>154</v>
      </c>
      <c r="AR2" s="15" t="s">
        <v>156</v>
      </c>
      <c r="AS2" s="15" t="s">
        <v>158</v>
      </c>
      <c r="AT2" s="15" t="s">
        <v>159</v>
      </c>
      <c r="AU2" s="15" t="s">
        <v>161</v>
      </c>
      <c r="AV2" s="15" t="s">
        <v>162</v>
      </c>
      <c r="AW2" s="15" t="s">
        <v>163</v>
      </c>
      <c r="AX2" s="15" t="s">
        <v>165</v>
      </c>
      <c r="AY2" s="15" t="s">
        <v>167</v>
      </c>
      <c r="AZ2" s="15" t="s">
        <v>169</v>
      </c>
      <c r="BA2" s="15" t="s">
        <v>170</v>
      </c>
      <c r="BB2" s="15" t="s">
        <v>172</v>
      </c>
      <c r="BC2" s="15" t="s">
        <v>174</v>
      </c>
      <c r="BD2" s="15" t="s">
        <v>176</v>
      </c>
      <c r="BE2" s="15" t="s">
        <v>177</v>
      </c>
      <c r="BF2" s="15" t="s">
        <v>179</v>
      </c>
      <c r="BG2" s="15" t="s">
        <v>181</v>
      </c>
      <c r="BH2" s="15" t="s">
        <v>183</v>
      </c>
      <c r="BI2" s="15" t="s">
        <v>184</v>
      </c>
      <c r="BJ2" s="15" t="s">
        <v>186</v>
      </c>
      <c r="BK2" s="15" t="s">
        <v>188</v>
      </c>
      <c r="BL2" s="15" t="s">
        <v>190</v>
      </c>
      <c r="BM2" s="15" t="s">
        <v>192</v>
      </c>
      <c r="BN2" s="15" t="s">
        <v>194</v>
      </c>
      <c r="BO2" s="15" t="s">
        <v>195</v>
      </c>
      <c r="BP2" s="15" t="s">
        <v>197</v>
      </c>
      <c r="BQ2" s="15" t="s">
        <v>199</v>
      </c>
      <c r="BR2" s="15" t="s">
        <v>201</v>
      </c>
      <c r="BS2" s="15" t="s">
        <v>203</v>
      </c>
      <c r="BT2" s="15" t="s">
        <v>205</v>
      </c>
      <c r="BU2" s="15" t="s">
        <v>206</v>
      </c>
      <c r="BV2" s="15" t="s">
        <v>208</v>
      </c>
      <c r="BW2" s="28" t="s">
        <v>98</v>
      </c>
      <c r="BX2" s="15" t="s">
        <v>210</v>
      </c>
      <c r="BY2" s="15" t="s">
        <v>212</v>
      </c>
      <c r="BZ2" s="15" t="s">
        <v>214</v>
      </c>
      <c r="CA2" s="15" t="s">
        <v>216</v>
      </c>
      <c r="CB2" s="15" t="s">
        <v>218</v>
      </c>
      <c r="CC2" s="15" t="s">
        <v>220</v>
      </c>
      <c r="CD2" s="15" t="s">
        <v>222</v>
      </c>
      <c r="CE2" s="15" t="s">
        <v>224</v>
      </c>
      <c r="CF2" s="15" t="s">
        <v>226</v>
      </c>
      <c r="CG2" s="15" t="s">
        <v>228</v>
      </c>
      <c r="CH2" s="15" t="s">
        <v>230</v>
      </c>
      <c r="CI2" s="15" t="s">
        <v>232</v>
      </c>
      <c r="CJ2" s="28" t="s">
        <v>100</v>
      </c>
      <c r="CK2" s="15" t="s">
        <v>234</v>
      </c>
      <c r="CL2" s="15" t="s">
        <v>236</v>
      </c>
      <c r="CM2" s="15" t="s">
        <v>238</v>
      </c>
      <c r="CN2" s="15" t="s">
        <v>240</v>
      </c>
      <c r="CO2" s="15" t="s">
        <v>242</v>
      </c>
      <c r="CP2" s="15" t="s">
        <v>244</v>
      </c>
      <c r="CQ2" s="15" t="s">
        <v>246</v>
      </c>
      <c r="CR2" s="15" t="s">
        <v>248</v>
      </c>
      <c r="CS2" s="15" t="s">
        <v>250</v>
      </c>
      <c r="CT2" s="15" t="s">
        <v>252</v>
      </c>
      <c r="CU2" s="15" t="s">
        <v>254</v>
      </c>
      <c r="CV2" s="15" t="s">
        <v>256</v>
      </c>
      <c r="CW2" s="15" t="s">
        <v>258</v>
      </c>
      <c r="CX2" s="15" t="s">
        <v>260</v>
      </c>
      <c r="CY2" s="15" t="s">
        <v>262</v>
      </c>
      <c r="CZ2" s="15" t="s">
        <v>264</v>
      </c>
      <c r="DA2" s="15" t="s">
        <v>266</v>
      </c>
      <c r="DB2" s="15" t="s">
        <v>268</v>
      </c>
      <c r="DC2" s="15" t="s">
        <v>270</v>
      </c>
      <c r="DD2" s="15" t="s">
        <v>272</v>
      </c>
      <c r="DE2" s="15" t="s">
        <v>274</v>
      </c>
      <c r="DF2" s="28" t="s">
        <v>102</v>
      </c>
      <c r="DG2" s="15" t="s">
        <v>276</v>
      </c>
      <c r="DH2" s="15" t="s">
        <v>278</v>
      </c>
      <c r="DI2" s="15" t="s">
        <v>279</v>
      </c>
      <c r="DJ2" s="28" t="s">
        <v>103</v>
      </c>
      <c r="DK2" s="15" t="s">
        <v>281</v>
      </c>
      <c r="DL2" s="28" t="s">
        <v>104</v>
      </c>
      <c r="DM2" s="15" t="s">
        <v>282</v>
      </c>
      <c r="DN2" s="28" t="s">
        <v>106</v>
      </c>
      <c r="DO2" s="15" t="s">
        <v>283</v>
      </c>
      <c r="DP2" s="28" t="s">
        <v>107</v>
      </c>
      <c r="DQ2" s="15" t="s">
        <v>284</v>
      </c>
      <c r="DR2" s="28" t="s">
        <v>109</v>
      </c>
      <c r="DS2" s="15" t="s">
        <v>286</v>
      </c>
      <c r="DT2" s="28" t="s">
        <v>110</v>
      </c>
      <c r="DU2" s="15" t="s">
        <v>287</v>
      </c>
      <c r="DV2" s="15" t="s">
        <v>289</v>
      </c>
      <c r="DW2" s="15" t="s">
        <v>291</v>
      </c>
      <c r="DX2" s="16" t="s">
        <v>293</v>
      </c>
      <c r="DY2" s="15" t="s">
        <v>294</v>
      </c>
    </row>
    <row r="3" spans="1:129">
      <c r="A3">
        <v>1</v>
      </c>
      <c r="B3" t="s">
        <v>546</v>
      </c>
      <c r="F3" s="29">
        <f>IF(P3=0,0,COUNTIF('Transect 4_imgsummary'!J3:N3,"C")*100/P3)</f>
        <v>20</v>
      </c>
      <c r="G3">
        <f>IF(P3=0,0,COUNTIF('Transect 4_imgsummary'!J3:N3,"OI")*100/P3)</f>
        <v>0</v>
      </c>
      <c r="H3">
        <f>IF(P3=0,0,COUNTIF('Transect 4_imgsummary'!J3:N3,"MA")*100/P3)</f>
        <v>0</v>
      </c>
      <c r="I3" s="29">
        <f>IF(P3=0,0,COUNTIF('Transect 4_imgsummary'!J3:N3,"BCA")*100/P3)</f>
        <v>20</v>
      </c>
      <c r="J3" s="29">
        <f>IF(P3=0,0,COUNTIF('Transect 4_imgsummary'!J3:N3,"CCA")*100/P3)</f>
        <v>20</v>
      </c>
      <c r="K3">
        <f>IF(P3=0,0,COUNTIF('Transect 4_imgsummary'!J3:N3,"SD")*100/P3)</f>
        <v>0</v>
      </c>
      <c r="L3">
        <f>IF(P3=0,0,COUNTIF('Transect 4_imgsummary'!J3:N3,"FCA")*100/P3)</f>
        <v>0</v>
      </c>
      <c r="M3">
        <f>IF(P3=0,0,COUNTIF('Transect 4_imgsummary'!J3:N3,"CHRYS")*100/P3)</f>
        <v>0</v>
      </c>
      <c r="N3" s="29">
        <f>IF(P3=0,0,COUNTIF('Transect 4_imgsummary'!J3:N3,"T")*100/P3)</f>
        <v>40</v>
      </c>
      <c r="O3">
        <f>IF(P3=0,0,COUNTIF('Transect 4_imgsummary'!J3:N3,"TWS")*100/P3)</f>
        <v>0</v>
      </c>
      <c r="P3">
        <f>5-COUNTIF('Transect 4_imgsummary'!J3:N3,"TWS")</f>
        <v>5</v>
      </c>
      <c r="S3">
        <f>IF(P3=0,0,COUNTIF('Transect 4_imgsummary'!E3:I3,"ACAN")*100/P3)</f>
        <v>0</v>
      </c>
      <c r="T3" s="29">
        <f>IF(P3=0,0,COUNTIF('Transect 4_imgsummary'!E3:I3,"ACROP")*100/P3)</f>
        <v>20</v>
      </c>
      <c r="U3">
        <f>IF(P3=0,0,COUNTIF('Transect 4_imgsummary'!E3:I3,"ACROPARB")*100/P3)</f>
        <v>0</v>
      </c>
      <c r="V3">
        <f>IF(P3=0,0,COUNTIF('Transect 4_imgsummary'!E3:I3,"ACROST")*100/P3)</f>
        <v>0</v>
      </c>
      <c r="W3">
        <f>IF(P3=0,0,COUNTIF('Transect 4_imgsummary'!E3:I3,"ACROTBL")*100/P3)</f>
        <v>0</v>
      </c>
      <c r="X3">
        <f>IF(P3=0,0,COUNTIF('Transect 4_imgsummary'!E3:I3,"ASTRP")*100/P3)</f>
        <v>0</v>
      </c>
      <c r="Y3">
        <f>IF(P3=0,0,COUNTIF('Transect 4_imgsummary'!E3:I3,"CAUL")*100/P3)</f>
        <v>0</v>
      </c>
      <c r="Z3">
        <f>IF(P3=0,0,COUNTIF('Transect 4_imgsummary'!E3:I3,"COSC")*100/P3)</f>
        <v>0</v>
      </c>
      <c r="AA3">
        <f>IF(P3=0,0,COUNTIF('Transect 4_imgsummary'!E3:I3,"CTEN")*100/P3)</f>
        <v>0</v>
      </c>
      <c r="AB3">
        <f>IF(P3=0,0,COUNTIF('Transect 4_imgsummary'!E3:I3,"CYPH")*100/P3)</f>
        <v>0</v>
      </c>
      <c r="AC3">
        <f>IF(P3=0,0,COUNTIF('Transect 4_imgsummary'!E3:I3,"DIPLO")*100/P3)</f>
        <v>0</v>
      </c>
      <c r="AD3">
        <f>IF(P3=0,0,COUNTIF('Transect 4_imgsummary'!E3:I3,"ECHPO")*100/P3)</f>
        <v>0</v>
      </c>
      <c r="AE3">
        <f>IF(P3=0,0,COUNTIF('Transect 4_imgsummary'!E3:I3,"ECHPHY")*100/P3)</f>
        <v>0</v>
      </c>
      <c r="AF3">
        <f>IF(P3=0,0,COUNTIF('Transect 4_imgsummary'!E3:I3,"EUPH")*100/P3)</f>
        <v>0</v>
      </c>
      <c r="AG3">
        <f>IF(P3=0,0,COUNTIF('Transect 4_imgsummary'!E3:I3,"FAV")*100/P3)</f>
        <v>0</v>
      </c>
      <c r="AH3">
        <f>IF(P3=0,0,COUNTIF('Transect 4_imgsummary'!E3:I3,"FAVT")*100/P3)</f>
        <v>0</v>
      </c>
      <c r="AI3">
        <f>IF(P3=0,0,COUNTIF('Transect 4_imgsummary'!E3:I3,"FUNG")*100/P3)</f>
        <v>0</v>
      </c>
      <c r="AJ3">
        <f>IF(P3=0,0,COUNTIF('Transect 4_imgsummary'!E3:I3,"GAL")*100/P3)</f>
        <v>0</v>
      </c>
      <c r="AK3">
        <f>IF(P3=0,0,COUNTIF('Transect 4_imgsummary'!E3:I3,"GARD")*100/P3)</f>
        <v>0</v>
      </c>
      <c r="AL3">
        <f>IF(P3=0,0,COUNTIF('Transect 4_imgsummary'!E3:I3,"GON")*100/P3)</f>
        <v>0</v>
      </c>
      <c r="AM3">
        <f>IF(P3=0,0,COUNTIF('Transect 4_imgsummary'!E3:I3,"GONIO")*100/P3)</f>
        <v>0</v>
      </c>
      <c r="AN3">
        <f>IF(P3=0,0,COUNTIF('Transect 4_imgsummary'!E3:I3,"HELIO")*100/P3)</f>
        <v>0</v>
      </c>
      <c r="AO3">
        <f>IF(P3=0,0,COUNTIF('Transect 4_imgsummary'!E3:I3,"HERP")*100/P3)</f>
        <v>0</v>
      </c>
      <c r="AP3">
        <f>IF(P3=0,0,COUNTIF('Transect 4_imgsummary'!E3:I3,"HYD")*100/P3)</f>
        <v>0</v>
      </c>
      <c r="AQ3">
        <f>IF(P3=0,0,COUNTIF('Transect 4_imgsummary'!E3:I3,"ISOP")*100/P3)</f>
        <v>0</v>
      </c>
      <c r="AR3">
        <f>IF(P3=0,0,COUNTIF('Transect 4_imgsummary'!E3:I3,"LEPT")*100/P3)</f>
        <v>0</v>
      </c>
      <c r="AS3">
        <f>IF(P3=0,0,COUNTIF('Transect 4_imgsummary'!E3:I3,"LEPTOR")*100/P3)</f>
        <v>0</v>
      </c>
      <c r="AT3">
        <f>IF(P3=0,0,COUNTIF('Transect 4_imgsummary'!E3:I3,"LEPTOS")*100/P3)</f>
        <v>0</v>
      </c>
      <c r="AU3">
        <f>IF(P3=0,0,COUNTIF('Transect 4_imgsummary'!E3:I3,"LOBOPH")*100/P3)</f>
        <v>0</v>
      </c>
      <c r="AV3">
        <f>IF(P3=0,0,COUNTIF('Transect 4_imgsummary'!E3:I3,"MERU")*100/P3)</f>
        <v>0</v>
      </c>
      <c r="AW3">
        <f>IF(P3=0,0,COUNTIF('Transect 4_imgsummary'!E3:I3,"MILL")*100/P3)</f>
        <v>0</v>
      </c>
      <c r="AX3">
        <f>IF(P3=0,0,COUNTIF('Transect 4_imgsummary'!E3:I3,"MONT")*100/P3)</f>
        <v>0</v>
      </c>
      <c r="AY3">
        <f>IF(P3=0,0,COUNTIF('Transect 4_imgsummary'!E3:I3,"MONTI")*100/P3)</f>
        <v>0</v>
      </c>
      <c r="AZ3">
        <f>IF(P3=0,0,COUNTIF('Transect 4_imgsummary'!E3:I3,"MYCED")*100/P3)</f>
        <v>0</v>
      </c>
      <c r="BA3">
        <f>IF(P3=0,0,COUNTIF('Transect 4_imgsummary'!E3:I3,"OULO")*100/P3)</f>
        <v>0</v>
      </c>
      <c r="BB3">
        <f>IF(P3=0,0,COUNTIF('Transect 4_imgsummary'!E3:I3,"OXYP")*100/P3)</f>
        <v>0</v>
      </c>
      <c r="BC3">
        <f>IF(P3=0,0,COUNTIF('Transect 4_imgsummary'!E3:I3,"PLSIA")*100/P3)</f>
        <v>0</v>
      </c>
      <c r="BD3">
        <f>IF(P3=0,0,COUNTIF('Transect 4_imgsummary'!E3:I3,"PACHY")*100/P3)</f>
        <v>0</v>
      </c>
      <c r="BE3">
        <f>IF(P3=0,0,COUNTIF('Transect 4_imgsummary'!E3:I3,"PAV")*100/P3)</f>
        <v>0</v>
      </c>
      <c r="BF3">
        <f>IF(P3=0,0,COUNTIF('Transect 4_imgsummary'!E3:I3,"PECT")*100/P3)</f>
        <v>0</v>
      </c>
      <c r="BG3">
        <f>IF(P3=0,0,COUNTIF('Transect 4_imgsummary'!E3:I3,"PHYSO")*100/P3)</f>
        <v>0</v>
      </c>
      <c r="BH3">
        <f>IF(P3=0,0,COUNTIF('Transect 4_imgsummary'!E3:I3,"PLAT")*100/P3)</f>
        <v>0</v>
      </c>
      <c r="BI3">
        <f>IF(P3=0,0,COUNTIF('Transect 4_imgsummary'!E3:I3,"PLERO")*100/P3)</f>
        <v>0</v>
      </c>
      <c r="BJ3">
        <f>IF(P3=0,0,COUNTIF('Transect 4_imgsummary'!E3:I3,"POC")*100/P3)</f>
        <v>0</v>
      </c>
      <c r="BK3">
        <f>IF(P3=0,0,COUNTIF('Transect 4_imgsummary'!E3:I3,"POR")*100/P3)</f>
        <v>0</v>
      </c>
      <c r="BL3">
        <f>IF(P3=0,0,COUNTIF('Transect 4_imgsummary'!E3:I3,"PORCYL")*100/P3)</f>
        <v>0</v>
      </c>
      <c r="BM3">
        <f>IF(P3=0,0,COUNTIF('Transect 4_imgsummary'!E3:I3,"PORMAS")*100/P3)</f>
        <v>0</v>
      </c>
      <c r="BN3">
        <f>IF(P3=0,0,COUNTIF('Transect 4_imgsummary'!E3:I3,"PORRUS")*100/P3)</f>
        <v>0</v>
      </c>
      <c r="BO3">
        <f>IF(P3=0,0,COUNTIF('Transect 4_imgsummary'!E3:I3,"PSAM")*100/P3)</f>
        <v>0</v>
      </c>
      <c r="BP3">
        <f>IF(P3=0,0,COUNTIF('Transect 4_imgsummary'!E3:I3,"SANDO")*100/P3)</f>
        <v>0</v>
      </c>
      <c r="BQ3">
        <f>IF(P3=0,0,COUNTIF('Transect 4_imgsummary'!E3:I3,"SCAP")*100/P3)</f>
        <v>0</v>
      </c>
      <c r="BR3">
        <f>IF(P3=0,0,COUNTIF('Transect 4_imgsummary'!E3:I3,"SERIA")*100/P3)</f>
        <v>0</v>
      </c>
      <c r="BS3">
        <f>IF(P3=0,0,COUNTIF('Transect 4_imgsummary'!E3:I3,"STYLC")*100/P3)</f>
        <v>0</v>
      </c>
      <c r="BT3">
        <f>IF(P3=0,0,COUNTIF('Transect 4_imgsummary'!E3:I3,"STYLO")*100/P3)</f>
        <v>0</v>
      </c>
      <c r="BU3">
        <f>IF(P3=0,0,COUNTIF('Transect 4_imgsummary'!E3:I3,"SYMP")*100/P3)</f>
        <v>0</v>
      </c>
      <c r="BV3">
        <f>IF(P3=0,0,COUNTIF('Transect 4_imgsummary'!E3:I3,"TURBIN")*100/P3)</f>
        <v>0</v>
      </c>
      <c r="BX3">
        <f>IF(P3=0,0,COUNTIF('Transect 4_imgsummary'!E3:I3,"ANEM")*100/P3)</f>
        <v>0</v>
      </c>
      <c r="BY3">
        <f>IF(P3=0,0,COUNTIF('Transect 4_imgsummary'!E3:I3,"ASC")*100/P3)</f>
        <v>0</v>
      </c>
      <c r="BZ3">
        <f>IF(P3=0,0,COUNTIF('Transect 4_imgsummary'!E3:I3,"CUPS")*100/P3)</f>
        <v>0</v>
      </c>
      <c r="CA3">
        <f>IF(P3=0,0,COUNTIF('Transect 4_imgsummary'!E3:I3,"DISCO")*100/P3)</f>
        <v>0</v>
      </c>
      <c r="CB3">
        <f>IF(P3=0,0,COUNTIF('Transect 4_imgsummary'!E3:I3,"DYS")*100/P3)</f>
        <v>0</v>
      </c>
      <c r="CC3">
        <f>IF(P3=0,0,COUNTIF('Transect 4_imgsummary'!E3:I3,"G")*100/P3)</f>
        <v>0</v>
      </c>
      <c r="CD3">
        <f>IF(P3=0,0,COUNTIF('Transect 4_imgsummary'!E3:I3,"NoIDINV")*100/P3)</f>
        <v>0</v>
      </c>
      <c r="CE3">
        <f>IF(P3=0,0,COUNTIF('Transect 4_imgsummary'!E3:I3,"OLV")*100/P3)</f>
        <v>0</v>
      </c>
      <c r="CF3">
        <f>IF(P3=0,0,COUNTIF('Transect 4_imgsummary'!E3:I3,"SC")*100/P3)</f>
        <v>0</v>
      </c>
      <c r="CG3">
        <f>IF(P3=0,0,COUNTIF('Transect 4_imgsummary'!E3:I3,"S")*100/P3)</f>
        <v>0</v>
      </c>
      <c r="CH3">
        <f>IF(P3=0,0,COUNTIF('Transect 4_imgsummary'!E3:I3,"TERPS")*100/P3)</f>
        <v>0</v>
      </c>
      <c r="CI3">
        <f>IF(P3=0,0,COUNTIF('Transect 4_imgsummary'!E3:I3,"Z")*100/P3)</f>
        <v>0</v>
      </c>
      <c r="CK3">
        <f>IF(P3=0,0,COUNTIF('Transect 4_imgsummary'!E3:I3,"ASP")*100/P3)</f>
        <v>0</v>
      </c>
      <c r="CL3">
        <f>IF(P3=0,0,COUNTIF('Transect 4_imgsummary'!E3:I3,"BG")*100/P3)</f>
        <v>0</v>
      </c>
      <c r="CM3">
        <f>IF(P3=0,0,COUNTIF('Transect 4_imgsummary'!E3:I3,"Bood")*100/P3)</f>
        <v>0</v>
      </c>
      <c r="CN3">
        <f>IF(P3=0,0,COUNTIF('Transect 4_imgsummary'!E3:I3,"BRYP")*100/P3)</f>
        <v>0</v>
      </c>
      <c r="CO3">
        <f>IF(P3=0,0,COUNTIF('Transect 4_imgsummary'!E3:I3,"CLP")*100/P3)</f>
        <v>0</v>
      </c>
      <c r="CP3">
        <f>IF(P3=0,0,COUNTIF('Transect 4_imgsummary'!E3:I3,"CHLDES")*100/P3)</f>
        <v>0</v>
      </c>
      <c r="CQ3">
        <f>IF(P3=0,0,COUNTIF('Transect 4_imgsummary'!E3:I3,"DYCTY")*100/P3)</f>
        <v>0</v>
      </c>
      <c r="CR3">
        <f>IF(P3=0,0,COUNTIF('Transect 4_imgsummary'!E3:I3,"DICT")*100/P3)</f>
        <v>0</v>
      </c>
      <c r="CS3">
        <f>IF(P3=0,0,COUNTIF('Transect 4_imgsummary'!E3:I3,"GLXU")*100/P3)</f>
        <v>0</v>
      </c>
      <c r="CT3">
        <f>IF(P3=0,0,COUNTIF('Transect 4_imgsummary'!E3:I3,"HALI")*100/P3)</f>
        <v>0</v>
      </c>
      <c r="CU3">
        <f>IF(P3=0,0,COUNTIF('Transect 4_imgsummary'!E3:I3,"LIAG")*100/P3)</f>
        <v>0</v>
      </c>
      <c r="CV3">
        <f>IF(P3=0,0,COUNTIF('Transect 4_imgsummary'!E3:I3,"LOBO")*100/P3)</f>
        <v>0</v>
      </c>
      <c r="CW3">
        <f>IF(P3=0,0,COUNTIF('Transect 4_imgsummary'!E3:I3,"MAST")*100/P3)</f>
        <v>0</v>
      </c>
      <c r="CX3">
        <f>IF(P3=0,0,COUNTIF('Transect 4_imgsummary'!E3:I3,"MICDTY")*100/P3)</f>
        <v>0</v>
      </c>
      <c r="CY3">
        <f>IF(P3=0,0,COUNTIF('Transect 4_imgsummary'!E3:I3,"NEOM")*100/P3)</f>
        <v>0</v>
      </c>
      <c r="CZ3">
        <f>IF(P3=0,0,COUNTIF('Transect 4_imgsummary'!E3:I3,"NOIDMAC")*100/P3)</f>
        <v>0</v>
      </c>
      <c r="DA3">
        <f>IF(P3=0,0,COUNTIF('Transect 4_imgsummary'!E3:I3,"PAD")*100/P3)</f>
        <v>0</v>
      </c>
      <c r="DB3">
        <f>IF(P3=0,0,COUNTIF('Transect 4_imgsummary'!E3:I3,"SARG")*100/P3)</f>
        <v>0</v>
      </c>
      <c r="DC3">
        <f>IF(P3=0,0,COUNTIF('Transect 4_imgsummary'!E3:I3,"SCHIZ")*100/P3)</f>
        <v>0</v>
      </c>
      <c r="DD3">
        <f>IF(P3=0,0,COUNTIF('Transect 4_imgsummary'!E3:I3,"TURB")*100/P3)</f>
        <v>0</v>
      </c>
      <c r="DE3">
        <f>IF(P3=0,0,COUNTIF('Transect 4_imgsummary'!E3:I3,"TYDM")*100/P3)</f>
        <v>0</v>
      </c>
      <c r="DG3">
        <f>IF(P3=0,0,COUNTIF('Transect 4_imgsummary'!E3:I3,"AMP")*100/P3)</f>
        <v>0</v>
      </c>
      <c r="DH3" s="29">
        <f>IF(P3=0,0,COUNTIF('Transect 4_imgsummary'!E3:I3,"BCA1")*100/P3)</f>
        <v>20</v>
      </c>
      <c r="DI3">
        <f>IF(P3=0,0,COUNTIF('Transect 4_imgsummary'!E3:I3,"JAN")*100/P3)</f>
        <v>0</v>
      </c>
      <c r="DK3" s="29">
        <f>IF(P3=0,0,COUNTIF('Transect 4_imgsummary'!E3:I3,"CCA1")*100/P3)</f>
        <v>20</v>
      </c>
      <c r="DM3">
        <f>IF(P3=0,0,COUNTIF('Transect 4_imgsummary'!E3:I3,"Sand")*100/P3)</f>
        <v>0</v>
      </c>
      <c r="DO3">
        <f>IF(P3=0,0,COUNTIF('Transect 4_imgsummary'!E3:I3,"FCA1")*100/P3)</f>
        <v>0</v>
      </c>
      <c r="DQ3">
        <f>IF(P3=0,0,COUNTIF('Transect 4_imgsummary'!E3:I3,"CHRYOBRN")*100/P3)</f>
        <v>0</v>
      </c>
      <c r="DS3" s="29">
        <f>IF(P3=0,0,COUNTIF('Transect 4_imgsummary'!E3:I3,"TURF")*100/P3)</f>
        <v>40</v>
      </c>
      <c r="DU3">
        <f>COUNTIF('Transect 4_imgsummary'!E3:I3,"Shadow")*100/5</f>
        <v>0</v>
      </c>
      <c r="DV3">
        <f>COUNTIF('Transect 4_imgsummary'!E3:I3,"Tape")*100/5</f>
        <v>0</v>
      </c>
      <c r="DW3">
        <f>COUNTIF('Transect 4_imgsummary'!E3:I3,"Wand")*100/5</f>
        <v>0</v>
      </c>
      <c r="DY3">
        <f>IF(P3=0,0,COUNTIF('Transect 4_imgsummary'!O3:S3,"BC")*100/P3)</f>
        <v>0</v>
      </c>
    </row>
    <row r="4" spans="1:129">
      <c r="A4">
        <v>2</v>
      </c>
      <c r="B4" t="s">
        <v>547</v>
      </c>
      <c r="F4" s="29">
        <f>IF(P4=0,0,COUNTIF('Transect 4_imgsummary'!J4:N4,"C")*100/P4)</f>
        <v>80</v>
      </c>
      <c r="G4">
        <f>IF(P4=0,0,COUNTIF('Transect 4_imgsummary'!J4:N4,"OI")*100/P4)</f>
        <v>0</v>
      </c>
      <c r="H4">
        <f>IF(P4=0,0,COUNTIF('Transect 4_imgsummary'!J4:N4,"MA")*100/P4)</f>
        <v>0</v>
      </c>
      <c r="I4" s="29">
        <f>IF(P4=0,0,COUNTIF('Transect 4_imgsummary'!J4:N4,"BCA")*100/P4)</f>
        <v>20</v>
      </c>
      <c r="J4">
        <f>IF(P4=0,0,COUNTIF('Transect 4_imgsummary'!J4:N4,"CCA")*100/P4)</f>
        <v>0</v>
      </c>
      <c r="K4">
        <f>IF(P4=0,0,COUNTIF('Transect 4_imgsummary'!J4:N4,"SD")*100/P4)</f>
        <v>0</v>
      </c>
      <c r="L4">
        <f>IF(P4=0,0,COUNTIF('Transect 4_imgsummary'!J4:N4,"FCA")*100/P4)</f>
        <v>0</v>
      </c>
      <c r="M4">
        <f>IF(P4=0,0,COUNTIF('Transect 4_imgsummary'!J4:N4,"CHRYS")*100/P4)</f>
        <v>0</v>
      </c>
      <c r="N4">
        <f>IF(P4=0,0,COUNTIF('Transect 4_imgsummary'!J4:N4,"T")*100/P4)</f>
        <v>0</v>
      </c>
      <c r="O4">
        <f>IF(P4=0,0,COUNTIF('Transect 4_imgsummary'!J4:N4,"TWS")*100/P4)</f>
        <v>0</v>
      </c>
      <c r="P4">
        <f>5-COUNTIF('Transect 4_imgsummary'!J4:N4,"TWS")</f>
        <v>5</v>
      </c>
      <c r="S4">
        <f>IF(P4=0,0,COUNTIF('Transect 4_imgsummary'!E4:I4,"ACAN")*100/P4)</f>
        <v>0</v>
      </c>
      <c r="T4">
        <f>IF(P4=0,0,COUNTIF('Transect 4_imgsummary'!E4:I4,"ACROP")*100/P4)</f>
        <v>0</v>
      </c>
      <c r="U4">
        <f>IF(P4=0,0,COUNTIF('Transect 4_imgsummary'!E4:I4,"ACROPARB")*100/P4)</f>
        <v>0</v>
      </c>
      <c r="V4">
        <f>IF(P4=0,0,COUNTIF('Transect 4_imgsummary'!E4:I4,"ACROST")*100/P4)</f>
        <v>0</v>
      </c>
      <c r="W4" s="29">
        <f>IF(P4=0,0,COUNTIF('Transect 4_imgsummary'!E4:I4,"ACROTBL")*100/P4)</f>
        <v>60</v>
      </c>
      <c r="X4">
        <f>IF(P4=0,0,COUNTIF('Transect 4_imgsummary'!E4:I4,"ASTRP")*100/P4)</f>
        <v>0</v>
      </c>
      <c r="Y4">
        <f>IF(P4=0,0,COUNTIF('Transect 4_imgsummary'!E4:I4,"CAUL")*100/P4)</f>
        <v>0</v>
      </c>
      <c r="Z4">
        <f>IF(P4=0,0,COUNTIF('Transect 4_imgsummary'!E4:I4,"COSC")*100/P4)</f>
        <v>0</v>
      </c>
      <c r="AA4">
        <f>IF(P4=0,0,COUNTIF('Transect 4_imgsummary'!E4:I4,"CTEN")*100/P4)</f>
        <v>0</v>
      </c>
      <c r="AB4">
        <f>IF(P4=0,0,COUNTIF('Transect 4_imgsummary'!E4:I4,"CYPH")*100/P4)</f>
        <v>0</v>
      </c>
      <c r="AC4">
        <f>IF(P4=0,0,COUNTIF('Transect 4_imgsummary'!E4:I4,"DIPLO")*100/P4)</f>
        <v>0</v>
      </c>
      <c r="AD4">
        <f>IF(P4=0,0,COUNTIF('Transect 4_imgsummary'!E4:I4,"ECHPO")*100/P4)</f>
        <v>0</v>
      </c>
      <c r="AE4">
        <f>IF(P4=0,0,COUNTIF('Transect 4_imgsummary'!E4:I4,"ECHPHY")*100/P4)</f>
        <v>0</v>
      </c>
      <c r="AF4">
        <f>IF(P4=0,0,COUNTIF('Transect 4_imgsummary'!E4:I4,"EUPH")*100/P4)</f>
        <v>0</v>
      </c>
      <c r="AG4">
        <f>IF(P4=0,0,COUNTIF('Transect 4_imgsummary'!E4:I4,"FAV")*100/P4)</f>
        <v>0</v>
      </c>
      <c r="AH4">
        <f>IF(P4=0,0,COUNTIF('Transect 4_imgsummary'!E4:I4,"FAVT")*100/P4)</f>
        <v>0</v>
      </c>
      <c r="AI4">
        <f>IF(P4=0,0,COUNTIF('Transect 4_imgsummary'!E4:I4,"FUNG")*100/P4)</f>
        <v>0</v>
      </c>
      <c r="AJ4">
        <f>IF(P4=0,0,COUNTIF('Transect 4_imgsummary'!E4:I4,"GAL")*100/P4)</f>
        <v>0</v>
      </c>
      <c r="AK4">
        <f>IF(P4=0,0,COUNTIF('Transect 4_imgsummary'!E4:I4,"GARD")*100/P4)</f>
        <v>0</v>
      </c>
      <c r="AL4">
        <f>IF(P4=0,0,COUNTIF('Transect 4_imgsummary'!E4:I4,"GON")*100/P4)</f>
        <v>0</v>
      </c>
      <c r="AM4">
        <f>IF(P4=0,0,COUNTIF('Transect 4_imgsummary'!E4:I4,"GONIO")*100/P4)</f>
        <v>0</v>
      </c>
      <c r="AN4">
        <f>IF(P4=0,0,COUNTIF('Transect 4_imgsummary'!E4:I4,"HELIO")*100/P4)</f>
        <v>0</v>
      </c>
      <c r="AO4">
        <f>IF(P4=0,0,COUNTIF('Transect 4_imgsummary'!E4:I4,"HERP")*100/P4)</f>
        <v>0</v>
      </c>
      <c r="AP4">
        <f>IF(P4=0,0,COUNTIF('Transect 4_imgsummary'!E4:I4,"HYD")*100/P4)</f>
        <v>0</v>
      </c>
      <c r="AQ4">
        <f>IF(P4=0,0,COUNTIF('Transect 4_imgsummary'!E4:I4,"ISOP")*100/P4)</f>
        <v>0</v>
      </c>
      <c r="AR4">
        <f>IF(P4=0,0,COUNTIF('Transect 4_imgsummary'!E4:I4,"LEPT")*100/P4)</f>
        <v>0</v>
      </c>
      <c r="AS4">
        <f>IF(P4=0,0,COUNTIF('Transect 4_imgsummary'!E4:I4,"LEPTOR")*100/P4)</f>
        <v>0</v>
      </c>
      <c r="AT4">
        <f>IF(P4=0,0,COUNTIF('Transect 4_imgsummary'!E4:I4,"LEPTOS")*100/P4)</f>
        <v>0</v>
      </c>
      <c r="AU4">
        <f>IF(P4=0,0,COUNTIF('Transect 4_imgsummary'!E4:I4,"LOBOPH")*100/P4)</f>
        <v>0</v>
      </c>
      <c r="AV4">
        <f>IF(P4=0,0,COUNTIF('Transect 4_imgsummary'!E4:I4,"MERU")*100/P4)</f>
        <v>0</v>
      </c>
      <c r="AW4">
        <f>IF(P4=0,0,COUNTIF('Transect 4_imgsummary'!E4:I4,"MILL")*100/P4)</f>
        <v>0</v>
      </c>
      <c r="AX4">
        <f>IF(P4=0,0,COUNTIF('Transect 4_imgsummary'!E4:I4,"MONT")*100/P4)</f>
        <v>0</v>
      </c>
      <c r="AY4">
        <f>IF(P4=0,0,COUNTIF('Transect 4_imgsummary'!E4:I4,"MONTI")*100/P4)</f>
        <v>0</v>
      </c>
      <c r="AZ4">
        <f>IF(P4=0,0,COUNTIF('Transect 4_imgsummary'!E4:I4,"MYCED")*100/P4)</f>
        <v>0</v>
      </c>
      <c r="BA4">
        <f>IF(P4=0,0,COUNTIF('Transect 4_imgsummary'!E4:I4,"OULO")*100/P4)</f>
        <v>0</v>
      </c>
      <c r="BB4">
        <f>IF(P4=0,0,COUNTIF('Transect 4_imgsummary'!E4:I4,"OXYP")*100/P4)</f>
        <v>0</v>
      </c>
      <c r="BC4">
        <f>IF(P4=0,0,COUNTIF('Transect 4_imgsummary'!E4:I4,"PLSIA")*100/P4)</f>
        <v>0</v>
      </c>
      <c r="BD4">
        <f>IF(P4=0,0,COUNTIF('Transect 4_imgsummary'!E4:I4,"PACHY")*100/P4)</f>
        <v>0</v>
      </c>
      <c r="BE4">
        <f>IF(P4=0,0,COUNTIF('Transect 4_imgsummary'!E4:I4,"PAV")*100/P4)</f>
        <v>0</v>
      </c>
      <c r="BF4">
        <f>IF(P4=0,0,COUNTIF('Transect 4_imgsummary'!E4:I4,"PECT")*100/P4)</f>
        <v>0</v>
      </c>
      <c r="BG4">
        <f>IF(P4=0,0,COUNTIF('Transect 4_imgsummary'!E4:I4,"PHYSO")*100/P4)</f>
        <v>0</v>
      </c>
      <c r="BH4">
        <f>IF(P4=0,0,COUNTIF('Transect 4_imgsummary'!E4:I4,"PLAT")*100/P4)</f>
        <v>0</v>
      </c>
      <c r="BI4">
        <f>IF(P4=0,0,COUNTIF('Transect 4_imgsummary'!E4:I4,"PLERO")*100/P4)</f>
        <v>0</v>
      </c>
      <c r="BJ4">
        <f>IF(P4=0,0,COUNTIF('Transect 4_imgsummary'!E4:I4,"POC")*100/P4)</f>
        <v>0</v>
      </c>
      <c r="BK4">
        <f>IF(P4=0,0,COUNTIF('Transect 4_imgsummary'!E4:I4,"POR")*100/P4)</f>
        <v>0</v>
      </c>
      <c r="BL4">
        <f>IF(P4=0,0,COUNTIF('Transect 4_imgsummary'!E4:I4,"PORCYL")*100/P4)</f>
        <v>0</v>
      </c>
      <c r="BM4">
        <f>IF(P4=0,0,COUNTIF('Transect 4_imgsummary'!E4:I4,"PORMAS")*100/P4)</f>
        <v>0</v>
      </c>
      <c r="BN4">
        <f>IF(P4=0,0,COUNTIF('Transect 4_imgsummary'!E4:I4,"PORRUS")*100/P4)</f>
        <v>0</v>
      </c>
      <c r="BO4">
        <f>IF(P4=0,0,COUNTIF('Transect 4_imgsummary'!E4:I4,"PSAM")*100/P4)</f>
        <v>0</v>
      </c>
      <c r="BP4">
        <f>IF(P4=0,0,COUNTIF('Transect 4_imgsummary'!E4:I4,"SANDO")*100/P4)</f>
        <v>0</v>
      </c>
      <c r="BQ4">
        <f>IF(P4=0,0,COUNTIF('Transect 4_imgsummary'!E4:I4,"SCAP")*100/P4)</f>
        <v>0</v>
      </c>
      <c r="BR4">
        <f>IF(P4=0,0,COUNTIF('Transect 4_imgsummary'!E4:I4,"SERIA")*100/P4)</f>
        <v>0</v>
      </c>
      <c r="BS4">
        <f>IF(P4=0,0,COUNTIF('Transect 4_imgsummary'!E4:I4,"STYLC")*100/P4)</f>
        <v>0</v>
      </c>
      <c r="BT4" s="29">
        <f>IF(P4=0,0,COUNTIF('Transect 4_imgsummary'!E4:I4,"STYLO")*100/P4)</f>
        <v>20</v>
      </c>
      <c r="BU4">
        <f>IF(P4=0,0,COUNTIF('Transect 4_imgsummary'!E4:I4,"SYMP")*100/P4)</f>
        <v>0</v>
      </c>
      <c r="BV4">
        <f>IF(P4=0,0,COUNTIF('Transect 4_imgsummary'!E4:I4,"TURBIN")*100/P4)</f>
        <v>0</v>
      </c>
      <c r="BX4">
        <f>IF(P4=0,0,COUNTIF('Transect 4_imgsummary'!E4:I4,"ANEM")*100/P4)</f>
        <v>0</v>
      </c>
      <c r="BY4">
        <f>IF(P4=0,0,COUNTIF('Transect 4_imgsummary'!E4:I4,"ASC")*100/P4)</f>
        <v>0</v>
      </c>
      <c r="BZ4">
        <f>IF(P4=0,0,COUNTIF('Transect 4_imgsummary'!E4:I4,"CUPS")*100/P4)</f>
        <v>0</v>
      </c>
      <c r="CA4">
        <f>IF(P4=0,0,COUNTIF('Transect 4_imgsummary'!E4:I4,"DISCO")*100/P4)</f>
        <v>0</v>
      </c>
      <c r="CB4">
        <f>IF(P4=0,0,COUNTIF('Transect 4_imgsummary'!E4:I4,"DYS")*100/P4)</f>
        <v>0</v>
      </c>
      <c r="CC4">
        <f>IF(P4=0,0,COUNTIF('Transect 4_imgsummary'!E4:I4,"G")*100/P4)</f>
        <v>0</v>
      </c>
      <c r="CD4">
        <f>IF(P4=0,0,COUNTIF('Transect 4_imgsummary'!E4:I4,"NoIDINV")*100/P4)</f>
        <v>0</v>
      </c>
      <c r="CE4">
        <f>IF(P4=0,0,COUNTIF('Transect 4_imgsummary'!E4:I4,"OLV")*100/P4)</f>
        <v>0</v>
      </c>
      <c r="CF4">
        <f>IF(P4=0,0,COUNTIF('Transect 4_imgsummary'!E4:I4,"SC")*100/P4)</f>
        <v>0</v>
      </c>
      <c r="CG4">
        <f>IF(P4=0,0,COUNTIF('Transect 4_imgsummary'!E4:I4,"S")*100/P4)</f>
        <v>0</v>
      </c>
      <c r="CH4">
        <f>IF(P4=0,0,COUNTIF('Transect 4_imgsummary'!E4:I4,"TERPS")*100/P4)</f>
        <v>0</v>
      </c>
      <c r="CI4">
        <f>IF(P4=0,0,COUNTIF('Transect 4_imgsummary'!E4:I4,"Z")*100/P4)</f>
        <v>0</v>
      </c>
      <c r="CK4">
        <f>IF(P4=0,0,COUNTIF('Transect 4_imgsummary'!E4:I4,"ASP")*100/P4)</f>
        <v>0</v>
      </c>
      <c r="CL4">
        <f>IF(P4=0,0,COUNTIF('Transect 4_imgsummary'!E4:I4,"BG")*100/P4)</f>
        <v>0</v>
      </c>
      <c r="CM4">
        <f>IF(P4=0,0,COUNTIF('Transect 4_imgsummary'!E4:I4,"Bood")*100/P4)</f>
        <v>0</v>
      </c>
      <c r="CN4">
        <f>IF(P4=0,0,COUNTIF('Transect 4_imgsummary'!E4:I4,"BRYP")*100/P4)</f>
        <v>0</v>
      </c>
      <c r="CO4">
        <f>IF(P4=0,0,COUNTIF('Transect 4_imgsummary'!E4:I4,"CLP")*100/P4)</f>
        <v>0</v>
      </c>
      <c r="CP4">
        <f>IF(P4=0,0,COUNTIF('Transect 4_imgsummary'!E4:I4,"CHLDES")*100/P4)</f>
        <v>0</v>
      </c>
      <c r="CQ4">
        <f>IF(P4=0,0,COUNTIF('Transect 4_imgsummary'!E4:I4,"DYCTY")*100/P4)</f>
        <v>0</v>
      </c>
      <c r="CR4">
        <f>IF(P4=0,0,COUNTIF('Transect 4_imgsummary'!E4:I4,"DICT")*100/P4)</f>
        <v>0</v>
      </c>
      <c r="CS4">
        <f>IF(P4=0,0,COUNTIF('Transect 4_imgsummary'!E4:I4,"GLXU")*100/P4)</f>
        <v>0</v>
      </c>
      <c r="CT4">
        <f>IF(P4=0,0,COUNTIF('Transect 4_imgsummary'!E4:I4,"HALI")*100/P4)</f>
        <v>0</v>
      </c>
      <c r="CU4">
        <f>IF(P4=0,0,COUNTIF('Transect 4_imgsummary'!E4:I4,"LIAG")*100/P4)</f>
        <v>0</v>
      </c>
      <c r="CV4">
        <f>IF(P4=0,0,COUNTIF('Transect 4_imgsummary'!E4:I4,"LOBO")*100/P4)</f>
        <v>0</v>
      </c>
      <c r="CW4">
        <f>IF(P4=0,0,COUNTIF('Transect 4_imgsummary'!E4:I4,"MAST")*100/P4)</f>
        <v>0</v>
      </c>
      <c r="CX4">
        <f>IF(P4=0,0,COUNTIF('Transect 4_imgsummary'!E4:I4,"MICDTY")*100/P4)</f>
        <v>0</v>
      </c>
      <c r="CY4">
        <f>IF(P4=0,0,COUNTIF('Transect 4_imgsummary'!E4:I4,"NEOM")*100/P4)</f>
        <v>0</v>
      </c>
      <c r="CZ4">
        <f>IF(P4=0,0,COUNTIF('Transect 4_imgsummary'!E4:I4,"NOIDMAC")*100/P4)</f>
        <v>0</v>
      </c>
      <c r="DA4">
        <f>IF(P4=0,0,COUNTIF('Transect 4_imgsummary'!E4:I4,"PAD")*100/P4)</f>
        <v>0</v>
      </c>
      <c r="DB4">
        <f>IF(P4=0,0,COUNTIF('Transect 4_imgsummary'!E4:I4,"SARG")*100/P4)</f>
        <v>0</v>
      </c>
      <c r="DC4">
        <f>IF(P4=0,0,COUNTIF('Transect 4_imgsummary'!E4:I4,"SCHIZ")*100/P4)</f>
        <v>0</v>
      </c>
      <c r="DD4">
        <f>IF(P4=0,0,COUNTIF('Transect 4_imgsummary'!E4:I4,"TURB")*100/P4)</f>
        <v>0</v>
      </c>
      <c r="DE4">
        <f>IF(P4=0,0,COUNTIF('Transect 4_imgsummary'!E4:I4,"TYDM")*100/P4)</f>
        <v>0</v>
      </c>
      <c r="DG4">
        <f>IF(P4=0,0,COUNTIF('Transect 4_imgsummary'!E4:I4,"AMP")*100/P4)</f>
        <v>0</v>
      </c>
      <c r="DH4" s="29">
        <f>IF(P4=0,0,COUNTIF('Transect 4_imgsummary'!E4:I4,"BCA1")*100/P4)</f>
        <v>20</v>
      </c>
      <c r="DI4">
        <f>IF(P4=0,0,COUNTIF('Transect 4_imgsummary'!E4:I4,"JAN")*100/P4)</f>
        <v>0</v>
      </c>
      <c r="DK4">
        <f>IF(P4=0,0,COUNTIF('Transect 4_imgsummary'!E4:I4,"CCA1")*100/P4)</f>
        <v>0</v>
      </c>
      <c r="DM4">
        <f>IF(P4=0,0,COUNTIF('Transect 4_imgsummary'!E4:I4,"Sand")*100/P4)</f>
        <v>0</v>
      </c>
      <c r="DO4">
        <f>IF(P4=0,0,COUNTIF('Transect 4_imgsummary'!E4:I4,"FCA1")*100/P4)</f>
        <v>0</v>
      </c>
      <c r="DQ4">
        <f>IF(P4=0,0,COUNTIF('Transect 4_imgsummary'!E4:I4,"CHRYOBRN")*100/P4)</f>
        <v>0</v>
      </c>
      <c r="DS4">
        <f>IF(P4=0,0,COUNTIF('Transect 4_imgsummary'!E4:I4,"TURF")*100/P4)</f>
        <v>0</v>
      </c>
      <c r="DU4">
        <f>COUNTIF('Transect 4_imgsummary'!E4:I4,"Shadow")*100/5</f>
        <v>0</v>
      </c>
      <c r="DV4">
        <f>COUNTIF('Transect 4_imgsummary'!E4:I4,"Tape")*100/5</f>
        <v>0</v>
      </c>
      <c r="DW4">
        <f>COUNTIF('Transect 4_imgsummary'!E4:I4,"Wand")*100/5</f>
        <v>0</v>
      </c>
      <c r="DY4">
        <f>IF(P4=0,0,COUNTIF('Transect 4_imgsummary'!O4:S4,"BC")*100/P4)</f>
        <v>0</v>
      </c>
    </row>
    <row r="5" spans="1:129">
      <c r="A5">
        <v>3</v>
      </c>
      <c r="B5" t="s">
        <v>548</v>
      </c>
      <c r="F5" s="29">
        <f>IF(P5=0,0,COUNTIF('Transect 4_imgsummary'!J5:N5,"C")*100/P5)</f>
        <v>80</v>
      </c>
      <c r="G5">
        <f>IF(P5=0,0,COUNTIF('Transect 4_imgsummary'!J5:N5,"OI")*100/P5)</f>
        <v>0</v>
      </c>
      <c r="H5">
        <f>IF(P5=0,0,COUNTIF('Transect 4_imgsummary'!J5:N5,"MA")*100/P5)</f>
        <v>0</v>
      </c>
      <c r="I5">
        <f>IF(P5=0,0,COUNTIF('Transect 4_imgsummary'!J5:N5,"BCA")*100/P5)</f>
        <v>0</v>
      </c>
      <c r="J5" s="29">
        <f>IF(P5=0,0,COUNTIF('Transect 4_imgsummary'!J5:N5,"CCA")*100/P5)</f>
        <v>20</v>
      </c>
      <c r="K5">
        <f>IF(P5=0,0,COUNTIF('Transect 4_imgsummary'!J5:N5,"SD")*100/P5)</f>
        <v>0</v>
      </c>
      <c r="L5">
        <f>IF(P5=0,0,COUNTIF('Transect 4_imgsummary'!J5:N5,"FCA")*100/P5)</f>
        <v>0</v>
      </c>
      <c r="M5">
        <f>IF(P5=0,0,COUNTIF('Transect 4_imgsummary'!J5:N5,"CHRYS")*100/P5)</f>
        <v>0</v>
      </c>
      <c r="N5">
        <f>IF(P5=0,0,COUNTIF('Transect 4_imgsummary'!J5:N5,"T")*100/P5)</f>
        <v>0</v>
      </c>
      <c r="O5">
        <f>IF(P5=0,0,COUNTIF('Transect 4_imgsummary'!J5:N5,"TWS")*100/P5)</f>
        <v>0</v>
      </c>
      <c r="P5">
        <f>5-COUNTIF('Transect 4_imgsummary'!J5:N5,"TWS")</f>
        <v>5</v>
      </c>
      <c r="S5">
        <f>IF(P5=0,0,COUNTIF('Transect 4_imgsummary'!E5:I5,"ACAN")*100/P5)</f>
        <v>0</v>
      </c>
      <c r="T5">
        <f>IF(P5=0,0,COUNTIF('Transect 4_imgsummary'!E5:I5,"ACROP")*100/P5)</f>
        <v>0</v>
      </c>
      <c r="U5">
        <f>IF(P5=0,0,COUNTIF('Transect 4_imgsummary'!E5:I5,"ACROPARB")*100/P5)</f>
        <v>0</v>
      </c>
      <c r="V5">
        <f>IF(P5=0,0,COUNTIF('Transect 4_imgsummary'!E5:I5,"ACROST")*100/P5)</f>
        <v>0</v>
      </c>
      <c r="W5" s="29">
        <f>IF(P5=0,0,COUNTIF('Transect 4_imgsummary'!E5:I5,"ACROTBL")*100/P5)</f>
        <v>80</v>
      </c>
      <c r="X5">
        <f>IF(P5=0,0,COUNTIF('Transect 4_imgsummary'!E5:I5,"ASTRP")*100/P5)</f>
        <v>0</v>
      </c>
      <c r="Y5">
        <f>IF(P5=0,0,COUNTIF('Transect 4_imgsummary'!E5:I5,"CAUL")*100/P5)</f>
        <v>0</v>
      </c>
      <c r="Z5">
        <f>IF(P5=0,0,COUNTIF('Transect 4_imgsummary'!E5:I5,"COSC")*100/P5)</f>
        <v>0</v>
      </c>
      <c r="AA5">
        <f>IF(P5=0,0,COUNTIF('Transect 4_imgsummary'!E5:I5,"CTEN")*100/P5)</f>
        <v>0</v>
      </c>
      <c r="AB5">
        <f>IF(P5=0,0,COUNTIF('Transect 4_imgsummary'!E5:I5,"CYPH")*100/P5)</f>
        <v>0</v>
      </c>
      <c r="AC5">
        <f>IF(P5=0,0,COUNTIF('Transect 4_imgsummary'!E5:I5,"DIPLO")*100/P5)</f>
        <v>0</v>
      </c>
      <c r="AD5">
        <f>IF(P5=0,0,COUNTIF('Transect 4_imgsummary'!E5:I5,"ECHPO")*100/P5)</f>
        <v>0</v>
      </c>
      <c r="AE5">
        <f>IF(P5=0,0,COUNTIF('Transect 4_imgsummary'!E5:I5,"ECHPHY")*100/P5)</f>
        <v>0</v>
      </c>
      <c r="AF5">
        <f>IF(P5=0,0,COUNTIF('Transect 4_imgsummary'!E5:I5,"EUPH")*100/P5)</f>
        <v>0</v>
      </c>
      <c r="AG5">
        <f>IF(P5=0,0,COUNTIF('Transect 4_imgsummary'!E5:I5,"FAV")*100/P5)</f>
        <v>0</v>
      </c>
      <c r="AH5">
        <f>IF(P5=0,0,COUNTIF('Transect 4_imgsummary'!E5:I5,"FAVT")*100/P5)</f>
        <v>0</v>
      </c>
      <c r="AI5">
        <f>IF(P5=0,0,COUNTIF('Transect 4_imgsummary'!E5:I5,"FUNG")*100/P5)</f>
        <v>0</v>
      </c>
      <c r="AJ5">
        <f>IF(P5=0,0,COUNTIF('Transect 4_imgsummary'!E5:I5,"GAL")*100/P5)</f>
        <v>0</v>
      </c>
      <c r="AK5">
        <f>IF(P5=0,0,COUNTIF('Transect 4_imgsummary'!E5:I5,"GARD")*100/P5)</f>
        <v>0</v>
      </c>
      <c r="AL5">
        <f>IF(P5=0,0,COUNTIF('Transect 4_imgsummary'!E5:I5,"GON")*100/P5)</f>
        <v>0</v>
      </c>
      <c r="AM5">
        <f>IF(P5=0,0,COUNTIF('Transect 4_imgsummary'!E5:I5,"GONIO")*100/P5)</f>
        <v>0</v>
      </c>
      <c r="AN5">
        <f>IF(P5=0,0,COUNTIF('Transect 4_imgsummary'!E5:I5,"HELIO")*100/P5)</f>
        <v>0</v>
      </c>
      <c r="AO5">
        <f>IF(P5=0,0,COUNTIF('Transect 4_imgsummary'!E5:I5,"HERP")*100/P5)</f>
        <v>0</v>
      </c>
      <c r="AP5">
        <f>IF(P5=0,0,COUNTIF('Transect 4_imgsummary'!E5:I5,"HYD")*100/P5)</f>
        <v>0</v>
      </c>
      <c r="AQ5">
        <f>IF(P5=0,0,COUNTIF('Transect 4_imgsummary'!E5:I5,"ISOP")*100/P5)</f>
        <v>0</v>
      </c>
      <c r="AR5">
        <f>IF(P5=0,0,COUNTIF('Transect 4_imgsummary'!E5:I5,"LEPT")*100/P5)</f>
        <v>0</v>
      </c>
      <c r="AS5">
        <f>IF(P5=0,0,COUNTIF('Transect 4_imgsummary'!E5:I5,"LEPTOR")*100/P5)</f>
        <v>0</v>
      </c>
      <c r="AT5">
        <f>IF(P5=0,0,COUNTIF('Transect 4_imgsummary'!E5:I5,"LEPTOS")*100/P5)</f>
        <v>0</v>
      </c>
      <c r="AU5">
        <f>IF(P5=0,0,COUNTIF('Transect 4_imgsummary'!E5:I5,"LOBOPH")*100/P5)</f>
        <v>0</v>
      </c>
      <c r="AV5">
        <f>IF(P5=0,0,COUNTIF('Transect 4_imgsummary'!E5:I5,"MERU")*100/P5)</f>
        <v>0</v>
      </c>
      <c r="AW5">
        <f>IF(P5=0,0,COUNTIF('Transect 4_imgsummary'!E5:I5,"MILL")*100/P5)</f>
        <v>0</v>
      </c>
      <c r="AX5">
        <f>IF(P5=0,0,COUNTIF('Transect 4_imgsummary'!E5:I5,"MONT")*100/P5)</f>
        <v>0</v>
      </c>
      <c r="AY5">
        <f>IF(P5=0,0,COUNTIF('Transect 4_imgsummary'!E5:I5,"MONTI")*100/P5)</f>
        <v>0</v>
      </c>
      <c r="AZ5">
        <f>IF(P5=0,0,COUNTIF('Transect 4_imgsummary'!E5:I5,"MYCED")*100/P5)</f>
        <v>0</v>
      </c>
      <c r="BA5">
        <f>IF(P5=0,0,COUNTIF('Transect 4_imgsummary'!E5:I5,"OULO")*100/P5)</f>
        <v>0</v>
      </c>
      <c r="BB5">
        <f>IF(P5=0,0,COUNTIF('Transect 4_imgsummary'!E5:I5,"OXYP")*100/P5)</f>
        <v>0</v>
      </c>
      <c r="BC5">
        <f>IF(P5=0,0,COUNTIF('Transect 4_imgsummary'!E5:I5,"PLSIA")*100/P5)</f>
        <v>0</v>
      </c>
      <c r="BD5">
        <f>IF(P5=0,0,COUNTIF('Transect 4_imgsummary'!E5:I5,"PACHY")*100/P5)</f>
        <v>0</v>
      </c>
      <c r="BE5">
        <f>IF(P5=0,0,COUNTIF('Transect 4_imgsummary'!E5:I5,"PAV")*100/P5)</f>
        <v>0</v>
      </c>
      <c r="BF5">
        <f>IF(P5=0,0,COUNTIF('Transect 4_imgsummary'!E5:I5,"PECT")*100/P5)</f>
        <v>0</v>
      </c>
      <c r="BG5">
        <f>IF(P5=0,0,COUNTIF('Transect 4_imgsummary'!E5:I5,"PHYSO")*100/P5)</f>
        <v>0</v>
      </c>
      <c r="BH5">
        <f>IF(P5=0,0,COUNTIF('Transect 4_imgsummary'!E5:I5,"PLAT")*100/P5)</f>
        <v>0</v>
      </c>
      <c r="BI5">
        <f>IF(P5=0,0,COUNTIF('Transect 4_imgsummary'!E5:I5,"PLERO")*100/P5)</f>
        <v>0</v>
      </c>
      <c r="BJ5">
        <f>IF(P5=0,0,COUNTIF('Transect 4_imgsummary'!E5:I5,"POC")*100/P5)</f>
        <v>0</v>
      </c>
      <c r="BK5">
        <f>IF(P5=0,0,COUNTIF('Transect 4_imgsummary'!E5:I5,"POR")*100/P5)</f>
        <v>0</v>
      </c>
      <c r="BL5">
        <f>IF(P5=0,0,COUNTIF('Transect 4_imgsummary'!E5:I5,"PORCYL")*100/P5)</f>
        <v>0</v>
      </c>
      <c r="BM5">
        <f>IF(P5=0,0,COUNTIF('Transect 4_imgsummary'!E5:I5,"PORMAS")*100/P5)</f>
        <v>0</v>
      </c>
      <c r="BN5">
        <f>IF(P5=0,0,COUNTIF('Transect 4_imgsummary'!E5:I5,"PORRUS")*100/P5)</f>
        <v>0</v>
      </c>
      <c r="BO5">
        <f>IF(P5=0,0,COUNTIF('Transect 4_imgsummary'!E5:I5,"PSAM")*100/P5)</f>
        <v>0</v>
      </c>
      <c r="BP5">
        <f>IF(P5=0,0,COUNTIF('Transect 4_imgsummary'!E5:I5,"SANDO")*100/P5)</f>
        <v>0</v>
      </c>
      <c r="BQ5">
        <f>IF(P5=0,0,COUNTIF('Transect 4_imgsummary'!E5:I5,"SCAP")*100/P5)</f>
        <v>0</v>
      </c>
      <c r="BR5">
        <f>IF(P5=0,0,COUNTIF('Transect 4_imgsummary'!E5:I5,"SERIA")*100/P5)</f>
        <v>0</v>
      </c>
      <c r="BS5">
        <f>IF(P5=0,0,COUNTIF('Transect 4_imgsummary'!E5:I5,"STYLC")*100/P5)</f>
        <v>0</v>
      </c>
      <c r="BT5">
        <f>IF(P5=0,0,COUNTIF('Transect 4_imgsummary'!E5:I5,"STYLO")*100/P5)</f>
        <v>0</v>
      </c>
      <c r="BU5">
        <f>IF(P5=0,0,COUNTIF('Transect 4_imgsummary'!E5:I5,"SYMP")*100/P5)</f>
        <v>0</v>
      </c>
      <c r="BV5">
        <f>IF(P5=0,0,COUNTIF('Transect 4_imgsummary'!E5:I5,"TURBIN")*100/P5)</f>
        <v>0</v>
      </c>
      <c r="BX5">
        <f>IF(P5=0,0,COUNTIF('Transect 4_imgsummary'!E5:I5,"ANEM")*100/P5)</f>
        <v>0</v>
      </c>
      <c r="BY5">
        <f>IF(P5=0,0,COUNTIF('Transect 4_imgsummary'!E5:I5,"ASC")*100/P5)</f>
        <v>0</v>
      </c>
      <c r="BZ5">
        <f>IF(P5=0,0,COUNTIF('Transect 4_imgsummary'!E5:I5,"CUPS")*100/P5)</f>
        <v>0</v>
      </c>
      <c r="CA5">
        <f>IF(P5=0,0,COUNTIF('Transect 4_imgsummary'!E5:I5,"DISCO")*100/P5)</f>
        <v>0</v>
      </c>
      <c r="CB5">
        <f>IF(P5=0,0,COUNTIF('Transect 4_imgsummary'!E5:I5,"DYS")*100/P5)</f>
        <v>0</v>
      </c>
      <c r="CC5">
        <f>IF(P5=0,0,COUNTIF('Transect 4_imgsummary'!E5:I5,"G")*100/P5)</f>
        <v>0</v>
      </c>
      <c r="CD5">
        <f>IF(P5=0,0,COUNTIF('Transect 4_imgsummary'!E5:I5,"NoIDINV")*100/P5)</f>
        <v>0</v>
      </c>
      <c r="CE5">
        <f>IF(P5=0,0,COUNTIF('Transect 4_imgsummary'!E5:I5,"OLV")*100/P5)</f>
        <v>0</v>
      </c>
      <c r="CF5">
        <f>IF(P5=0,0,COUNTIF('Transect 4_imgsummary'!E5:I5,"SC")*100/P5)</f>
        <v>0</v>
      </c>
      <c r="CG5">
        <f>IF(P5=0,0,COUNTIF('Transect 4_imgsummary'!E5:I5,"S")*100/P5)</f>
        <v>0</v>
      </c>
      <c r="CH5">
        <f>IF(P5=0,0,COUNTIF('Transect 4_imgsummary'!E5:I5,"TERPS")*100/P5)</f>
        <v>0</v>
      </c>
      <c r="CI5">
        <f>IF(P5=0,0,COUNTIF('Transect 4_imgsummary'!E5:I5,"Z")*100/P5)</f>
        <v>0</v>
      </c>
      <c r="CK5">
        <f>IF(P5=0,0,COUNTIF('Transect 4_imgsummary'!E5:I5,"ASP")*100/P5)</f>
        <v>0</v>
      </c>
      <c r="CL5">
        <f>IF(P5=0,0,COUNTIF('Transect 4_imgsummary'!E5:I5,"BG")*100/P5)</f>
        <v>0</v>
      </c>
      <c r="CM5">
        <f>IF(P5=0,0,COUNTIF('Transect 4_imgsummary'!E5:I5,"Bood")*100/P5)</f>
        <v>0</v>
      </c>
      <c r="CN5">
        <f>IF(P5=0,0,COUNTIF('Transect 4_imgsummary'!E5:I5,"BRYP")*100/P5)</f>
        <v>0</v>
      </c>
      <c r="CO5">
        <f>IF(P5=0,0,COUNTIF('Transect 4_imgsummary'!E5:I5,"CLP")*100/P5)</f>
        <v>0</v>
      </c>
      <c r="CP5">
        <f>IF(P5=0,0,COUNTIF('Transect 4_imgsummary'!E5:I5,"CHLDES")*100/P5)</f>
        <v>0</v>
      </c>
      <c r="CQ5">
        <f>IF(P5=0,0,COUNTIF('Transect 4_imgsummary'!E5:I5,"DYCTY")*100/P5)</f>
        <v>0</v>
      </c>
      <c r="CR5">
        <f>IF(P5=0,0,COUNTIF('Transect 4_imgsummary'!E5:I5,"DICT")*100/P5)</f>
        <v>0</v>
      </c>
      <c r="CS5">
        <f>IF(P5=0,0,COUNTIF('Transect 4_imgsummary'!E5:I5,"GLXU")*100/P5)</f>
        <v>0</v>
      </c>
      <c r="CT5">
        <f>IF(P5=0,0,COUNTIF('Transect 4_imgsummary'!E5:I5,"HALI")*100/P5)</f>
        <v>0</v>
      </c>
      <c r="CU5">
        <f>IF(P5=0,0,COUNTIF('Transect 4_imgsummary'!E5:I5,"LIAG")*100/P5)</f>
        <v>0</v>
      </c>
      <c r="CV5">
        <f>IF(P5=0,0,COUNTIF('Transect 4_imgsummary'!E5:I5,"LOBO")*100/P5)</f>
        <v>0</v>
      </c>
      <c r="CW5">
        <f>IF(P5=0,0,COUNTIF('Transect 4_imgsummary'!E5:I5,"MAST")*100/P5)</f>
        <v>0</v>
      </c>
      <c r="CX5">
        <f>IF(P5=0,0,COUNTIF('Transect 4_imgsummary'!E5:I5,"MICDTY")*100/P5)</f>
        <v>0</v>
      </c>
      <c r="CY5">
        <f>IF(P5=0,0,COUNTIF('Transect 4_imgsummary'!E5:I5,"NEOM")*100/P5)</f>
        <v>0</v>
      </c>
      <c r="CZ5">
        <f>IF(P5=0,0,COUNTIF('Transect 4_imgsummary'!E5:I5,"NOIDMAC")*100/P5)</f>
        <v>0</v>
      </c>
      <c r="DA5">
        <f>IF(P5=0,0,COUNTIF('Transect 4_imgsummary'!E5:I5,"PAD")*100/P5)</f>
        <v>0</v>
      </c>
      <c r="DB5">
        <f>IF(P5=0,0,COUNTIF('Transect 4_imgsummary'!E5:I5,"SARG")*100/P5)</f>
        <v>0</v>
      </c>
      <c r="DC5">
        <f>IF(P5=0,0,COUNTIF('Transect 4_imgsummary'!E5:I5,"SCHIZ")*100/P5)</f>
        <v>0</v>
      </c>
      <c r="DD5">
        <f>IF(P5=0,0,COUNTIF('Transect 4_imgsummary'!E5:I5,"TURB")*100/P5)</f>
        <v>0</v>
      </c>
      <c r="DE5">
        <f>IF(P5=0,0,COUNTIF('Transect 4_imgsummary'!E5:I5,"TYDM")*100/P5)</f>
        <v>0</v>
      </c>
      <c r="DG5">
        <f>IF(P5=0,0,COUNTIF('Transect 4_imgsummary'!E5:I5,"AMP")*100/P5)</f>
        <v>0</v>
      </c>
      <c r="DH5">
        <f>IF(P5=0,0,COUNTIF('Transect 4_imgsummary'!E5:I5,"BCA1")*100/P5)</f>
        <v>0</v>
      </c>
      <c r="DI5">
        <f>IF(P5=0,0,COUNTIF('Transect 4_imgsummary'!E5:I5,"JAN")*100/P5)</f>
        <v>0</v>
      </c>
      <c r="DK5" s="29">
        <f>IF(P5=0,0,COUNTIF('Transect 4_imgsummary'!E5:I5,"CCA1")*100/P5)</f>
        <v>20</v>
      </c>
      <c r="DM5">
        <f>IF(P5=0,0,COUNTIF('Transect 4_imgsummary'!E5:I5,"Sand")*100/P5)</f>
        <v>0</v>
      </c>
      <c r="DO5">
        <f>IF(P5=0,0,COUNTIF('Transect 4_imgsummary'!E5:I5,"FCA1")*100/P5)</f>
        <v>0</v>
      </c>
      <c r="DQ5">
        <f>IF(P5=0,0,COUNTIF('Transect 4_imgsummary'!E5:I5,"CHRYOBRN")*100/P5)</f>
        <v>0</v>
      </c>
      <c r="DS5">
        <f>IF(P5=0,0,COUNTIF('Transect 4_imgsummary'!E5:I5,"TURF")*100/P5)</f>
        <v>0</v>
      </c>
      <c r="DU5">
        <f>COUNTIF('Transect 4_imgsummary'!E5:I5,"Shadow")*100/5</f>
        <v>0</v>
      </c>
      <c r="DV5">
        <f>COUNTIF('Transect 4_imgsummary'!E5:I5,"Tape")*100/5</f>
        <v>0</v>
      </c>
      <c r="DW5">
        <f>COUNTIF('Transect 4_imgsummary'!E5:I5,"Wand")*100/5</f>
        <v>0</v>
      </c>
      <c r="DY5">
        <f>IF(P5=0,0,COUNTIF('Transect 4_imgsummary'!O5:S5,"BC")*100/P5)</f>
        <v>0</v>
      </c>
    </row>
    <row r="6" spans="1:129">
      <c r="A6">
        <v>4</v>
      </c>
      <c r="B6" t="s">
        <v>549</v>
      </c>
      <c r="F6" s="29">
        <f>IF(P6=0,0,COUNTIF('Transect 4_imgsummary'!J6:N6,"C")*100/P6)</f>
        <v>80</v>
      </c>
      <c r="G6">
        <f>IF(P6=0,0,COUNTIF('Transect 4_imgsummary'!J6:N6,"OI")*100/P6)</f>
        <v>0</v>
      </c>
      <c r="H6">
        <f>IF(P6=0,0,COUNTIF('Transect 4_imgsummary'!J6:N6,"MA")*100/P6)</f>
        <v>0</v>
      </c>
      <c r="I6">
        <f>IF(P6=0,0,COUNTIF('Transect 4_imgsummary'!J6:N6,"BCA")*100/P6)</f>
        <v>0</v>
      </c>
      <c r="J6">
        <f>IF(P6=0,0,COUNTIF('Transect 4_imgsummary'!J6:N6,"CCA")*100/P6)</f>
        <v>0</v>
      </c>
      <c r="K6">
        <f>IF(P6=0,0,COUNTIF('Transect 4_imgsummary'!J6:N6,"SD")*100/P6)</f>
        <v>0</v>
      </c>
      <c r="L6">
        <f>IF(P6=0,0,COUNTIF('Transect 4_imgsummary'!J6:N6,"FCA")*100/P6)</f>
        <v>0</v>
      </c>
      <c r="M6">
        <f>IF(P6=0,0,COUNTIF('Transect 4_imgsummary'!J6:N6,"CHRYS")*100/P6)</f>
        <v>0</v>
      </c>
      <c r="N6" s="29">
        <f>IF(P6=0,0,COUNTIF('Transect 4_imgsummary'!J6:N6,"T")*100/P6)</f>
        <v>20</v>
      </c>
      <c r="O6">
        <f>IF(P6=0,0,COUNTIF('Transect 4_imgsummary'!J6:N6,"TWS")*100/P6)</f>
        <v>0</v>
      </c>
      <c r="P6">
        <f>5-COUNTIF('Transect 4_imgsummary'!J6:N6,"TWS")</f>
        <v>5</v>
      </c>
      <c r="S6">
        <f>IF(P6=0,0,COUNTIF('Transect 4_imgsummary'!E6:I6,"ACAN")*100/P6)</f>
        <v>0</v>
      </c>
      <c r="T6">
        <f>IF(P6=0,0,COUNTIF('Transect 4_imgsummary'!E6:I6,"ACROP")*100/P6)</f>
        <v>0</v>
      </c>
      <c r="U6">
        <f>IF(P6=0,0,COUNTIF('Transect 4_imgsummary'!E6:I6,"ACROPARB")*100/P6)</f>
        <v>0</v>
      </c>
      <c r="V6">
        <f>IF(P6=0,0,COUNTIF('Transect 4_imgsummary'!E6:I6,"ACROST")*100/P6)</f>
        <v>0</v>
      </c>
      <c r="W6" s="29">
        <f>IF(P6=0,0,COUNTIF('Transect 4_imgsummary'!E6:I6,"ACROTBL")*100/P6)</f>
        <v>60</v>
      </c>
      <c r="X6">
        <f>IF(P6=0,0,COUNTIF('Transect 4_imgsummary'!E6:I6,"ASTRP")*100/P6)</f>
        <v>0</v>
      </c>
      <c r="Y6">
        <f>IF(P6=0,0,COUNTIF('Transect 4_imgsummary'!E6:I6,"CAUL")*100/P6)</f>
        <v>0</v>
      </c>
      <c r="Z6">
        <f>IF(P6=0,0,COUNTIF('Transect 4_imgsummary'!E6:I6,"COSC")*100/P6)</f>
        <v>0</v>
      </c>
      <c r="AA6">
        <f>IF(P6=0,0,COUNTIF('Transect 4_imgsummary'!E6:I6,"CTEN")*100/P6)</f>
        <v>0</v>
      </c>
      <c r="AB6">
        <f>IF(P6=0,0,COUNTIF('Transect 4_imgsummary'!E6:I6,"CYPH")*100/P6)</f>
        <v>0</v>
      </c>
      <c r="AC6">
        <f>IF(P6=0,0,COUNTIF('Transect 4_imgsummary'!E6:I6,"DIPLO")*100/P6)</f>
        <v>0</v>
      </c>
      <c r="AD6">
        <f>IF(P6=0,0,COUNTIF('Transect 4_imgsummary'!E6:I6,"ECHPO")*100/P6)</f>
        <v>0</v>
      </c>
      <c r="AE6">
        <f>IF(P6=0,0,COUNTIF('Transect 4_imgsummary'!E6:I6,"ECHPHY")*100/P6)</f>
        <v>0</v>
      </c>
      <c r="AF6">
        <f>IF(P6=0,0,COUNTIF('Transect 4_imgsummary'!E6:I6,"EUPH")*100/P6)</f>
        <v>0</v>
      </c>
      <c r="AG6">
        <f>IF(P6=0,0,COUNTIF('Transect 4_imgsummary'!E6:I6,"FAV")*100/P6)</f>
        <v>0</v>
      </c>
      <c r="AH6">
        <f>IF(P6=0,0,COUNTIF('Transect 4_imgsummary'!E6:I6,"FAVT")*100/P6)</f>
        <v>0</v>
      </c>
      <c r="AI6">
        <f>IF(P6=0,0,COUNTIF('Transect 4_imgsummary'!E6:I6,"FUNG")*100/P6)</f>
        <v>0</v>
      </c>
      <c r="AJ6">
        <f>IF(P6=0,0,COUNTIF('Transect 4_imgsummary'!E6:I6,"GAL")*100/P6)</f>
        <v>0</v>
      </c>
      <c r="AK6">
        <f>IF(P6=0,0,COUNTIF('Transect 4_imgsummary'!E6:I6,"GARD")*100/P6)</f>
        <v>0</v>
      </c>
      <c r="AL6">
        <f>IF(P6=0,0,COUNTIF('Transect 4_imgsummary'!E6:I6,"GON")*100/P6)</f>
        <v>0</v>
      </c>
      <c r="AM6">
        <f>IF(P6=0,0,COUNTIF('Transect 4_imgsummary'!E6:I6,"GONIO")*100/P6)</f>
        <v>0</v>
      </c>
      <c r="AN6">
        <f>IF(P6=0,0,COUNTIF('Transect 4_imgsummary'!E6:I6,"HELIO")*100/P6)</f>
        <v>0</v>
      </c>
      <c r="AO6">
        <f>IF(P6=0,0,COUNTIF('Transect 4_imgsummary'!E6:I6,"HERP")*100/P6)</f>
        <v>0</v>
      </c>
      <c r="AP6">
        <f>IF(P6=0,0,COUNTIF('Transect 4_imgsummary'!E6:I6,"HYD")*100/P6)</f>
        <v>0</v>
      </c>
      <c r="AQ6">
        <f>IF(P6=0,0,COUNTIF('Transect 4_imgsummary'!E6:I6,"ISOP")*100/P6)</f>
        <v>0</v>
      </c>
      <c r="AR6">
        <f>IF(P6=0,0,COUNTIF('Transect 4_imgsummary'!E6:I6,"LEPT")*100/P6)</f>
        <v>0</v>
      </c>
      <c r="AS6">
        <f>IF(P6=0,0,COUNTIF('Transect 4_imgsummary'!E6:I6,"LEPTOR")*100/P6)</f>
        <v>0</v>
      </c>
      <c r="AT6">
        <f>IF(P6=0,0,COUNTIF('Transect 4_imgsummary'!E6:I6,"LEPTOS")*100/P6)</f>
        <v>0</v>
      </c>
      <c r="AU6">
        <f>IF(P6=0,0,COUNTIF('Transect 4_imgsummary'!E6:I6,"LOBOPH")*100/P6)</f>
        <v>0</v>
      </c>
      <c r="AV6">
        <f>IF(P6=0,0,COUNTIF('Transect 4_imgsummary'!E6:I6,"MERU")*100/P6)</f>
        <v>0</v>
      </c>
      <c r="AW6">
        <f>IF(P6=0,0,COUNTIF('Transect 4_imgsummary'!E6:I6,"MILL")*100/P6)</f>
        <v>0</v>
      </c>
      <c r="AX6">
        <f>IF(P6=0,0,COUNTIF('Transect 4_imgsummary'!E6:I6,"MONT")*100/P6)</f>
        <v>0</v>
      </c>
      <c r="AY6">
        <f>IF(P6=0,0,COUNTIF('Transect 4_imgsummary'!E6:I6,"MONTI")*100/P6)</f>
        <v>0</v>
      </c>
      <c r="AZ6">
        <f>IF(P6=0,0,COUNTIF('Transect 4_imgsummary'!E6:I6,"MYCED")*100/P6)</f>
        <v>0</v>
      </c>
      <c r="BA6">
        <f>IF(P6=0,0,COUNTIF('Transect 4_imgsummary'!E6:I6,"OULO")*100/P6)</f>
        <v>0</v>
      </c>
      <c r="BB6">
        <f>IF(P6=0,0,COUNTIF('Transect 4_imgsummary'!E6:I6,"OXYP")*100/P6)</f>
        <v>0</v>
      </c>
      <c r="BC6">
        <f>IF(P6=0,0,COUNTIF('Transect 4_imgsummary'!E6:I6,"PLSIA")*100/P6)</f>
        <v>0</v>
      </c>
      <c r="BD6" s="29">
        <f>IF(P6=0,0,COUNTIF('Transect 4_imgsummary'!E6:I6,"PACHY")*100/P6)</f>
        <v>20</v>
      </c>
      <c r="BE6">
        <f>IF(P6=0,0,COUNTIF('Transect 4_imgsummary'!E6:I6,"PAV")*100/P6)</f>
        <v>0</v>
      </c>
      <c r="BF6">
        <f>IF(P6=0,0,COUNTIF('Transect 4_imgsummary'!E6:I6,"PECT")*100/P6)</f>
        <v>0</v>
      </c>
      <c r="BG6">
        <f>IF(P6=0,0,COUNTIF('Transect 4_imgsummary'!E6:I6,"PHYSO")*100/P6)</f>
        <v>0</v>
      </c>
      <c r="BH6">
        <f>IF(P6=0,0,COUNTIF('Transect 4_imgsummary'!E6:I6,"PLAT")*100/P6)</f>
        <v>0</v>
      </c>
      <c r="BI6">
        <f>IF(P6=0,0,COUNTIF('Transect 4_imgsummary'!E6:I6,"PLERO")*100/P6)</f>
        <v>0</v>
      </c>
      <c r="BJ6">
        <f>IF(P6=0,0,COUNTIF('Transect 4_imgsummary'!E6:I6,"POC")*100/P6)</f>
        <v>0</v>
      </c>
      <c r="BK6">
        <f>IF(P6=0,0,COUNTIF('Transect 4_imgsummary'!E6:I6,"POR")*100/P6)</f>
        <v>0</v>
      </c>
      <c r="BL6">
        <f>IF(P6=0,0,COUNTIF('Transect 4_imgsummary'!E6:I6,"PORCYL")*100/P6)</f>
        <v>0</v>
      </c>
      <c r="BM6">
        <f>IF(P6=0,0,COUNTIF('Transect 4_imgsummary'!E6:I6,"PORMAS")*100/P6)</f>
        <v>0</v>
      </c>
      <c r="BN6">
        <f>IF(P6=0,0,COUNTIF('Transect 4_imgsummary'!E6:I6,"PORRUS")*100/P6)</f>
        <v>0</v>
      </c>
      <c r="BO6">
        <f>IF(P6=0,0,COUNTIF('Transect 4_imgsummary'!E6:I6,"PSAM")*100/P6)</f>
        <v>0</v>
      </c>
      <c r="BP6">
        <f>IF(P6=0,0,COUNTIF('Transect 4_imgsummary'!E6:I6,"SANDO")*100/P6)</f>
        <v>0</v>
      </c>
      <c r="BQ6">
        <f>IF(P6=0,0,COUNTIF('Transect 4_imgsummary'!E6:I6,"SCAP")*100/P6)</f>
        <v>0</v>
      </c>
      <c r="BR6">
        <f>IF(P6=0,0,COUNTIF('Transect 4_imgsummary'!E6:I6,"SERIA")*100/P6)</f>
        <v>0</v>
      </c>
      <c r="BS6">
        <f>IF(P6=0,0,COUNTIF('Transect 4_imgsummary'!E6:I6,"STYLC")*100/P6)</f>
        <v>0</v>
      </c>
      <c r="BT6">
        <f>IF(P6=0,0,COUNTIF('Transect 4_imgsummary'!E6:I6,"STYLO")*100/P6)</f>
        <v>0</v>
      </c>
      <c r="BU6">
        <f>IF(P6=0,0,COUNTIF('Transect 4_imgsummary'!E6:I6,"SYMP")*100/P6)</f>
        <v>0</v>
      </c>
      <c r="BV6">
        <f>IF(P6=0,0,COUNTIF('Transect 4_imgsummary'!E6:I6,"TURBIN")*100/P6)</f>
        <v>0</v>
      </c>
      <c r="BX6">
        <f>IF(P6=0,0,COUNTIF('Transect 4_imgsummary'!E6:I6,"ANEM")*100/P6)</f>
        <v>0</v>
      </c>
      <c r="BY6">
        <f>IF(P6=0,0,COUNTIF('Transect 4_imgsummary'!E6:I6,"ASC")*100/P6)</f>
        <v>0</v>
      </c>
      <c r="BZ6">
        <f>IF(P6=0,0,COUNTIF('Transect 4_imgsummary'!E6:I6,"CUPS")*100/P6)</f>
        <v>0</v>
      </c>
      <c r="CA6">
        <f>IF(P6=0,0,COUNTIF('Transect 4_imgsummary'!E6:I6,"DISCO")*100/P6)</f>
        <v>0</v>
      </c>
      <c r="CB6">
        <f>IF(P6=0,0,COUNTIF('Transect 4_imgsummary'!E6:I6,"DYS")*100/P6)</f>
        <v>0</v>
      </c>
      <c r="CC6">
        <f>IF(P6=0,0,COUNTIF('Transect 4_imgsummary'!E6:I6,"G")*100/P6)</f>
        <v>0</v>
      </c>
      <c r="CD6">
        <f>IF(P6=0,0,COUNTIF('Transect 4_imgsummary'!E6:I6,"NoIDINV")*100/P6)</f>
        <v>0</v>
      </c>
      <c r="CE6">
        <f>IF(P6=0,0,COUNTIF('Transect 4_imgsummary'!E6:I6,"OLV")*100/P6)</f>
        <v>0</v>
      </c>
      <c r="CF6">
        <f>IF(P6=0,0,COUNTIF('Transect 4_imgsummary'!E6:I6,"SC")*100/P6)</f>
        <v>0</v>
      </c>
      <c r="CG6">
        <f>IF(P6=0,0,COUNTIF('Transect 4_imgsummary'!E6:I6,"S")*100/P6)</f>
        <v>0</v>
      </c>
      <c r="CH6">
        <f>IF(P6=0,0,COUNTIF('Transect 4_imgsummary'!E6:I6,"TERPS")*100/P6)</f>
        <v>0</v>
      </c>
      <c r="CI6">
        <f>IF(P6=0,0,COUNTIF('Transect 4_imgsummary'!E6:I6,"Z")*100/P6)</f>
        <v>0</v>
      </c>
      <c r="CK6">
        <f>IF(P6=0,0,COUNTIF('Transect 4_imgsummary'!E6:I6,"ASP")*100/P6)</f>
        <v>0</v>
      </c>
      <c r="CL6">
        <f>IF(P6=0,0,COUNTIF('Transect 4_imgsummary'!E6:I6,"BG")*100/P6)</f>
        <v>0</v>
      </c>
      <c r="CM6">
        <f>IF(P6=0,0,COUNTIF('Transect 4_imgsummary'!E6:I6,"Bood")*100/P6)</f>
        <v>0</v>
      </c>
      <c r="CN6">
        <f>IF(P6=0,0,COUNTIF('Transect 4_imgsummary'!E6:I6,"BRYP")*100/P6)</f>
        <v>0</v>
      </c>
      <c r="CO6">
        <f>IF(P6=0,0,COUNTIF('Transect 4_imgsummary'!E6:I6,"CLP")*100/P6)</f>
        <v>0</v>
      </c>
      <c r="CP6">
        <f>IF(P6=0,0,COUNTIF('Transect 4_imgsummary'!E6:I6,"CHLDES")*100/P6)</f>
        <v>0</v>
      </c>
      <c r="CQ6">
        <f>IF(P6=0,0,COUNTIF('Transect 4_imgsummary'!E6:I6,"DYCTY")*100/P6)</f>
        <v>0</v>
      </c>
      <c r="CR6">
        <f>IF(P6=0,0,COUNTIF('Transect 4_imgsummary'!E6:I6,"DICT")*100/P6)</f>
        <v>0</v>
      </c>
      <c r="CS6">
        <f>IF(P6=0,0,COUNTIF('Transect 4_imgsummary'!E6:I6,"GLXU")*100/P6)</f>
        <v>0</v>
      </c>
      <c r="CT6">
        <f>IF(P6=0,0,COUNTIF('Transect 4_imgsummary'!E6:I6,"HALI")*100/P6)</f>
        <v>0</v>
      </c>
      <c r="CU6">
        <f>IF(P6=0,0,COUNTIF('Transect 4_imgsummary'!E6:I6,"LIAG")*100/P6)</f>
        <v>0</v>
      </c>
      <c r="CV6">
        <f>IF(P6=0,0,COUNTIF('Transect 4_imgsummary'!E6:I6,"LOBO")*100/P6)</f>
        <v>0</v>
      </c>
      <c r="CW6">
        <f>IF(P6=0,0,COUNTIF('Transect 4_imgsummary'!E6:I6,"MAST")*100/P6)</f>
        <v>0</v>
      </c>
      <c r="CX6">
        <f>IF(P6=0,0,COUNTIF('Transect 4_imgsummary'!E6:I6,"MICDTY")*100/P6)</f>
        <v>0</v>
      </c>
      <c r="CY6">
        <f>IF(P6=0,0,COUNTIF('Transect 4_imgsummary'!E6:I6,"NEOM")*100/P6)</f>
        <v>0</v>
      </c>
      <c r="CZ6">
        <f>IF(P6=0,0,COUNTIF('Transect 4_imgsummary'!E6:I6,"NOIDMAC")*100/P6)</f>
        <v>0</v>
      </c>
      <c r="DA6">
        <f>IF(P6=0,0,COUNTIF('Transect 4_imgsummary'!E6:I6,"PAD")*100/P6)</f>
        <v>0</v>
      </c>
      <c r="DB6">
        <f>IF(P6=0,0,COUNTIF('Transect 4_imgsummary'!E6:I6,"SARG")*100/P6)</f>
        <v>0</v>
      </c>
      <c r="DC6">
        <f>IF(P6=0,0,COUNTIF('Transect 4_imgsummary'!E6:I6,"SCHIZ")*100/P6)</f>
        <v>0</v>
      </c>
      <c r="DD6">
        <f>IF(P6=0,0,COUNTIF('Transect 4_imgsummary'!E6:I6,"TURB")*100/P6)</f>
        <v>0</v>
      </c>
      <c r="DE6">
        <f>IF(P6=0,0,COUNTIF('Transect 4_imgsummary'!E6:I6,"TYDM")*100/P6)</f>
        <v>0</v>
      </c>
      <c r="DG6">
        <f>IF(P6=0,0,COUNTIF('Transect 4_imgsummary'!E6:I6,"AMP")*100/P6)</f>
        <v>0</v>
      </c>
      <c r="DH6">
        <f>IF(P6=0,0,COUNTIF('Transect 4_imgsummary'!E6:I6,"BCA1")*100/P6)</f>
        <v>0</v>
      </c>
      <c r="DI6">
        <f>IF(P6=0,0,COUNTIF('Transect 4_imgsummary'!E6:I6,"JAN")*100/P6)</f>
        <v>0</v>
      </c>
      <c r="DK6">
        <f>IF(P6=0,0,COUNTIF('Transect 4_imgsummary'!E6:I6,"CCA1")*100/P6)</f>
        <v>0</v>
      </c>
      <c r="DM6">
        <f>IF(P6=0,0,COUNTIF('Transect 4_imgsummary'!E6:I6,"Sand")*100/P6)</f>
        <v>0</v>
      </c>
      <c r="DO6">
        <f>IF(P6=0,0,COUNTIF('Transect 4_imgsummary'!E6:I6,"FCA1")*100/P6)</f>
        <v>0</v>
      </c>
      <c r="DQ6">
        <f>IF(P6=0,0,COUNTIF('Transect 4_imgsummary'!E6:I6,"CHRYOBRN")*100/P6)</f>
        <v>0</v>
      </c>
      <c r="DS6" s="29">
        <f>IF(P6=0,0,COUNTIF('Transect 4_imgsummary'!E6:I6,"TURF")*100/P6)</f>
        <v>20</v>
      </c>
      <c r="DU6">
        <f>COUNTIF('Transect 4_imgsummary'!E6:I6,"Shadow")*100/5</f>
        <v>0</v>
      </c>
      <c r="DV6">
        <f>COUNTIF('Transect 4_imgsummary'!E6:I6,"Tape")*100/5</f>
        <v>0</v>
      </c>
      <c r="DW6">
        <f>COUNTIF('Transect 4_imgsummary'!E6:I6,"Wand")*100/5</f>
        <v>0</v>
      </c>
      <c r="DY6">
        <f>IF(P6=0,0,COUNTIF('Transect 4_imgsummary'!O6:S6,"BC")*100/P6)</f>
        <v>0</v>
      </c>
    </row>
    <row r="7" spans="1:129">
      <c r="A7">
        <v>5</v>
      </c>
      <c r="B7" t="s">
        <v>550</v>
      </c>
      <c r="F7" s="29">
        <f>IF(P7=0,0,COUNTIF('Transect 4_imgsummary'!J7:N7,"C")*100/P7)</f>
        <v>20</v>
      </c>
      <c r="G7">
        <f>IF(P7=0,0,COUNTIF('Transect 4_imgsummary'!J7:N7,"OI")*100/P7)</f>
        <v>0</v>
      </c>
      <c r="H7">
        <f>IF(P7=0,0,COUNTIF('Transect 4_imgsummary'!J7:N7,"MA")*100/P7)</f>
        <v>0</v>
      </c>
      <c r="I7">
        <f>IF(P7=0,0,COUNTIF('Transect 4_imgsummary'!J7:N7,"BCA")*100/P7)</f>
        <v>0</v>
      </c>
      <c r="J7" s="29">
        <f>IF(P7=0,0,COUNTIF('Transect 4_imgsummary'!J7:N7,"CCA")*100/P7)</f>
        <v>40</v>
      </c>
      <c r="K7">
        <f>IF(P7=0,0,COUNTIF('Transect 4_imgsummary'!J7:N7,"SD")*100/P7)</f>
        <v>0</v>
      </c>
      <c r="L7" s="29">
        <f>IF(P7=0,0,COUNTIF('Transect 4_imgsummary'!J7:N7,"FCA")*100/P7)</f>
        <v>40</v>
      </c>
      <c r="M7">
        <f>IF(P7=0,0,COUNTIF('Transect 4_imgsummary'!J7:N7,"CHRYS")*100/P7)</f>
        <v>0</v>
      </c>
      <c r="N7">
        <f>IF(P7=0,0,COUNTIF('Transect 4_imgsummary'!J7:N7,"T")*100/P7)</f>
        <v>0</v>
      </c>
      <c r="O7">
        <f>IF(P7=0,0,COUNTIF('Transect 4_imgsummary'!J7:N7,"TWS")*100/P7)</f>
        <v>0</v>
      </c>
      <c r="P7">
        <f>5-COUNTIF('Transect 4_imgsummary'!J7:N7,"TWS")</f>
        <v>5</v>
      </c>
      <c r="S7">
        <f>IF(P7=0,0,COUNTIF('Transect 4_imgsummary'!E7:I7,"ACAN")*100/P7)</f>
        <v>0</v>
      </c>
      <c r="T7">
        <f>IF(P7=0,0,COUNTIF('Transect 4_imgsummary'!E7:I7,"ACROP")*100/P7)</f>
        <v>0</v>
      </c>
      <c r="U7">
        <f>IF(P7=0,0,COUNTIF('Transect 4_imgsummary'!E7:I7,"ACROPARB")*100/P7)</f>
        <v>0</v>
      </c>
      <c r="V7">
        <f>IF(P7=0,0,COUNTIF('Transect 4_imgsummary'!E7:I7,"ACROST")*100/P7)</f>
        <v>0</v>
      </c>
      <c r="W7">
        <f>IF(P7=0,0,COUNTIF('Transect 4_imgsummary'!E7:I7,"ACROTBL")*100/P7)</f>
        <v>0</v>
      </c>
      <c r="X7">
        <f>IF(P7=0,0,COUNTIF('Transect 4_imgsummary'!E7:I7,"ASTRP")*100/P7)</f>
        <v>0</v>
      </c>
      <c r="Y7">
        <f>IF(P7=0,0,COUNTIF('Transect 4_imgsummary'!E7:I7,"CAUL")*100/P7)</f>
        <v>0</v>
      </c>
      <c r="Z7">
        <f>IF(P7=0,0,COUNTIF('Transect 4_imgsummary'!E7:I7,"COSC")*100/P7)</f>
        <v>0</v>
      </c>
      <c r="AA7">
        <f>IF(P7=0,0,COUNTIF('Transect 4_imgsummary'!E7:I7,"CTEN")*100/P7)</f>
        <v>0</v>
      </c>
      <c r="AB7">
        <f>IF(P7=0,0,COUNTIF('Transect 4_imgsummary'!E7:I7,"CYPH")*100/P7)</f>
        <v>0</v>
      </c>
      <c r="AC7">
        <f>IF(P7=0,0,COUNTIF('Transect 4_imgsummary'!E7:I7,"DIPLO")*100/P7)</f>
        <v>0</v>
      </c>
      <c r="AD7">
        <f>IF(P7=0,0,COUNTIF('Transect 4_imgsummary'!E7:I7,"ECHPO")*100/P7)</f>
        <v>0</v>
      </c>
      <c r="AE7">
        <f>IF(P7=0,0,COUNTIF('Transect 4_imgsummary'!E7:I7,"ECHPHY")*100/P7)</f>
        <v>0</v>
      </c>
      <c r="AF7">
        <f>IF(P7=0,0,COUNTIF('Transect 4_imgsummary'!E7:I7,"EUPH")*100/P7)</f>
        <v>0</v>
      </c>
      <c r="AG7">
        <f>IF(P7=0,0,COUNTIF('Transect 4_imgsummary'!E7:I7,"FAV")*100/P7)</f>
        <v>0</v>
      </c>
      <c r="AH7">
        <f>IF(P7=0,0,COUNTIF('Transect 4_imgsummary'!E7:I7,"FAVT")*100/P7)</f>
        <v>0</v>
      </c>
      <c r="AI7">
        <f>IF(P7=0,0,COUNTIF('Transect 4_imgsummary'!E7:I7,"FUNG")*100/P7)</f>
        <v>0</v>
      </c>
      <c r="AJ7">
        <f>IF(P7=0,0,COUNTIF('Transect 4_imgsummary'!E7:I7,"GAL")*100/P7)</f>
        <v>0</v>
      </c>
      <c r="AK7">
        <f>IF(P7=0,0,COUNTIF('Transect 4_imgsummary'!E7:I7,"GARD")*100/P7)</f>
        <v>0</v>
      </c>
      <c r="AL7">
        <f>IF(P7=0,0,COUNTIF('Transect 4_imgsummary'!E7:I7,"GON")*100/P7)</f>
        <v>0</v>
      </c>
      <c r="AM7">
        <f>IF(P7=0,0,COUNTIF('Transect 4_imgsummary'!E7:I7,"GONIO")*100/P7)</f>
        <v>0</v>
      </c>
      <c r="AN7">
        <f>IF(P7=0,0,COUNTIF('Transect 4_imgsummary'!E7:I7,"HELIO")*100/P7)</f>
        <v>0</v>
      </c>
      <c r="AO7">
        <f>IF(P7=0,0,COUNTIF('Transect 4_imgsummary'!E7:I7,"HERP")*100/P7)</f>
        <v>0</v>
      </c>
      <c r="AP7">
        <f>IF(P7=0,0,COUNTIF('Transect 4_imgsummary'!E7:I7,"HYD")*100/P7)</f>
        <v>0</v>
      </c>
      <c r="AQ7">
        <f>IF(P7=0,0,COUNTIF('Transect 4_imgsummary'!E7:I7,"ISOP")*100/P7)</f>
        <v>0</v>
      </c>
      <c r="AR7">
        <f>IF(P7=0,0,COUNTIF('Transect 4_imgsummary'!E7:I7,"LEPT")*100/P7)</f>
        <v>0</v>
      </c>
      <c r="AS7">
        <f>IF(P7=0,0,COUNTIF('Transect 4_imgsummary'!E7:I7,"LEPTOR")*100/P7)</f>
        <v>0</v>
      </c>
      <c r="AT7">
        <f>IF(P7=0,0,COUNTIF('Transect 4_imgsummary'!E7:I7,"LEPTOS")*100/P7)</f>
        <v>0</v>
      </c>
      <c r="AU7">
        <f>IF(P7=0,0,COUNTIF('Transect 4_imgsummary'!E7:I7,"LOBOPH")*100/P7)</f>
        <v>0</v>
      </c>
      <c r="AV7">
        <f>IF(P7=0,0,COUNTIF('Transect 4_imgsummary'!E7:I7,"MERU")*100/P7)</f>
        <v>0</v>
      </c>
      <c r="AW7">
        <f>IF(P7=0,0,COUNTIF('Transect 4_imgsummary'!E7:I7,"MILL")*100/P7)</f>
        <v>0</v>
      </c>
      <c r="AX7">
        <f>IF(P7=0,0,COUNTIF('Transect 4_imgsummary'!E7:I7,"MONT")*100/P7)</f>
        <v>0</v>
      </c>
      <c r="AY7">
        <f>IF(P7=0,0,COUNTIF('Transect 4_imgsummary'!E7:I7,"MONTI")*100/P7)</f>
        <v>0</v>
      </c>
      <c r="AZ7">
        <f>IF(P7=0,0,COUNTIF('Transect 4_imgsummary'!E7:I7,"MYCED")*100/P7)</f>
        <v>0</v>
      </c>
      <c r="BA7">
        <f>IF(P7=0,0,COUNTIF('Transect 4_imgsummary'!E7:I7,"OULO")*100/P7)</f>
        <v>0</v>
      </c>
      <c r="BB7">
        <f>IF(P7=0,0,COUNTIF('Transect 4_imgsummary'!E7:I7,"OXYP")*100/P7)</f>
        <v>0</v>
      </c>
      <c r="BC7">
        <f>IF(P7=0,0,COUNTIF('Transect 4_imgsummary'!E7:I7,"PLSIA")*100/P7)</f>
        <v>0</v>
      </c>
      <c r="BD7" s="29">
        <f>IF(P7=0,0,COUNTIF('Transect 4_imgsummary'!E7:I7,"PACHY")*100/P7)</f>
        <v>20</v>
      </c>
      <c r="BE7">
        <f>IF(P7=0,0,COUNTIF('Transect 4_imgsummary'!E7:I7,"PAV")*100/P7)</f>
        <v>0</v>
      </c>
      <c r="BF7">
        <f>IF(P7=0,0,COUNTIF('Transect 4_imgsummary'!E7:I7,"PECT")*100/P7)</f>
        <v>0</v>
      </c>
      <c r="BG7">
        <f>IF(P7=0,0,COUNTIF('Transect 4_imgsummary'!E7:I7,"PHYSO")*100/P7)</f>
        <v>0</v>
      </c>
      <c r="BH7">
        <f>IF(P7=0,0,COUNTIF('Transect 4_imgsummary'!E7:I7,"PLAT")*100/P7)</f>
        <v>0</v>
      </c>
      <c r="BI7">
        <f>IF(P7=0,0,COUNTIF('Transect 4_imgsummary'!E7:I7,"PLERO")*100/P7)</f>
        <v>0</v>
      </c>
      <c r="BJ7">
        <f>IF(P7=0,0,COUNTIF('Transect 4_imgsummary'!E7:I7,"POC")*100/P7)</f>
        <v>0</v>
      </c>
      <c r="BK7">
        <f>IF(P7=0,0,COUNTIF('Transect 4_imgsummary'!E7:I7,"POR")*100/P7)</f>
        <v>0</v>
      </c>
      <c r="BL7">
        <f>IF(P7=0,0,COUNTIF('Transect 4_imgsummary'!E7:I7,"PORCYL")*100/P7)</f>
        <v>0</v>
      </c>
      <c r="BM7">
        <f>IF(P7=0,0,COUNTIF('Transect 4_imgsummary'!E7:I7,"PORMAS")*100/P7)</f>
        <v>0</v>
      </c>
      <c r="BN7">
        <f>IF(P7=0,0,COUNTIF('Transect 4_imgsummary'!E7:I7,"PORRUS")*100/P7)</f>
        <v>0</v>
      </c>
      <c r="BO7">
        <f>IF(P7=0,0,COUNTIF('Transect 4_imgsummary'!E7:I7,"PSAM")*100/P7)</f>
        <v>0</v>
      </c>
      <c r="BP7">
        <f>IF(P7=0,0,COUNTIF('Transect 4_imgsummary'!E7:I7,"SANDO")*100/P7)</f>
        <v>0</v>
      </c>
      <c r="BQ7">
        <f>IF(P7=0,0,COUNTIF('Transect 4_imgsummary'!E7:I7,"SCAP")*100/P7)</f>
        <v>0</v>
      </c>
      <c r="BR7">
        <f>IF(P7=0,0,COUNTIF('Transect 4_imgsummary'!E7:I7,"SERIA")*100/P7)</f>
        <v>0</v>
      </c>
      <c r="BS7">
        <f>IF(P7=0,0,COUNTIF('Transect 4_imgsummary'!E7:I7,"STYLC")*100/P7)</f>
        <v>0</v>
      </c>
      <c r="BT7">
        <f>IF(P7=0,0,COUNTIF('Transect 4_imgsummary'!E7:I7,"STYLO")*100/P7)</f>
        <v>0</v>
      </c>
      <c r="BU7">
        <f>IF(P7=0,0,COUNTIF('Transect 4_imgsummary'!E7:I7,"SYMP")*100/P7)</f>
        <v>0</v>
      </c>
      <c r="BV7">
        <f>IF(P7=0,0,COUNTIF('Transect 4_imgsummary'!E7:I7,"TURBIN")*100/P7)</f>
        <v>0</v>
      </c>
      <c r="BX7">
        <f>IF(P7=0,0,COUNTIF('Transect 4_imgsummary'!E7:I7,"ANEM")*100/P7)</f>
        <v>0</v>
      </c>
      <c r="BY7">
        <f>IF(P7=0,0,COUNTIF('Transect 4_imgsummary'!E7:I7,"ASC")*100/P7)</f>
        <v>0</v>
      </c>
      <c r="BZ7">
        <f>IF(P7=0,0,COUNTIF('Transect 4_imgsummary'!E7:I7,"CUPS")*100/P7)</f>
        <v>0</v>
      </c>
      <c r="CA7">
        <f>IF(P7=0,0,COUNTIF('Transect 4_imgsummary'!E7:I7,"DISCO")*100/P7)</f>
        <v>0</v>
      </c>
      <c r="CB7">
        <f>IF(P7=0,0,COUNTIF('Transect 4_imgsummary'!E7:I7,"DYS")*100/P7)</f>
        <v>0</v>
      </c>
      <c r="CC7">
        <f>IF(P7=0,0,COUNTIF('Transect 4_imgsummary'!E7:I7,"G")*100/P7)</f>
        <v>0</v>
      </c>
      <c r="CD7">
        <f>IF(P7=0,0,COUNTIF('Transect 4_imgsummary'!E7:I7,"NoIDINV")*100/P7)</f>
        <v>0</v>
      </c>
      <c r="CE7">
        <f>IF(P7=0,0,COUNTIF('Transect 4_imgsummary'!E7:I7,"OLV")*100/P7)</f>
        <v>0</v>
      </c>
      <c r="CF7">
        <f>IF(P7=0,0,COUNTIF('Transect 4_imgsummary'!E7:I7,"SC")*100/P7)</f>
        <v>0</v>
      </c>
      <c r="CG7">
        <f>IF(P7=0,0,COUNTIF('Transect 4_imgsummary'!E7:I7,"S")*100/P7)</f>
        <v>0</v>
      </c>
      <c r="CH7">
        <f>IF(P7=0,0,COUNTIF('Transect 4_imgsummary'!E7:I7,"TERPS")*100/P7)</f>
        <v>0</v>
      </c>
      <c r="CI7">
        <f>IF(P7=0,0,COUNTIF('Transect 4_imgsummary'!E7:I7,"Z")*100/P7)</f>
        <v>0</v>
      </c>
      <c r="CK7">
        <f>IF(P7=0,0,COUNTIF('Transect 4_imgsummary'!E7:I7,"ASP")*100/P7)</f>
        <v>0</v>
      </c>
      <c r="CL7">
        <f>IF(P7=0,0,COUNTIF('Transect 4_imgsummary'!E7:I7,"BG")*100/P7)</f>
        <v>0</v>
      </c>
      <c r="CM7">
        <f>IF(P7=0,0,COUNTIF('Transect 4_imgsummary'!E7:I7,"Bood")*100/P7)</f>
        <v>0</v>
      </c>
      <c r="CN7">
        <f>IF(P7=0,0,COUNTIF('Transect 4_imgsummary'!E7:I7,"BRYP")*100/P7)</f>
        <v>0</v>
      </c>
      <c r="CO7">
        <f>IF(P7=0,0,COUNTIF('Transect 4_imgsummary'!E7:I7,"CLP")*100/P7)</f>
        <v>0</v>
      </c>
      <c r="CP7">
        <f>IF(P7=0,0,COUNTIF('Transect 4_imgsummary'!E7:I7,"CHLDES")*100/P7)</f>
        <v>0</v>
      </c>
      <c r="CQ7">
        <f>IF(P7=0,0,COUNTIF('Transect 4_imgsummary'!E7:I7,"DYCTY")*100/P7)</f>
        <v>0</v>
      </c>
      <c r="CR7">
        <f>IF(P7=0,0,COUNTIF('Transect 4_imgsummary'!E7:I7,"DICT")*100/P7)</f>
        <v>0</v>
      </c>
      <c r="CS7">
        <f>IF(P7=0,0,COUNTIF('Transect 4_imgsummary'!E7:I7,"GLXU")*100/P7)</f>
        <v>0</v>
      </c>
      <c r="CT7">
        <f>IF(P7=0,0,COUNTIF('Transect 4_imgsummary'!E7:I7,"HALI")*100/P7)</f>
        <v>0</v>
      </c>
      <c r="CU7">
        <f>IF(P7=0,0,COUNTIF('Transect 4_imgsummary'!E7:I7,"LIAG")*100/P7)</f>
        <v>0</v>
      </c>
      <c r="CV7">
        <f>IF(P7=0,0,COUNTIF('Transect 4_imgsummary'!E7:I7,"LOBO")*100/P7)</f>
        <v>0</v>
      </c>
      <c r="CW7">
        <f>IF(P7=0,0,COUNTIF('Transect 4_imgsummary'!E7:I7,"MAST")*100/P7)</f>
        <v>0</v>
      </c>
      <c r="CX7">
        <f>IF(P7=0,0,COUNTIF('Transect 4_imgsummary'!E7:I7,"MICDTY")*100/P7)</f>
        <v>0</v>
      </c>
      <c r="CY7">
        <f>IF(P7=0,0,COUNTIF('Transect 4_imgsummary'!E7:I7,"NEOM")*100/P7)</f>
        <v>0</v>
      </c>
      <c r="CZ7">
        <f>IF(P7=0,0,COUNTIF('Transect 4_imgsummary'!E7:I7,"NOIDMAC")*100/P7)</f>
        <v>0</v>
      </c>
      <c r="DA7">
        <f>IF(P7=0,0,COUNTIF('Transect 4_imgsummary'!E7:I7,"PAD")*100/P7)</f>
        <v>0</v>
      </c>
      <c r="DB7">
        <f>IF(P7=0,0,COUNTIF('Transect 4_imgsummary'!E7:I7,"SARG")*100/P7)</f>
        <v>0</v>
      </c>
      <c r="DC7">
        <f>IF(P7=0,0,COUNTIF('Transect 4_imgsummary'!E7:I7,"SCHIZ")*100/P7)</f>
        <v>0</v>
      </c>
      <c r="DD7">
        <f>IF(P7=0,0,COUNTIF('Transect 4_imgsummary'!E7:I7,"TURB")*100/P7)</f>
        <v>0</v>
      </c>
      <c r="DE7">
        <f>IF(P7=0,0,COUNTIF('Transect 4_imgsummary'!E7:I7,"TYDM")*100/P7)</f>
        <v>0</v>
      </c>
      <c r="DG7">
        <f>IF(P7=0,0,COUNTIF('Transect 4_imgsummary'!E7:I7,"AMP")*100/P7)</f>
        <v>0</v>
      </c>
      <c r="DH7">
        <f>IF(P7=0,0,COUNTIF('Transect 4_imgsummary'!E7:I7,"BCA1")*100/P7)</f>
        <v>0</v>
      </c>
      <c r="DI7">
        <f>IF(P7=0,0,COUNTIF('Transect 4_imgsummary'!E7:I7,"JAN")*100/P7)</f>
        <v>0</v>
      </c>
      <c r="DK7" s="29">
        <f>IF(P7=0,0,COUNTIF('Transect 4_imgsummary'!E7:I7,"CCA1")*100/P7)</f>
        <v>40</v>
      </c>
      <c r="DM7">
        <f>IF(P7=0,0,COUNTIF('Transect 4_imgsummary'!E7:I7,"Sand")*100/P7)</f>
        <v>0</v>
      </c>
      <c r="DO7" s="29">
        <f>IF(P7=0,0,COUNTIF('Transect 4_imgsummary'!E7:I7,"FCA1")*100/P7)</f>
        <v>40</v>
      </c>
      <c r="DQ7">
        <f>IF(P7=0,0,COUNTIF('Transect 4_imgsummary'!E7:I7,"CHRYOBRN")*100/P7)</f>
        <v>0</v>
      </c>
      <c r="DS7">
        <f>IF(P7=0,0,COUNTIF('Transect 4_imgsummary'!E7:I7,"TURF")*100/P7)</f>
        <v>0</v>
      </c>
      <c r="DU7">
        <f>COUNTIF('Transect 4_imgsummary'!E7:I7,"Shadow")*100/5</f>
        <v>0</v>
      </c>
      <c r="DV7">
        <f>COUNTIF('Transect 4_imgsummary'!E7:I7,"Tape")*100/5</f>
        <v>0</v>
      </c>
      <c r="DW7">
        <f>COUNTIF('Transect 4_imgsummary'!E7:I7,"Wand")*100/5</f>
        <v>0</v>
      </c>
      <c r="DY7">
        <f>IF(P7=0,0,COUNTIF('Transect 4_imgsummary'!O7:S7,"BC")*100/P7)</f>
        <v>0</v>
      </c>
    </row>
    <row r="8" spans="1:129">
      <c r="A8">
        <v>6</v>
      </c>
      <c r="B8" t="s">
        <v>551</v>
      </c>
      <c r="F8" s="29">
        <f>IF(P8=0,0,COUNTIF('Transect 4_imgsummary'!J8:N8,"C")*100/P8)</f>
        <v>20</v>
      </c>
      <c r="G8">
        <f>IF(P8=0,0,COUNTIF('Transect 4_imgsummary'!J8:N8,"OI")*100/P8)</f>
        <v>0</v>
      </c>
      <c r="H8">
        <f>IF(P8=0,0,COUNTIF('Transect 4_imgsummary'!J8:N8,"MA")*100/P8)</f>
        <v>0</v>
      </c>
      <c r="I8">
        <f>IF(P8=0,0,COUNTIF('Transect 4_imgsummary'!J8:N8,"BCA")*100/P8)</f>
        <v>0</v>
      </c>
      <c r="J8" s="29">
        <f>IF(P8=0,0,COUNTIF('Transect 4_imgsummary'!J8:N8,"CCA")*100/P8)</f>
        <v>80</v>
      </c>
      <c r="K8">
        <f>IF(P8=0,0,COUNTIF('Transect 4_imgsummary'!J8:N8,"SD")*100/P8)</f>
        <v>0</v>
      </c>
      <c r="L8">
        <f>IF(P8=0,0,COUNTIF('Transect 4_imgsummary'!J8:N8,"FCA")*100/P8)</f>
        <v>0</v>
      </c>
      <c r="M8">
        <f>IF(P8=0,0,COUNTIF('Transect 4_imgsummary'!J8:N8,"CHRYS")*100/P8)</f>
        <v>0</v>
      </c>
      <c r="N8">
        <f>IF(P8=0,0,COUNTIF('Transect 4_imgsummary'!J8:N8,"T")*100/P8)</f>
        <v>0</v>
      </c>
      <c r="O8">
        <f>IF(P8=0,0,COUNTIF('Transect 4_imgsummary'!J8:N8,"TWS")*100/P8)</f>
        <v>0</v>
      </c>
      <c r="P8">
        <f>5-COUNTIF('Transect 4_imgsummary'!J8:N8,"TWS")</f>
        <v>5</v>
      </c>
      <c r="S8">
        <f>IF(P8=0,0,COUNTIF('Transect 4_imgsummary'!E8:I8,"ACAN")*100/P8)</f>
        <v>0</v>
      </c>
      <c r="T8">
        <f>IF(P8=0,0,COUNTIF('Transect 4_imgsummary'!E8:I8,"ACROP")*100/P8)</f>
        <v>0</v>
      </c>
      <c r="U8">
        <f>IF(P8=0,0,COUNTIF('Transect 4_imgsummary'!E8:I8,"ACROPARB")*100/P8)</f>
        <v>0</v>
      </c>
      <c r="V8">
        <f>IF(P8=0,0,COUNTIF('Transect 4_imgsummary'!E8:I8,"ACROST")*100/P8)</f>
        <v>0</v>
      </c>
      <c r="W8">
        <f>IF(P8=0,0,COUNTIF('Transect 4_imgsummary'!E8:I8,"ACROTBL")*100/P8)</f>
        <v>0</v>
      </c>
      <c r="X8">
        <f>IF(P8=0,0,COUNTIF('Transect 4_imgsummary'!E8:I8,"ASTRP")*100/P8)</f>
        <v>0</v>
      </c>
      <c r="Y8">
        <f>IF(P8=0,0,COUNTIF('Transect 4_imgsummary'!E8:I8,"CAUL")*100/P8)</f>
        <v>0</v>
      </c>
      <c r="Z8">
        <f>IF(P8=0,0,COUNTIF('Transect 4_imgsummary'!E8:I8,"COSC")*100/P8)</f>
        <v>0</v>
      </c>
      <c r="AA8">
        <f>IF(P8=0,0,COUNTIF('Transect 4_imgsummary'!E8:I8,"CTEN")*100/P8)</f>
        <v>0</v>
      </c>
      <c r="AB8">
        <f>IF(P8=0,0,COUNTIF('Transect 4_imgsummary'!E8:I8,"CYPH")*100/P8)</f>
        <v>0</v>
      </c>
      <c r="AC8">
        <f>IF(P8=0,0,COUNTIF('Transect 4_imgsummary'!E8:I8,"DIPLO")*100/P8)</f>
        <v>0</v>
      </c>
      <c r="AD8">
        <f>IF(P8=0,0,COUNTIF('Transect 4_imgsummary'!E8:I8,"ECHPO")*100/P8)</f>
        <v>0</v>
      </c>
      <c r="AE8">
        <f>IF(P8=0,0,COUNTIF('Transect 4_imgsummary'!E8:I8,"ECHPHY")*100/P8)</f>
        <v>0</v>
      </c>
      <c r="AF8">
        <f>IF(P8=0,0,COUNTIF('Transect 4_imgsummary'!E8:I8,"EUPH")*100/P8)</f>
        <v>0</v>
      </c>
      <c r="AG8">
        <f>IF(P8=0,0,COUNTIF('Transect 4_imgsummary'!E8:I8,"FAV")*100/P8)</f>
        <v>0</v>
      </c>
      <c r="AH8">
        <f>IF(P8=0,0,COUNTIF('Transect 4_imgsummary'!E8:I8,"FAVT")*100/P8)</f>
        <v>0</v>
      </c>
      <c r="AI8">
        <f>IF(P8=0,0,COUNTIF('Transect 4_imgsummary'!E8:I8,"FUNG")*100/P8)</f>
        <v>0</v>
      </c>
      <c r="AJ8">
        <f>IF(P8=0,0,COUNTIF('Transect 4_imgsummary'!E8:I8,"GAL")*100/P8)</f>
        <v>0</v>
      </c>
      <c r="AK8">
        <f>IF(P8=0,0,COUNTIF('Transect 4_imgsummary'!E8:I8,"GARD")*100/P8)</f>
        <v>0</v>
      </c>
      <c r="AL8">
        <f>IF(P8=0,0,COUNTIF('Transect 4_imgsummary'!E8:I8,"GON")*100/P8)</f>
        <v>0</v>
      </c>
      <c r="AM8">
        <f>IF(P8=0,0,COUNTIF('Transect 4_imgsummary'!E8:I8,"GONIO")*100/P8)</f>
        <v>0</v>
      </c>
      <c r="AN8">
        <f>IF(P8=0,0,COUNTIF('Transect 4_imgsummary'!E8:I8,"HELIO")*100/P8)</f>
        <v>0</v>
      </c>
      <c r="AO8">
        <f>IF(P8=0,0,COUNTIF('Transect 4_imgsummary'!E8:I8,"HERP")*100/P8)</f>
        <v>0</v>
      </c>
      <c r="AP8">
        <f>IF(P8=0,0,COUNTIF('Transect 4_imgsummary'!E8:I8,"HYD")*100/P8)</f>
        <v>0</v>
      </c>
      <c r="AQ8">
        <f>IF(P8=0,0,COUNTIF('Transect 4_imgsummary'!E8:I8,"ISOP")*100/P8)</f>
        <v>0</v>
      </c>
      <c r="AR8">
        <f>IF(P8=0,0,COUNTIF('Transect 4_imgsummary'!E8:I8,"LEPT")*100/P8)</f>
        <v>0</v>
      </c>
      <c r="AS8" s="29">
        <f>IF(P8=0,0,COUNTIF('Transect 4_imgsummary'!E8:I8,"LEPTOR")*100/P8)</f>
        <v>20</v>
      </c>
      <c r="AT8">
        <f>IF(P8=0,0,COUNTIF('Transect 4_imgsummary'!E8:I8,"LEPTOS")*100/P8)</f>
        <v>0</v>
      </c>
      <c r="AU8">
        <f>IF(P8=0,0,COUNTIF('Transect 4_imgsummary'!E8:I8,"LOBOPH")*100/P8)</f>
        <v>0</v>
      </c>
      <c r="AV8">
        <f>IF(P8=0,0,COUNTIF('Transect 4_imgsummary'!E8:I8,"MERU")*100/P8)</f>
        <v>0</v>
      </c>
      <c r="AW8">
        <f>IF(P8=0,0,COUNTIF('Transect 4_imgsummary'!E8:I8,"MILL")*100/P8)</f>
        <v>0</v>
      </c>
      <c r="AX8">
        <f>IF(P8=0,0,COUNTIF('Transect 4_imgsummary'!E8:I8,"MONT")*100/P8)</f>
        <v>0</v>
      </c>
      <c r="AY8">
        <f>IF(P8=0,0,COUNTIF('Transect 4_imgsummary'!E8:I8,"MONTI")*100/P8)</f>
        <v>0</v>
      </c>
      <c r="AZ8">
        <f>IF(P8=0,0,COUNTIF('Transect 4_imgsummary'!E8:I8,"MYCED")*100/P8)</f>
        <v>0</v>
      </c>
      <c r="BA8">
        <f>IF(P8=0,0,COUNTIF('Transect 4_imgsummary'!E8:I8,"OULO")*100/P8)</f>
        <v>0</v>
      </c>
      <c r="BB8">
        <f>IF(P8=0,0,COUNTIF('Transect 4_imgsummary'!E8:I8,"OXYP")*100/P8)</f>
        <v>0</v>
      </c>
      <c r="BC8">
        <f>IF(P8=0,0,COUNTIF('Transect 4_imgsummary'!E8:I8,"PLSIA")*100/P8)</f>
        <v>0</v>
      </c>
      <c r="BD8">
        <f>IF(P8=0,0,COUNTIF('Transect 4_imgsummary'!E8:I8,"PACHY")*100/P8)</f>
        <v>0</v>
      </c>
      <c r="BE8">
        <f>IF(P8=0,0,COUNTIF('Transect 4_imgsummary'!E8:I8,"PAV")*100/P8)</f>
        <v>0</v>
      </c>
      <c r="BF8">
        <f>IF(P8=0,0,COUNTIF('Transect 4_imgsummary'!E8:I8,"PECT")*100/P8)</f>
        <v>0</v>
      </c>
      <c r="BG8">
        <f>IF(P8=0,0,COUNTIF('Transect 4_imgsummary'!E8:I8,"PHYSO")*100/P8)</f>
        <v>0</v>
      </c>
      <c r="BH8">
        <f>IF(P8=0,0,COUNTIF('Transect 4_imgsummary'!E8:I8,"PLAT")*100/P8)</f>
        <v>0</v>
      </c>
      <c r="BI8">
        <f>IF(P8=0,0,COUNTIF('Transect 4_imgsummary'!E8:I8,"PLERO")*100/P8)</f>
        <v>0</v>
      </c>
      <c r="BJ8">
        <f>IF(P8=0,0,COUNTIF('Transect 4_imgsummary'!E8:I8,"POC")*100/P8)</f>
        <v>0</v>
      </c>
      <c r="BK8">
        <f>IF(P8=0,0,COUNTIF('Transect 4_imgsummary'!E8:I8,"POR")*100/P8)</f>
        <v>0</v>
      </c>
      <c r="BL8">
        <f>IF(P8=0,0,COUNTIF('Transect 4_imgsummary'!E8:I8,"PORCYL")*100/P8)</f>
        <v>0</v>
      </c>
      <c r="BM8">
        <f>IF(P8=0,0,COUNTIF('Transect 4_imgsummary'!E8:I8,"PORMAS")*100/P8)</f>
        <v>0</v>
      </c>
      <c r="BN8">
        <f>IF(P8=0,0,COUNTIF('Transect 4_imgsummary'!E8:I8,"PORRUS")*100/P8)</f>
        <v>0</v>
      </c>
      <c r="BO8">
        <f>IF(P8=0,0,COUNTIF('Transect 4_imgsummary'!E8:I8,"PSAM")*100/P8)</f>
        <v>0</v>
      </c>
      <c r="BP8">
        <f>IF(P8=0,0,COUNTIF('Transect 4_imgsummary'!E8:I8,"SANDO")*100/P8)</f>
        <v>0</v>
      </c>
      <c r="BQ8">
        <f>IF(P8=0,0,COUNTIF('Transect 4_imgsummary'!E8:I8,"SCAP")*100/P8)</f>
        <v>0</v>
      </c>
      <c r="BR8">
        <f>IF(P8=0,0,COUNTIF('Transect 4_imgsummary'!E8:I8,"SERIA")*100/P8)</f>
        <v>0</v>
      </c>
      <c r="BS8">
        <f>IF(P8=0,0,COUNTIF('Transect 4_imgsummary'!E8:I8,"STYLC")*100/P8)</f>
        <v>0</v>
      </c>
      <c r="BT8">
        <f>IF(P8=0,0,COUNTIF('Transect 4_imgsummary'!E8:I8,"STYLO")*100/P8)</f>
        <v>0</v>
      </c>
      <c r="BU8">
        <f>IF(P8=0,0,COUNTIF('Transect 4_imgsummary'!E8:I8,"SYMP")*100/P8)</f>
        <v>0</v>
      </c>
      <c r="BV8">
        <f>IF(P8=0,0,COUNTIF('Transect 4_imgsummary'!E8:I8,"TURBIN")*100/P8)</f>
        <v>0</v>
      </c>
      <c r="BX8">
        <f>IF(P8=0,0,COUNTIF('Transect 4_imgsummary'!E8:I8,"ANEM")*100/P8)</f>
        <v>0</v>
      </c>
      <c r="BY8">
        <f>IF(P8=0,0,COUNTIF('Transect 4_imgsummary'!E8:I8,"ASC")*100/P8)</f>
        <v>0</v>
      </c>
      <c r="BZ8">
        <f>IF(P8=0,0,COUNTIF('Transect 4_imgsummary'!E8:I8,"CUPS")*100/P8)</f>
        <v>0</v>
      </c>
      <c r="CA8">
        <f>IF(P8=0,0,COUNTIF('Transect 4_imgsummary'!E8:I8,"DISCO")*100/P8)</f>
        <v>0</v>
      </c>
      <c r="CB8">
        <f>IF(P8=0,0,COUNTIF('Transect 4_imgsummary'!E8:I8,"DYS")*100/P8)</f>
        <v>0</v>
      </c>
      <c r="CC8">
        <f>IF(P8=0,0,COUNTIF('Transect 4_imgsummary'!E8:I8,"G")*100/P8)</f>
        <v>0</v>
      </c>
      <c r="CD8">
        <f>IF(P8=0,0,COUNTIF('Transect 4_imgsummary'!E8:I8,"NoIDINV")*100/P8)</f>
        <v>0</v>
      </c>
      <c r="CE8">
        <f>IF(P8=0,0,COUNTIF('Transect 4_imgsummary'!E8:I8,"OLV")*100/P8)</f>
        <v>0</v>
      </c>
      <c r="CF8">
        <f>IF(P8=0,0,COUNTIF('Transect 4_imgsummary'!E8:I8,"SC")*100/P8)</f>
        <v>0</v>
      </c>
      <c r="CG8">
        <f>IF(P8=0,0,COUNTIF('Transect 4_imgsummary'!E8:I8,"S")*100/P8)</f>
        <v>0</v>
      </c>
      <c r="CH8">
        <f>IF(P8=0,0,COUNTIF('Transect 4_imgsummary'!E8:I8,"TERPS")*100/P8)</f>
        <v>0</v>
      </c>
      <c r="CI8">
        <f>IF(P8=0,0,COUNTIF('Transect 4_imgsummary'!E8:I8,"Z")*100/P8)</f>
        <v>0</v>
      </c>
      <c r="CK8">
        <f>IF(P8=0,0,COUNTIF('Transect 4_imgsummary'!E8:I8,"ASP")*100/P8)</f>
        <v>0</v>
      </c>
      <c r="CL8">
        <f>IF(P8=0,0,COUNTIF('Transect 4_imgsummary'!E8:I8,"BG")*100/P8)</f>
        <v>0</v>
      </c>
      <c r="CM8">
        <f>IF(P8=0,0,COUNTIF('Transect 4_imgsummary'!E8:I8,"Bood")*100/P8)</f>
        <v>0</v>
      </c>
      <c r="CN8">
        <f>IF(P8=0,0,COUNTIF('Transect 4_imgsummary'!E8:I8,"BRYP")*100/P8)</f>
        <v>0</v>
      </c>
      <c r="CO8">
        <f>IF(P8=0,0,COUNTIF('Transect 4_imgsummary'!E8:I8,"CLP")*100/P8)</f>
        <v>0</v>
      </c>
      <c r="CP8">
        <f>IF(P8=0,0,COUNTIF('Transect 4_imgsummary'!E8:I8,"CHLDES")*100/P8)</f>
        <v>0</v>
      </c>
      <c r="CQ8">
        <f>IF(P8=0,0,COUNTIF('Transect 4_imgsummary'!E8:I8,"DYCTY")*100/P8)</f>
        <v>0</v>
      </c>
      <c r="CR8">
        <f>IF(P8=0,0,COUNTIF('Transect 4_imgsummary'!E8:I8,"DICT")*100/P8)</f>
        <v>0</v>
      </c>
      <c r="CS8">
        <f>IF(P8=0,0,COUNTIF('Transect 4_imgsummary'!E8:I8,"GLXU")*100/P8)</f>
        <v>0</v>
      </c>
      <c r="CT8">
        <f>IF(P8=0,0,COUNTIF('Transect 4_imgsummary'!E8:I8,"HALI")*100/P8)</f>
        <v>0</v>
      </c>
      <c r="CU8">
        <f>IF(P8=0,0,COUNTIF('Transect 4_imgsummary'!E8:I8,"LIAG")*100/P8)</f>
        <v>0</v>
      </c>
      <c r="CV8">
        <f>IF(P8=0,0,COUNTIF('Transect 4_imgsummary'!E8:I8,"LOBO")*100/P8)</f>
        <v>0</v>
      </c>
      <c r="CW8">
        <f>IF(P8=0,0,COUNTIF('Transect 4_imgsummary'!E8:I8,"MAST")*100/P8)</f>
        <v>0</v>
      </c>
      <c r="CX8">
        <f>IF(P8=0,0,COUNTIF('Transect 4_imgsummary'!E8:I8,"MICDTY")*100/P8)</f>
        <v>0</v>
      </c>
      <c r="CY8">
        <f>IF(P8=0,0,COUNTIF('Transect 4_imgsummary'!E8:I8,"NEOM")*100/P8)</f>
        <v>0</v>
      </c>
      <c r="CZ8">
        <f>IF(P8=0,0,COUNTIF('Transect 4_imgsummary'!E8:I8,"NOIDMAC")*100/P8)</f>
        <v>0</v>
      </c>
      <c r="DA8">
        <f>IF(P8=0,0,COUNTIF('Transect 4_imgsummary'!E8:I8,"PAD")*100/P8)</f>
        <v>0</v>
      </c>
      <c r="DB8">
        <f>IF(P8=0,0,COUNTIF('Transect 4_imgsummary'!E8:I8,"SARG")*100/P8)</f>
        <v>0</v>
      </c>
      <c r="DC8">
        <f>IF(P8=0,0,COUNTIF('Transect 4_imgsummary'!E8:I8,"SCHIZ")*100/P8)</f>
        <v>0</v>
      </c>
      <c r="DD8">
        <f>IF(P8=0,0,COUNTIF('Transect 4_imgsummary'!E8:I8,"TURB")*100/P8)</f>
        <v>0</v>
      </c>
      <c r="DE8">
        <f>IF(P8=0,0,COUNTIF('Transect 4_imgsummary'!E8:I8,"TYDM")*100/P8)</f>
        <v>0</v>
      </c>
      <c r="DG8">
        <f>IF(P8=0,0,COUNTIF('Transect 4_imgsummary'!E8:I8,"AMP")*100/P8)</f>
        <v>0</v>
      </c>
      <c r="DH8">
        <f>IF(P8=0,0,COUNTIF('Transect 4_imgsummary'!E8:I8,"BCA1")*100/P8)</f>
        <v>0</v>
      </c>
      <c r="DI8">
        <f>IF(P8=0,0,COUNTIF('Transect 4_imgsummary'!E8:I8,"JAN")*100/P8)</f>
        <v>0</v>
      </c>
      <c r="DK8" s="29">
        <f>IF(P8=0,0,COUNTIF('Transect 4_imgsummary'!E8:I8,"CCA1")*100/P8)</f>
        <v>80</v>
      </c>
      <c r="DM8">
        <f>IF(P8=0,0,COUNTIF('Transect 4_imgsummary'!E8:I8,"Sand")*100/P8)</f>
        <v>0</v>
      </c>
      <c r="DO8">
        <f>IF(P8=0,0,COUNTIF('Transect 4_imgsummary'!E8:I8,"FCA1")*100/P8)</f>
        <v>0</v>
      </c>
      <c r="DQ8">
        <f>IF(P8=0,0,COUNTIF('Transect 4_imgsummary'!E8:I8,"CHRYOBRN")*100/P8)</f>
        <v>0</v>
      </c>
      <c r="DS8">
        <f>IF(P8=0,0,COUNTIF('Transect 4_imgsummary'!E8:I8,"TURF")*100/P8)</f>
        <v>0</v>
      </c>
      <c r="DU8">
        <f>COUNTIF('Transect 4_imgsummary'!E8:I8,"Shadow")*100/5</f>
        <v>0</v>
      </c>
      <c r="DV8">
        <f>COUNTIF('Transect 4_imgsummary'!E8:I8,"Tape")*100/5</f>
        <v>0</v>
      </c>
      <c r="DW8">
        <f>COUNTIF('Transect 4_imgsummary'!E8:I8,"Wand")*100/5</f>
        <v>0</v>
      </c>
      <c r="DY8">
        <f>IF(P8=0,0,COUNTIF('Transect 4_imgsummary'!O8:S8,"BC")*100/P8)</f>
        <v>0</v>
      </c>
    </row>
    <row r="9" spans="1:129">
      <c r="A9">
        <v>7</v>
      </c>
      <c r="B9" t="s">
        <v>552</v>
      </c>
      <c r="F9" s="29">
        <f>IF(P9=0,0,COUNTIF('Transect 4_imgsummary'!J9:N9,"C")*100/P9)</f>
        <v>40</v>
      </c>
      <c r="G9">
        <f>IF(P9=0,0,COUNTIF('Transect 4_imgsummary'!J9:N9,"OI")*100/P9)</f>
        <v>0</v>
      </c>
      <c r="H9">
        <f>IF(P9=0,0,COUNTIF('Transect 4_imgsummary'!J9:N9,"MA")*100/P9)</f>
        <v>0</v>
      </c>
      <c r="I9">
        <f>IF(P9=0,0,COUNTIF('Transect 4_imgsummary'!J9:N9,"BCA")*100/P9)</f>
        <v>0</v>
      </c>
      <c r="J9" s="29">
        <f>IF(P9=0,0,COUNTIF('Transect 4_imgsummary'!J9:N9,"CCA")*100/P9)</f>
        <v>60</v>
      </c>
      <c r="K9">
        <f>IF(P9=0,0,COUNTIF('Transect 4_imgsummary'!J9:N9,"SD")*100/P9)</f>
        <v>0</v>
      </c>
      <c r="L9">
        <f>IF(P9=0,0,COUNTIF('Transect 4_imgsummary'!J9:N9,"FCA")*100/P9)</f>
        <v>0</v>
      </c>
      <c r="M9">
        <f>IF(P9=0,0,COUNTIF('Transect 4_imgsummary'!J9:N9,"CHRYS")*100/P9)</f>
        <v>0</v>
      </c>
      <c r="N9">
        <f>IF(P9=0,0,COUNTIF('Transect 4_imgsummary'!J9:N9,"T")*100/P9)</f>
        <v>0</v>
      </c>
      <c r="O9">
        <f>IF(P9=0,0,COUNTIF('Transect 4_imgsummary'!J9:N9,"TWS")*100/P9)</f>
        <v>0</v>
      </c>
      <c r="P9">
        <f>5-COUNTIF('Transect 4_imgsummary'!J9:N9,"TWS")</f>
        <v>5</v>
      </c>
      <c r="S9">
        <f>IF(P9=0,0,COUNTIF('Transect 4_imgsummary'!E9:I9,"ACAN")*100/P9)</f>
        <v>0</v>
      </c>
      <c r="T9">
        <f>IF(P9=0,0,COUNTIF('Transect 4_imgsummary'!E9:I9,"ACROP")*100/P9)</f>
        <v>0</v>
      </c>
      <c r="U9">
        <f>IF(P9=0,0,COUNTIF('Transect 4_imgsummary'!E9:I9,"ACROPARB")*100/P9)</f>
        <v>0</v>
      </c>
      <c r="V9">
        <f>IF(P9=0,0,COUNTIF('Transect 4_imgsummary'!E9:I9,"ACROST")*100/P9)</f>
        <v>0</v>
      </c>
      <c r="W9" s="29">
        <f>IF(P9=0,0,COUNTIF('Transect 4_imgsummary'!E9:I9,"ACROTBL")*100/P9)</f>
        <v>40</v>
      </c>
      <c r="X9">
        <f>IF(P9=0,0,COUNTIF('Transect 4_imgsummary'!E9:I9,"ASTRP")*100/P9)</f>
        <v>0</v>
      </c>
      <c r="Y9">
        <f>IF(P9=0,0,COUNTIF('Transect 4_imgsummary'!E9:I9,"CAUL")*100/P9)</f>
        <v>0</v>
      </c>
      <c r="Z9">
        <f>IF(P9=0,0,COUNTIF('Transect 4_imgsummary'!E9:I9,"COSC")*100/P9)</f>
        <v>0</v>
      </c>
      <c r="AA9">
        <f>IF(P9=0,0,COUNTIF('Transect 4_imgsummary'!E9:I9,"CTEN")*100/P9)</f>
        <v>0</v>
      </c>
      <c r="AB9">
        <f>IF(P9=0,0,COUNTIF('Transect 4_imgsummary'!E9:I9,"CYPH")*100/P9)</f>
        <v>0</v>
      </c>
      <c r="AC9">
        <f>IF(P9=0,0,COUNTIF('Transect 4_imgsummary'!E9:I9,"DIPLO")*100/P9)</f>
        <v>0</v>
      </c>
      <c r="AD9">
        <f>IF(P9=0,0,COUNTIF('Transect 4_imgsummary'!E9:I9,"ECHPO")*100/P9)</f>
        <v>0</v>
      </c>
      <c r="AE9">
        <f>IF(P9=0,0,COUNTIF('Transect 4_imgsummary'!E9:I9,"ECHPHY")*100/P9)</f>
        <v>0</v>
      </c>
      <c r="AF9">
        <f>IF(P9=0,0,COUNTIF('Transect 4_imgsummary'!E9:I9,"EUPH")*100/P9)</f>
        <v>0</v>
      </c>
      <c r="AG9">
        <f>IF(P9=0,0,COUNTIF('Transect 4_imgsummary'!E9:I9,"FAV")*100/P9)</f>
        <v>0</v>
      </c>
      <c r="AH9">
        <f>IF(P9=0,0,COUNTIF('Transect 4_imgsummary'!E9:I9,"FAVT")*100/P9)</f>
        <v>0</v>
      </c>
      <c r="AI9">
        <f>IF(P9=0,0,COUNTIF('Transect 4_imgsummary'!E9:I9,"FUNG")*100/P9)</f>
        <v>0</v>
      </c>
      <c r="AJ9">
        <f>IF(P9=0,0,COUNTIF('Transect 4_imgsummary'!E9:I9,"GAL")*100/P9)</f>
        <v>0</v>
      </c>
      <c r="AK9">
        <f>IF(P9=0,0,COUNTIF('Transect 4_imgsummary'!E9:I9,"GARD")*100/P9)</f>
        <v>0</v>
      </c>
      <c r="AL9">
        <f>IF(P9=0,0,COUNTIF('Transect 4_imgsummary'!E9:I9,"GON")*100/P9)</f>
        <v>0</v>
      </c>
      <c r="AM9">
        <f>IF(P9=0,0,COUNTIF('Transect 4_imgsummary'!E9:I9,"GONIO")*100/P9)</f>
        <v>0</v>
      </c>
      <c r="AN9">
        <f>IF(P9=0,0,COUNTIF('Transect 4_imgsummary'!E9:I9,"HELIO")*100/P9)</f>
        <v>0</v>
      </c>
      <c r="AO9">
        <f>IF(P9=0,0,COUNTIF('Transect 4_imgsummary'!E9:I9,"HERP")*100/P9)</f>
        <v>0</v>
      </c>
      <c r="AP9">
        <f>IF(P9=0,0,COUNTIF('Transect 4_imgsummary'!E9:I9,"HYD")*100/P9)</f>
        <v>0</v>
      </c>
      <c r="AQ9">
        <f>IF(P9=0,0,COUNTIF('Transect 4_imgsummary'!E9:I9,"ISOP")*100/P9)</f>
        <v>0</v>
      </c>
      <c r="AR9">
        <f>IF(P9=0,0,COUNTIF('Transect 4_imgsummary'!E9:I9,"LEPT")*100/P9)</f>
        <v>0</v>
      </c>
      <c r="AS9">
        <f>IF(P9=0,0,COUNTIF('Transect 4_imgsummary'!E9:I9,"LEPTOR")*100/P9)</f>
        <v>0</v>
      </c>
      <c r="AT9">
        <f>IF(P9=0,0,COUNTIF('Transect 4_imgsummary'!E9:I9,"LEPTOS")*100/P9)</f>
        <v>0</v>
      </c>
      <c r="AU9">
        <f>IF(P9=0,0,COUNTIF('Transect 4_imgsummary'!E9:I9,"LOBOPH")*100/P9)</f>
        <v>0</v>
      </c>
      <c r="AV9">
        <f>IF(P9=0,0,COUNTIF('Transect 4_imgsummary'!E9:I9,"MERU")*100/P9)</f>
        <v>0</v>
      </c>
      <c r="AW9">
        <f>IF(P9=0,0,COUNTIF('Transect 4_imgsummary'!E9:I9,"MILL")*100/P9)</f>
        <v>0</v>
      </c>
      <c r="AX9">
        <f>IF(P9=0,0,COUNTIF('Transect 4_imgsummary'!E9:I9,"MONT")*100/P9)</f>
        <v>0</v>
      </c>
      <c r="AY9">
        <f>IF(P9=0,0,COUNTIF('Transect 4_imgsummary'!E9:I9,"MONTI")*100/P9)</f>
        <v>0</v>
      </c>
      <c r="AZ9">
        <f>IF(P9=0,0,COUNTIF('Transect 4_imgsummary'!E9:I9,"MYCED")*100/P9)</f>
        <v>0</v>
      </c>
      <c r="BA9">
        <f>IF(P9=0,0,COUNTIF('Transect 4_imgsummary'!E9:I9,"OULO")*100/P9)</f>
        <v>0</v>
      </c>
      <c r="BB9">
        <f>IF(P9=0,0,COUNTIF('Transect 4_imgsummary'!E9:I9,"OXYP")*100/P9)</f>
        <v>0</v>
      </c>
      <c r="BC9">
        <f>IF(P9=0,0,COUNTIF('Transect 4_imgsummary'!E9:I9,"PLSIA")*100/P9)</f>
        <v>0</v>
      </c>
      <c r="BD9">
        <f>IF(P9=0,0,COUNTIF('Transect 4_imgsummary'!E9:I9,"PACHY")*100/P9)</f>
        <v>0</v>
      </c>
      <c r="BE9">
        <f>IF(P9=0,0,COUNTIF('Transect 4_imgsummary'!E9:I9,"PAV")*100/P9)</f>
        <v>0</v>
      </c>
      <c r="BF9">
        <f>IF(P9=0,0,COUNTIF('Transect 4_imgsummary'!E9:I9,"PECT")*100/P9)</f>
        <v>0</v>
      </c>
      <c r="BG9">
        <f>IF(P9=0,0,COUNTIF('Transect 4_imgsummary'!E9:I9,"PHYSO")*100/P9)</f>
        <v>0</v>
      </c>
      <c r="BH9">
        <f>IF(P9=0,0,COUNTIF('Transect 4_imgsummary'!E9:I9,"PLAT")*100/P9)</f>
        <v>0</v>
      </c>
      <c r="BI9">
        <f>IF(P9=0,0,COUNTIF('Transect 4_imgsummary'!E9:I9,"PLERO")*100/P9)</f>
        <v>0</v>
      </c>
      <c r="BJ9">
        <f>IF(P9=0,0,COUNTIF('Transect 4_imgsummary'!E9:I9,"POC")*100/P9)</f>
        <v>0</v>
      </c>
      <c r="BK9">
        <f>IF(P9=0,0,COUNTIF('Transect 4_imgsummary'!E9:I9,"POR")*100/P9)</f>
        <v>0</v>
      </c>
      <c r="BL9">
        <f>IF(P9=0,0,COUNTIF('Transect 4_imgsummary'!E9:I9,"PORCYL")*100/P9)</f>
        <v>0</v>
      </c>
      <c r="BM9">
        <f>IF(P9=0,0,COUNTIF('Transect 4_imgsummary'!E9:I9,"PORMAS")*100/P9)</f>
        <v>0</v>
      </c>
      <c r="BN9">
        <f>IF(P9=0,0,COUNTIF('Transect 4_imgsummary'!E9:I9,"PORRUS")*100/P9)</f>
        <v>0</v>
      </c>
      <c r="BO9">
        <f>IF(P9=0,0,COUNTIF('Transect 4_imgsummary'!E9:I9,"PSAM")*100/P9)</f>
        <v>0</v>
      </c>
      <c r="BP9">
        <f>IF(P9=0,0,COUNTIF('Transect 4_imgsummary'!E9:I9,"SANDO")*100/P9)</f>
        <v>0</v>
      </c>
      <c r="BQ9">
        <f>IF(P9=0,0,COUNTIF('Transect 4_imgsummary'!E9:I9,"SCAP")*100/P9)</f>
        <v>0</v>
      </c>
      <c r="BR9">
        <f>IF(P9=0,0,COUNTIF('Transect 4_imgsummary'!E9:I9,"SERIA")*100/P9)</f>
        <v>0</v>
      </c>
      <c r="BS9">
        <f>IF(P9=0,0,COUNTIF('Transect 4_imgsummary'!E9:I9,"STYLC")*100/P9)</f>
        <v>0</v>
      </c>
      <c r="BT9">
        <f>IF(P9=0,0,COUNTIF('Transect 4_imgsummary'!E9:I9,"STYLO")*100/P9)</f>
        <v>0</v>
      </c>
      <c r="BU9">
        <f>IF(P9=0,0,COUNTIF('Transect 4_imgsummary'!E9:I9,"SYMP")*100/P9)</f>
        <v>0</v>
      </c>
      <c r="BV9">
        <f>IF(P9=0,0,COUNTIF('Transect 4_imgsummary'!E9:I9,"TURBIN")*100/P9)</f>
        <v>0</v>
      </c>
      <c r="BX9">
        <f>IF(P9=0,0,COUNTIF('Transect 4_imgsummary'!E9:I9,"ANEM")*100/P9)</f>
        <v>0</v>
      </c>
      <c r="BY9">
        <f>IF(P9=0,0,COUNTIF('Transect 4_imgsummary'!E9:I9,"ASC")*100/P9)</f>
        <v>0</v>
      </c>
      <c r="BZ9">
        <f>IF(P9=0,0,COUNTIF('Transect 4_imgsummary'!E9:I9,"CUPS")*100/P9)</f>
        <v>0</v>
      </c>
      <c r="CA9">
        <f>IF(P9=0,0,COUNTIF('Transect 4_imgsummary'!E9:I9,"DISCO")*100/P9)</f>
        <v>0</v>
      </c>
      <c r="CB9">
        <f>IF(P9=0,0,COUNTIF('Transect 4_imgsummary'!E9:I9,"DYS")*100/P9)</f>
        <v>0</v>
      </c>
      <c r="CC9">
        <f>IF(P9=0,0,COUNTIF('Transect 4_imgsummary'!E9:I9,"G")*100/P9)</f>
        <v>0</v>
      </c>
      <c r="CD9">
        <f>IF(P9=0,0,COUNTIF('Transect 4_imgsummary'!E9:I9,"NoIDINV")*100/P9)</f>
        <v>0</v>
      </c>
      <c r="CE9">
        <f>IF(P9=0,0,COUNTIF('Transect 4_imgsummary'!E9:I9,"OLV")*100/P9)</f>
        <v>0</v>
      </c>
      <c r="CF9">
        <f>IF(P9=0,0,COUNTIF('Transect 4_imgsummary'!E9:I9,"SC")*100/P9)</f>
        <v>0</v>
      </c>
      <c r="CG9">
        <f>IF(P9=0,0,COUNTIF('Transect 4_imgsummary'!E9:I9,"S")*100/P9)</f>
        <v>0</v>
      </c>
      <c r="CH9">
        <f>IF(P9=0,0,COUNTIF('Transect 4_imgsummary'!E9:I9,"TERPS")*100/P9)</f>
        <v>0</v>
      </c>
      <c r="CI9">
        <f>IF(P9=0,0,COUNTIF('Transect 4_imgsummary'!E9:I9,"Z")*100/P9)</f>
        <v>0</v>
      </c>
      <c r="CK9">
        <f>IF(P9=0,0,COUNTIF('Transect 4_imgsummary'!E9:I9,"ASP")*100/P9)</f>
        <v>0</v>
      </c>
      <c r="CL9">
        <f>IF(P9=0,0,COUNTIF('Transect 4_imgsummary'!E9:I9,"BG")*100/P9)</f>
        <v>0</v>
      </c>
      <c r="CM9">
        <f>IF(P9=0,0,COUNTIF('Transect 4_imgsummary'!E9:I9,"Bood")*100/P9)</f>
        <v>0</v>
      </c>
      <c r="CN9">
        <f>IF(P9=0,0,COUNTIF('Transect 4_imgsummary'!E9:I9,"BRYP")*100/P9)</f>
        <v>0</v>
      </c>
      <c r="CO9">
        <f>IF(P9=0,0,COUNTIF('Transect 4_imgsummary'!E9:I9,"CLP")*100/P9)</f>
        <v>0</v>
      </c>
      <c r="CP9">
        <f>IF(P9=0,0,COUNTIF('Transect 4_imgsummary'!E9:I9,"CHLDES")*100/P9)</f>
        <v>0</v>
      </c>
      <c r="CQ9">
        <f>IF(P9=0,0,COUNTIF('Transect 4_imgsummary'!E9:I9,"DYCTY")*100/P9)</f>
        <v>0</v>
      </c>
      <c r="CR9">
        <f>IF(P9=0,0,COUNTIF('Transect 4_imgsummary'!E9:I9,"DICT")*100/P9)</f>
        <v>0</v>
      </c>
      <c r="CS9">
        <f>IF(P9=0,0,COUNTIF('Transect 4_imgsummary'!E9:I9,"GLXU")*100/P9)</f>
        <v>0</v>
      </c>
      <c r="CT9">
        <f>IF(P9=0,0,COUNTIF('Transect 4_imgsummary'!E9:I9,"HALI")*100/P9)</f>
        <v>0</v>
      </c>
      <c r="CU9">
        <f>IF(P9=0,0,COUNTIF('Transect 4_imgsummary'!E9:I9,"LIAG")*100/P9)</f>
        <v>0</v>
      </c>
      <c r="CV9">
        <f>IF(P9=0,0,COUNTIF('Transect 4_imgsummary'!E9:I9,"LOBO")*100/P9)</f>
        <v>0</v>
      </c>
      <c r="CW9">
        <f>IF(P9=0,0,COUNTIF('Transect 4_imgsummary'!E9:I9,"MAST")*100/P9)</f>
        <v>0</v>
      </c>
      <c r="CX9">
        <f>IF(P9=0,0,COUNTIF('Transect 4_imgsummary'!E9:I9,"MICDTY")*100/P9)</f>
        <v>0</v>
      </c>
      <c r="CY9">
        <f>IF(P9=0,0,COUNTIF('Transect 4_imgsummary'!E9:I9,"NEOM")*100/P9)</f>
        <v>0</v>
      </c>
      <c r="CZ9">
        <f>IF(P9=0,0,COUNTIF('Transect 4_imgsummary'!E9:I9,"NOIDMAC")*100/P9)</f>
        <v>0</v>
      </c>
      <c r="DA9">
        <f>IF(P9=0,0,COUNTIF('Transect 4_imgsummary'!E9:I9,"PAD")*100/P9)</f>
        <v>0</v>
      </c>
      <c r="DB9">
        <f>IF(P9=0,0,COUNTIF('Transect 4_imgsummary'!E9:I9,"SARG")*100/P9)</f>
        <v>0</v>
      </c>
      <c r="DC9">
        <f>IF(P9=0,0,COUNTIF('Transect 4_imgsummary'!E9:I9,"SCHIZ")*100/P9)</f>
        <v>0</v>
      </c>
      <c r="DD9">
        <f>IF(P9=0,0,COUNTIF('Transect 4_imgsummary'!E9:I9,"TURB")*100/P9)</f>
        <v>0</v>
      </c>
      <c r="DE9">
        <f>IF(P9=0,0,COUNTIF('Transect 4_imgsummary'!E9:I9,"TYDM")*100/P9)</f>
        <v>0</v>
      </c>
      <c r="DG9">
        <f>IF(P9=0,0,COUNTIF('Transect 4_imgsummary'!E9:I9,"AMP")*100/P9)</f>
        <v>0</v>
      </c>
      <c r="DH9">
        <f>IF(P9=0,0,COUNTIF('Transect 4_imgsummary'!E9:I9,"BCA1")*100/P9)</f>
        <v>0</v>
      </c>
      <c r="DI9">
        <f>IF(P9=0,0,COUNTIF('Transect 4_imgsummary'!E9:I9,"JAN")*100/P9)</f>
        <v>0</v>
      </c>
      <c r="DK9" s="29">
        <f>IF(P9=0,0,COUNTIF('Transect 4_imgsummary'!E9:I9,"CCA1")*100/P9)</f>
        <v>60</v>
      </c>
      <c r="DM9">
        <f>IF(P9=0,0,COUNTIF('Transect 4_imgsummary'!E9:I9,"Sand")*100/P9)</f>
        <v>0</v>
      </c>
      <c r="DO9">
        <f>IF(P9=0,0,COUNTIF('Transect 4_imgsummary'!E9:I9,"FCA1")*100/P9)</f>
        <v>0</v>
      </c>
      <c r="DQ9">
        <f>IF(P9=0,0,COUNTIF('Transect 4_imgsummary'!E9:I9,"CHRYOBRN")*100/P9)</f>
        <v>0</v>
      </c>
      <c r="DS9">
        <f>IF(P9=0,0,COUNTIF('Transect 4_imgsummary'!E9:I9,"TURF")*100/P9)</f>
        <v>0</v>
      </c>
      <c r="DU9">
        <f>COUNTIF('Transect 4_imgsummary'!E9:I9,"Shadow")*100/5</f>
        <v>0</v>
      </c>
      <c r="DV9">
        <f>COUNTIF('Transect 4_imgsummary'!E9:I9,"Tape")*100/5</f>
        <v>0</v>
      </c>
      <c r="DW9">
        <f>COUNTIF('Transect 4_imgsummary'!E9:I9,"Wand")*100/5</f>
        <v>0</v>
      </c>
      <c r="DY9">
        <f>IF(P9=0,0,COUNTIF('Transect 4_imgsummary'!O9:S9,"BC")*100/P9)</f>
        <v>0</v>
      </c>
    </row>
    <row r="10" spans="1:129">
      <c r="A10">
        <v>8</v>
      </c>
      <c r="B10" t="s">
        <v>553</v>
      </c>
      <c r="F10" s="29">
        <f>IF(P10=0,0,COUNTIF('Transect 4_imgsummary'!J10:N10,"C")*100/P10)</f>
        <v>80</v>
      </c>
      <c r="G10">
        <f>IF(P10=0,0,COUNTIF('Transect 4_imgsummary'!J10:N10,"OI")*100/P10)</f>
        <v>0</v>
      </c>
      <c r="H10">
        <f>IF(P10=0,0,COUNTIF('Transect 4_imgsummary'!J10:N10,"MA")*100/P10)</f>
        <v>0</v>
      </c>
      <c r="I10">
        <f>IF(P10=0,0,COUNTIF('Transect 4_imgsummary'!J10:N10,"BCA")*100/P10)</f>
        <v>0</v>
      </c>
      <c r="J10" s="29">
        <f>IF(P10=0,0,COUNTIF('Transect 4_imgsummary'!J10:N10,"CCA")*100/P10)</f>
        <v>20</v>
      </c>
      <c r="K10">
        <f>IF(P10=0,0,COUNTIF('Transect 4_imgsummary'!J10:N10,"SD")*100/P10)</f>
        <v>0</v>
      </c>
      <c r="L10">
        <f>IF(P10=0,0,COUNTIF('Transect 4_imgsummary'!J10:N10,"FCA")*100/P10)</f>
        <v>0</v>
      </c>
      <c r="M10">
        <f>IF(P10=0,0,COUNTIF('Transect 4_imgsummary'!J10:N10,"CHRYS")*100/P10)</f>
        <v>0</v>
      </c>
      <c r="N10">
        <f>IF(P10=0,0,COUNTIF('Transect 4_imgsummary'!J10:N10,"T")*100/P10)</f>
        <v>0</v>
      </c>
      <c r="O10">
        <f>IF(P10=0,0,COUNTIF('Transect 4_imgsummary'!J10:N10,"TWS")*100/P10)</f>
        <v>0</v>
      </c>
      <c r="P10">
        <f>5-COUNTIF('Transect 4_imgsummary'!J10:N10,"TWS")</f>
        <v>5</v>
      </c>
      <c r="S10">
        <f>IF(P10=0,0,COUNTIF('Transect 4_imgsummary'!E10:I10,"ACAN")*100/P10)</f>
        <v>0</v>
      </c>
      <c r="T10">
        <f>IF(P10=0,0,COUNTIF('Transect 4_imgsummary'!E10:I10,"ACROP")*100/P10)</f>
        <v>0</v>
      </c>
      <c r="U10">
        <f>IF(P10=0,0,COUNTIF('Transect 4_imgsummary'!E10:I10,"ACROPARB")*100/P10)</f>
        <v>0</v>
      </c>
      <c r="V10">
        <f>IF(P10=0,0,COUNTIF('Transect 4_imgsummary'!E10:I10,"ACROST")*100/P10)</f>
        <v>0</v>
      </c>
      <c r="W10">
        <f>IF(P10=0,0,COUNTIF('Transect 4_imgsummary'!E10:I10,"ACROTBL")*100/P10)</f>
        <v>0</v>
      </c>
      <c r="X10">
        <f>IF(P10=0,0,COUNTIF('Transect 4_imgsummary'!E10:I10,"ASTRP")*100/P10)</f>
        <v>0</v>
      </c>
      <c r="Y10">
        <f>IF(P10=0,0,COUNTIF('Transect 4_imgsummary'!E10:I10,"CAUL")*100/P10)</f>
        <v>0</v>
      </c>
      <c r="Z10">
        <f>IF(P10=0,0,COUNTIF('Transect 4_imgsummary'!E10:I10,"COSC")*100/P10)</f>
        <v>0</v>
      </c>
      <c r="AA10">
        <f>IF(P10=0,0,COUNTIF('Transect 4_imgsummary'!E10:I10,"CTEN")*100/P10)</f>
        <v>0</v>
      </c>
      <c r="AB10">
        <f>IF(P10=0,0,COUNTIF('Transect 4_imgsummary'!E10:I10,"CYPH")*100/P10)</f>
        <v>0</v>
      </c>
      <c r="AC10">
        <f>IF(P10=0,0,COUNTIF('Transect 4_imgsummary'!E10:I10,"DIPLO")*100/P10)</f>
        <v>0</v>
      </c>
      <c r="AD10" s="29">
        <f>IF(P10=0,0,COUNTIF('Transect 4_imgsummary'!E10:I10,"ECHPO")*100/P10)</f>
        <v>20</v>
      </c>
      <c r="AE10">
        <f>IF(P10=0,0,COUNTIF('Transect 4_imgsummary'!E10:I10,"ECHPHY")*100/P10)</f>
        <v>0</v>
      </c>
      <c r="AF10">
        <f>IF(P10=0,0,COUNTIF('Transect 4_imgsummary'!E10:I10,"EUPH")*100/P10)</f>
        <v>0</v>
      </c>
      <c r="AG10">
        <f>IF(P10=0,0,COUNTIF('Transect 4_imgsummary'!E10:I10,"FAV")*100/P10)</f>
        <v>0</v>
      </c>
      <c r="AH10">
        <f>IF(P10=0,0,COUNTIF('Transect 4_imgsummary'!E10:I10,"FAVT")*100/P10)</f>
        <v>0</v>
      </c>
      <c r="AI10">
        <f>IF(P10=0,0,COUNTIF('Transect 4_imgsummary'!E10:I10,"FUNG")*100/P10)</f>
        <v>0</v>
      </c>
      <c r="AJ10">
        <f>IF(P10=0,0,COUNTIF('Transect 4_imgsummary'!E10:I10,"GAL")*100/P10)</f>
        <v>0</v>
      </c>
      <c r="AK10">
        <f>IF(P10=0,0,COUNTIF('Transect 4_imgsummary'!E10:I10,"GARD")*100/P10)</f>
        <v>0</v>
      </c>
      <c r="AL10">
        <f>IF(P10=0,0,COUNTIF('Transect 4_imgsummary'!E10:I10,"GON")*100/P10)</f>
        <v>0</v>
      </c>
      <c r="AM10">
        <f>IF(P10=0,0,COUNTIF('Transect 4_imgsummary'!E10:I10,"GONIO")*100/P10)</f>
        <v>0</v>
      </c>
      <c r="AN10">
        <f>IF(P10=0,0,COUNTIF('Transect 4_imgsummary'!E10:I10,"HELIO")*100/P10)</f>
        <v>0</v>
      </c>
      <c r="AO10">
        <f>IF(P10=0,0,COUNTIF('Transect 4_imgsummary'!E10:I10,"HERP")*100/P10)</f>
        <v>0</v>
      </c>
      <c r="AP10">
        <f>IF(P10=0,0,COUNTIF('Transect 4_imgsummary'!E10:I10,"HYD")*100/P10)</f>
        <v>0</v>
      </c>
      <c r="AQ10">
        <f>IF(P10=0,0,COUNTIF('Transect 4_imgsummary'!E10:I10,"ISOP")*100/P10)</f>
        <v>0</v>
      </c>
      <c r="AR10">
        <f>IF(P10=0,0,COUNTIF('Transect 4_imgsummary'!E10:I10,"LEPT")*100/P10)</f>
        <v>0</v>
      </c>
      <c r="AS10" s="29">
        <f>IF(P10=0,0,COUNTIF('Transect 4_imgsummary'!E10:I10,"LEPTOR")*100/P10)</f>
        <v>20</v>
      </c>
      <c r="AT10">
        <f>IF(P10=0,0,COUNTIF('Transect 4_imgsummary'!E10:I10,"LEPTOS")*100/P10)</f>
        <v>0</v>
      </c>
      <c r="AU10">
        <f>IF(P10=0,0,COUNTIF('Transect 4_imgsummary'!E10:I10,"LOBOPH")*100/P10)</f>
        <v>0</v>
      </c>
      <c r="AV10" s="29">
        <f>IF(P10=0,0,COUNTIF('Transect 4_imgsummary'!E10:I10,"MERU")*100/P10)</f>
        <v>20</v>
      </c>
      <c r="AW10">
        <f>IF(P10=0,0,COUNTIF('Transect 4_imgsummary'!E10:I10,"MILL")*100/P10)</f>
        <v>0</v>
      </c>
      <c r="AX10">
        <f>IF(P10=0,0,COUNTIF('Transect 4_imgsummary'!E10:I10,"MONT")*100/P10)</f>
        <v>0</v>
      </c>
      <c r="AY10">
        <f>IF(P10=0,0,COUNTIF('Transect 4_imgsummary'!E10:I10,"MONTI")*100/P10)</f>
        <v>0</v>
      </c>
      <c r="AZ10">
        <f>IF(P10=0,0,COUNTIF('Transect 4_imgsummary'!E10:I10,"MYCED")*100/P10)</f>
        <v>0</v>
      </c>
      <c r="BA10">
        <f>IF(P10=0,0,COUNTIF('Transect 4_imgsummary'!E10:I10,"OULO")*100/P10)</f>
        <v>0</v>
      </c>
      <c r="BB10">
        <f>IF(P10=0,0,COUNTIF('Transect 4_imgsummary'!E10:I10,"OXYP")*100/P10)</f>
        <v>0</v>
      </c>
      <c r="BC10">
        <f>IF(P10=0,0,COUNTIF('Transect 4_imgsummary'!E10:I10,"PLSIA")*100/P10)</f>
        <v>0</v>
      </c>
      <c r="BD10">
        <f>IF(P10=0,0,COUNTIF('Transect 4_imgsummary'!E10:I10,"PACHY")*100/P10)</f>
        <v>0</v>
      </c>
      <c r="BE10">
        <f>IF(P10=0,0,COUNTIF('Transect 4_imgsummary'!E10:I10,"PAV")*100/P10)</f>
        <v>0</v>
      </c>
      <c r="BF10">
        <f>IF(P10=0,0,COUNTIF('Transect 4_imgsummary'!E10:I10,"PECT")*100/P10)</f>
        <v>0</v>
      </c>
      <c r="BG10">
        <f>IF(P10=0,0,COUNTIF('Transect 4_imgsummary'!E10:I10,"PHYSO")*100/P10)</f>
        <v>0</v>
      </c>
      <c r="BH10">
        <f>IF(P10=0,0,COUNTIF('Transect 4_imgsummary'!E10:I10,"PLAT")*100/P10)</f>
        <v>0</v>
      </c>
      <c r="BI10">
        <f>IF(P10=0,0,COUNTIF('Transect 4_imgsummary'!E10:I10,"PLERO")*100/P10)</f>
        <v>0</v>
      </c>
      <c r="BJ10">
        <f>IF(P10=0,0,COUNTIF('Transect 4_imgsummary'!E10:I10,"POC")*100/P10)</f>
        <v>0</v>
      </c>
      <c r="BK10">
        <f>IF(P10=0,0,COUNTIF('Transect 4_imgsummary'!E10:I10,"POR")*100/P10)</f>
        <v>0</v>
      </c>
      <c r="BL10">
        <f>IF(P10=0,0,COUNTIF('Transect 4_imgsummary'!E10:I10,"PORCYL")*100/P10)</f>
        <v>0</v>
      </c>
      <c r="BM10">
        <f>IF(P10=0,0,COUNTIF('Transect 4_imgsummary'!E10:I10,"PORMAS")*100/P10)</f>
        <v>0</v>
      </c>
      <c r="BN10">
        <f>IF(P10=0,0,COUNTIF('Transect 4_imgsummary'!E10:I10,"PORRUS")*100/P10)</f>
        <v>0</v>
      </c>
      <c r="BO10">
        <f>IF(P10=0,0,COUNTIF('Transect 4_imgsummary'!E10:I10,"PSAM")*100/P10)</f>
        <v>0</v>
      </c>
      <c r="BP10">
        <f>IF(P10=0,0,COUNTIF('Transect 4_imgsummary'!E10:I10,"SANDO")*100/P10)</f>
        <v>0</v>
      </c>
      <c r="BQ10">
        <f>IF(P10=0,0,COUNTIF('Transect 4_imgsummary'!E10:I10,"SCAP")*100/P10)</f>
        <v>0</v>
      </c>
      <c r="BR10">
        <f>IF(P10=0,0,COUNTIF('Transect 4_imgsummary'!E10:I10,"SERIA")*100/P10)</f>
        <v>0</v>
      </c>
      <c r="BS10">
        <f>IF(P10=0,0,COUNTIF('Transect 4_imgsummary'!E10:I10,"STYLC")*100/P10)</f>
        <v>0</v>
      </c>
      <c r="BT10" s="29">
        <f>IF(P10=0,0,COUNTIF('Transect 4_imgsummary'!E10:I10,"STYLO")*100/P10)</f>
        <v>20</v>
      </c>
      <c r="BU10">
        <f>IF(P10=0,0,COUNTIF('Transect 4_imgsummary'!E10:I10,"SYMP")*100/P10)</f>
        <v>0</v>
      </c>
      <c r="BV10">
        <f>IF(P10=0,0,COUNTIF('Transect 4_imgsummary'!E10:I10,"TURBIN")*100/P10)</f>
        <v>0</v>
      </c>
      <c r="BX10">
        <f>IF(P10=0,0,COUNTIF('Transect 4_imgsummary'!E10:I10,"ANEM")*100/P10)</f>
        <v>0</v>
      </c>
      <c r="BY10">
        <f>IF(P10=0,0,COUNTIF('Transect 4_imgsummary'!E10:I10,"ASC")*100/P10)</f>
        <v>0</v>
      </c>
      <c r="BZ10">
        <f>IF(P10=0,0,COUNTIF('Transect 4_imgsummary'!E10:I10,"CUPS")*100/P10)</f>
        <v>0</v>
      </c>
      <c r="CA10">
        <f>IF(P10=0,0,COUNTIF('Transect 4_imgsummary'!E10:I10,"DISCO")*100/P10)</f>
        <v>0</v>
      </c>
      <c r="CB10">
        <f>IF(P10=0,0,COUNTIF('Transect 4_imgsummary'!E10:I10,"DYS")*100/P10)</f>
        <v>0</v>
      </c>
      <c r="CC10">
        <f>IF(P10=0,0,COUNTIF('Transect 4_imgsummary'!E10:I10,"G")*100/P10)</f>
        <v>0</v>
      </c>
      <c r="CD10">
        <f>IF(P10=0,0,COUNTIF('Transect 4_imgsummary'!E10:I10,"NoIDINV")*100/P10)</f>
        <v>0</v>
      </c>
      <c r="CE10">
        <f>IF(P10=0,0,COUNTIF('Transect 4_imgsummary'!E10:I10,"OLV")*100/P10)</f>
        <v>0</v>
      </c>
      <c r="CF10">
        <f>IF(P10=0,0,COUNTIF('Transect 4_imgsummary'!E10:I10,"SC")*100/P10)</f>
        <v>0</v>
      </c>
      <c r="CG10">
        <f>IF(P10=0,0,COUNTIF('Transect 4_imgsummary'!E10:I10,"S")*100/P10)</f>
        <v>0</v>
      </c>
      <c r="CH10">
        <f>IF(P10=0,0,COUNTIF('Transect 4_imgsummary'!E10:I10,"TERPS")*100/P10)</f>
        <v>0</v>
      </c>
      <c r="CI10">
        <f>IF(P10=0,0,COUNTIF('Transect 4_imgsummary'!E10:I10,"Z")*100/P10)</f>
        <v>0</v>
      </c>
      <c r="CK10">
        <f>IF(P10=0,0,COUNTIF('Transect 4_imgsummary'!E10:I10,"ASP")*100/P10)</f>
        <v>0</v>
      </c>
      <c r="CL10">
        <f>IF(P10=0,0,COUNTIF('Transect 4_imgsummary'!E10:I10,"BG")*100/P10)</f>
        <v>0</v>
      </c>
      <c r="CM10">
        <f>IF(P10=0,0,COUNTIF('Transect 4_imgsummary'!E10:I10,"Bood")*100/P10)</f>
        <v>0</v>
      </c>
      <c r="CN10">
        <f>IF(P10=0,0,COUNTIF('Transect 4_imgsummary'!E10:I10,"BRYP")*100/P10)</f>
        <v>0</v>
      </c>
      <c r="CO10">
        <f>IF(P10=0,0,COUNTIF('Transect 4_imgsummary'!E10:I10,"CLP")*100/P10)</f>
        <v>0</v>
      </c>
      <c r="CP10">
        <f>IF(P10=0,0,COUNTIF('Transect 4_imgsummary'!E10:I10,"CHLDES")*100/P10)</f>
        <v>0</v>
      </c>
      <c r="CQ10">
        <f>IF(P10=0,0,COUNTIF('Transect 4_imgsummary'!E10:I10,"DYCTY")*100/P10)</f>
        <v>0</v>
      </c>
      <c r="CR10">
        <f>IF(P10=0,0,COUNTIF('Transect 4_imgsummary'!E10:I10,"DICT")*100/P10)</f>
        <v>0</v>
      </c>
      <c r="CS10">
        <f>IF(P10=0,0,COUNTIF('Transect 4_imgsummary'!E10:I10,"GLXU")*100/P10)</f>
        <v>0</v>
      </c>
      <c r="CT10">
        <f>IF(P10=0,0,COUNTIF('Transect 4_imgsummary'!E10:I10,"HALI")*100/P10)</f>
        <v>0</v>
      </c>
      <c r="CU10">
        <f>IF(P10=0,0,COUNTIF('Transect 4_imgsummary'!E10:I10,"LIAG")*100/P10)</f>
        <v>0</v>
      </c>
      <c r="CV10">
        <f>IF(P10=0,0,COUNTIF('Transect 4_imgsummary'!E10:I10,"LOBO")*100/P10)</f>
        <v>0</v>
      </c>
      <c r="CW10">
        <f>IF(P10=0,0,COUNTIF('Transect 4_imgsummary'!E10:I10,"MAST")*100/P10)</f>
        <v>0</v>
      </c>
      <c r="CX10">
        <f>IF(P10=0,0,COUNTIF('Transect 4_imgsummary'!E10:I10,"MICDTY")*100/P10)</f>
        <v>0</v>
      </c>
      <c r="CY10">
        <f>IF(P10=0,0,COUNTIF('Transect 4_imgsummary'!E10:I10,"NEOM")*100/P10)</f>
        <v>0</v>
      </c>
      <c r="CZ10">
        <f>IF(P10=0,0,COUNTIF('Transect 4_imgsummary'!E10:I10,"NOIDMAC")*100/P10)</f>
        <v>0</v>
      </c>
      <c r="DA10">
        <f>IF(P10=0,0,COUNTIF('Transect 4_imgsummary'!E10:I10,"PAD")*100/P10)</f>
        <v>0</v>
      </c>
      <c r="DB10">
        <f>IF(P10=0,0,COUNTIF('Transect 4_imgsummary'!E10:I10,"SARG")*100/P10)</f>
        <v>0</v>
      </c>
      <c r="DC10">
        <f>IF(P10=0,0,COUNTIF('Transect 4_imgsummary'!E10:I10,"SCHIZ")*100/P10)</f>
        <v>0</v>
      </c>
      <c r="DD10">
        <f>IF(P10=0,0,COUNTIF('Transect 4_imgsummary'!E10:I10,"TURB")*100/P10)</f>
        <v>0</v>
      </c>
      <c r="DE10">
        <f>IF(P10=0,0,COUNTIF('Transect 4_imgsummary'!E10:I10,"TYDM")*100/P10)</f>
        <v>0</v>
      </c>
      <c r="DG10">
        <f>IF(P10=0,0,COUNTIF('Transect 4_imgsummary'!E10:I10,"AMP")*100/P10)</f>
        <v>0</v>
      </c>
      <c r="DH10">
        <f>IF(P10=0,0,COUNTIF('Transect 4_imgsummary'!E10:I10,"BCA1")*100/P10)</f>
        <v>0</v>
      </c>
      <c r="DI10">
        <f>IF(P10=0,0,COUNTIF('Transect 4_imgsummary'!E10:I10,"JAN")*100/P10)</f>
        <v>0</v>
      </c>
      <c r="DK10" s="29">
        <f>IF(P10=0,0,COUNTIF('Transect 4_imgsummary'!E10:I10,"CCA1")*100/P10)</f>
        <v>20</v>
      </c>
      <c r="DM10">
        <f>IF(P10=0,0,COUNTIF('Transect 4_imgsummary'!E10:I10,"Sand")*100/P10)</f>
        <v>0</v>
      </c>
      <c r="DO10">
        <f>IF(P10=0,0,COUNTIF('Transect 4_imgsummary'!E10:I10,"FCA1")*100/P10)</f>
        <v>0</v>
      </c>
      <c r="DQ10">
        <f>IF(P10=0,0,COUNTIF('Transect 4_imgsummary'!E10:I10,"CHRYOBRN")*100/P10)</f>
        <v>0</v>
      </c>
      <c r="DS10">
        <f>IF(P10=0,0,COUNTIF('Transect 4_imgsummary'!E10:I10,"TURF")*100/P10)</f>
        <v>0</v>
      </c>
      <c r="DU10">
        <f>COUNTIF('Transect 4_imgsummary'!E10:I10,"Shadow")*100/5</f>
        <v>0</v>
      </c>
      <c r="DV10">
        <f>COUNTIF('Transect 4_imgsummary'!E10:I10,"Tape")*100/5</f>
        <v>0</v>
      </c>
      <c r="DW10">
        <f>COUNTIF('Transect 4_imgsummary'!E10:I10,"Wand")*100/5</f>
        <v>0</v>
      </c>
      <c r="DY10">
        <f>IF(P10=0,0,COUNTIF('Transect 4_imgsummary'!O10:S10,"BC")*100/P10)</f>
        <v>0</v>
      </c>
    </row>
    <row r="11" spans="1:129">
      <c r="A11">
        <v>9</v>
      </c>
      <c r="B11" t="s">
        <v>554</v>
      </c>
      <c r="F11">
        <f>IF(P11=0,0,COUNTIF('Transect 4_imgsummary'!J11:N11,"C")*100/P11)</f>
        <v>0</v>
      </c>
      <c r="G11">
        <f>IF(P11=0,0,COUNTIF('Transect 4_imgsummary'!J11:N11,"OI")*100/P11)</f>
        <v>0</v>
      </c>
      <c r="H11">
        <f>IF(P11=0,0,COUNTIF('Transect 4_imgsummary'!J11:N11,"MA")*100/P11)</f>
        <v>0</v>
      </c>
      <c r="I11">
        <f>IF(P11=0,0,COUNTIF('Transect 4_imgsummary'!J11:N11,"BCA")*100/P11)</f>
        <v>0</v>
      </c>
      <c r="J11" s="29">
        <f>IF(P11=0,0,COUNTIF('Transect 4_imgsummary'!J11:N11,"CCA")*100/P11)</f>
        <v>60</v>
      </c>
      <c r="K11">
        <f>IF(P11=0,0,COUNTIF('Transect 4_imgsummary'!J11:N11,"SD")*100/P11)</f>
        <v>0</v>
      </c>
      <c r="L11" s="29">
        <f>IF(P11=0,0,COUNTIF('Transect 4_imgsummary'!J11:N11,"FCA")*100/P11)</f>
        <v>20</v>
      </c>
      <c r="M11">
        <f>IF(P11=0,0,COUNTIF('Transect 4_imgsummary'!J11:N11,"CHRYS")*100/P11)</f>
        <v>0</v>
      </c>
      <c r="N11" s="29">
        <f>IF(P11=0,0,COUNTIF('Transect 4_imgsummary'!J11:N11,"T")*100/P11)</f>
        <v>20</v>
      </c>
      <c r="O11">
        <f>IF(P11=0,0,COUNTIF('Transect 4_imgsummary'!J11:N11,"TWS")*100/P11)</f>
        <v>0</v>
      </c>
      <c r="P11">
        <f>5-COUNTIF('Transect 4_imgsummary'!J11:N11,"TWS")</f>
        <v>5</v>
      </c>
      <c r="S11">
        <f>IF(P11=0,0,COUNTIF('Transect 4_imgsummary'!E11:I11,"ACAN")*100/P11)</f>
        <v>0</v>
      </c>
      <c r="T11">
        <f>IF(P11=0,0,COUNTIF('Transect 4_imgsummary'!E11:I11,"ACROP")*100/P11)</f>
        <v>0</v>
      </c>
      <c r="U11">
        <f>IF(P11=0,0,COUNTIF('Transect 4_imgsummary'!E11:I11,"ACROPARB")*100/P11)</f>
        <v>0</v>
      </c>
      <c r="V11">
        <f>IF(P11=0,0,COUNTIF('Transect 4_imgsummary'!E11:I11,"ACROST")*100/P11)</f>
        <v>0</v>
      </c>
      <c r="W11">
        <f>IF(P11=0,0,COUNTIF('Transect 4_imgsummary'!E11:I11,"ACROTBL")*100/P11)</f>
        <v>0</v>
      </c>
      <c r="X11">
        <f>IF(P11=0,0,COUNTIF('Transect 4_imgsummary'!E11:I11,"ASTRP")*100/P11)</f>
        <v>0</v>
      </c>
      <c r="Y11">
        <f>IF(P11=0,0,COUNTIF('Transect 4_imgsummary'!E11:I11,"CAUL")*100/P11)</f>
        <v>0</v>
      </c>
      <c r="Z11">
        <f>IF(P11=0,0,COUNTIF('Transect 4_imgsummary'!E11:I11,"COSC")*100/P11)</f>
        <v>0</v>
      </c>
      <c r="AA11">
        <f>IF(P11=0,0,COUNTIF('Transect 4_imgsummary'!E11:I11,"CTEN")*100/P11)</f>
        <v>0</v>
      </c>
      <c r="AB11">
        <f>IF(P11=0,0,COUNTIF('Transect 4_imgsummary'!E11:I11,"CYPH")*100/P11)</f>
        <v>0</v>
      </c>
      <c r="AC11">
        <f>IF(P11=0,0,COUNTIF('Transect 4_imgsummary'!E11:I11,"DIPLO")*100/P11)</f>
        <v>0</v>
      </c>
      <c r="AD11">
        <f>IF(P11=0,0,COUNTIF('Transect 4_imgsummary'!E11:I11,"ECHPO")*100/P11)</f>
        <v>0</v>
      </c>
      <c r="AE11">
        <f>IF(P11=0,0,COUNTIF('Transect 4_imgsummary'!E11:I11,"ECHPHY")*100/P11)</f>
        <v>0</v>
      </c>
      <c r="AF11">
        <f>IF(P11=0,0,COUNTIF('Transect 4_imgsummary'!E11:I11,"EUPH")*100/P11)</f>
        <v>0</v>
      </c>
      <c r="AG11">
        <f>IF(P11=0,0,COUNTIF('Transect 4_imgsummary'!E11:I11,"FAV")*100/P11)</f>
        <v>0</v>
      </c>
      <c r="AH11">
        <f>IF(P11=0,0,COUNTIF('Transect 4_imgsummary'!E11:I11,"FAVT")*100/P11)</f>
        <v>0</v>
      </c>
      <c r="AI11">
        <f>IF(P11=0,0,COUNTIF('Transect 4_imgsummary'!E11:I11,"FUNG")*100/P11)</f>
        <v>0</v>
      </c>
      <c r="AJ11">
        <f>IF(P11=0,0,COUNTIF('Transect 4_imgsummary'!E11:I11,"GAL")*100/P11)</f>
        <v>0</v>
      </c>
      <c r="AK11">
        <f>IF(P11=0,0,COUNTIF('Transect 4_imgsummary'!E11:I11,"GARD")*100/P11)</f>
        <v>0</v>
      </c>
      <c r="AL11">
        <f>IF(P11=0,0,COUNTIF('Transect 4_imgsummary'!E11:I11,"GON")*100/P11)</f>
        <v>0</v>
      </c>
      <c r="AM11">
        <f>IF(P11=0,0,COUNTIF('Transect 4_imgsummary'!E11:I11,"GONIO")*100/P11)</f>
        <v>0</v>
      </c>
      <c r="AN11">
        <f>IF(P11=0,0,COUNTIF('Transect 4_imgsummary'!E11:I11,"HELIO")*100/P11)</f>
        <v>0</v>
      </c>
      <c r="AO11">
        <f>IF(P11=0,0,COUNTIF('Transect 4_imgsummary'!E11:I11,"HERP")*100/P11)</f>
        <v>0</v>
      </c>
      <c r="AP11">
        <f>IF(P11=0,0,COUNTIF('Transect 4_imgsummary'!E11:I11,"HYD")*100/P11)</f>
        <v>0</v>
      </c>
      <c r="AQ11">
        <f>IF(P11=0,0,COUNTIF('Transect 4_imgsummary'!E11:I11,"ISOP")*100/P11)</f>
        <v>0</v>
      </c>
      <c r="AR11">
        <f>IF(P11=0,0,COUNTIF('Transect 4_imgsummary'!E11:I11,"LEPT")*100/P11)</f>
        <v>0</v>
      </c>
      <c r="AS11">
        <f>IF(P11=0,0,COUNTIF('Transect 4_imgsummary'!E11:I11,"LEPTOR")*100/P11)</f>
        <v>0</v>
      </c>
      <c r="AT11">
        <f>IF(P11=0,0,COUNTIF('Transect 4_imgsummary'!E11:I11,"LEPTOS")*100/P11)</f>
        <v>0</v>
      </c>
      <c r="AU11">
        <f>IF(P11=0,0,COUNTIF('Transect 4_imgsummary'!E11:I11,"LOBOPH")*100/P11)</f>
        <v>0</v>
      </c>
      <c r="AV11">
        <f>IF(P11=0,0,COUNTIF('Transect 4_imgsummary'!E11:I11,"MERU")*100/P11)</f>
        <v>0</v>
      </c>
      <c r="AW11">
        <f>IF(P11=0,0,COUNTIF('Transect 4_imgsummary'!E11:I11,"MILL")*100/P11)</f>
        <v>0</v>
      </c>
      <c r="AX11">
        <f>IF(P11=0,0,COUNTIF('Transect 4_imgsummary'!E11:I11,"MONT")*100/P11)</f>
        <v>0</v>
      </c>
      <c r="AY11">
        <f>IF(P11=0,0,COUNTIF('Transect 4_imgsummary'!E11:I11,"MONTI")*100/P11)</f>
        <v>0</v>
      </c>
      <c r="AZ11">
        <f>IF(P11=0,0,COUNTIF('Transect 4_imgsummary'!E11:I11,"MYCED")*100/P11)</f>
        <v>0</v>
      </c>
      <c r="BA11">
        <f>IF(P11=0,0,COUNTIF('Transect 4_imgsummary'!E11:I11,"OULO")*100/P11)</f>
        <v>0</v>
      </c>
      <c r="BB11">
        <f>IF(P11=0,0,COUNTIF('Transect 4_imgsummary'!E11:I11,"OXYP")*100/P11)</f>
        <v>0</v>
      </c>
      <c r="BC11">
        <f>IF(P11=0,0,COUNTIF('Transect 4_imgsummary'!E11:I11,"PLSIA")*100/P11)</f>
        <v>0</v>
      </c>
      <c r="BD11">
        <f>IF(P11=0,0,COUNTIF('Transect 4_imgsummary'!E11:I11,"PACHY")*100/P11)</f>
        <v>0</v>
      </c>
      <c r="BE11">
        <f>IF(P11=0,0,COUNTIF('Transect 4_imgsummary'!E11:I11,"PAV")*100/P11)</f>
        <v>0</v>
      </c>
      <c r="BF11">
        <f>IF(P11=0,0,COUNTIF('Transect 4_imgsummary'!E11:I11,"PECT")*100/P11)</f>
        <v>0</v>
      </c>
      <c r="BG11">
        <f>IF(P11=0,0,COUNTIF('Transect 4_imgsummary'!E11:I11,"PHYSO")*100/P11)</f>
        <v>0</v>
      </c>
      <c r="BH11">
        <f>IF(P11=0,0,COUNTIF('Transect 4_imgsummary'!E11:I11,"PLAT")*100/P11)</f>
        <v>0</v>
      </c>
      <c r="BI11">
        <f>IF(P11=0,0,COUNTIF('Transect 4_imgsummary'!E11:I11,"PLERO")*100/P11)</f>
        <v>0</v>
      </c>
      <c r="BJ11">
        <f>IF(P11=0,0,COUNTIF('Transect 4_imgsummary'!E11:I11,"POC")*100/P11)</f>
        <v>0</v>
      </c>
      <c r="BK11">
        <f>IF(P11=0,0,COUNTIF('Transect 4_imgsummary'!E11:I11,"POR")*100/P11)</f>
        <v>0</v>
      </c>
      <c r="BL11">
        <f>IF(P11=0,0,COUNTIF('Transect 4_imgsummary'!E11:I11,"PORCYL")*100/P11)</f>
        <v>0</v>
      </c>
      <c r="BM11">
        <f>IF(P11=0,0,COUNTIF('Transect 4_imgsummary'!E11:I11,"PORMAS")*100/P11)</f>
        <v>0</v>
      </c>
      <c r="BN11">
        <f>IF(P11=0,0,COUNTIF('Transect 4_imgsummary'!E11:I11,"PORRUS")*100/P11)</f>
        <v>0</v>
      </c>
      <c r="BO11">
        <f>IF(P11=0,0,COUNTIF('Transect 4_imgsummary'!E11:I11,"PSAM")*100/P11)</f>
        <v>0</v>
      </c>
      <c r="BP11">
        <f>IF(P11=0,0,COUNTIF('Transect 4_imgsummary'!E11:I11,"SANDO")*100/P11)</f>
        <v>0</v>
      </c>
      <c r="BQ11">
        <f>IF(P11=0,0,COUNTIF('Transect 4_imgsummary'!E11:I11,"SCAP")*100/P11)</f>
        <v>0</v>
      </c>
      <c r="BR11">
        <f>IF(P11=0,0,COUNTIF('Transect 4_imgsummary'!E11:I11,"SERIA")*100/P11)</f>
        <v>0</v>
      </c>
      <c r="BS11">
        <f>IF(P11=0,0,COUNTIF('Transect 4_imgsummary'!E11:I11,"STYLC")*100/P11)</f>
        <v>0</v>
      </c>
      <c r="BT11">
        <f>IF(P11=0,0,COUNTIF('Transect 4_imgsummary'!E11:I11,"STYLO")*100/P11)</f>
        <v>0</v>
      </c>
      <c r="BU11">
        <f>IF(P11=0,0,COUNTIF('Transect 4_imgsummary'!E11:I11,"SYMP")*100/P11)</f>
        <v>0</v>
      </c>
      <c r="BV11">
        <f>IF(P11=0,0,COUNTIF('Transect 4_imgsummary'!E11:I11,"TURBIN")*100/P11)</f>
        <v>0</v>
      </c>
      <c r="BX11">
        <f>IF(P11=0,0,COUNTIF('Transect 4_imgsummary'!E11:I11,"ANEM")*100/P11)</f>
        <v>0</v>
      </c>
      <c r="BY11">
        <f>IF(P11=0,0,COUNTIF('Transect 4_imgsummary'!E11:I11,"ASC")*100/P11)</f>
        <v>0</v>
      </c>
      <c r="BZ11">
        <f>IF(P11=0,0,COUNTIF('Transect 4_imgsummary'!E11:I11,"CUPS")*100/P11)</f>
        <v>0</v>
      </c>
      <c r="CA11">
        <f>IF(P11=0,0,COUNTIF('Transect 4_imgsummary'!E11:I11,"DISCO")*100/P11)</f>
        <v>0</v>
      </c>
      <c r="CB11">
        <f>IF(P11=0,0,COUNTIF('Transect 4_imgsummary'!E11:I11,"DYS")*100/P11)</f>
        <v>0</v>
      </c>
      <c r="CC11">
        <f>IF(P11=0,0,COUNTIF('Transect 4_imgsummary'!E11:I11,"G")*100/P11)</f>
        <v>0</v>
      </c>
      <c r="CD11">
        <f>IF(P11=0,0,COUNTIF('Transect 4_imgsummary'!E11:I11,"NoIDINV")*100/P11)</f>
        <v>0</v>
      </c>
      <c r="CE11">
        <f>IF(P11=0,0,COUNTIF('Transect 4_imgsummary'!E11:I11,"OLV")*100/P11)</f>
        <v>0</v>
      </c>
      <c r="CF11">
        <f>IF(P11=0,0,COUNTIF('Transect 4_imgsummary'!E11:I11,"SC")*100/P11)</f>
        <v>0</v>
      </c>
      <c r="CG11">
        <f>IF(P11=0,0,COUNTIF('Transect 4_imgsummary'!E11:I11,"S")*100/P11)</f>
        <v>0</v>
      </c>
      <c r="CH11">
        <f>IF(P11=0,0,COUNTIF('Transect 4_imgsummary'!E11:I11,"TERPS")*100/P11)</f>
        <v>0</v>
      </c>
      <c r="CI11">
        <f>IF(P11=0,0,COUNTIF('Transect 4_imgsummary'!E11:I11,"Z")*100/P11)</f>
        <v>0</v>
      </c>
      <c r="CK11">
        <f>IF(P11=0,0,COUNTIF('Transect 4_imgsummary'!E11:I11,"ASP")*100/P11)</f>
        <v>0</v>
      </c>
      <c r="CL11">
        <f>IF(P11=0,0,COUNTIF('Transect 4_imgsummary'!E11:I11,"BG")*100/P11)</f>
        <v>0</v>
      </c>
      <c r="CM11">
        <f>IF(P11=0,0,COUNTIF('Transect 4_imgsummary'!E11:I11,"Bood")*100/P11)</f>
        <v>0</v>
      </c>
      <c r="CN11">
        <f>IF(P11=0,0,COUNTIF('Transect 4_imgsummary'!E11:I11,"BRYP")*100/P11)</f>
        <v>0</v>
      </c>
      <c r="CO11">
        <f>IF(P11=0,0,COUNTIF('Transect 4_imgsummary'!E11:I11,"CLP")*100/P11)</f>
        <v>0</v>
      </c>
      <c r="CP11">
        <f>IF(P11=0,0,COUNTIF('Transect 4_imgsummary'!E11:I11,"CHLDES")*100/P11)</f>
        <v>0</v>
      </c>
      <c r="CQ11">
        <f>IF(P11=0,0,COUNTIF('Transect 4_imgsummary'!E11:I11,"DYCTY")*100/P11)</f>
        <v>0</v>
      </c>
      <c r="CR11">
        <f>IF(P11=0,0,COUNTIF('Transect 4_imgsummary'!E11:I11,"DICT")*100/P11)</f>
        <v>0</v>
      </c>
      <c r="CS11">
        <f>IF(P11=0,0,COUNTIF('Transect 4_imgsummary'!E11:I11,"GLXU")*100/P11)</f>
        <v>0</v>
      </c>
      <c r="CT11">
        <f>IF(P11=0,0,COUNTIF('Transect 4_imgsummary'!E11:I11,"HALI")*100/P11)</f>
        <v>0</v>
      </c>
      <c r="CU11">
        <f>IF(P11=0,0,COUNTIF('Transect 4_imgsummary'!E11:I11,"LIAG")*100/P11)</f>
        <v>0</v>
      </c>
      <c r="CV11">
        <f>IF(P11=0,0,COUNTIF('Transect 4_imgsummary'!E11:I11,"LOBO")*100/P11)</f>
        <v>0</v>
      </c>
      <c r="CW11">
        <f>IF(P11=0,0,COUNTIF('Transect 4_imgsummary'!E11:I11,"MAST")*100/P11)</f>
        <v>0</v>
      </c>
      <c r="CX11">
        <f>IF(P11=0,0,COUNTIF('Transect 4_imgsummary'!E11:I11,"MICDTY")*100/P11)</f>
        <v>0</v>
      </c>
      <c r="CY11">
        <f>IF(P11=0,0,COUNTIF('Transect 4_imgsummary'!E11:I11,"NEOM")*100/P11)</f>
        <v>0</v>
      </c>
      <c r="CZ11">
        <f>IF(P11=0,0,COUNTIF('Transect 4_imgsummary'!E11:I11,"NOIDMAC")*100/P11)</f>
        <v>0</v>
      </c>
      <c r="DA11">
        <f>IF(P11=0,0,COUNTIF('Transect 4_imgsummary'!E11:I11,"PAD")*100/P11)</f>
        <v>0</v>
      </c>
      <c r="DB11">
        <f>IF(P11=0,0,COUNTIF('Transect 4_imgsummary'!E11:I11,"SARG")*100/P11)</f>
        <v>0</v>
      </c>
      <c r="DC11">
        <f>IF(P11=0,0,COUNTIF('Transect 4_imgsummary'!E11:I11,"SCHIZ")*100/P11)</f>
        <v>0</v>
      </c>
      <c r="DD11">
        <f>IF(P11=0,0,COUNTIF('Transect 4_imgsummary'!E11:I11,"TURB")*100/P11)</f>
        <v>0</v>
      </c>
      <c r="DE11">
        <f>IF(P11=0,0,COUNTIF('Transect 4_imgsummary'!E11:I11,"TYDM")*100/P11)</f>
        <v>0</v>
      </c>
      <c r="DG11">
        <f>IF(P11=0,0,COUNTIF('Transect 4_imgsummary'!E11:I11,"AMP")*100/P11)</f>
        <v>0</v>
      </c>
      <c r="DH11">
        <f>IF(P11=0,0,COUNTIF('Transect 4_imgsummary'!E11:I11,"BCA1")*100/P11)</f>
        <v>0</v>
      </c>
      <c r="DI11">
        <f>IF(P11=0,0,COUNTIF('Transect 4_imgsummary'!E11:I11,"JAN")*100/P11)</f>
        <v>0</v>
      </c>
      <c r="DK11" s="29">
        <f>IF(P11=0,0,COUNTIF('Transect 4_imgsummary'!E11:I11,"CCA1")*100/P11)</f>
        <v>60</v>
      </c>
      <c r="DM11">
        <f>IF(P11=0,0,COUNTIF('Transect 4_imgsummary'!E11:I11,"Sand")*100/P11)</f>
        <v>0</v>
      </c>
      <c r="DO11" s="29">
        <f>IF(P11=0,0,COUNTIF('Transect 4_imgsummary'!E11:I11,"FCA1")*100/P11)</f>
        <v>20</v>
      </c>
      <c r="DQ11">
        <f>IF(P11=0,0,COUNTIF('Transect 4_imgsummary'!E11:I11,"CHRYOBRN")*100/P11)</f>
        <v>0</v>
      </c>
      <c r="DS11" s="29">
        <f>IF(P11=0,0,COUNTIF('Transect 4_imgsummary'!E11:I11,"TURF")*100/P11)</f>
        <v>20</v>
      </c>
      <c r="DU11">
        <f>COUNTIF('Transect 4_imgsummary'!E11:I11,"Shadow")*100/5</f>
        <v>0</v>
      </c>
      <c r="DV11">
        <f>COUNTIF('Transect 4_imgsummary'!E11:I11,"Tape")*100/5</f>
        <v>0</v>
      </c>
      <c r="DW11">
        <f>COUNTIF('Transect 4_imgsummary'!E11:I11,"Wand")*100/5</f>
        <v>0</v>
      </c>
      <c r="DY11">
        <f>IF(P11=0,0,COUNTIF('Transect 4_imgsummary'!O11:S11,"BC")*100/P11)</f>
        <v>0</v>
      </c>
    </row>
    <row r="12" spans="1:129">
      <c r="A12">
        <v>10</v>
      </c>
      <c r="B12" t="s">
        <v>555</v>
      </c>
      <c r="F12" s="29">
        <f>IF(P12=0,0,COUNTIF('Transect 4_imgsummary'!J12:N12,"C")*100/P12)</f>
        <v>80</v>
      </c>
      <c r="G12">
        <f>IF(P12=0,0,COUNTIF('Transect 4_imgsummary'!J12:N12,"OI")*100/P12)</f>
        <v>0</v>
      </c>
      <c r="H12">
        <f>IF(P12=0,0,COUNTIF('Transect 4_imgsummary'!J12:N12,"MA")*100/P12)</f>
        <v>0</v>
      </c>
      <c r="I12">
        <f>IF(P12=0,0,COUNTIF('Transect 4_imgsummary'!J12:N12,"BCA")*100/P12)</f>
        <v>0</v>
      </c>
      <c r="J12" s="29">
        <f>IF(P12=0,0,COUNTIF('Transect 4_imgsummary'!J12:N12,"CCA")*100/P12)</f>
        <v>20</v>
      </c>
      <c r="K12">
        <f>IF(P12=0,0,COUNTIF('Transect 4_imgsummary'!J12:N12,"SD")*100/P12)</f>
        <v>0</v>
      </c>
      <c r="L12">
        <f>IF(P12=0,0,COUNTIF('Transect 4_imgsummary'!J12:N12,"FCA")*100/P12)</f>
        <v>0</v>
      </c>
      <c r="M12">
        <f>IF(P12=0,0,COUNTIF('Transect 4_imgsummary'!J12:N12,"CHRYS")*100/P12)</f>
        <v>0</v>
      </c>
      <c r="N12">
        <f>IF(P12=0,0,COUNTIF('Transect 4_imgsummary'!J12:N12,"T")*100/P12)</f>
        <v>0</v>
      </c>
      <c r="O12">
        <f>IF(P12=0,0,COUNTIF('Transect 4_imgsummary'!J12:N12,"TWS")*100/P12)</f>
        <v>0</v>
      </c>
      <c r="P12">
        <f>5-COUNTIF('Transect 4_imgsummary'!J12:N12,"TWS")</f>
        <v>5</v>
      </c>
      <c r="S12">
        <f>IF(P12=0,0,COUNTIF('Transect 4_imgsummary'!E12:I12,"ACAN")*100/P12)</f>
        <v>0</v>
      </c>
      <c r="T12">
        <f>IF(P12=0,0,COUNTIF('Transect 4_imgsummary'!E12:I12,"ACROP")*100/P12)</f>
        <v>0</v>
      </c>
      <c r="U12">
        <f>IF(P12=0,0,COUNTIF('Transect 4_imgsummary'!E12:I12,"ACROPARB")*100/P12)</f>
        <v>0</v>
      </c>
      <c r="V12">
        <f>IF(P12=0,0,COUNTIF('Transect 4_imgsummary'!E12:I12,"ACROST")*100/P12)</f>
        <v>0</v>
      </c>
      <c r="W12">
        <f>IF(P12=0,0,COUNTIF('Transect 4_imgsummary'!E12:I12,"ACROTBL")*100/P12)</f>
        <v>0</v>
      </c>
      <c r="X12">
        <f>IF(P12=0,0,COUNTIF('Transect 4_imgsummary'!E12:I12,"ASTRP")*100/P12)</f>
        <v>0</v>
      </c>
      <c r="Y12">
        <f>IF(P12=0,0,COUNTIF('Transect 4_imgsummary'!E12:I12,"CAUL")*100/P12)</f>
        <v>0</v>
      </c>
      <c r="Z12">
        <f>IF(P12=0,0,COUNTIF('Transect 4_imgsummary'!E12:I12,"COSC")*100/P12)</f>
        <v>0</v>
      </c>
      <c r="AA12">
        <f>IF(P12=0,0,COUNTIF('Transect 4_imgsummary'!E12:I12,"CTEN")*100/P12)</f>
        <v>0</v>
      </c>
      <c r="AB12">
        <f>IF(P12=0,0,COUNTIF('Transect 4_imgsummary'!E12:I12,"CYPH")*100/P12)</f>
        <v>0</v>
      </c>
      <c r="AC12">
        <f>IF(P12=0,0,COUNTIF('Transect 4_imgsummary'!E12:I12,"DIPLO")*100/P12)</f>
        <v>0</v>
      </c>
      <c r="AD12" s="29">
        <f>IF(P12=0,0,COUNTIF('Transect 4_imgsummary'!E12:I12,"ECHPO")*100/P12)</f>
        <v>20</v>
      </c>
      <c r="AE12">
        <f>IF(P12=0,0,COUNTIF('Transect 4_imgsummary'!E12:I12,"ECHPHY")*100/P12)</f>
        <v>0</v>
      </c>
      <c r="AF12">
        <f>IF(P12=0,0,COUNTIF('Transect 4_imgsummary'!E12:I12,"EUPH")*100/P12)</f>
        <v>0</v>
      </c>
      <c r="AG12">
        <f>IF(P12=0,0,COUNTIF('Transect 4_imgsummary'!E12:I12,"FAV")*100/P12)</f>
        <v>0</v>
      </c>
      <c r="AH12">
        <f>IF(P12=0,0,COUNTIF('Transect 4_imgsummary'!E12:I12,"FAVT")*100/P12)</f>
        <v>0</v>
      </c>
      <c r="AI12">
        <f>IF(P12=0,0,COUNTIF('Transect 4_imgsummary'!E12:I12,"FUNG")*100/P12)</f>
        <v>0</v>
      </c>
      <c r="AJ12">
        <f>IF(P12=0,0,COUNTIF('Transect 4_imgsummary'!E12:I12,"GAL")*100/P12)</f>
        <v>0</v>
      </c>
      <c r="AK12">
        <f>IF(P12=0,0,COUNTIF('Transect 4_imgsummary'!E12:I12,"GARD")*100/P12)</f>
        <v>0</v>
      </c>
      <c r="AL12">
        <f>IF(P12=0,0,COUNTIF('Transect 4_imgsummary'!E12:I12,"GON")*100/P12)</f>
        <v>0</v>
      </c>
      <c r="AM12">
        <f>IF(P12=0,0,COUNTIF('Transect 4_imgsummary'!E12:I12,"GONIO")*100/P12)</f>
        <v>0</v>
      </c>
      <c r="AN12">
        <f>IF(P12=0,0,COUNTIF('Transect 4_imgsummary'!E12:I12,"HELIO")*100/P12)</f>
        <v>0</v>
      </c>
      <c r="AO12">
        <f>IF(P12=0,0,COUNTIF('Transect 4_imgsummary'!E12:I12,"HERP")*100/P12)</f>
        <v>0</v>
      </c>
      <c r="AP12">
        <f>IF(P12=0,0,COUNTIF('Transect 4_imgsummary'!E12:I12,"HYD")*100/P12)</f>
        <v>0</v>
      </c>
      <c r="AQ12">
        <f>IF(P12=0,0,COUNTIF('Transect 4_imgsummary'!E12:I12,"ISOP")*100/P12)</f>
        <v>0</v>
      </c>
      <c r="AR12">
        <f>IF(P12=0,0,COUNTIF('Transect 4_imgsummary'!E12:I12,"LEPT")*100/P12)</f>
        <v>0</v>
      </c>
      <c r="AS12" s="29">
        <f>IF(P12=0,0,COUNTIF('Transect 4_imgsummary'!E12:I12,"LEPTOR")*100/P12)</f>
        <v>60</v>
      </c>
      <c r="AT12">
        <f>IF(P12=0,0,COUNTIF('Transect 4_imgsummary'!E12:I12,"LEPTOS")*100/P12)</f>
        <v>0</v>
      </c>
      <c r="AU12">
        <f>IF(P12=0,0,COUNTIF('Transect 4_imgsummary'!E12:I12,"LOBOPH")*100/P12)</f>
        <v>0</v>
      </c>
      <c r="AV12">
        <f>IF(P12=0,0,COUNTIF('Transect 4_imgsummary'!E12:I12,"MERU")*100/P12)</f>
        <v>0</v>
      </c>
      <c r="AW12">
        <f>IF(P12=0,0,COUNTIF('Transect 4_imgsummary'!E12:I12,"MILL")*100/P12)</f>
        <v>0</v>
      </c>
      <c r="AX12">
        <f>IF(P12=0,0,COUNTIF('Transect 4_imgsummary'!E12:I12,"MONT")*100/P12)</f>
        <v>0</v>
      </c>
      <c r="AY12">
        <f>IF(P12=0,0,COUNTIF('Transect 4_imgsummary'!E12:I12,"MONTI")*100/P12)</f>
        <v>0</v>
      </c>
      <c r="AZ12">
        <f>IF(P12=0,0,COUNTIF('Transect 4_imgsummary'!E12:I12,"MYCED")*100/P12)</f>
        <v>0</v>
      </c>
      <c r="BA12">
        <f>IF(P12=0,0,COUNTIF('Transect 4_imgsummary'!E12:I12,"OULO")*100/P12)</f>
        <v>0</v>
      </c>
      <c r="BB12">
        <f>IF(P12=0,0,COUNTIF('Transect 4_imgsummary'!E12:I12,"OXYP")*100/P12)</f>
        <v>0</v>
      </c>
      <c r="BC12">
        <f>IF(P12=0,0,COUNTIF('Transect 4_imgsummary'!E12:I12,"PLSIA")*100/P12)</f>
        <v>0</v>
      </c>
      <c r="BD12">
        <f>IF(P12=0,0,COUNTIF('Transect 4_imgsummary'!E12:I12,"PACHY")*100/P12)</f>
        <v>0</v>
      </c>
      <c r="BE12">
        <f>IF(P12=0,0,COUNTIF('Transect 4_imgsummary'!E12:I12,"PAV")*100/P12)</f>
        <v>0</v>
      </c>
      <c r="BF12">
        <f>IF(P12=0,0,COUNTIF('Transect 4_imgsummary'!E12:I12,"PECT")*100/P12)</f>
        <v>0</v>
      </c>
      <c r="BG12">
        <f>IF(P12=0,0,COUNTIF('Transect 4_imgsummary'!E12:I12,"PHYSO")*100/P12)</f>
        <v>0</v>
      </c>
      <c r="BH12">
        <f>IF(P12=0,0,COUNTIF('Transect 4_imgsummary'!E12:I12,"PLAT")*100/P12)</f>
        <v>0</v>
      </c>
      <c r="BI12">
        <f>IF(P12=0,0,COUNTIF('Transect 4_imgsummary'!E12:I12,"PLERO")*100/P12)</f>
        <v>0</v>
      </c>
      <c r="BJ12">
        <f>IF(P12=0,0,COUNTIF('Transect 4_imgsummary'!E12:I12,"POC")*100/P12)</f>
        <v>0</v>
      </c>
      <c r="BK12">
        <f>IF(P12=0,0,COUNTIF('Transect 4_imgsummary'!E12:I12,"POR")*100/P12)</f>
        <v>0</v>
      </c>
      <c r="BL12">
        <f>IF(P12=0,0,COUNTIF('Transect 4_imgsummary'!E12:I12,"PORCYL")*100/P12)</f>
        <v>0</v>
      </c>
      <c r="BM12">
        <f>IF(P12=0,0,COUNTIF('Transect 4_imgsummary'!E12:I12,"PORMAS")*100/P12)</f>
        <v>0</v>
      </c>
      <c r="BN12">
        <f>IF(P12=0,0,COUNTIF('Transect 4_imgsummary'!E12:I12,"PORRUS")*100/P12)</f>
        <v>0</v>
      </c>
      <c r="BO12">
        <f>IF(P12=0,0,COUNTIF('Transect 4_imgsummary'!E12:I12,"PSAM")*100/P12)</f>
        <v>0</v>
      </c>
      <c r="BP12">
        <f>IF(P12=0,0,COUNTIF('Transect 4_imgsummary'!E12:I12,"SANDO")*100/P12)</f>
        <v>0</v>
      </c>
      <c r="BQ12">
        <f>IF(P12=0,0,COUNTIF('Transect 4_imgsummary'!E12:I12,"SCAP")*100/P12)</f>
        <v>0</v>
      </c>
      <c r="BR12">
        <f>IF(P12=0,0,COUNTIF('Transect 4_imgsummary'!E12:I12,"SERIA")*100/P12)</f>
        <v>0</v>
      </c>
      <c r="BS12">
        <f>IF(P12=0,0,COUNTIF('Transect 4_imgsummary'!E12:I12,"STYLC")*100/P12)</f>
        <v>0</v>
      </c>
      <c r="BT12">
        <f>IF(P12=0,0,COUNTIF('Transect 4_imgsummary'!E12:I12,"STYLO")*100/P12)</f>
        <v>0</v>
      </c>
      <c r="BU12">
        <f>IF(P12=0,0,COUNTIF('Transect 4_imgsummary'!E12:I12,"SYMP")*100/P12)</f>
        <v>0</v>
      </c>
      <c r="BV12">
        <f>IF(P12=0,0,COUNTIF('Transect 4_imgsummary'!E12:I12,"TURBIN")*100/P12)</f>
        <v>0</v>
      </c>
      <c r="BX12">
        <f>IF(P12=0,0,COUNTIF('Transect 4_imgsummary'!E12:I12,"ANEM")*100/P12)</f>
        <v>0</v>
      </c>
      <c r="BY12">
        <f>IF(P12=0,0,COUNTIF('Transect 4_imgsummary'!E12:I12,"ASC")*100/P12)</f>
        <v>0</v>
      </c>
      <c r="BZ12">
        <f>IF(P12=0,0,COUNTIF('Transect 4_imgsummary'!E12:I12,"CUPS")*100/P12)</f>
        <v>0</v>
      </c>
      <c r="CA12">
        <f>IF(P12=0,0,COUNTIF('Transect 4_imgsummary'!E12:I12,"DISCO")*100/P12)</f>
        <v>0</v>
      </c>
      <c r="CB12">
        <f>IF(P12=0,0,COUNTIF('Transect 4_imgsummary'!E12:I12,"DYS")*100/P12)</f>
        <v>0</v>
      </c>
      <c r="CC12">
        <f>IF(P12=0,0,COUNTIF('Transect 4_imgsummary'!E12:I12,"G")*100/P12)</f>
        <v>0</v>
      </c>
      <c r="CD12">
        <f>IF(P12=0,0,COUNTIF('Transect 4_imgsummary'!E12:I12,"NoIDINV")*100/P12)</f>
        <v>0</v>
      </c>
      <c r="CE12">
        <f>IF(P12=0,0,COUNTIF('Transect 4_imgsummary'!E12:I12,"OLV")*100/P12)</f>
        <v>0</v>
      </c>
      <c r="CF12">
        <f>IF(P12=0,0,COUNTIF('Transect 4_imgsummary'!E12:I12,"SC")*100/P12)</f>
        <v>0</v>
      </c>
      <c r="CG12">
        <f>IF(P12=0,0,COUNTIF('Transect 4_imgsummary'!E12:I12,"S")*100/P12)</f>
        <v>0</v>
      </c>
      <c r="CH12">
        <f>IF(P12=0,0,COUNTIF('Transect 4_imgsummary'!E12:I12,"TERPS")*100/P12)</f>
        <v>0</v>
      </c>
      <c r="CI12">
        <f>IF(P12=0,0,COUNTIF('Transect 4_imgsummary'!E12:I12,"Z")*100/P12)</f>
        <v>0</v>
      </c>
      <c r="CK12">
        <f>IF(P12=0,0,COUNTIF('Transect 4_imgsummary'!E12:I12,"ASP")*100/P12)</f>
        <v>0</v>
      </c>
      <c r="CL12">
        <f>IF(P12=0,0,COUNTIF('Transect 4_imgsummary'!E12:I12,"BG")*100/P12)</f>
        <v>0</v>
      </c>
      <c r="CM12">
        <f>IF(P12=0,0,COUNTIF('Transect 4_imgsummary'!E12:I12,"Bood")*100/P12)</f>
        <v>0</v>
      </c>
      <c r="CN12">
        <f>IF(P12=0,0,COUNTIF('Transect 4_imgsummary'!E12:I12,"BRYP")*100/P12)</f>
        <v>0</v>
      </c>
      <c r="CO12">
        <f>IF(P12=0,0,COUNTIF('Transect 4_imgsummary'!E12:I12,"CLP")*100/P12)</f>
        <v>0</v>
      </c>
      <c r="CP12">
        <f>IF(P12=0,0,COUNTIF('Transect 4_imgsummary'!E12:I12,"CHLDES")*100/P12)</f>
        <v>0</v>
      </c>
      <c r="CQ12">
        <f>IF(P12=0,0,COUNTIF('Transect 4_imgsummary'!E12:I12,"DYCTY")*100/P12)</f>
        <v>0</v>
      </c>
      <c r="CR12">
        <f>IF(P12=0,0,COUNTIF('Transect 4_imgsummary'!E12:I12,"DICT")*100/P12)</f>
        <v>0</v>
      </c>
      <c r="CS12">
        <f>IF(P12=0,0,COUNTIF('Transect 4_imgsummary'!E12:I12,"GLXU")*100/P12)</f>
        <v>0</v>
      </c>
      <c r="CT12">
        <f>IF(P12=0,0,COUNTIF('Transect 4_imgsummary'!E12:I12,"HALI")*100/P12)</f>
        <v>0</v>
      </c>
      <c r="CU12">
        <f>IF(P12=0,0,COUNTIF('Transect 4_imgsummary'!E12:I12,"LIAG")*100/P12)</f>
        <v>0</v>
      </c>
      <c r="CV12">
        <f>IF(P12=0,0,COUNTIF('Transect 4_imgsummary'!E12:I12,"LOBO")*100/P12)</f>
        <v>0</v>
      </c>
      <c r="CW12">
        <f>IF(P12=0,0,COUNTIF('Transect 4_imgsummary'!E12:I12,"MAST")*100/P12)</f>
        <v>0</v>
      </c>
      <c r="CX12">
        <f>IF(P12=0,0,COUNTIF('Transect 4_imgsummary'!E12:I12,"MICDTY")*100/P12)</f>
        <v>0</v>
      </c>
      <c r="CY12">
        <f>IF(P12=0,0,COUNTIF('Transect 4_imgsummary'!E12:I12,"NEOM")*100/P12)</f>
        <v>0</v>
      </c>
      <c r="CZ12">
        <f>IF(P12=0,0,COUNTIF('Transect 4_imgsummary'!E12:I12,"NOIDMAC")*100/P12)</f>
        <v>0</v>
      </c>
      <c r="DA12">
        <f>IF(P12=0,0,COUNTIF('Transect 4_imgsummary'!E12:I12,"PAD")*100/P12)</f>
        <v>0</v>
      </c>
      <c r="DB12">
        <f>IF(P12=0,0,COUNTIF('Transect 4_imgsummary'!E12:I12,"SARG")*100/P12)</f>
        <v>0</v>
      </c>
      <c r="DC12">
        <f>IF(P12=0,0,COUNTIF('Transect 4_imgsummary'!E12:I12,"SCHIZ")*100/P12)</f>
        <v>0</v>
      </c>
      <c r="DD12">
        <f>IF(P12=0,0,COUNTIF('Transect 4_imgsummary'!E12:I12,"TURB")*100/P12)</f>
        <v>0</v>
      </c>
      <c r="DE12">
        <f>IF(P12=0,0,COUNTIF('Transect 4_imgsummary'!E12:I12,"TYDM")*100/P12)</f>
        <v>0</v>
      </c>
      <c r="DG12">
        <f>IF(P12=0,0,COUNTIF('Transect 4_imgsummary'!E12:I12,"AMP")*100/P12)</f>
        <v>0</v>
      </c>
      <c r="DH12">
        <f>IF(P12=0,0,COUNTIF('Transect 4_imgsummary'!E12:I12,"BCA1")*100/P12)</f>
        <v>0</v>
      </c>
      <c r="DI12">
        <f>IF(P12=0,0,COUNTIF('Transect 4_imgsummary'!E12:I12,"JAN")*100/P12)</f>
        <v>0</v>
      </c>
      <c r="DK12" s="29">
        <f>IF(P12=0,0,COUNTIF('Transect 4_imgsummary'!E12:I12,"CCA1")*100/P12)</f>
        <v>20</v>
      </c>
      <c r="DM12">
        <f>IF(P12=0,0,COUNTIF('Transect 4_imgsummary'!E12:I12,"Sand")*100/P12)</f>
        <v>0</v>
      </c>
      <c r="DO12">
        <f>IF(P12=0,0,COUNTIF('Transect 4_imgsummary'!E12:I12,"FCA1")*100/P12)</f>
        <v>0</v>
      </c>
      <c r="DQ12">
        <f>IF(P12=0,0,COUNTIF('Transect 4_imgsummary'!E12:I12,"CHRYOBRN")*100/P12)</f>
        <v>0</v>
      </c>
      <c r="DS12">
        <f>IF(P12=0,0,COUNTIF('Transect 4_imgsummary'!E12:I12,"TURF")*100/P12)</f>
        <v>0</v>
      </c>
      <c r="DU12">
        <f>COUNTIF('Transect 4_imgsummary'!E12:I12,"Shadow")*100/5</f>
        <v>0</v>
      </c>
      <c r="DV12">
        <f>COUNTIF('Transect 4_imgsummary'!E12:I12,"Tape")*100/5</f>
        <v>0</v>
      </c>
      <c r="DW12">
        <f>COUNTIF('Transect 4_imgsummary'!E12:I12,"Wand")*100/5</f>
        <v>0</v>
      </c>
      <c r="DY12">
        <f>IF(P12=0,0,COUNTIF('Transect 4_imgsummary'!O12:S12,"BC")*100/P12)</f>
        <v>0</v>
      </c>
    </row>
    <row r="13" spans="1:129">
      <c r="A13">
        <v>11</v>
      </c>
      <c r="B13" t="s">
        <v>556</v>
      </c>
      <c r="F13" s="29">
        <f>IF(P13=0,0,COUNTIF('Transect 4_imgsummary'!J13:N13,"C")*100/P13)</f>
        <v>60</v>
      </c>
      <c r="G13">
        <f>IF(P13=0,0,COUNTIF('Transect 4_imgsummary'!J13:N13,"OI")*100/P13)</f>
        <v>0</v>
      </c>
      <c r="H13">
        <f>IF(P13=0,0,COUNTIF('Transect 4_imgsummary'!J13:N13,"MA")*100/P13)</f>
        <v>0</v>
      </c>
      <c r="I13" s="29">
        <f>IF(P13=0,0,COUNTIF('Transect 4_imgsummary'!J13:N13,"BCA")*100/P13)</f>
        <v>20</v>
      </c>
      <c r="J13" s="29">
        <f>IF(P13=0,0,COUNTIF('Transect 4_imgsummary'!J13:N13,"CCA")*100/P13)</f>
        <v>20</v>
      </c>
      <c r="K13">
        <f>IF(P13=0,0,COUNTIF('Transect 4_imgsummary'!J13:N13,"SD")*100/P13)</f>
        <v>0</v>
      </c>
      <c r="L13">
        <f>IF(P13=0,0,COUNTIF('Transect 4_imgsummary'!J13:N13,"FCA")*100/P13)</f>
        <v>0</v>
      </c>
      <c r="M13">
        <f>IF(P13=0,0,COUNTIF('Transect 4_imgsummary'!J13:N13,"CHRYS")*100/P13)</f>
        <v>0</v>
      </c>
      <c r="N13">
        <f>IF(P13=0,0,COUNTIF('Transect 4_imgsummary'!J13:N13,"T")*100/P13)</f>
        <v>0</v>
      </c>
      <c r="O13">
        <f>IF(P13=0,0,COUNTIF('Transect 4_imgsummary'!J13:N13,"TWS")*100/P13)</f>
        <v>0</v>
      </c>
      <c r="P13">
        <f>5-COUNTIF('Transect 4_imgsummary'!J13:N13,"TWS")</f>
        <v>5</v>
      </c>
      <c r="S13">
        <f>IF(P13=0,0,COUNTIF('Transect 4_imgsummary'!E13:I13,"ACAN")*100/P13)</f>
        <v>0</v>
      </c>
      <c r="T13">
        <f>IF(P13=0,0,COUNTIF('Transect 4_imgsummary'!E13:I13,"ACROP")*100/P13)</f>
        <v>0</v>
      </c>
      <c r="U13">
        <f>IF(P13=0,0,COUNTIF('Transect 4_imgsummary'!E13:I13,"ACROPARB")*100/P13)</f>
        <v>0</v>
      </c>
      <c r="V13">
        <f>IF(P13=0,0,COUNTIF('Transect 4_imgsummary'!E13:I13,"ACROST")*100/P13)</f>
        <v>0</v>
      </c>
      <c r="W13">
        <f>IF(P13=0,0,COUNTIF('Transect 4_imgsummary'!E13:I13,"ACROTBL")*100/P13)</f>
        <v>0</v>
      </c>
      <c r="X13">
        <f>IF(P13=0,0,COUNTIF('Transect 4_imgsummary'!E13:I13,"ASTRP")*100/P13)</f>
        <v>0</v>
      </c>
      <c r="Y13">
        <f>IF(P13=0,0,COUNTIF('Transect 4_imgsummary'!E13:I13,"CAUL")*100/P13)</f>
        <v>0</v>
      </c>
      <c r="Z13">
        <f>IF(P13=0,0,COUNTIF('Transect 4_imgsummary'!E13:I13,"COSC")*100/P13)</f>
        <v>0</v>
      </c>
      <c r="AA13">
        <f>IF(P13=0,0,COUNTIF('Transect 4_imgsummary'!E13:I13,"CTEN")*100/P13)</f>
        <v>0</v>
      </c>
      <c r="AB13">
        <f>IF(P13=0,0,COUNTIF('Transect 4_imgsummary'!E13:I13,"CYPH")*100/P13)</f>
        <v>0</v>
      </c>
      <c r="AC13">
        <f>IF(P13=0,0,COUNTIF('Transect 4_imgsummary'!E13:I13,"DIPLO")*100/P13)</f>
        <v>0</v>
      </c>
      <c r="AD13">
        <f>IF(P13=0,0,COUNTIF('Transect 4_imgsummary'!E13:I13,"ECHPO")*100/P13)</f>
        <v>0</v>
      </c>
      <c r="AE13">
        <f>IF(P13=0,0,COUNTIF('Transect 4_imgsummary'!E13:I13,"ECHPHY")*100/P13)</f>
        <v>0</v>
      </c>
      <c r="AF13">
        <f>IF(P13=0,0,COUNTIF('Transect 4_imgsummary'!E13:I13,"EUPH")*100/P13)</f>
        <v>0</v>
      </c>
      <c r="AG13">
        <f>IF(P13=0,0,COUNTIF('Transect 4_imgsummary'!E13:I13,"FAV")*100/P13)</f>
        <v>0</v>
      </c>
      <c r="AH13">
        <f>IF(P13=0,0,COUNTIF('Transect 4_imgsummary'!E13:I13,"FAVT")*100/P13)</f>
        <v>0</v>
      </c>
      <c r="AI13">
        <f>IF(P13=0,0,COUNTIF('Transect 4_imgsummary'!E13:I13,"FUNG")*100/P13)</f>
        <v>0</v>
      </c>
      <c r="AJ13">
        <f>IF(P13=0,0,COUNTIF('Transect 4_imgsummary'!E13:I13,"GAL")*100/P13)</f>
        <v>0</v>
      </c>
      <c r="AK13">
        <f>IF(P13=0,0,COUNTIF('Transect 4_imgsummary'!E13:I13,"GARD")*100/P13)</f>
        <v>0</v>
      </c>
      <c r="AL13">
        <f>IF(P13=0,0,COUNTIF('Transect 4_imgsummary'!E13:I13,"GON")*100/P13)</f>
        <v>0</v>
      </c>
      <c r="AM13" s="29">
        <f>IF(P13=0,0,COUNTIF('Transect 4_imgsummary'!E13:I13,"GONIO")*100/P13)</f>
        <v>40</v>
      </c>
      <c r="AN13">
        <f>IF(P13=0,0,COUNTIF('Transect 4_imgsummary'!E13:I13,"HELIO")*100/P13)</f>
        <v>0</v>
      </c>
      <c r="AO13">
        <f>IF(P13=0,0,COUNTIF('Transect 4_imgsummary'!E13:I13,"HERP")*100/P13)</f>
        <v>0</v>
      </c>
      <c r="AP13">
        <f>IF(P13=0,0,COUNTIF('Transect 4_imgsummary'!E13:I13,"HYD")*100/P13)</f>
        <v>0</v>
      </c>
      <c r="AQ13">
        <f>IF(P13=0,0,COUNTIF('Transect 4_imgsummary'!E13:I13,"ISOP")*100/P13)</f>
        <v>0</v>
      </c>
      <c r="AR13">
        <f>IF(P13=0,0,COUNTIF('Transect 4_imgsummary'!E13:I13,"LEPT")*100/P13)</f>
        <v>0</v>
      </c>
      <c r="AS13">
        <f>IF(P13=0,0,COUNTIF('Transect 4_imgsummary'!E13:I13,"LEPTOR")*100/P13)</f>
        <v>0</v>
      </c>
      <c r="AT13">
        <f>IF(P13=0,0,COUNTIF('Transect 4_imgsummary'!E13:I13,"LEPTOS")*100/P13)</f>
        <v>0</v>
      </c>
      <c r="AU13">
        <f>IF(P13=0,0,COUNTIF('Transect 4_imgsummary'!E13:I13,"LOBOPH")*100/P13)</f>
        <v>0</v>
      </c>
      <c r="AV13">
        <f>IF(P13=0,0,COUNTIF('Transect 4_imgsummary'!E13:I13,"MERU")*100/P13)</f>
        <v>0</v>
      </c>
      <c r="AW13">
        <f>IF(P13=0,0,COUNTIF('Transect 4_imgsummary'!E13:I13,"MILL")*100/P13)</f>
        <v>0</v>
      </c>
      <c r="AX13">
        <f>IF(P13=0,0,COUNTIF('Transect 4_imgsummary'!E13:I13,"MONT")*100/P13)</f>
        <v>0</v>
      </c>
      <c r="AY13">
        <f>IF(P13=0,0,COUNTIF('Transect 4_imgsummary'!E13:I13,"MONTI")*100/P13)</f>
        <v>0</v>
      </c>
      <c r="AZ13">
        <f>IF(P13=0,0,COUNTIF('Transect 4_imgsummary'!E13:I13,"MYCED")*100/P13)</f>
        <v>0</v>
      </c>
      <c r="BA13">
        <f>IF(P13=0,0,COUNTIF('Transect 4_imgsummary'!E13:I13,"OULO")*100/P13)</f>
        <v>0</v>
      </c>
      <c r="BB13">
        <f>IF(P13=0,0,COUNTIF('Transect 4_imgsummary'!E13:I13,"OXYP")*100/P13)</f>
        <v>0</v>
      </c>
      <c r="BC13">
        <f>IF(P13=0,0,COUNTIF('Transect 4_imgsummary'!E13:I13,"PLSIA")*100/P13)</f>
        <v>0</v>
      </c>
      <c r="BD13">
        <f>IF(P13=0,0,COUNTIF('Transect 4_imgsummary'!E13:I13,"PACHY")*100/P13)</f>
        <v>0</v>
      </c>
      <c r="BE13">
        <f>IF(P13=0,0,COUNTIF('Transect 4_imgsummary'!E13:I13,"PAV")*100/P13)</f>
        <v>0</v>
      </c>
      <c r="BF13">
        <f>IF(P13=0,0,COUNTIF('Transect 4_imgsummary'!E13:I13,"PECT")*100/P13)</f>
        <v>0</v>
      </c>
      <c r="BG13">
        <f>IF(P13=0,0,COUNTIF('Transect 4_imgsummary'!E13:I13,"PHYSO")*100/P13)</f>
        <v>0</v>
      </c>
      <c r="BH13" s="29">
        <f>IF(P13=0,0,COUNTIF('Transect 4_imgsummary'!E13:I13,"PLAT")*100/P13)</f>
        <v>20</v>
      </c>
      <c r="BI13">
        <f>IF(P13=0,0,COUNTIF('Transect 4_imgsummary'!E13:I13,"PLERO")*100/P13)</f>
        <v>0</v>
      </c>
      <c r="BJ13">
        <f>IF(P13=0,0,COUNTIF('Transect 4_imgsummary'!E13:I13,"POC")*100/P13)</f>
        <v>0</v>
      </c>
      <c r="BK13">
        <f>IF(P13=0,0,COUNTIF('Transect 4_imgsummary'!E13:I13,"POR")*100/P13)</f>
        <v>0</v>
      </c>
      <c r="BL13">
        <f>IF(P13=0,0,COUNTIF('Transect 4_imgsummary'!E13:I13,"PORCYL")*100/P13)</f>
        <v>0</v>
      </c>
      <c r="BM13">
        <f>IF(P13=0,0,COUNTIF('Transect 4_imgsummary'!E13:I13,"PORMAS")*100/P13)</f>
        <v>0</v>
      </c>
      <c r="BN13">
        <f>IF(P13=0,0,COUNTIF('Transect 4_imgsummary'!E13:I13,"PORRUS")*100/P13)</f>
        <v>0</v>
      </c>
      <c r="BO13">
        <f>IF(P13=0,0,COUNTIF('Transect 4_imgsummary'!E13:I13,"PSAM")*100/P13)</f>
        <v>0</v>
      </c>
      <c r="BP13">
        <f>IF(P13=0,0,COUNTIF('Transect 4_imgsummary'!E13:I13,"SANDO")*100/P13)</f>
        <v>0</v>
      </c>
      <c r="BQ13">
        <f>IF(P13=0,0,COUNTIF('Transect 4_imgsummary'!E13:I13,"SCAP")*100/P13)</f>
        <v>0</v>
      </c>
      <c r="BR13">
        <f>IF(P13=0,0,COUNTIF('Transect 4_imgsummary'!E13:I13,"SERIA")*100/P13)</f>
        <v>0</v>
      </c>
      <c r="BS13">
        <f>IF(P13=0,0,COUNTIF('Transect 4_imgsummary'!E13:I13,"STYLC")*100/P13)</f>
        <v>0</v>
      </c>
      <c r="BT13">
        <f>IF(P13=0,0,COUNTIF('Transect 4_imgsummary'!E13:I13,"STYLO")*100/P13)</f>
        <v>0</v>
      </c>
      <c r="BU13">
        <f>IF(P13=0,0,COUNTIF('Transect 4_imgsummary'!E13:I13,"SYMP")*100/P13)</f>
        <v>0</v>
      </c>
      <c r="BV13">
        <f>IF(P13=0,0,COUNTIF('Transect 4_imgsummary'!E13:I13,"TURBIN")*100/P13)</f>
        <v>0</v>
      </c>
      <c r="BX13">
        <f>IF(P13=0,0,COUNTIF('Transect 4_imgsummary'!E13:I13,"ANEM")*100/P13)</f>
        <v>0</v>
      </c>
      <c r="BY13">
        <f>IF(P13=0,0,COUNTIF('Transect 4_imgsummary'!E13:I13,"ASC")*100/P13)</f>
        <v>0</v>
      </c>
      <c r="BZ13">
        <f>IF(P13=0,0,COUNTIF('Transect 4_imgsummary'!E13:I13,"CUPS")*100/P13)</f>
        <v>0</v>
      </c>
      <c r="CA13">
        <f>IF(P13=0,0,COUNTIF('Transect 4_imgsummary'!E13:I13,"DISCO")*100/P13)</f>
        <v>0</v>
      </c>
      <c r="CB13">
        <f>IF(P13=0,0,COUNTIF('Transect 4_imgsummary'!E13:I13,"DYS")*100/P13)</f>
        <v>0</v>
      </c>
      <c r="CC13">
        <f>IF(P13=0,0,COUNTIF('Transect 4_imgsummary'!E13:I13,"G")*100/P13)</f>
        <v>0</v>
      </c>
      <c r="CD13">
        <f>IF(P13=0,0,COUNTIF('Transect 4_imgsummary'!E13:I13,"NoIDINV")*100/P13)</f>
        <v>0</v>
      </c>
      <c r="CE13">
        <f>IF(P13=0,0,COUNTIF('Transect 4_imgsummary'!E13:I13,"OLV")*100/P13)</f>
        <v>0</v>
      </c>
      <c r="CF13">
        <f>IF(P13=0,0,COUNTIF('Transect 4_imgsummary'!E13:I13,"SC")*100/P13)</f>
        <v>0</v>
      </c>
      <c r="CG13">
        <f>IF(P13=0,0,COUNTIF('Transect 4_imgsummary'!E13:I13,"S")*100/P13)</f>
        <v>0</v>
      </c>
      <c r="CH13">
        <f>IF(P13=0,0,COUNTIF('Transect 4_imgsummary'!E13:I13,"TERPS")*100/P13)</f>
        <v>0</v>
      </c>
      <c r="CI13">
        <f>IF(P13=0,0,COUNTIF('Transect 4_imgsummary'!E13:I13,"Z")*100/P13)</f>
        <v>0</v>
      </c>
      <c r="CK13">
        <f>IF(P13=0,0,COUNTIF('Transect 4_imgsummary'!E13:I13,"ASP")*100/P13)</f>
        <v>0</v>
      </c>
      <c r="CL13">
        <f>IF(P13=0,0,COUNTIF('Transect 4_imgsummary'!E13:I13,"BG")*100/P13)</f>
        <v>0</v>
      </c>
      <c r="CM13">
        <f>IF(P13=0,0,COUNTIF('Transect 4_imgsummary'!E13:I13,"Bood")*100/P13)</f>
        <v>0</v>
      </c>
      <c r="CN13">
        <f>IF(P13=0,0,COUNTIF('Transect 4_imgsummary'!E13:I13,"BRYP")*100/P13)</f>
        <v>0</v>
      </c>
      <c r="CO13">
        <f>IF(P13=0,0,COUNTIF('Transect 4_imgsummary'!E13:I13,"CLP")*100/P13)</f>
        <v>0</v>
      </c>
      <c r="CP13">
        <f>IF(P13=0,0,COUNTIF('Transect 4_imgsummary'!E13:I13,"CHLDES")*100/P13)</f>
        <v>0</v>
      </c>
      <c r="CQ13">
        <f>IF(P13=0,0,COUNTIF('Transect 4_imgsummary'!E13:I13,"DYCTY")*100/P13)</f>
        <v>0</v>
      </c>
      <c r="CR13">
        <f>IF(P13=0,0,COUNTIF('Transect 4_imgsummary'!E13:I13,"DICT")*100/P13)</f>
        <v>0</v>
      </c>
      <c r="CS13">
        <f>IF(P13=0,0,COUNTIF('Transect 4_imgsummary'!E13:I13,"GLXU")*100/P13)</f>
        <v>0</v>
      </c>
      <c r="CT13">
        <f>IF(P13=0,0,COUNTIF('Transect 4_imgsummary'!E13:I13,"HALI")*100/P13)</f>
        <v>0</v>
      </c>
      <c r="CU13">
        <f>IF(P13=0,0,COUNTIF('Transect 4_imgsummary'!E13:I13,"LIAG")*100/P13)</f>
        <v>0</v>
      </c>
      <c r="CV13">
        <f>IF(P13=0,0,COUNTIF('Transect 4_imgsummary'!E13:I13,"LOBO")*100/P13)</f>
        <v>0</v>
      </c>
      <c r="CW13">
        <f>IF(P13=0,0,COUNTIF('Transect 4_imgsummary'!E13:I13,"MAST")*100/P13)</f>
        <v>0</v>
      </c>
      <c r="CX13">
        <f>IF(P13=0,0,COUNTIF('Transect 4_imgsummary'!E13:I13,"MICDTY")*100/P13)</f>
        <v>0</v>
      </c>
      <c r="CY13">
        <f>IF(P13=0,0,COUNTIF('Transect 4_imgsummary'!E13:I13,"NEOM")*100/P13)</f>
        <v>0</v>
      </c>
      <c r="CZ13">
        <f>IF(P13=0,0,COUNTIF('Transect 4_imgsummary'!E13:I13,"NOIDMAC")*100/P13)</f>
        <v>0</v>
      </c>
      <c r="DA13">
        <f>IF(P13=0,0,COUNTIF('Transect 4_imgsummary'!E13:I13,"PAD")*100/P13)</f>
        <v>0</v>
      </c>
      <c r="DB13">
        <f>IF(P13=0,0,COUNTIF('Transect 4_imgsummary'!E13:I13,"SARG")*100/P13)</f>
        <v>0</v>
      </c>
      <c r="DC13">
        <f>IF(P13=0,0,COUNTIF('Transect 4_imgsummary'!E13:I13,"SCHIZ")*100/P13)</f>
        <v>0</v>
      </c>
      <c r="DD13">
        <f>IF(P13=0,0,COUNTIF('Transect 4_imgsummary'!E13:I13,"TURB")*100/P13)</f>
        <v>0</v>
      </c>
      <c r="DE13">
        <f>IF(P13=0,0,COUNTIF('Transect 4_imgsummary'!E13:I13,"TYDM")*100/P13)</f>
        <v>0</v>
      </c>
      <c r="DG13">
        <f>IF(P13=0,0,COUNTIF('Transect 4_imgsummary'!E13:I13,"AMP")*100/P13)</f>
        <v>0</v>
      </c>
      <c r="DH13" s="29">
        <f>IF(P13=0,0,COUNTIF('Transect 4_imgsummary'!E13:I13,"BCA1")*100/P13)</f>
        <v>20</v>
      </c>
      <c r="DI13">
        <f>IF(P13=0,0,COUNTIF('Transect 4_imgsummary'!E13:I13,"JAN")*100/P13)</f>
        <v>0</v>
      </c>
      <c r="DK13" s="29">
        <f>IF(P13=0,0,COUNTIF('Transect 4_imgsummary'!E13:I13,"CCA1")*100/P13)</f>
        <v>20</v>
      </c>
      <c r="DM13">
        <f>IF(P13=0,0,COUNTIF('Transect 4_imgsummary'!E13:I13,"Sand")*100/P13)</f>
        <v>0</v>
      </c>
      <c r="DO13">
        <f>IF(P13=0,0,COUNTIF('Transect 4_imgsummary'!E13:I13,"FCA1")*100/P13)</f>
        <v>0</v>
      </c>
      <c r="DQ13">
        <f>IF(P13=0,0,COUNTIF('Transect 4_imgsummary'!E13:I13,"CHRYOBRN")*100/P13)</f>
        <v>0</v>
      </c>
      <c r="DS13">
        <f>IF(P13=0,0,COUNTIF('Transect 4_imgsummary'!E13:I13,"TURF")*100/P13)</f>
        <v>0</v>
      </c>
      <c r="DU13">
        <f>COUNTIF('Transect 4_imgsummary'!E13:I13,"Shadow")*100/5</f>
        <v>0</v>
      </c>
      <c r="DV13">
        <f>COUNTIF('Transect 4_imgsummary'!E13:I13,"Tape")*100/5</f>
        <v>0</v>
      </c>
      <c r="DW13">
        <f>COUNTIF('Transect 4_imgsummary'!E13:I13,"Wand")*100/5</f>
        <v>0</v>
      </c>
      <c r="DY13">
        <f>IF(P13=0,0,COUNTIF('Transect 4_imgsummary'!O13:S13,"BC")*100/P13)</f>
        <v>0</v>
      </c>
    </row>
    <row r="14" spans="1:129">
      <c r="A14">
        <v>12</v>
      </c>
      <c r="B14" t="s">
        <v>557</v>
      </c>
      <c r="F14" s="29">
        <f>IF(P14=0,0,COUNTIF('Transect 4_imgsummary'!J14:N14,"C")*100/P14)</f>
        <v>20</v>
      </c>
      <c r="G14">
        <f>IF(P14=0,0,COUNTIF('Transect 4_imgsummary'!J14:N14,"OI")*100/P14)</f>
        <v>0</v>
      </c>
      <c r="H14">
        <f>IF(P14=0,0,COUNTIF('Transect 4_imgsummary'!J14:N14,"MA")*100/P14)</f>
        <v>0</v>
      </c>
      <c r="I14">
        <f>IF(P14=0,0,COUNTIF('Transect 4_imgsummary'!J14:N14,"BCA")*100/P14)</f>
        <v>0</v>
      </c>
      <c r="J14" s="29">
        <f>IF(P14=0,0,COUNTIF('Transect 4_imgsummary'!J14:N14,"CCA")*100/P14)</f>
        <v>60</v>
      </c>
      <c r="K14">
        <f>IF(P14=0,0,COUNTIF('Transect 4_imgsummary'!J14:N14,"SD")*100/P14)</f>
        <v>0</v>
      </c>
      <c r="L14">
        <f>IF(P14=0,0,COUNTIF('Transect 4_imgsummary'!J14:N14,"FCA")*100/P14)</f>
        <v>0</v>
      </c>
      <c r="M14">
        <f>IF(P14=0,0,COUNTIF('Transect 4_imgsummary'!J14:N14,"CHRYS")*100/P14)</f>
        <v>0</v>
      </c>
      <c r="N14" s="29">
        <f>IF(P14=0,0,COUNTIF('Transect 4_imgsummary'!J14:N14,"T")*100/P14)</f>
        <v>20</v>
      </c>
      <c r="O14">
        <f>IF(P14=0,0,COUNTIF('Transect 4_imgsummary'!J14:N14,"TWS")*100/P14)</f>
        <v>0</v>
      </c>
      <c r="P14">
        <f>5-COUNTIF('Transect 4_imgsummary'!J14:N14,"TWS")</f>
        <v>5</v>
      </c>
      <c r="S14">
        <f>IF(P14=0,0,COUNTIF('Transect 4_imgsummary'!E14:I14,"ACAN")*100/P14)</f>
        <v>0</v>
      </c>
      <c r="T14">
        <f>IF(P14=0,0,COUNTIF('Transect 4_imgsummary'!E14:I14,"ACROP")*100/P14)</f>
        <v>0</v>
      </c>
      <c r="U14">
        <f>IF(P14=0,0,COUNTIF('Transect 4_imgsummary'!E14:I14,"ACROPARB")*100/P14)</f>
        <v>0</v>
      </c>
      <c r="V14">
        <f>IF(P14=0,0,COUNTIF('Transect 4_imgsummary'!E14:I14,"ACROST")*100/P14)</f>
        <v>0</v>
      </c>
      <c r="W14">
        <f>IF(P14=0,0,COUNTIF('Transect 4_imgsummary'!E14:I14,"ACROTBL")*100/P14)</f>
        <v>0</v>
      </c>
      <c r="X14">
        <f>IF(P14=0,0,COUNTIF('Transect 4_imgsummary'!E14:I14,"ASTRP")*100/P14)</f>
        <v>0</v>
      </c>
      <c r="Y14">
        <f>IF(P14=0,0,COUNTIF('Transect 4_imgsummary'!E14:I14,"CAUL")*100/P14)</f>
        <v>0</v>
      </c>
      <c r="Z14">
        <f>IF(P14=0,0,COUNTIF('Transect 4_imgsummary'!E14:I14,"COSC")*100/P14)</f>
        <v>0</v>
      </c>
      <c r="AA14">
        <f>IF(P14=0,0,COUNTIF('Transect 4_imgsummary'!E14:I14,"CTEN")*100/P14)</f>
        <v>0</v>
      </c>
      <c r="AB14">
        <f>IF(P14=0,0,COUNTIF('Transect 4_imgsummary'!E14:I14,"CYPH")*100/P14)</f>
        <v>0</v>
      </c>
      <c r="AC14">
        <f>IF(P14=0,0,COUNTIF('Transect 4_imgsummary'!E14:I14,"DIPLO")*100/P14)</f>
        <v>0</v>
      </c>
      <c r="AD14">
        <f>IF(P14=0,0,COUNTIF('Transect 4_imgsummary'!E14:I14,"ECHPO")*100/P14)</f>
        <v>0</v>
      </c>
      <c r="AE14">
        <f>IF(P14=0,0,COUNTIF('Transect 4_imgsummary'!E14:I14,"ECHPHY")*100/P14)</f>
        <v>0</v>
      </c>
      <c r="AF14">
        <f>IF(P14=0,0,COUNTIF('Transect 4_imgsummary'!E14:I14,"EUPH")*100/P14)</f>
        <v>0</v>
      </c>
      <c r="AG14">
        <f>IF(P14=0,0,COUNTIF('Transect 4_imgsummary'!E14:I14,"FAV")*100/P14)</f>
        <v>0</v>
      </c>
      <c r="AH14">
        <f>IF(P14=0,0,COUNTIF('Transect 4_imgsummary'!E14:I14,"FAVT")*100/P14)</f>
        <v>0</v>
      </c>
      <c r="AI14">
        <f>IF(P14=0,0,COUNTIF('Transect 4_imgsummary'!E14:I14,"FUNG")*100/P14)</f>
        <v>0</v>
      </c>
      <c r="AJ14">
        <f>IF(P14=0,0,COUNTIF('Transect 4_imgsummary'!E14:I14,"GAL")*100/P14)</f>
        <v>0</v>
      </c>
      <c r="AK14">
        <f>IF(P14=0,0,COUNTIF('Transect 4_imgsummary'!E14:I14,"GARD")*100/P14)</f>
        <v>0</v>
      </c>
      <c r="AL14">
        <f>IF(P14=0,0,COUNTIF('Transect 4_imgsummary'!E14:I14,"GON")*100/P14)</f>
        <v>0</v>
      </c>
      <c r="AM14">
        <f>IF(P14=0,0,COUNTIF('Transect 4_imgsummary'!E14:I14,"GONIO")*100/P14)</f>
        <v>0</v>
      </c>
      <c r="AN14">
        <f>IF(P14=0,0,COUNTIF('Transect 4_imgsummary'!E14:I14,"HELIO")*100/P14)</f>
        <v>0</v>
      </c>
      <c r="AO14">
        <f>IF(P14=0,0,COUNTIF('Transect 4_imgsummary'!E14:I14,"HERP")*100/P14)</f>
        <v>0</v>
      </c>
      <c r="AP14">
        <f>IF(P14=0,0,COUNTIF('Transect 4_imgsummary'!E14:I14,"HYD")*100/P14)</f>
        <v>0</v>
      </c>
      <c r="AQ14">
        <f>IF(P14=0,0,COUNTIF('Transect 4_imgsummary'!E14:I14,"ISOP")*100/P14)</f>
        <v>0</v>
      </c>
      <c r="AR14">
        <f>IF(P14=0,0,COUNTIF('Transect 4_imgsummary'!E14:I14,"LEPT")*100/P14)</f>
        <v>0</v>
      </c>
      <c r="AS14" s="29">
        <f>IF(P14=0,0,COUNTIF('Transect 4_imgsummary'!E14:I14,"LEPTOR")*100/P14)</f>
        <v>20</v>
      </c>
      <c r="AT14">
        <f>IF(P14=0,0,COUNTIF('Transect 4_imgsummary'!E14:I14,"LEPTOS")*100/P14)</f>
        <v>0</v>
      </c>
      <c r="AU14">
        <f>IF(P14=0,0,COUNTIF('Transect 4_imgsummary'!E14:I14,"LOBOPH")*100/P14)</f>
        <v>0</v>
      </c>
      <c r="AV14">
        <f>IF(P14=0,0,COUNTIF('Transect 4_imgsummary'!E14:I14,"MERU")*100/P14)</f>
        <v>0</v>
      </c>
      <c r="AW14">
        <f>IF(P14=0,0,COUNTIF('Transect 4_imgsummary'!E14:I14,"MILL")*100/P14)</f>
        <v>0</v>
      </c>
      <c r="AX14">
        <f>IF(P14=0,0,COUNTIF('Transect 4_imgsummary'!E14:I14,"MONT")*100/P14)</f>
        <v>0</v>
      </c>
      <c r="AY14">
        <f>IF(P14=0,0,COUNTIF('Transect 4_imgsummary'!E14:I14,"MONTI")*100/P14)</f>
        <v>0</v>
      </c>
      <c r="AZ14">
        <f>IF(P14=0,0,COUNTIF('Transect 4_imgsummary'!E14:I14,"MYCED")*100/P14)</f>
        <v>0</v>
      </c>
      <c r="BA14">
        <f>IF(P14=0,0,COUNTIF('Transect 4_imgsummary'!E14:I14,"OULO")*100/P14)</f>
        <v>0</v>
      </c>
      <c r="BB14">
        <f>IF(P14=0,0,COUNTIF('Transect 4_imgsummary'!E14:I14,"OXYP")*100/P14)</f>
        <v>0</v>
      </c>
      <c r="BC14">
        <f>IF(P14=0,0,COUNTIF('Transect 4_imgsummary'!E14:I14,"PLSIA")*100/P14)</f>
        <v>0</v>
      </c>
      <c r="BD14">
        <f>IF(P14=0,0,COUNTIF('Transect 4_imgsummary'!E14:I14,"PACHY")*100/P14)</f>
        <v>0</v>
      </c>
      <c r="BE14">
        <f>IF(P14=0,0,COUNTIF('Transect 4_imgsummary'!E14:I14,"PAV")*100/P14)</f>
        <v>0</v>
      </c>
      <c r="BF14">
        <f>IF(P14=0,0,COUNTIF('Transect 4_imgsummary'!E14:I14,"PECT")*100/P14)</f>
        <v>0</v>
      </c>
      <c r="BG14">
        <f>IF(P14=0,0,COUNTIF('Transect 4_imgsummary'!E14:I14,"PHYSO")*100/P14)</f>
        <v>0</v>
      </c>
      <c r="BH14">
        <f>IF(P14=0,0,COUNTIF('Transect 4_imgsummary'!E14:I14,"PLAT")*100/P14)</f>
        <v>0</v>
      </c>
      <c r="BI14">
        <f>IF(P14=0,0,COUNTIF('Transect 4_imgsummary'!E14:I14,"PLERO")*100/P14)</f>
        <v>0</v>
      </c>
      <c r="BJ14">
        <f>IF(P14=0,0,COUNTIF('Transect 4_imgsummary'!E14:I14,"POC")*100/P14)</f>
        <v>0</v>
      </c>
      <c r="BK14">
        <f>IF(P14=0,0,COUNTIF('Transect 4_imgsummary'!E14:I14,"POR")*100/P14)</f>
        <v>0</v>
      </c>
      <c r="BL14">
        <f>IF(P14=0,0,COUNTIF('Transect 4_imgsummary'!E14:I14,"PORCYL")*100/P14)</f>
        <v>0</v>
      </c>
      <c r="BM14">
        <f>IF(P14=0,0,COUNTIF('Transect 4_imgsummary'!E14:I14,"PORMAS")*100/P14)</f>
        <v>0</v>
      </c>
      <c r="BN14">
        <f>IF(P14=0,0,COUNTIF('Transect 4_imgsummary'!E14:I14,"PORRUS")*100/P14)</f>
        <v>0</v>
      </c>
      <c r="BO14">
        <f>IF(P14=0,0,COUNTIF('Transect 4_imgsummary'!E14:I14,"PSAM")*100/P14)</f>
        <v>0</v>
      </c>
      <c r="BP14">
        <f>IF(P14=0,0,COUNTIF('Transect 4_imgsummary'!E14:I14,"SANDO")*100/P14)</f>
        <v>0</v>
      </c>
      <c r="BQ14">
        <f>IF(P14=0,0,COUNTIF('Transect 4_imgsummary'!E14:I14,"SCAP")*100/P14)</f>
        <v>0</v>
      </c>
      <c r="BR14">
        <f>IF(P14=0,0,COUNTIF('Transect 4_imgsummary'!E14:I14,"SERIA")*100/P14)</f>
        <v>0</v>
      </c>
      <c r="BS14">
        <f>IF(P14=0,0,COUNTIF('Transect 4_imgsummary'!E14:I14,"STYLC")*100/P14)</f>
        <v>0</v>
      </c>
      <c r="BT14">
        <f>IF(P14=0,0,COUNTIF('Transect 4_imgsummary'!E14:I14,"STYLO")*100/P14)</f>
        <v>0</v>
      </c>
      <c r="BU14">
        <f>IF(P14=0,0,COUNTIF('Transect 4_imgsummary'!E14:I14,"SYMP")*100/P14)</f>
        <v>0</v>
      </c>
      <c r="BV14">
        <f>IF(P14=0,0,COUNTIF('Transect 4_imgsummary'!E14:I14,"TURBIN")*100/P14)</f>
        <v>0</v>
      </c>
      <c r="BX14">
        <f>IF(P14=0,0,COUNTIF('Transect 4_imgsummary'!E14:I14,"ANEM")*100/P14)</f>
        <v>0</v>
      </c>
      <c r="BY14">
        <f>IF(P14=0,0,COUNTIF('Transect 4_imgsummary'!E14:I14,"ASC")*100/P14)</f>
        <v>0</v>
      </c>
      <c r="BZ14">
        <f>IF(P14=0,0,COUNTIF('Transect 4_imgsummary'!E14:I14,"CUPS")*100/P14)</f>
        <v>0</v>
      </c>
      <c r="CA14">
        <f>IF(P14=0,0,COUNTIF('Transect 4_imgsummary'!E14:I14,"DISCO")*100/P14)</f>
        <v>0</v>
      </c>
      <c r="CB14">
        <f>IF(P14=0,0,COUNTIF('Transect 4_imgsummary'!E14:I14,"DYS")*100/P14)</f>
        <v>0</v>
      </c>
      <c r="CC14">
        <f>IF(P14=0,0,COUNTIF('Transect 4_imgsummary'!E14:I14,"G")*100/P14)</f>
        <v>0</v>
      </c>
      <c r="CD14">
        <f>IF(P14=0,0,COUNTIF('Transect 4_imgsummary'!E14:I14,"NoIDINV")*100/P14)</f>
        <v>0</v>
      </c>
      <c r="CE14">
        <f>IF(P14=0,0,COUNTIF('Transect 4_imgsummary'!E14:I14,"OLV")*100/P14)</f>
        <v>0</v>
      </c>
      <c r="CF14">
        <f>IF(P14=0,0,COUNTIF('Transect 4_imgsummary'!E14:I14,"SC")*100/P14)</f>
        <v>0</v>
      </c>
      <c r="CG14">
        <f>IF(P14=0,0,COUNTIF('Transect 4_imgsummary'!E14:I14,"S")*100/P14)</f>
        <v>0</v>
      </c>
      <c r="CH14">
        <f>IF(P14=0,0,COUNTIF('Transect 4_imgsummary'!E14:I14,"TERPS")*100/P14)</f>
        <v>0</v>
      </c>
      <c r="CI14">
        <f>IF(P14=0,0,COUNTIF('Transect 4_imgsummary'!E14:I14,"Z")*100/P14)</f>
        <v>0</v>
      </c>
      <c r="CK14">
        <f>IF(P14=0,0,COUNTIF('Transect 4_imgsummary'!E14:I14,"ASP")*100/P14)</f>
        <v>0</v>
      </c>
      <c r="CL14">
        <f>IF(P14=0,0,COUNTIF('Transect 4_imgsummary'!E14:I14,"BG")*100/P14)</f>
        <v>0</v>
      </c>
      <c r="CM14">
        <f>IF(P14=0,0,COUNTIF('Transect 4_imgsummary'!E14:I14,"Bood")*100/P14)</f>
        <v>0</v>
      </c>
      <c r="CN14">
        <f>IF(P14=0,0,COUNTIF('Transect 4_imgsummary'!E14:I14,"BRYP")*100/P14)</f>
        <v>0</v>
      </c>
      <c r="CO14">
        <f>IF(P14=0,0,COUNTIF('Transect 4_imgsummary'!E14:I14,"CLP")*100/P14)</f>
        <v>0</v>
      </c>
      <c r="CP14">
        <f>IF(P14=0,0,COUNTIF('Transect 4_imgsummary'!E14:I14,"CHLDES")*100/P14)</f>
        <v>0</v>
      </c>
      <c r="CQ14">
        <f>IF(P14=0,0,COUNTIF('Transect 4_imgsummary'!E14:I14,"DYCTY")*100/P14)</f>
        <v>0</v>
      </c>
      <c r="CR14">
        <f>IF(P14=0,0,COUNTIF('Transect 4_imgsummary'!E14:I14,"DICT")*100/P14)</f>
        <v>0</v>
      </c>
      <c r="CS14">
        <f>IF(P14=0,0,COUNTIF('Transect 4_imgsummary'!E14:I14,"GLXU")*100/P14)</f>
        <v>0</v>
      </c>
      <c r="CT14">
        <f>IF(P14=0,0,COUNTIF('Transect 4_imgsummary'!E14:I14,"HALI")*100/P14)</f>
        <v>0</v>
      </c>
      <c r="CU14">
        <f>IF(P14=0,0,COUNTIF('Transect 4_imgsummary'!E14:I14,"LIAG")*100/P14)</f>
        <v>0</v>
      </c>
      <c r="CV14">
        <f>IF(P14=0,0,COUNTIF('Transect 4_imgsummary'!E14:I14,"LOBO")*100/P14)</f>
        <v>0</v>
      </c>
      <c r="CW14">
        <f>IF(P14=0,0,COUNTIF('Transect 4_imgsummary'!E14:I14,"MAST")*100/P14)</f>
        <v>0</v>
      </c>
      <c r="CX14">
        <f>IF(P14=0,0,COUNTIF('Transect 4_imgsummary'!E14:I14,"MICDTY")*100/P14)</f>
        <v>0</v>
      </c>
      <c r="CY14">
        <f>IF(P14=0,0,COUNTIF('Transect 4_imgsummary'!E14:I14,"NEOM")*100/P14)</f>
        <v>0</v>
      </c>
      <c r="CZ14">
        <f>IF(P14=0,0,COUNTIF('Transect 4_imgsummary'!E14:I14,"NOIDMAC")*100/P14)</f>
        <v>0</v>
      </c>
      <c r="DA14">
        <f>IF(P14=0,0,COUNTIF('Transect 4_imgsummary'!E14:I14,"PAD")*100/P14)</f>
        <v>0</v>
      </c>
      <c r="DB14">
        <f>IF(P14=0,0,COUNTIF('Transect 4_imgsummary'!E14:I14,"SARG")*100/P14)</f>
        <v>0</v>
      </c>
      <c r="DC14">
        <f>IF(P14=0,0,COUNTIF('Transect 4_imgsummary'!E14:I14,"SCHIZ")*100/P14)</f>
        <v>0</v>
      </c>
      <c r="DD14">
        <f>IF(P14=0,0,COUNTIF('Transect 4_imgsummary'!E14:I14,"TURB")*100/P14)</f>
        <v>0</v>
      </c>
      <c r="DE14">
        <f>IF(P14=0,0,COUNTIF('Transect 4_imgsummary'!E14:I14,"TYDM")*100/P14)</f>
        <v>0</v>
      </c>
      <c r="DG14">
        <f>IF(P14=0,0,COUNTIF('Transect 4_imgsummary'!E14:I14,"AMP")*100/P14)</f>
        <v>0</v>
      </c>
      <c r="DH14">
        <f>IF(P14=0,0,COUNTIF('Transect 4_imgsummary'!E14:I14,"BCA1")*100/P14)</f>
        <v>0</v>
      </c>
      <c r="DI14">
        <f>IF(P14=0,0,COUNTIF('Transect 4_imgsummary'!E14:I14,"JAN")*100/P14)</f>
        <v>0</v>
      </c>
      <c r="DK14" s="29">
        <f>IF(P14=0,0,COUNTIF('Transect 4_imgsummary'!E14:I14,"CCA1")*100/P14)</f>
        <v>60</v>
      </c>
      <c r="DM14">
        <f>IF(P14=0,0,COUNTIF('Transect 4_imgsummary'!E14:I14,"Sand")*100/P14)</f>
        <v>0</v>
      </c>
      <c r="DO14">
        <f>IF(P14=0,0,COUNTIF('Transect 4_imgsummary'!E14:I14,"FCA1")*100/P14)</f>
        <v>0</v>
      </c>
      <c r="DQ14">
        <f>IF(P14=0,0,COUNTIF('Transect 4_imgsummary'!E14:I14,"CHRYOBRN")*100/P14)</f>
        <v>0</v>
      </c>
      <c r="DS14" s="29">
        <f>IF(P14=0,0,COUNTIF('Transect 4_imgsummary'!E14:I14,"TURF")*100/P14)</f>
        <v>20</v>
      </c>
      <c r="DU14">
        <f>COUNTIF('Transect 4_imgsummary'!E14:I14,"Shadow")*100/5</f>
        <v>0</v>
      </c>
      <c r="DV14">
        <f>COUNTIF('Transect 4_imgsummary'!E14:I14,"Tape")*100/5</f>
        <v>0</v>
      </c>
      <c r="DW14">
        <f>COUNTIF('Transect 4_imgsummary'!E14:I14,"Wand")*100/5</f>
        <v>0</v>
      </c>
      <c r="DY14">
        <f>IF(P14=0,0,COUNTIF('Transect 4_imgsummary'!O14:S14,"BC")*100/P14)</f>
        <v>0</v>
      </c>
    </row>
    <row r="15" spans="1:129">
      <c r="A15">
        <v>13</v>
      </c>
      <c r="B15" t="s">
        <v>558</v>
      </c>
      <c r="F15" s="29">
        <f>IF(P15=0,0,COUNTIF('Transect 4_imgsummary'!J15:N15,"C")*100/P15)</f>
        <v>40</v>
      </c>
      <c r="G15">
        <f>IF(P15=0,0,COUNTIF('Transect 4_imgsummary'!J15:N15,"OI")*100/P15)</f>
        <v>0</v>
      </c>
      <c r="H15">
        <f>IF(P15=0,0,COUNTIF('Transect 4_imgsummary'!J15:N15,"MA")*100/P15)</f>
        <v>0</v>
      </c>
      <c r="I15">
        <f>IF(P15=0,0,COUNTIF('Transect 4_imgsummary'!J15:N15,"BCA")*100/P15)</f>
        <v>0</v>
      </c>
      <c r="J15" s="29">
        <f>IF(P15=0,0,COUNTIF('Transect 4_imgsummary'!J15:N15,"CCA")*100/P15)</f>
        <v>20</v>
      </c>
      <c r="K15">
        <f>IF(P15=0,0,COUNTIF('Transect 4_imgsummary'!J15:N15,"SD")*100/P15)</f>
        <v>0</v>
      </c>
      <c r="L15">
        <f>IF(P15=0,0,COUNTIF('Transect 4_imgsummary'!J15:N15,"FCA")*100/P15)</f>
        <v>0</v>
      </c>
      <c r="M15">
        <f>IF(P15=0,0,COUNTIF('Transect 4_imgsummary'!J15:N15,"CHRYS")*100/P15)</f>
        <v>0</v>
      </c>
      <c r="N15" s="29">
        <f>IF(P15=0,0,COUNTIF('Transect 4_imgsummary'!J15:N15,"T")*100/P15)</f>
        <v>40</v>
      </c>
      <c r="O15">
        <f>IF(P15=0,0,COUNTIF('Transect 4_imgsummary'!J15:N15,"TWS")*100/P15)</f>
        <v>0</v>
      </c>
      <c r="P15">
        <f>5-COUNTIF('Transect 4_imgsummary'!J15:N15,"TWS")</f>
        <v>5</v>
      </c>
      <c r="S15">
        <f>IF(P15=0,0,COUNTIF('Transect 4_imgsummary'!E15:I15,"ACAN")*100/P15)</f>
        <v>0</v>
      </c>
      <c r="T15">
        <f>IF(P15=0,0,COUNTIF('Transect 4_imgsummary'!E15:I15,"ACROP")*100/P15)</f>
        <v>0</v>
      </c>
      <c r="U15">
        <f>IF(P15=0,0,COUNTIF('Transect 4_imgsummary'!E15:I15,"ACROPARB")*100/P15)</f>
        <v>0</v>
      </c>
      <c r="V15">
        <f>IF(P15=0,0,COUNTIF('Transect 4_imgsummary'!E15:I15,"ACROST")*100/P15)</f>
        <v>0</v>
      </c>
      <c r="W15" s="29">
        <f>IF(P15=0,0,COUNTIF('Transect 4_imgsummary'!E15:I15,"ACROTBL")*100/P15)</f>
        <v>40</v>
      </c>
      <c r="X15">
        <f>IF(P15=0,0,COUNTIF('Transect 4_imgsummary'!E15:I15,"ASTRP")*100/P15)</f>
        <v>0</v>
      </c>
      <c r="Y15">
        <f>IF(P15=0,0,COUNTIF('Transect 4_imgsummary'!E15:I15,"CAUL")*100/P15)</f>
        <v>0</v>
      </c>
      <c r="Z15">
        <f>IF(P15=0,0,COUNTIF('Transect 4_imgsummary'!E15:I15,"COSC")*100/P15)</f>
        <v>0</v>
      </c>
      <c r="AA15">
        <f>IF(P15=0,0,COUNTIF('Transect 4_imgsummary'!E15:I15,"CTEN")*100/P15)</f>
        <v>0</v>
      </c>
      <c r="AB15">
        <f>IF(P15=0,0,COUNTIF('Transect 4_imgsummary'!E15:I15,"CYPH")*100/P15)</f>
        <v>0</v>
      </c>
      <c r="AC15">
        <f>IF(P15=0,0,COUNTIF('Transect 4_imgsummary'!E15:I15,"DIPLO")*100/P15)</f>
        <v>0</v>
      </c>
      <c r="AD15">
        <f>IF(P15=0,0,COUNTIF('Transect 4_imgsummary'!E15:I15,"ECHPO")*100/P15)</f>
        <v>0</v>
      </c>
      <c r="AE15">
        <f>IF(P15=0,0,COUNTIF('Transect 4_imgsummary'!E15:I15,"ECHPHY")*100/P15)</f>
        <v>0</v>
      </c>
      <c r="AF15">
        <f>IF(P15=0,0,COUNTIF('Transect 4_imgsummary'!E15:I15,"EUPH")*100/P15)</f>
        <v>0</v>
      </c>
      <c r="AG15">
        <f>IF(P15=0,0,COUNTIF('Transect 4_imgsummary'!E15:I15,"FAV")*100/P15)</f>
        <v>0</v>
      </c>
      <c r="AH15">
        <f>IF(P15=0,0,COUNTIF('Transect 4_imgsummary'!E15:I15,"FAVT")*100/P15)</f>
        <v>0</v>
      </c>
      <c r="AI15">
        <f>IF(P15=0,0,COUNTIF('Transect 4_imgsummary'!E15:I15,"FUNG")*100/P15)</f>
        <v>0</v>
      </c>
      <c r="AJ15">
        <f>IF(P15=0,0,COUNTIF('Transect 4_imgsummary'!E15:I15,"GAL")*100/P15)</f>
        <v>0</v>
      </c>
      <c r="AK15">
        <f>IF(P15=0,0,COUNTIF('Transect 4_imgsummary'!E15:I15,"GARD")*100/P15)</f>
        <v>0</v>
      </c>
      <c r="AL15">
        <f>IF(P15=0,0,COUNTIF('Transect 4_imgsummary'!E15:I15,"GON")*100/P15)</f>
        <v>0</v>
      </c>
      <c r="AM15">
        <f>IF(P15=0,0,COUNTIF('Transect 4_imgsummary'!E15:I15,"GONIO")*100/P15)</f>
        <v>0</v>
      </c>
      <c r="AN15">
        <f>IF(P15=0,0,COUNTIF('Transect 4_imgsummary'!E15:I15,"HELIO")*100/P15)</f>
        <v>0</v>
      </c>
      <c r="AO15">
        <f>IF(P15=0,0,COUNTIF('Transect 4_imgsummary'!E15:I15,"HERP")*100/P15)</f>
        <v>0</v>
      </c>
      <c r="AP15">
        <f>IF(P15=0,0,COUNTIF('Transect 4_imgsummary'!E15:I15,"HYD")*100/P15)</f>
        <v>0</v>
      </c>
      <c r="AQ15">
        <f>IF(P15=0,0,COUNTIF('Transect 4_imgsummary'!E15:I15,"ISOP")*100/P15)</f>
        <v>0</v>
      </c>
      <c r="AR15">
        <f>IF(P15=0,0,COUNTIF('Transect 4_imgsummary'!E15:I15,"LEPT")*100/P15)</f>
        <v>0</v>
      </c>
      <c r="AS15">
        <f>IF(P15=0,0,COUNTIF('Transect 4_imgsummary'!E15:I15,"LEPTOR")*100/P15)</f>
        <v>0</v>
      </c>
      <c r="AT15">
        <f>IF(P15=0,0,COUNTIF('Transect 4_imgsummary'!E15:I15,"LEPTOS")*100/P15)</f>
        <v>0</v>
      </c>
      <c r="AU15">
        <f>IF(P15=0,0,COUNTIF('Transect 4_imgsummary'!E15:I15,"LOBOPH")*100/P15)</f>
        <v>0</v>
      </c>
      <c r="AV15">
        <f>IF(P15=0,0,COUNTIF('Transect 4_imgsummary'!E15:I15,"MERU")*100/P15)</f>
        <v>0</v>
      </c>
      <c r="AW15">
        <f>IF(P15=0,0,COUNTIF('Transect 4_imgsummary'!E15:I15,"MILL")*100/P15)</f>
        <v>0</v>
      </c>
      <c r="AX15">
        <f>IF(P15=0,0,COUNTIF('Transect 4_imgsummary'!E15:I15,"MONT")*100/P15)</f>
        <v>0</v>
      </c>
      <c r="AY15">
        <f>IF(P15=0,0,COUNTIF('Transect 4_imgsummary'!E15:I15,"MONTI")*100/P15)</f>
        <v>0</v>
      </c>
      <c r="AZ15">
        <f>IF(P15=0,0,COUNTIF('Transect 4_imgsummary'!E15:I15,"MYCED")*100/P15)</f>
        <v>0</v>
      </c>
      <c r="BA15">
        <f>IF(P15=0,0,COUNTIF('Transect 4_imgsummary'!E15:I15,"OULO")*100/P15)</f>
        <v>0</v>
      </c>
      <c r="BB15">
        <f>IF(P15=0,0,COUNTIF('Transect 4_imgsummary'!E15:I15,"OXYP")*100/P15)</f>
        <v>0</v>
      </c>
      <c r="BC15">
        <f>IF(P15=0,0,COUNTIF('Transect 4_imgsummary'!E15:I15,"PLSIA")*100/P15)</f>
        <v>0</v>
      </c>
      <c r="BD15">
        <f>IF(P15=0,0,COUNTIF('Transect 4_imgsummary'!E15:I15,"PACHY")*100/P15)</f>
        <v>0</v>
      </c>
      <c r="BE15">
        <f>IF(P15=0,0,COUNTIF('Transect 4_imgsummary'!E15:I15,"PAV")*100/P15)</f>
        <v>0</v>
      </c>
      <c r="BF15">
        <f>IF(P15=0,0,COUNTIF('Transect 4_imgsummary'!E15:I15,"PECT")*100/P15)</f>
        <v>0</v>
      </c>
      <c r="BG15">
        <f>IF(P15=0,0,COUNTIF('Transect 4_imgsummary'!E15:I15,"PHYSO")*100/P15)</f>
        <v>0</v>
      </c>
      <c r="BH15">
        <f>IF(P15=0,0,COUNTIF('Transect 4_imgsummary'!E15:I15,"PLAT")*100/P15)</f>
        <v>0</v>
      </c>
      <c r="BI15">
        <f>IF(P15=0,0,COUNTIF('Transect 4_imgsummary'!E15:I15,"PLERO")*100/P15)</f>
        <v>0</v>
      </c>
      <c r="BJ15">
        <f>IF(P15=0,0,COUNTIF('Transect 4_imgsummary'!E15:I15,"POC")*100/P15)</f>
        <v>0</v>
      </c>
      <c r="BK15">
        <f>IF(P15=0,0,COUNTIF('Transect 4_imgsummary'!E15:I15,"POR")*100/P15)</f>
        <v>0</v>
      </c>
      <c r="BL15">
        <f>IF(P15=0,0,COUNTIF('Transect 4_imgsummary'!E15:I15,"PORCYL")*100/P15)</f>
        <v>0</v>
      </c>
      <c r="BM15">
        <f>IF(P15=0,0,COUNTIF('Transect 4_imgsummary'!E15:I15,"PORMAS")*100/P15)</f>
        <v>0</v>
      </c>
      <c r="BN15">
        <f>IF(P15=0,0,COUNTIF('Transect 4_imgsummary'!E15:I15,"PORRUS")*100/P15)</f>
        <v>0</v>
      </c>
      <c r="BO15">
        <f>IF(P15=0,0,COUNTIF('Transect 4_imgsummary'!E15:I15,"PSAM")*100/P15)</f>
        <v>0</v>
      </c>
      <c r="BP15">
        <f>IF(P15=0,0,COUNTIF('Transect 4_imgsummary'!E15:I15,"SANDO")*100/P15)</f>
        <v>0</v>
      </c>
      <c r="BQ15">
        <f>IF(P15=0,0,COUNTIF('Transect 4_imgsummary'!E15:I15,"SCAP")*100/P15)</f>
        <v>0</v>
      </c>
      <c r="BR15">
        <f>IF(P15=0,0,COUNTIF('Transect 4_imgsummary'!E15:I15,"SERIA")*100/P15)</f>
        <v>0</v>
      </c>
      <c r="BS15">
        <f>IF(P15=0,0,COUNTIF('Transect 4_imgsummary'!E15:I15,"STYLC")*100/P15)</f>
        <v>0</v>
      </c>
      <c r="BT15">
        <f>IF(P15=0,0,COUNTIF('Transect 4_imgsummary'!E15:I15,"STYLO")*100/P15)</f>
        <v>0</v>
      </c>
      <c r="BU15">
        <f>IF(P15=0,0,COUNTIF('Transect 4_imgsummary'!E15:I15,"SYMP")*100/P15)</f>
        <v>0</v>
      </c>
      <c r="BV15">
        <f>IF(P15=0,0,COUNTIF('Transect 4_imgsummary'!E15:I15,"TURBIN")*100/P15)</f>
        <v>0</v>
      </c>
      <c r="BX15">
        <f>IF(P15=0,0,COUNTIF('Transect 4_imgsummary'!E15:I15,"ANEM")*100/P15)</f>
        <v>0</v>
      </c>
      <c r="BY15">
        <f>IF(P15=0,0,COUNTIF('Transect 4_imgsummary'!E15:I15,"ASC")*100/P15)</f>
        <v>0</v>
      </c>
      <c r="BZ15">
        <f>IF(P15=0,0,COUNTIF('Transect 4_imgsummary'!E15:I15,"CUPS")*100/P15)</f>
        <v>0</v>
      </c>
      <c r="CA15">
        <f>IF(P15=0,0,COUNTIF('Transect 4_imgsummary'!E15:I15,"DISCO")*100/P15)</f>
        <v>0</v>
      </c>
      <c r="CB15">
        <f>IF(P15=0,0,COUNTIF('Transect 4_imgsummary'!E15:I15,"DYS")*100/P15)</f>
        <v>0</v>
      </c>
      <c r="CC15">
        <f>IF(P15=0,0,COUNTIF('Transect 4_imgsummary'!E15:I15,"G")*100/P15)</f>
        <v>0</v>
      </c>
      <c r="CD15">
        <f>IF(P15=0,0,COUNTIF('Transect 4_imgsummary'!E15:I15,"NoIDINV")*100/P15)</f>
        <v>0</v>
      </c>
      <c r="CE15">
        <f>IF(P15=0,0,COUNTIF('Transect 4_imgsummary'!E15:I15,"OLV")*100/P15)</f>
        <v>0</v>
      </c>
      <c r="CF15">
        <f>IF(P15=0,0,COUNTIF('Transect 4_imgsummary'!E15:I15,"SC")*100/P15)</f>
        <v>0</v>
      </c>
      <c r="CG15">
        <f>IF(P15=0,0,COUNTIF('Transect 4_imgsummary'!E15:I15,"S")*100/P15)</f>
        <v>0</v>
      </c>
      <c r="CH15">
        <f>IF(P15=0,0,COUNTIF('Transect 4_imgsummary'!E15:I15,"TERPS")*100/P15)</f>
        <v>0</v>
      </c>
      <c r="CI15">
        <f>IF(P15=0,0,COUNTIF('Transect 4_imgsummary'!E15:I15,"Z")*100/P15)</f>
        <v>0</v>
      </c>
      <c r="CK15">
        <f>IF(P15=0,0,COUNTIF('Transect 4_imgsummary'!E15:I15,"ASP")*100/P15)</f>
        <v>0</v>
      </c>
      <c r="CL15">
        <f>IF(P15=0,0,COUNTIF('Transect 4_imgsummary'!E15:I15,"BG")*100/P15)</f>
        <v>0</v>
      </c>
      <c r="CM15">
        <f>IF(P15=0,0,COUNTIF('Transect 4_imgsummary'!E15:I15,"Bood")*100/P15)</f>
        <v>0</v>
      </c>
      <c r="CN15">
        <f>IF(P15=0,0,COUNTIF('Transect 4_imgsummary'!E15:I15,"BRYP")*100/P15)</f>
        <v>0</v>
      </c>
      <c r="CO15">
        <f>IF(P15=0,0,COUNTIF('Transect 4_imgsummary'!E15:I15,"CLP")*100/P15)</f>
        <v>0</v>
      </c>
      <c r="CP15">
        <f>IF(P15=0,0,COUNTIF('Transect 4_imgsummary'!E15:I15,"CHLDES")*100/P15)</f>
        <v>0</v>
      </c>
      <c r="CQ15">
        <f>IF(P15=0,0,COUNTIF('Transect 4_imgsummary'!E15:I15,"DYCTY")*100/P15)</f>
        <v>0</v>
      </c>
      <c r="CR15">
        <f>IF(P15=0,0,COUNTIF('Transect 4_imgsummary'!E15:I15,"DICT")*100/P15)</f>
        <v>0</v>
      </c>
      <c r="CS15">
        <f>IF(P15=0,0,COUNTIF('Transect 4_imgsummary'!E15:I15,"GLXU")*100/P15)</f>
        <v>0</v>
      </c>
      <c r="CT15">
        <f>IF(P15=0,0,COUNTIF('Transect 4_imgsummary'!E15:I15,"HALI")*100/P15)</f>
        <v>0</v>
      </c>
      <c r="CU15">
        <f>IF(P15=0,0,COUNTIF('Transect 4_imgsummary'!E15:I15,"LIAG")*100/P15)</f>
        <v>0</v>
      </c>
      <c r="CV15">
        <f>IF(P15=0,0,COUNTIF('Transect 4_imgsummary'!E15:I15,"LOBO")*100/P15)</f>
        <v>0</v>
      </c>
      <c r="CW15">
        <f>IF(P15=0,0,COUNTIF('Transect 4_imgsummary'!E15:I15,"MAST")*100/P15)</f>
        <v>0</v>
      </c>
      <c r="CX15">
        <f>IF(P15=0,0,COUNTIF('Transect 4_imgsummary'!E15:I15,"MICDTY")*100/P15)</f>
        <v>0</v>
      </c>
      <c r="CY15">
        <f>IF(P15=0,0,COUNTIF('Transect 4_imgsummary'!E15:I15,"NEOM")*100/P15)</f>
        <v>0</v>
      </c>
      <c r="CZ15">
        <f>IF(P15=0,0,COUNTIF('Transect 4_imgsummary'!E15:I15,"NOIDMAC")*100/P15)</f>
        <v>0</v>
      </c>
      <c r="DA15">
        <f>IF(P15=0,0,COUNTIF('Transect 4_imgsummary'!E15:I15,"PAD")*100/P15)</f>
        <v>0</v>
      </c>
      <c r="DB15">
        <f>IF(P15=0,0,COUNTIF('Transect 4_imgsummary'!E15:I15,"SARG")*100/P15)</f>
        <v>0</v>
      </c>
      <c r="DC15">
        <f>IF(P15=0,0,COUNTIF('Transect 4_imgsummary'!E15:I15,"SCHIZ")*100/P15)</f>
        <v>0</v>
      </c>
      <c r="DD15">
        <f>IF(P15=0,0,COUNTIF('Transect 4_imgsummary'!E15:I15,"TURB")*100/P15)</f>
        <v>0</v>
      </c>
      <c r="DE15">
        <f>IF(P15=0,0,COUNTIF('Transect 4_imgsummary'!E15:I15,"TYDM")*100/P15)</f>
        <v>0</v>
      </c>
      <c r="DG15">
        <f>IF(P15=0,0,COUNTIF('Transect 4_imgsummary'!E15:I15,"AMP")*100/P15)</f>
        <v>0</v>
      </c>
      <c r="DH15">
        <f>IF(P15=0,0,COUNTIF('Transect 4_imgsummary'!E15:I15,"BCA1")*100/P15)</f>
        <v>0</v>
      </c>
      <c r="DI15">
        <f>IF(P15=0,0,COUNTIF('Transect 4_imgsummary'!E15:I15,"JAN")*100/P15)</f>
        <v>0</v>
      </c>
      <c r="DK15" s="29">
        <f>IF(P15=0,0,COUNTIF('Transect 4_imgsummary'!E15:I15,"CCA1")*100/P15)</f>
        <v>20</v>
      </c>
      <c r="DM15">
        <f>IF(P15=0,0,COUNTIF('Transect 4_imgsummary'!E15:I15,"Sand")*100/P15)</f>
        <v>0</v>
      </c>
      <c r="DO15">
        <f>IF(P15=0,0,COUNTIF('Transect 4_imgsummary'!E15:I15,"FCA1")*100/P15)</f>
        <v>0</v>
      </c>
      <c r="DQ15">
        <f>IF(P15=0,0,COUNTIF('Transect 4_imgsummary'!E15:I15,"CHRYOBRN")*100/P15)</f>
        <v>0</v>
      </c>
      <c r="DS15" s="29">
        <f>IF(P15=0,0,COUNTIF('Transect 4_imgsummary'!E15:I15,"TURF")*100/P15)</f>
        <v>40</v>
      </c>
      <c r="DU15">
        <f>COUNTIF('Transect 4_imgsummary'!E15:I15,"Shadow")*100/5</f>
        <v>0</v>
      </c>
      <c r="DV15">
        <f>COUNTIF('Transect 4_imgsummary'!E15:I15,"Tape")*100/5</f>
        <v>0</v>
      </c>
      <c r="DW15">
        <f>COUNTIF('Transect 4_imgsummary'!E15:I15,"Wand")*100/5</f>
        <v>0</v>
      </c>
      <c r="DY15">
        <f>IF(P15=0,0,COUNTIF('Transect 4_imgsummary'!O15:S15,"BC")*100/P15)</f>
        <v>0</v>
      </c>
    </row>
    <row r="16" spans="1:129">
      <c r="A16">
        <v>14</v>
      </c>
      <c r="B16" t="s">
        <v>559</v>
      </c>
      <c r="F16" s="29">
        <f>IF(P16=0,0,COUNTIF('Transect 4_imgsummary'!J16:N16,"C")*100/P16)</f>
        <v>40</v>
      </c>
      <c r="G16">
        <f>IF(P16=0,0,COUNTIF('Transect 4_imgsummary'!J16:N16,"OI")*100/P16)</f>
        <v>0</v>
      </c>
      <c r="H16">
        <f>IF(P16=0,0,COUNTIF('Transect 4_imgsummary'!J16:N16,"MA")*100/P16)</f>
        <v>0</v>
      </c>
      <c r="I16">
        <f>IF(P16=0,0,COUNTIF('Transect 4_imgsummary'!J16:N16,"BCA")*100/P16)</f>
        <v>0</v>
      </c>
      <c r="J16" s="29">
        <f>IF(P16=0,0,COUNTIF('Transect 4_imgsummary'!J16:N16,"CCA")*100/P16)</f>
        <v>20</v>
      </c>
      <c r="K16">
        <f>IF(P16=0,0,COUNTIF('Transect 4_imgsummary'!J16:N16,"SD")*100/P16)</f>
        <v>0</v>
      </c>
      <c r="L16" s="29">
        <f>IF(P16=0,0,COUNTIF('Transect 4_imgsummary'!J16:N16,"FCA")*100/P16)</f>
        <v>20</v>
      </c>
      <c r="M16">
        <f>IF(P16=0,0,COUNTIF('Transect 4_imgsummary'!J16:N16,"CHRYS")*100/P16)</f>
        <v>0</v>
      </c>
      <c r="N16" s="29">
        <f>IF(P16=0,0,COUNTIF('Transect 4_imgsummary'!J16:N16,"T")*100/P16)</f>
        <v>20</v>
      </c>
      <c r="O16">
        <f>IF(P16=0,0,COUNTIF('Transect 4_imgsummary'!J16:N16,"TWS")*100/P16)</f>
        <v>0</v>
      </c>
      <c r="P16">
        <f>5-COUNTIF('Transect 4_imgsummary'!J16:N16,"TWS")</f>
        <v>5</v>
      </c>
      <c r="S16">
        <f>IF(P16=0,0,COUNTIF('Transect 4_imgsummary'!E16:I16,"ACAN")*100/P16)</f>
        <v>0</v>
      </c>
      <c r="T16">
        <f>IF(P16=0,0,COUNTIF('Transect 4_imgsummary'!E16:I16,"ACROP")*100/P16)</f>
        <v>0</v>
      </c>
      <c r="U16">
        <f>IF(P16=0,0,COUNTIF('Transect 4_imgsummary'!E16:I16,"ACROPARB")*100/P16)</f>
        <v>0</v>
      </c>
      <c r="V16">
        <f>IF(P16=0,0,COUNTIF('Transect 4_imgsummary'!E16:I16,"ACROST")*100/P16)</f>
        <v>0</v>
      </c>
      <c r="W16" s="29">
        <f>IF(P16=0,0,COUNTIF('Transect 4_imgsummary'!E16:I16,"ACROTBL")*100/P16)</f>
        <v>40</v>
      </c>
      <c r="X16">
        <f>IF(P16=0,0,COUNTIF('Transect 4_imgsummary'!E16:I16,"ASTRP")*100/P16)</f>
        <v>0</v>
      </c>
      <c r="Y16">
        <f>IF(P16=0,0,COUNTIF('Transect 4_imgsummary'!E16:I16,"CAUL")*100/P16)</f>
        <v>0</v>
      </c>
      <c r="Z16">
        <f>IF(P16=0,0,COUNTIF('Transect 4_imgsummary'!E16:I16,"COSC")*100/P16)</f>
        <v>0</v>
      </c>
      <c r="AA16">
        <f>IF(P16=0,0,COUNTIF('Transect 4_imgsummary'!E16:I16,"CTEN")*100/P16)</f>
        <v>0</v>
      </c>
      <c r="AB16">
        <f>IF(P16=0,0,COUNTIF('Transect 4_imgsummary'!E16:I16,"CYPH")*100/P16)</f>
        <v>0</v>
      </c>
      <c r="AC16">
        <f>IF(P16=0,0,COUNTIF('Transect 4_imgsummary'!E16:I16,"DIPLO")*100/P16)</f>
        <v>0</v>
      </c>
      <c r="AD16">
        <f>IF(P16=0,0,COUNTIF('Transect 4_imgsummary'!E16:I16,"ECHPO")*100/P16)</f>
        <v>0</v>
      </c>
      <c r="AE16">
        <f>IF(P16=0,0,COUNTIF('Transect 4_imgsummary'!E16:I16,"ECHPHY")*100/P16)</f>
        <v>0</v>
      </c>
      <c r="AF16">
        <f>IF(P16=0,0,COUNTIF('Transect 4_imgsummary'!E16:I16,"EUPH")*100/P16)</f>
        <v>0</v>
      </c>
      <c r="AG16">
        <f>IF(P16=0,0,COUNTIF('Transect 4_imgsummary'!E16:I16,"FAV")*100/P16)</f>
        <v>0</v>
      </c>
      <c r="AH16">
        <f>IF(P16=0,0,COUNTIF('Transect 4_imgsummary'!E16:I16,"FAVT")*100/P16)</f>
        <v>0</v>
      </c>
      <c r="AI16">
        <f>IF(P16=0,0,COUNTIF('Transect 4_imgsummary'!E16:I16,"FUNG")*100/P16)</f>
        <v>0</v>
      </c>
      <c r="AJ16">
        <f>IF(P16=0,0,COUNTIF('Transect 4_imgsummary'!E16:I16,"GAL")*100/P16)</f>
        <v>0</v>
      </c>
      <c r="AK16">
        <f>IF(P16=0,0,COUNTIF('Transect 4_imgsummary'!E16:I16,"GARD")*100/P16)</f>
        <v>0</v>
      </c>
      <c r="AL16">
        <f>IF(P16=0,0,COUNTIF('Transect 4_imgsummary'!E16:I16,"GON")*100/P16)</f>
        <v>0</v>
      </c>
      <c r="AM16">
        <f>IF(P16=0,0,COUNTIF('Transect 4_imgsummary'!E16:I16,"GONIO")*100/P16)</f>
        <v>0</v>
      </c>
      <c r="AN16">
        <f>IF(P16=0,0,COUNTIF('Transect 4_imgsummary'!E16:I16,"HELIO")*100/P16)</f>
        <v>0</v>
      </c>
      <c r="AO16">
        <f>IF(P16=0,0,COUNTIF('Transect 4_imgsummary'!E16:I16,"HERP")*100/P16)</f>
        <v>0</v>
      </c>
      <c r="AP16">
        <f>IF(P16=0,0,COUNTIF('Transect 4_imgsummary'!E16:I16,"HYD")*100/P16)</f>
        <v>0</v>
      </c>
      <c r="AQ16">
        <f>IF(P16=0,0,COUNTIF('Transect 4_imgsummary'!E16:I16,"ISOP")*100/P16)</f>
        <v>0</v>
      </c>
      <c r="AR16">
        <f>IF(P16=0,0,COUNTIF('Transect 4_imgsummary'!E16:I16,"LEPT")*100/P16)</f>
        <v>0</v>
      </c>
      <c r="AS16">
        <f>IF(P16=0,0,COUNTIF('Transect 4_imgsummary'!E16:I16,"LEPTOR")*100/P16)</f>
        <v>0</v>
      </c>
      <c r="AT16">
        <f>IF(P16=0,0,COUNTIF('Transect 4_imgsummary'!E16:I16,"LEPTOS")*100/P16)</f>
        <v>0</v>
      </c>
      <c r="AU16">
        <f>IF(P16=0,0,COUNTIF('Transect 4_imgsummary'!E16:I16,"LOBOPH")*100/P16)</f>
        <v>0</v>
      </c>
      <c r="AV16">
        <f>IF(P16=0,0,COUNTIF('Transect 4_imgsummary'!E16:I16,"MERU")*100/P16)</f>
        <v>0</v>
      </c>
      <c r="AW16">
        <f>IF(P16=0,0,COUNTIF('Transect 4_imgsummary'!E16:I16,"MILL")*100/P16)</f>
        <v>0</v>
      </c>
      <c r="AX16">
        <f>IF(P16=0,0,COUNTIF('Transect 4_imgsummary'!E16:I16,"MONT")*100/P16)</f>
        <v>0</v>
      </c>
      <c r="AY16">
        <f>IF(P16=0,0,COUNTIF('Transect 4_imgsummary'!E16:I16,"MONTI")*100/P16)</f>
        <v>0</v>
      </c>
      <c r="AZ16">
        <f>IF(P16=0,0,COUNTIF('Transect 4_imgsummary'!E16:I16,"MYCED")*100/P16)</f>
        <v>0</v>
      </c>
      <c r="BA16">
        <f>IF(P16=0,0,COUNTIF('Transect 4_imgsummary'!E16:I16,"OULO")*100/P16)</f>
        <v>0</v>
      </c>
      <c r="BB16">
        <f>IF(P16=0,0,COUNTIF('Transect 4_imgsummary'!E16:I16,"OXYP")*100/P16)</f>
        <v>0</v>
      </c>
      <c r="BC16">
        <f>IF(P16=0,0,COUNTIF('Transect 4_imgsummary'!E16:I16,"PLSIA")*100/P16)</f>
        <v>0</v>
      </c>
      <c r="BD16">
        <f>IF(P16=0,0,COUNTIF('Transect 4_imgsummary'!E16:I16,"PACHY")*100/P16)</f>
        <v>0</v>
      </c>
      <c r="BE16">
        <f>IF(P16=0,0,COUNTIF('Transect 4_imgsummary'!E16:I16,"PAV")*100/P16)</f>
        <v>0</v>
      </c>
      <c r="BF16">
        <f>IF(P16=0,0,COUNTIF('Transect 4_imgsummary'!E16:I16,"PECT")*100/P16)</f>
        <v>0</v>
      </c>
      <c r="BG16">
        <f>IF(P16=0,0,COUNTIF('Transect 4_imgsummary'!E16:I16,"PHYSO")*100/P16)</f>
        <v>0</v>
      </c>
      <c r="BH16">
        <f>IF(P16=0,0,COUNTIF('Transect 4_imgsummary'!E16:I16,"PLAT")*100/P16)</f>
        <v>0</v>
      </c>
      <c r="BI16">
        <f>IF(P16=0,0,COUNTIF('Transect 4_imgsummary'!E16:I16,"PLERO")*100/P16)</f>
        <v>0</v>
      </c>
      <c r="BJ16">
        <f>IF(P16=0,0,COUNTIF('Transect 4_imgsummary'!E16:I16,"POC")*100/P16)</f>
        <v>0</v>
      </c>
      <c r="BK16">
        <f>IF(P16=0,0,COUNTIF('Transect 4_imgsummary'!E16:I16,"POR")*100/P16)</f>
        <v>0</v>
      </c>
      <c r="BL16">
        <f>IF(P16=0,0,COUNTIF('Transect 4_imgsummary'!E16:I16,"PORCYL")*100/P16)</f>
        <v>0</v>
      </c>
      <c r="BM16">
        <f>IF(P16=0,0,COUNTIF('Transect 4_imgsummary'!E16:I16,"PORMAS")*100/P16)</f>
        <v>0</v>
      </c>
      <c r="BN16">
        <f>IF(P16=0,0,COUNTIF('Transect 4_imgsummary'!E16:I16,"PORRUS")*100/P16)</f>
        <v>0</v>
      </c>
      <c r="BO16">
        <f>IF(P16=0,0,COUNTIF('Transect 4_imgsummary'!E16:I16,"PSAM")*100/P16)</f>
        <v>0</v>
      </c>
      <c r="BP16">
        <f>IF(P16=0,0,COUNTIF('Transect 4_imgsummary'!E16:I16,"SANDO")*100/P16)</f>
        <v>0</v>
      </c>
      <c r="BQ16">
        <f>IF(P16=0,0,COUNTIF('Transect 4_imgsummary'!E16:I16,"SCAP")*100/P16)</f>
        <v>0</v>
      </c>
      <c r="BR16">
        <f>IF(P16=0,0,COUNTIF('Transect 4_imgsummary'!E16:I16,"SERIA")*100/P16)</f>
        <v>0</v>
      </c>
      <c r="BS16">
        <f>IF(P16=0,0,COUNTIF('Transect 4_imgsummary'!E16:I16,"STYLC")*100/P16)</f>
        <v>0</v>
      </c>
      <c r="BT16">
        <f>IF(P16=0,0,COUNTIF('Transect 4_imgsummary'!E16:I16,"STYLO")*100/P16)</f>
        <v>0</v>
      </c>
      <c r="BU16">
        <f>IF(P16=0,0,COUNTIF('Transect 4_imgsummary'!E16:I16,"SYMP")*100/P16)</f>
        <v>0</v>
      </c>
      <c r="BV16">
        <f>IF(P16=0,0,COUNTIF('Transect 4_imgsummary'!E16:I16,"TURBIN")*100/P16)</f>
        <v>0</v>
      </c>
      <c r="BX16">
        <f>IF(P16=0,0,COUNTIF('Transect 4_imgsummary'!E16:I16,"ANEM")*100/P16)</f>
        <v>0</v>
      </c>
      <c r="BY16">
        <f>IF(P16=0,0,COUNTIF('Transect 4_imgsummary'!E16:I16,"ASC")*100/P16)</f>
        <v>0</v>
      </c>
      <c r="BZ16">
        <f>IF(P16=0,0,COUNTIF('Transect 4_imgsummary'!E16:I16,"CUPS")*100/P16)</f>
        <v>0</v>
      </c>
      <c r="CA16">
        <f>IF(P16=0,0,COUNTIF('Transect 4_imgsummary'!E16:I16,"DISCO")*100/P16)</f>
        <v>0</v>
      </c>
      <c r="CB16">
        <f>IF(P16=0,0,COUNTIF('Transect 4_imgsummary'!E16:I16,"DYS")*100/P16)</f>
        <v>0</v>
      </c>
      <c r="CC16">
        <f>IF(P16=0,0,COUNTIF('Transect 4_imgsummary'!E16:I16,"G")*100/P16)</f>
        <v>0</v>
      </c>
      <c r="CD16">
        <f>IF(P16=0,0,COUNTIF('Transect 4_imgsummary'!E16:I16,"NoIDINV")*100/P16)</f>
        <v>0</v>
      </c>
      <c r="CE16">
        <f>IF(P16=0,0,COUNTIF('Transect 4_imgsummary'!E16:I16,"OLV")*100/P16)</f>
        <v>0</v>
      </c>
      <c r="CF16">
        <f>IF(P16=0,0,COUNTIF('Transect 4_imgsummary'!E16:I16,"SC")*100/P16)</f>
        <v>0</v>
      </c>
      <c r="CG16">
        <f>IF(P16=0,0,COUNTIF('Transect 4_imgsummary'!E16:I16,"S")*100/P16)</f>
        <v>0</v>
      </c>
      <c r="CH16">
        <f>IF(P16=0,0,COUNTIF('Transect 4_imgsummary'!E16:I16,"TERPS")*100/P16)</f>
        <v>0</v>
      </c>
      <c r="CI16">
        <f>IF(P16=0,0,COUNTIF('Transect 4_imgsummary'!E16:I16,"Z")*100/P16)</f>
        <v>0</v>
      </c>
      <c r="CK16">
        <f>IF(P16=0,0,COUNTIF('Transect 4_imgsummary'!E16:I16,"ASP")*100/P16)</f>
        <v>0</v>
      </c>
      <c r="CL16">
        <f>IF(P16=0,0,COUNTIF('Transect 4_imgsummary'!E16:I16,"BG")*100/P16)</f>
        <v>0</v>
      </c>
      <c r="CM16">
        <f>IF(P16=0,0,COUNTIF('Transect 4_imgsummary'!E16:I16,"Bood")*100/P16)</f>
        <v>0</v>
      </c>
      <c r="CN16">
        <f>IF(P16=0,0,COUNTIF('Transect 4_imgsummary'!E16:I16,"BRYP")*100/P16)</f>
        <v>0</v>
      </c>
      <c r="CO16">
        <f>IF(P16=0,0,COUNTIF('Transect 4_imgsummary'!E16:I16,"CLP")*100/P16)</f>
        <v>0</v>
      </c>
      <c r="CP16">
        <f>IF(P16=0,0,COUNTIF('Transect 4_imgsummary'!E16:I16,"CHLDES")*100/P16)</f>
        <v>0</v>
      </c>
      <c r="CQ16">
        <f>IF(P16=0,0,COUNTIF('Transect 4_imgsummary'!E16:I16,"DYCTY")*100/P16)</f>
        <v>0</v>
      </c>
      <c r="CR16">
        <f>IF(P16=0,0,COUNTIF('Transect 4_imgsummary'!E16:I16,"DICT")*100/P16)</f>
        <v>0</v>
      </c>
      <c r="CS16">
        <f>IF(P16=0,0,COUNTIF('Transect 4_imgsummary'!E16:I16,"GLXU")*100/P16)</f>
        <v>0</v>
      </c>
      <c r="CT16">
        <f>IF(P16=0,0,COUNTIF('Transect 4_imgsummary'!E16:I16,"HALI")*100/P16)</f>
        <v>0</v>
      </c>
      <c r="CU16">
        <f>IF(P16=0,0,COUNTIF('Transect 4_imgsummary'!E16:I16,"LIAG")*100/P16)</f>
        <v>0</v>
      </c>
      <c r="CV16">
        <f>IF(P16=0,0,COUNTIF('Transect 4_imgsummary'!E16:I16,"LOBO")*100/P16)</f>
        <v>0</v>
      </c>
      <c r="CW16">
        <f>IF(P16=0,0,COUNTIF('Transect 4_imgsummary'!E16:I16,"MAST")*100/P16)</f>
        <v>0</v>
      </c>
      <c r="CX16">
        <f>IF(P16=0,0,COUNTIF('Transect 4_imgsummary'!E16:I16,"MICDTY")*100/P16)</f>
        <v>0</v>
      </c>
      <c r="CY16">
        <f>IF(P16=0,0,COUNTIF('Transect 4_imgsummary'!E16:I16,"NEOM")*100/P16)</f>
        <v>0</v>
      </c>
      <c r="CZ16">
        <f>IF(P16=0,0,COUNTIF('Transect 4_imgsummary'!E16:I16,"NOIDMAC")*100/P16)</f>
        <v>0</v>
      </c>
      <c r="DA16">
        <f>IF(P16=0,0,COUNTIF('Transect 4_imgsummary'!E16:I16,"PAD")*100/P16)</f>
        <v>0</v>
      </c>
      <c r="DB16">
        <f>IF(P16=0,0,COUNTIF('Transect 4_imgsummary'!E16:I16,"SARG")*100/P16)</f>
        <v>0</v>
      </c>
      <c r="DC16">
        <f>IF(P16=0,0,COUNTIF('Transect 4_imgsummary'!E16:I16,"SCHIZ")*100/P16)</f>
        <v>0</v>
      </c>
      <c r="DD16">
        <f>IF(P16=0,0,COUNTIF('Transect 4_imgsummary'!E16:I16,"TURB")*100/P16)</f>
        <v>0</v>
      </c>
      <c r="DE16">
        <f>IF(P16=0,0,COUNTIF('Transect 4_imgsummary'!E16:I16,"TYDM")*100/P16)</f>
        <v>0</v>
      </c>
      <c r="DG16">
        <f>IF(P16=0,0,COUNTIF('Transect 4_imgsummary'!E16:I16,"AMP")*100/P16)</f>
        <v>0</v>
      </c>
      <c r="DH16">
        <f>IF(P16=0,0,COUNTIF('Transect 4_imgsummary'!E16:I16,"BCA1")*100/P16)</f>
        <v>0</v>
      </c>
      <c r="DI16">
        <f>IF(P16=0,0,COUNTIF('Transect 4_imgsummary'!E16:I16,"JAN")*100/P16)</f>
        <v>0</v>
      </c>
      <c r="DK16" s="29">
        <f>IF(P16=0,0,COUNTIF('Transect 4_imgsummary'!E16:I16,"CCA1")*100/P16)</f>
        <v>20</v>
      </c>
      <c r="DM16">
        <f>IF(P16=0,0,COUNTIF('Transect 4_imgsummary'!E16:I16,"Sand")*100/P16)</f>
        <v>0</v>
      </c>
      <c r="DO16" s="29">
        <f>IF(P16=0,0,COUNTIF('Transect 4_imgsummary'!E16:I16,"FCA1")*100/P16)</f>
        <v>20</v>
      </c>
      <c r="DQ16">
        <f>IF(P16=0,0,COUNTIF('Transect 4_imgsummary'!E16:I16,"CHRYOBRN")*100/P16)</f>
        <v>0</v>
      </c>
      <c r="DS16" s="29">
        <f>IF(P16=0,0,COUNTIF('Transect 4_imgsummary'!E16:I16,"TURF")*100/P16)</f>
        <v>20</v>
      </c>
      <c r="DU16">
        <f>COUNTIF('Transect 4_imgsummary'!E16:I16,"Shadow")*100/5</f>
        <v>0</v>
      </c>
      <c r="DV16">
        <f>COUNTIF('Transect 4_imgsummary'!E16:I16,"Tape")*100/5</f>
        <v>0</v>
      </c>
      <c r="DW16">
        <f>COUNTIF('Transect 4_imgsummary'!E16:I16,"Wand")*100/5</f>
        <v>0</v>
      </c>
      <c r="DY16">
        <f>IF(P16=0,0,COUNTIF('Transect 4_imgsummary'!O16:S16,"BC")*100/P16)</f>
        <v>0</v>
      </c>
    </row>
    <row r="17" spans="1:129">
      <c r="A17">
        <v>15</v>
      </c>
      <c r="B17" t="s">
        <v>560</v>
      </c>
      <c r="F17" s="29">
        <f>IF(P17=0,0,COUNTIF('Transect 4_imgsummary'!J17:N17,"C")*100/P17)</f>
        <v>60</v>
      </c>
      <c r="G17">
        <f>IF(P17=0,0,COUNTIF('Transect 4_imgsummary'!J17:N17,"OI")*100/P17)</f>
        <v>0</v>
      </c>
      <c r="H17">
        <f>IF(P17=0,0,COUNTIF('Transect 4_imgsummary'!J17:N17,"MA")*100/P17)</f>
        <v>0</v>
      </c>
      <c r="I17">
        <f>IF(P17=0,0,COUNTIF('Transect 4_imgsummary'!J17:N17,"BCA")*100/P17)</f>
        <v>0</v>
      </c>
      <c r="J17">
        <f>IF(P17=0,0,COUNTIF('Transect 4_imgsummary'!J17:N17,"CCA")*100/P17)</f>
        <v>0</v>
      </c>
      <c r="K17">
        <f>IF(P17=0,0,COUNTIF('Transect 4_imgsummary'!J17:N17,"SD")*100/P17)</f>
        <v>0</v>
      </c>
      <c r="L17">
        <f>IF(P17=0,0,COUNTIF('Transect 4_imgsummary'!J17:N17,"FCA")*100/P17)</f>
        <v>0</v>
      </c>
      <c r="M17">
        <f>IF(P17=0,0,COUNTIF('Transect 4_imgsummary'!J17:N17,"CHRYS")*100/P17)</f>
        <v>0</v>
      </c>
      <c r="N17" s="29">
        <f>IF(P17=0,0,COUNTIF('Transect 4_imgsummary'!J17:N17,"T")*100/P17)</f>
        <v>40</v>
      </c>
      <c r="O17">
        <f>IF(P17=0,0,COUNTIF('Transect 4_imgsummary'!J17:N17,"TWS")*100/P17)</f>
        <v>0</v>
      </c>
      <c r="P17">
        <f>5-COUNTIF('Transect 4_imgsummary'!J17:N17,"TWS")</f>
        <v>5</v>
      </c>
      <c r="S17">
        <f>IF(P17=0,0,COUNTIF('Transect 4_imgsummary'!E17:I17,"ACAN")*100/P17)</f>
        <v>0</v>
      </c>
      <c r="T17">
        <f>IF(P17=0,0,COUNTIF('Transect 4_imgsummary'!E17:I17,"ACROP")*100/P17)</f>
        <v>0</v>
      </c>
      <c r="U17">
        <f>IF(P17=0,0,COUNTIF('Transect 4_imgsummary'!E17:I17,"ACROPARB")*100/P17)</f>
        <v>0</v>
      </c>
      <c r="V17">
        <f>IF(P17=0,0,COUNTIF('Transect 4_imgsummary'!E17:I17,"ACROST")*100/P17)</f>
        <v>0</v>
      </c>
      <c r="W17" s="29">
        <f>IF(P17=0,0,COUNTIF('Transect 4_imgsummary'!E17:I17,"ACROTBL")*100/P17)</f>
        <v>40</v>
      </c>
      <c r="X17">
        <f>IF(P17=0,0,COUNTIF('Transect 4_imgsummary'!E17:I17,"ASTRP")*100/P17)</f>
        <v>0</v>
      </c>
      <c r="Y17">
        <f>IF(P17=0,0,COUNTIF('Transect 4_imgsummary'!E17:I17,"CAUL")*100/P17)</f>
        <v>0</v>
      </c>
      <c r="Z17">
        <f>IF(P17=0,0,COUNTIF('Transect 4_imgsummary'!E17:I17,"COSC")*100/P17)</f>
        <v>0</v>
      </c>
      <c r="AA17">
        <f>IF(P17=0,0,COUNTIF('Transect 4_imgsummary'!E17:I17,"CTEN")*100/P17)</f>
        <v>0</v>
      </c>
      <c r="AB17">
        <f>IF(P17=0,0,COUNTIF('Transect 4_imgsummary'!E17:I17,"CYPH")*100/P17)</f>
        <v>0</v>
      </c>
      <c r="AC17">
        <f>IF(P17=0,0,COUNTIF('Transect 4_imgsummary'!E17:I17,"DIPLO")*100/P17)</f>
        <v>0</v>
      </c>
      <c r="AD17">
        <f>IF(P17=0,0,COUNTIF('Transect 4_imgsummary'!E17:I17,"ECHPO")*100/P17)</f>
        <v>0</v>
      </c>
      <c r="AE17">
        <f>IF(P17=0,0,COUNTIF('Transect 4_imgsummary'!E17:I17,"ECHPHY")*100/P17)</f>
        <v>0</v>
      </c>
      <c r="AF17">
        <f>IF(P17=0,0,COUNTIF('Transect 4_imgsummary'!E17:I17,"EUPH")*100/P17)</f>
        <v>0</v>
      </c>
      <c r="AG17">
        <f>IF(P17=0,0,COUNTIF('Transect 4_imgsummary'!E17:I17,"FAV")*100/P17)</f>
        <v>0</v>
      </c>
      <c r="AH17">
        <f>IF(P17=0,0,COUNTIF('Transect 4_imgsummary'!E17:I17,"FAVT")*100/P17)</f>
        <v>0</v>
      </c>
      <c r="AI17">
        <f>IF(P17=0,0,COUNTIF('Transect 4_imgsummary'!E17:I17,"FUNG")*100/P17)</f>
        <v>0</v>
      </c>
      <c r="AJ17">
        <f>IF(P17=0,0,COUNTIF('Transect 4_imgsummary'!E17:I17,"GAL")*100/P17)</f>
        <v>0</v>
      </c>
      <c r="AK17">
        <f>IF(P17=0,0,COUNTIF('Transect 4_imgsummary'!E17:I17,"GARD")*100/P17)</f>
        <v>0</v>
      </c>
      <c r="AL17">
        <f>IF(P17=0,0,COUNTIF('Transect 4_imgsummary'!E17:I17,"GON")*100/P17)</f>
        <v>0</v>
      </c>
      <c r="AM17">
        <f>IF(P17=0,0,COUNTIF('Transect 4_imgsummary'!E17:I17,"GONIO")*100/P17)</f>
        <v>0</v>
      </c>
      <c r="AN17">
        <f>IF(P17=0,0,COUNTIF('Transect 4_imgsummary'!E17:I17,"HELIO")*100/P17)</f>
        <v>0</v>
      </c>
      <c r="AO17">
        <f>IF(P17=0,0,COUNTIF('Transect 4_imgsummary'!E17:I17,"HERP")*100/P17)</f>
        <v>0</v>
      </c>
      <c r="AP17">
        <f>IF(P17=0,0,COUNTIF('Transect 4_imgsummary'!E17:I17,"HYD")*100/P17)</f>
        <v>0</v>
      </c>
      <c r="AQ17">
        <f>IF(P17=0,0,COUNTIF('Transect 4_imgsummary'!E17:I17,"ISOP")*100/P17)</f>
        <v>0</v>
      </c>
      <c r="AR17">
        <f>IF(P17=0,0,COUNTIF('Transect 4_imgsummary'!E17:I17,"LEPT")*100/P17)</f>
        <v>0</v>
      </c>
      <c r="AS17" s="29">
        <f>IF(P17=0,0,COUNTIF('Transect 4_imgsummary'!E17:I17,"LEPTOR")*100/P17)</f>
        <v>20</v>
      </c>
      <c r="AT17">
        <f>IF(P17=0,0,COUNTIF('Transect 4_imgsummary'!E17:I17,"LEPTOS")*100/P17)</f>
        <v>0</v>
      </c>
      <c r="AU17">
        <f>IF(P17=0,0,COUNTIF('Transect 4_imgsummary'!E17:I17,"LOBOPH")*100/P17)</f>
        <v>0</v>
      </c>
      <c r="AV17">
        <f>IF(P17=0,0,COUNTIF('Transect 4_imgsummary'!E17:I17,"MERU")*100/P17)</f>
        <v>0</v>
      </c>
      <c r="AW17">
        <f>IF(P17=0,0,COUNTIF('Transect 4_imgsummary'!E17:I17,"MILL")*100/P17)</f>
        <v>0</v>
      </c>
      <c r="AX17">
        <f>IF(P17=0,0,COUNTIF('Transect 4_imgsummary'!E17:I17,"MONT")*100/P17)</f>
        <v>0</v>
      </c>
      <c r="AY17">
        <f>IF(P17=0,0,COUNTIF('Transect 4_imgsummary'!E17:I17,"MONTI")*100/P17)</f>
        <v>0</v>
      </c>
      <c r="AZ17">
        <f>IF(P17=0,0,COUNTIF('Transect 4_imgsummary'!E17:I17,"MYCED")*100/P17)</f>
        <v>0</v>
      </c>
      <c r="BA17">
        <f>IF(P17=0,0,COUNTIF('Transect 4_imgsummary'!E17:I17,"OULO")*100/P17)</f>
        <v>0</v>
      </c>
      <c r="BB17">
        <f>IF(P17=0,0,COUNTIF('Transect 4_imgsummary'!E17:I17,"OXYP")*100/P17)</f>
        <v>0</v>
      </c>
      <c r="BC17">
        <f>IF(P17=0,0,COUNTIF('Transect 4_imgsummary'!E17:I17,"PLSIA")*100/P17)</f>
        <v>0</v>
      </c>
      <c r="BD17">
        <f>IF(P17=0,0,COUNTIF('Transect 4_imgsummary'!E17:I17,"PACHY")*100/P17)</f>
        <v>0</v>
      </c>
      <c r="BE17">
        <f>IF(P17=0,0,COUNTIF('Transect 4_imgsummary'!E17:I17,"PAV")*100/P17)</f>
        <v>0</v>
      </c>
      <c r="BF17">
        <f>IF(P17=0,0,COUNTIF('Transect 4_imgsummary'!E17:I17,"PECT")*100/P17)</f>
        <v>0</v>
      </c>
      <c r="BG17">
        <f>IF(P17=0,0,COUNTIF('Transect 4_imgsummary'!E17:I17,"PHYSO")*100/P17)</f>
        <v>0</v>
      </c>
      <c r="BH17">
        <f>IF(P17=0,0,COUNTIF('Transect 4_imgsummary'!E17:I17,"PLAT")*100/P17)</f>
        <v>0</v>
      </c>
      <c r="BI17">
        <f>IF(P17=0,0,COUNTIF('Transect 4_imgsummary'!E17:I17,"PLERO")*100/P17)</f>
        <v>0</v>
      </c>
      <c r="BJ17">
        <f>IF(P17=0,0,COUNTIF('Transect 4_imgsummary'!E17:I17,"POC")*100/P17)</f>
        <v>0</v>
      </c>
      <c r="BK17">
        <f>IF(P17=0,0,COUNTIF('Transect 4_imgsummary'!E17:I17,"POR")*100/P17)</f>
        <v>0</v>
      </c>
      <c r="BL17">
        <f>IF(P17=0,0,COUNTIF('Transect 4_imgsummary'!E17:I17,"PORCYL")*100/P17)</f>
        <v>0</v>
      </c>
      <c r="BM17">
        <f>IF(P17=0,0,COUNTIF('Transect 4_imgsummary'!E17:I17,"PORMAS")*100/P17)</f>
        <v>0</v>
      </c>
      <c r="BN17">
        <f>IF(P17=0,0,COUNTIF('Transect 4_imgsummary'!E17:I17,"PORRUS")*100/P17)</f>
        <v>0</v>
      </c>
      <c r="BO17">
        <f>IF(P17=0,0,COUNTIF('Transect 4_imgsummary'!E17:I17,"PSAM")*100/P17)</f>
        <v>0</v>
      </c>
      <c r="BP17">
        <f>IF(P17=0,0,COUNTIF('Transect 4_imgsummary'!E17:I17,"SANDO")*100/P17)</f>
        <v>0</v>
      </c>
      <c r="BQ17">
        <f>IF(P17=0,0,COUNTIF('Transect 4_imgsummary'!E17:I17,"SCAP")*100/P17)</f>
        <v>0</v>
      </c>
      <c r="BR17">
        <f>IF(P17=0,0,COUNTIF('Transect 4_imgsummary'!E17:I17,"SERIA")*100/P17)</f>
        <v>0</v>
      </c>
      <c r="BS17">
        <f>IF(P17=0,0,COUNTIF('Transect 4_imgsummary'!E17:I17,"STYLC")*100/P17)</f>
        <v>0</v>
      </c>
      <c r="BT17">
        <f>IF(P17=0,0,COUNTIF('Transect 4_imgsummary'!E17:I17,"STYLO")*100/P17)</f>
        <v>0</v>
      </c>
      <c r="BU17">
        <f>IF(P17=0,0,COUNTIF('Transect 4_imgsummary'!E17:I17,"SYMP")*100/P17)</f>
        <v>0</v>
      </c>
      <c r="BV17">
        <f>IF(P17=0,0,COUNTIF('Transect 4_imgsummary'!E17:I17,"TURBIN")*100/P17)</f>
        <v>0</v>
      </c>
      <c r="BX17">
        <f>IF(P17=0,0,COUNTIF('Transect 4_imgsummary'!E17:I17,"ANEM")*100/P17)</f>
        <v>0</v>
      </c>
      <c r="BY17">
        <f>IF(P17=0,0,COUNTIF('Transect 4_imgsummary'!E17:I17,"ASC")*100/P17)</f>
        <v>0</v>
      </c>
      <c r="BZ17">
        <f>IF(P17=0,0,COUNTIF('Transect 4_imgsummary'!E17:I17,"CUPS")*100/P17)</f>
        <v>0</v>
      </c>
      <c r="CA17">
        <f>IF(P17=0,0,COUNTIF('Transect 4_imgsummary'!E17:I17,"DISCO")*100/P17)</f>
        <v>0</v>
      </c>
      <c r="CB17">
        <f>IF(P17=0,0,COUNTIF('Transect 4_imgsummary'!E17:I17,"DYS")*100/P17)</f>
        <v>0</v>
      </c>
      <c r="CC17">
        <f>IF(P17=0,0,COUNTIF('Transect 4_imgsummary'!E17:I17,"G")*100/P17)</f>
        <v>0</v>
      </c>
      <c r="CD17">
        <f>IF(P17=0,0,COUNTIF('Transect 4_imgsummary'!E17:I17,"NoIDINV")*100/P17)</f>
        <v>0</v>
      </c>
      <c r="CE17">
        <f>IF(P17=0,0,COUNTIF('Transect 4_imgsummary'!E17:I17,"OLV")*100/P17)</f>
        <v>0</v>
      </c>
      <c r="CF17">
        <f>IF(P17=0,0,COUNTIF('Transect 4_imgsummary'!E17:I17,"SC")*100/P17)</f>
        <v>0</v>
      </c>
      <c r="CG17">
        <f>IF(P17=0,0,COUNTIF('Transect 4_imgsummary'!E17:I17,"S")*100/P17)</f>
        <v>0</v>
      </c>
      <c r="CH17">
        <f>IF(P17=0,0,COUNTIF('Transect 4_imgsummary'!E17:I17,"TERPS")*100/P17)</f>
        <v>0</v>
      </c>
      <c r="CI17">
        <f>IF(P17=0,0,COUNTIF('Transect 4_imgsummary'!E17:I17,"Z")*100/P17)</f>
        <v>0</v>
      </c>
      <c r="CK17">
        <f>IF(P17=0,0,COUNTIF('Transect 4_imgsummary'!E17:I17,"ASP")*100/P17)</f>
        <v>0</v>
      </c>
      <c r="CL17">
        <f>IF(P17=0,0,COUNTIF('Transect 4_imgsummary'!E17:I17,"BG")*100/P17)</f>
        <v>0</v>
      </c>
      <c r="CM17">
        <f>IF(P17=0,0,COUNTIF('Transect 4_imgsummary'!E17:I17,"Bood")*100/P17)</f>
        <v>0</v>
      </c>
      <c r="CN17">
        <f>IF(P17=0,0,COUNTIF('Transect 4_imgsummary'!E17:I17,"BRYP")*100/P17)</f>
        <v>0</v>
      </c>
      <c r="CO17">
        <f>IF(P17=0,0,COUNTIF('Transect 4_imgsummary'!E17:I17,"CLP")*100/P17)</f>
        <v>0</v>
      </c>
      <c r="CP17">
        <f>IF(P17=0,0,COUNTIF('Transect 4_imgsummary'!E17:I17,"CHLDES")*100/P17)</f>
        <v>0</v>
      </c>
      <c r="CQ17">
        <f>IF(P17=0,0,COUNTIF('Transect 4_imgsummary'!E17:I17,"DYCTY")*100/P17)</f>
        <v>0</v>
      </c>
      <c r="CR17">
        <f>IF(P17=0,0,COUNTIF('Transect 4_imgsummary'!E17:I17,"DICT")*100/P17)</f>
        <v>0</v>
      </c>
      <c r="CS17">
        <f>IF(P17=0,0,COUNTIF('Transect 4_imgsummary'!E17:I17,"GLXU")*100/P17)</f>
        <v>0</v>
      </c>
      <c r="CT17">
        <f>IF(P17=0,0,COUNTIF('Transect 4_imgsummary'!E17:I17,"HALI")*100/P17)</f>
        <v>0</v>
      </c>
      <c r="CU17">
        <f>IF(P17=0,0,COUNTIF('Transect 4_imgsummary'!E17:I17,"LIAG")*100/P17)</f>
        <v>0</v>
      </c>
      <c r="CV17">
        <f>IF(P17=0,0,COUNTIF('Transect 4_imgsummary'!E17:I17,"LOBO")*100/P17)</f>
        <v>0</v>
      </c>
      <c r="CW17">
        <f>IF(P17=0,0,COUNTIF('Transect 4_imgsummary'!E17:I17,"MAST")*100/P17)</f>
        <v>0</v>
      </c>
      <c r="CX17">
        <f>IF(P17=0,0,COUNTIF('Transect 4_imgsummary'!E17:I17,"MICDTY")*100/P17)</f>
        <v>0</v>
      </c>
      <c r="CY17">
        <f>IF(P17=0,0,COUNTIF('Transect 4_imgsummary'!E17:I17,"NEOM")*100/P17)</f>
        <v>0</v>
      </c>
      <c r="CZ17">
        <f>IF(P17=0,0,COUNTIF('Transect 4_imgsummary'!E17:I17,"NOIDMAC")*100/P17)</f>
        <v>0</v>
      </c>
      <c r="DA17">
        <f>IF(P17=0,0,COUNTIF('Transect 4_imgsummary'!E17:I17,"PAD")*100/P17)</f>
        <v>0</v>
      </c>
      <c r="DB17">
        <f>IF(P17=0,0,COUNTIF('Transect 4_imgsummary'!E17:I17,"SARG")*100/P17)</f>
        <v>0</v>
      </c>
      <c r="DC17">
        <f>IF(P17=0,0,COUNTIF('Transect 4_imgsummary'!E17:I17,"SCHIZ")*100/P17)</f>
        <v>0</v>
      </c>
      <c r="DD17">
        <f>IF(P17=0,0,COUNTIF('Transect 4_imgsummary'!E17:I17,"TURB")*100/P17)</f>
        <v>0</v>
      </c>
      <c r="DE17">
        <f>IF(P17=0,0,COUNTIF('Transect 4_imgsummary'!E17:I17,"TYDM")*100/P17)</f>
        <v>0</v>
      </c>
      <c r="DG17">
        <f>IF(P17=0,0,COUNTIF('Transect 4_imgsummary'!E17:I17,"AMP")*100/P17)</f>
        <v>0</v>
      </c>
      <c r="DH17">
        <f>IF(P17=0,0,COUNTIF('Transect 4_imgsummary'!E17:I17,"BCA1")*100/P17)</f>
        <v>0</v>
      </c>
      <c r="DI17">
        <f>IF(P17=0,0,COUNTIF('Transect 4_imgsummary'!E17:I17,"JAN")*100/P17)</f>
        <v>0</v>
      </c>
      <c r="DK17">
        <f>IF(P17=0,0,COUNTIF('Transect 4_imgsummary'!E17:I17,"CCA1")*100/P17)</f>
        <v>0</v>
      </c>
      <c r="DM17">
        <f>IF(P17=0,0,COUNTIF('Transect 4_imgsummary'!E17:I17,"Sand")*100/P17)</f>
        <v>0</v>
      </c>
      <c r="DO17">
        <f>IF(P17=0,0,COUNTIF('Transect 4_imgsummary'!E17:I17,"FCA1")*100/P17)</f>
        <v>0</v>
      </c>
      <c r="DQ17">
        <f>IF(P17=0,0,COUNTIF('Transect 4_imgsummary'!E17:I17,"CHRYOBRN")*100/P17)</f>
        <v>0</v>
      </c>
      <c r="DS17" s="29">
        <f>IF(P17=0,0,COUNTIF('Transect 4_imgsummary'!E17:I17,"TURF")*100/P17)</f>
        <v>40</v>
      </c>
      <c r="DU17">
        <f>COUNTIF('Transect 4_imgsummary'!E17:I17,"Shadow")*100/5</f>
        <v>0</v>
      </c>
      <c r="DV17">
        <f>COUNTIF('Transect 4_imgsummary'!E17:I17,"Tape")*100/5</f>
        <v>0</v>
      </c>
      <c r="DW17">
        <f>COUNTIF('Transect 4_imgsummary'!E17:I17,"Wand")*100/5</f>
        <v>0</v>
      </c>
      <c r="DY17">
        <f>IF(P17=0,0,COUNTIF('Transect 4_imgsummary'!O17:S17,"BC")*100/P17)</f>
        <v>0</v>
      </c>
    </row>
    <row r="18" spans="1:129">
      <c r="A18">
        <v>16</v>
      </c>
      <c r="B18" t="s">
        <v>561</v>
      </c>
      <c r="F18" s="29">
        <f>IF(P18=0,0,COUNTIF('Transect 4_imgsummary'!J18:N18,"C")*100/P18)</f>
        <v>40</v>
      </c>
      <c r="G18">
        <f>IF(P18=0,0,COUNTIF('Transect 4_imgsummary'!J18:N18,"OI")*100/P18)</f>
        <v>0</v>
      </c>
      <c r="H18">
        <f>IF(P18=0,0,COUNTIF('Transect 4_imgsummary'!J18:N18,"MA")*100/P18)</f>
        <v>0</v>
      </c>
      <c r="I18">
        <f>IF(P18=0,0,COUNTIF('Transect 4_imgsummary'!J18:N18,"BCA")*100/P18)</f>
        <v>0</v>
      </c>
      <c r="J18" s="29">
        <f>IF(P18=0,0,COUNTIF('Transect 4_imgsummary'!J18:N18,"CCA")*100/P18)</f>
        <v>60</v>
      </c>
      <c r="K18">
        <f>IF(P18=0,0,COUNTIF('Transect 4_imgsummary'!J18:N18,"SD")*100/P18)</f>
        <v>0</v>
      </c>
      <c r="L18">
        <f>IF(P18=0,0,COUNTIF('Transect 4_imgsummary'!J18:N18,"FCA")*100/P18)</f>
        <v>0</v>
      </c>
      <c r="M18">
        <f>IF(P18=0,0,COUNTIF('Transect 4_imgsummary'!J18:N18,"CHRYS")*100/P18)</f>
        <v>0</v>
      </c>
      <c r="N18">
        <f>IF(P18=0,0,COUNTIF('Transect 4_imgsummary'!J18:N18,"T")*100/P18)</f>
        <v>0</v>
      </c>
      <c r="O18">
        <f>IF(P18=0,0,COUNTIF('Transect 4_imgsummary'!J18:N18,"TWS")*100/P18)</f>
        <v>0</v>
      </c>
      <c r="P18">
        <f>5-COUNTIF('Transect 4_imgsummary'!J18:N18,"TWS")</f>
        <v>5</v>
      </c>
      <c r="S18">
        <f>IF(P18=0,0,COUNTIF('Transect 4_imgsummary'!E18:I18,"ACAN")*100/P18)</f>
        <v>0</v>
      </c>
      <c r="T18">
        <f>IF(P18=0,0,COUNTIF('Transect 4_imgsummary'!E18:I18,"ACROP")*100/P18)</f>
        <v>0</v>
      </c>
      <c r="U18">
        <f>IF(P18=0,0,COUNTIF('Transect 4_imgsummary'!E18:I18,"ACROPARB")*100/P18)</f>
        <v>0</v>
      </c>
      <c r="V18">
        <f>IF(P18=0,0,COUNTIF('Transect 4_imgsummary'!E18:I18,"ACROST")*100/P18)</f>
        <v>0</v>
      </c>
      <c r="W18">
        <f>IF(P18=0,0,COUNTIF('Transect 4_imgsummary'!E18:I18,"ACROTBL")*100/P18)</f>
        <v>0</v>
      </c>
      <c r="X18">
        <f>IF(P18=0,0,COUNTIF('Transect 4_imgsummary'!E18:I18,"ASTRP")*100/P18)</f>
        <v>0</v>
      </c>
      <c r="Y18">
        <f>IF(P18=0,0,COUNTIF('Transect 4_imgsummary'!E18:I18,"CAUL")*100/P18)</f>
        <v>0</v>
      </c>
      <c r="Z18">
        <f>IF(P18=0,0,COUNTIF('Transect 4_imgsummary'!E18:I18,"COSC")*100/P18)</f>
        <v>0</v>
      </c>
      <c r="AA18">
        <f>IF(P18=0,0,COUNTIF('Transect 4_imgsummary'!E18:I18,"CTEN")*100/P18)</f>
        <v>0</v>
      </c>
      <c r="AB18">
        <f>IF(P18=0,0,COUNTIF('Transect 4_imgsummary'!E18:I18,"CYPH")*100/P18)</f>
        <v>0</v>
      </c>
      <c r="AC18">
        <f>IF(P18=0,0,COUNTIF('Transect 4_imgsummary'!E18:I18,"DIPLO")*100/P18)</f>
        <v>0</v>
      </c>
      <c r="AD18">
        <f>IF(P18=0,0,COUNTIF('Transect 4_imgsummary'!E18:I18,"ECHPO")*100/P18)</f>
        <v>0</v>
      </c>
      <c r="AE18">
        <f>IF(P18=0,0,COUNTIF('Transect 4_imgsummary'!E18:I18,"ECHPHY")*100/P18)</f>
        <v>0</v>
      </c>
      <c r="AF18">
        <f>IF(P18=0,0,COUNTIF('Transect 4_imgsummary'!E18:I18,"EUPH")*100/P18)</f>
        <v>0</v>
      </c>
      <c r="AG18">
        <f>IF(P18=0,0,COUNTIF('Transect 4_imgsummary'!E18:I18,"FAV")*100/P18)</f>
        <v>0</v>
      </c>
      <c r="AH18">
        <f>IF(P18=0,0,COUNTIF('Transect 4_imgsummary'!E18:I18,"FAVT")*100/P18)</f>
        <v>0</v>
      </c>
      <c r="AI18">
        <f>IF(P18=0,0,COUNTIF('Transect 4_imgsummary'!E18:I18,"FUNG")*100/P18)</f>
        <v>0</v>
      </c>
      <c r="AJ18">
        <f>IF(P18=0,0,COUNTIF('Transect 4_imgsummary'!E18:I18,"GAL")*100/P18)</f>
        <v>0</v>
      </c>
      <c r="AK18">
        <f>IF(P18=0,0,COUNTIF('Transect 4_imgsummary'!E18:I18,"GARD")*100/P18)</f>
        <v>0</v>
      </c>
      <c r="AL18">
        <f>IF(P18=0,0,COUNTIF('Transect 4_imgsummary'!E18:I18,"GON")*100/P18)</f>
        <v>0</v>
      </c>
      <c r="AM18">
        <f>IF(P18=0,0,COUNTIF('Transect 4_imgsummary'!E18:I18,"GONIO")*100/P18)</f>
        <v>0</v>
      </c>
      <c r="AN18">
        <f>IF(P18=0,0,COUNTIF('Transect 4_imgsummary'!E18:I18,"HELIO")*100/P18)</f>
        <v>0</v>
      </c>
      <c r="AO18">
        <f>IF(P18=0,0,COUNTIF('Transect 4_imgsummary'!E18:I18,"HERP")*100/P18)</f>
        <v>0</v>
      </c>
      <c r="AP18">
        <f>IF(P18=0,0,COUNTIF('Transect 4_imgsummary'!E18:I18,"HYD")*100/P18)</f>
        <v>0</v>
      </c>
      <c r="AQ18">
        <f>IF(P18=0,0,COUNTIF('Transect 4_imgsummary'!E18:I18,"ISOP")*100/P18)</f>
        <v>0</v>
      </c>
      <c r="AR18">
        <f>IF(P18=0,0,COUNTIF('Transect 4_imgsummary'!E18:I18,"LEPT")*100/P18)</f>
        <v>0</v>
      </c>
      <c r="AS18" s="29">
        <f>IF(P18=0,0,COUNTIF('Transect 4_imgsummary'!E18:I18,"LEPTOR")*100/P18)</f>
        <v>20</v>
      </c>
      <c r="AT18">
        <f>IF(P18=0,0,COUNTIF('Transect 4_imgsummary'!E18:I18,"LEPTOS")*100/P18)</f>
        <v>0</v>
      </c>
      <c r="AU18">
        <f>IF(P18=0,0,COUNTIF('Transect 4_imgsummary'!E18:I18,"LOBOPH")*100/P18)</f>
        <v>0</v>
      </c>
      <c r="AV18">
        <f>IF(P18=0,0,COUNTIF('Transect 4_imgsummary'!E18:I18,"MERU")*100/P18)</f>
        <v>0</v>
      </c>
      <c r="AW18">
        <f>IF(P18=0,0,COUNTIF('Transect 4_imgsummary'!E18:I18,"MILL")*100/P18)</f>
        <v>0</v>
      </c>
      <c r="AX18">
        <f>IF(P18=0,0,COUNTIF('Transect 4_imgsummary'!E18:I18,"MONT")*100/P18)</f>
        <v>0</v>
      </c>
      <c r="AY18">
        <f>IF(P18=0,0,COUNTIF('Transect 4_imgsummary'!E18:I18,"MONTI")*100/P18)</f>
        <v>0</v>
      </c>
      <c r="AZ18">
        <f>IF(P18=0,0,COUNTIF('Transect 4_imgsummary'!E18:I18,"MYCED")*100/P18)</f>
        <v>0</v>
      </c>
      <c r="BA18">
        <f>IF(P18=0,0,COUNTIF('Transect 4_imgsummary'!E18:I18,"OULO")*100/P18)</f>
        <v>0</v>
      </c>
      <c r="BB18">
        <f>IF(P18=0,0,COUNTIF('Transect 4_imgsummary'!E18:I18,"OXYP")*100/P18)</f>
        <v>0</v>
      </c>
      <c r="BC18">
        <f>IF(P18=0,0,COUNTIF('Transect 4_imgsummary'!E18:I18,"PLSIA")*100/P18)</f>
        <v>0</v>
      </c>
      <c r="BD18">
        <f>IF(P18=0,0,COUNTIF('Transect 4_imgsummary'!E18:I18,"PACHY")*100/P18)</f>
        <v>0</v>
      </c>
      <c r="BE18">
        <f>IF(P18=0,0,COUNTIF('Transect 4_imgsummary'!E18:I18,"PAV")*100/P18)</f>
        <v>0</v>
      </c>
      <c r="BF18">
        <f>IF(P18=0,0,COUNTIF('Transect 4_imgsummary'!E18:I18,"PECT")*100/P18)</f>
        <v>0</v>
      </c>
      <c r="BG18">
        <f>IF(P18=0,0,COUNTIF('Transect 4_imgsummary'!E18:I18,"PHYSO")*100/P18)</f>
        <v>0</v>
      </c>
      <c r="BH18">
        <f>IF(P18=0,0,COUNTIF('Transect 4_imgsummary'!E18:I18,"PLAT")*100/P18)</f>
        <v>0</v>
      </c>
      <c r="BI18">
        <f>IF(P18=0,0,COUNTIF('Transect 4_imgsummary'!E18:I18,"PLERO")*100/P18)</f>
        <v>0</v>
      </c>
      <c r="BJ18">
        <f>IF(P18=0,0,COUNTIF('Transect 4_imgsummary'!E18:I18,"POC")*100/P18)</f>
        <v>0</v>
      </c>
      <c r="BK18">
        <f>IF(P18=0,0,COUNTIF('Transect 4_imgsummary'!E18:I18,"POR")*100/P18)</f>
        <v>0</v>
      </c>
      <c r="BL18">
        <f>IF(P18=0,0,COUNTIF('Transect 4_imgsummary'!E18:I18,"PORCYL")*100/P18)</f>
        <v>0</v>
      </c>
      <c r="BM18">
        <f>IF(P18=0,0,COUNTIF('Transect 4_imgsummary'!E18:I18,"PORMAS")*100/P18)</f>
        <v>0</v>
      </c>
      <c r="BN18">
        <f>IF(P18=0,0,COUNTIF('Transect 4_imgsummary'!E18:I18,"PORRUS")*100/P18)</f>
        <v>0</v>
      </c>
      <c r="BO18">
        <f>IF(P18=0,0,COUNTIF('Transect 4_imgsummary'!E18:I18,"PSAM")*100/P18)</f>
        <v>0</v>
      </c>
      <c r="BP18">
        <f>IF(P18=0,0,COUNTIF('Transect 4_imgsummary'!E18:I18,"SANDO")*100/P18)</f>
        <v>0</v>
      </c>
      <c r="BQ18">
        <f>IF(P18=0,0,COUNTIF('Transect 4_imgsummary'!E18:I18,"SCAP")*100/P18)</f>
        <v>0</v>
      </c>
      <c r="BR18">
        <f>IF(P18=0,0,COUNTIF('Transect 4_imgsummary'!E18:I18,"SERIA")*100/P18)</f>
        <v>0</v>
      </c>
      <c r="BS18">
        <f>IF(P18=0,0,COUNTIF('Transect 4_imgsummary'!E18:I18,"STYLC")*100/P18)</f>
        <v>0</v>
      </c>
      <c r="BT18" s="29">
        <f>IF(P18=0,0,COUNTIF('Transect 4_imgsummary'!E18:I18,"STYLO")*100/P18)</f>
        <v>20</v>
      </c>
      <c r="BU18">
        <f>IF(P18=0,0,COUNTIF('Transect 4_imgsummary'!E18:I18,"SYMP")*100/P18)</f>
        <v>0</v>
      </c>
      <c r="BV18">
        <f>IF(P18=0,0,COUNTIF('Transect 4_imgsummary'!E18:I18,"TURBIN")*100/P18)</f>
        <v>0</v>
      </c>
      <c r="BX18">
        <f>IF(P18=0,0,COUNTIF('Transect 4_imgsummary'!E18:I18,"ANEM")*100/P18)</f>
        <v>0</v>
      </c>
      <c r="BY18">
        <f>IF(P18=0,0,COUNTIF('Transect 4_imgsummary'!E18:I18,"ASC")*100/P18)</f>
        <v>0</v>
      </c>
      <c r="BZ18">
        <f>IF(P18=0,0,COUNTIF('Transect 4_imgsummary'!E18:I18,"CUPS")*100/P18)</f>
        <v>0</v>
      </c>
      <c r="CA18">
        <f>IF(P18=0,0,COUNTIF('Transect 4_imgsummary'!E18:I18,"DISCO")*100/P18)</f>
        <v>0</v>
      </c>
      <c r="CB18">
        <f>IF(P18=0,0,COUNTIF('Transect 4_imgsummary'!E18:I18,"DYS")*100/P18)</f>
        <v>0</v>
      </c>
      <c r="CC18">
        <f>IF(P18=0,0,COUNTIF('Transect 4_imgsummary'!E18:I18,"G")*100/P18)</f>
        <v>0</v>
      </c>
      <c r="CD18">
        <f>IF(P18=0,0,COUNTIF('Transect 4_imgsummary'!E18:I18,"NoIDINV")*100/P18)</f>
        <v>0</v>
      </c>
      <c r="CE18">
        <f>IF(P18=0,0,COUNTIF('Transect 4_imgsummary'!E18:I18,"OLV")*100/P18)</f>
        <v>0</v>
      </c>
      <c r="CF18">
        <f>IF(P18=0,0,COUNTIF('Transect 4_imgsummary'!E18:I18,"SC")*100/P18)</f>
        <v>0</v>
      </c>
      <c r="CG18">
        <f>IF(P18=0,0,COUNTIF('Transect 4_imgsummary'!E18:I18,"S")*100/P18)</f>
        <v>0</v>
      </c>
      <c r="CH18">
        <f>IF(P18=0,0,COUNTIF('Transect 4_imgsummary'!E18:I18,"TERPS")*100/P18)</f>
        <v>0</v>
      </c>
      <c r="CI18">
        <f>IF(P18=0,0,COUNTIF('Transect 4_imgsummary'!E18:I18,"Z")*100/P18)</f>
        <v>0</v>
      </c>
      <c r="CK18">
        <f>IF(P18=0,0,COUNTIF('Transect 4_imgsummary'!E18:I18,"ASP")*100/P18)</f>
        <v>0</v>
      </c>
      <c r="CL18">
        <f>IF(P18=0,0,COUNTIF('Transect 4_imgsummary'!E18:I18,"BG")*100/P18)</f>
        <v>0</v>
      </c>
      <c r="CM18">
        <f>IF(P18=0,0,COUNTIF('Transect 4_imgsummary'!E18:I18,"Bood")*100/P18)</f>
        <v>0</v>
      </c>
      <c r="CN18">
        <f>IF(P18=0,0,COUNTIF('Transect 4_imgsummary'!E18:I18,"BRYP")*100/P18)</f>
        <v>0</v>
      </c>
      <c r="CO18">
        <f>IF(P18=0,0,COUNTIF('Transect 4_imgsummary'!E18:I18,"CLP")*100/P18)</f>
        <v>0</v>
      </c>
      <c r="CP18">
        <f>IF(P18=0,0,COUNTIF('Transect 4_imgsummary'!E18:I18,"CHLDES")*100/P18)</f>
        <v>0</v>
      </c>
      <c r="CQ18">
        <f>IF(P18=0,0,COUNTIF('Transect 4_imgsummary'!E18:I18,"DYCTY")*100/P18)</f>
        <v>0</v>
      </c>
      <c r="CR18">
        <f>IF(P18=0,0,COUNTIF('Transect 4_imgsummary'!E18:I18,"DICT")*100/P18)</f>
        <v>0</v>
      </c>
      <c r="CS18">
        <f>IF(P18=0,0,COUNTIF('Transect 4_imgsummary'!E18:I18,"GLXU")*100/P18)</f>
        <v>0</v>
      </c>
      <c r="CT18">
        <f>IF(P18=0,0,COUNTIF('Transect 4_imgsummary'!E18:I18,"HALI")*100/P18)</f>
        <v>0</v>
      </c>
      <c r="CU18">
        <f>IF(P18=0,0,COUNTIF('Transect 4_imgsummary'!E18:I18,"LIAG")*100/P18)</f>
        <v>0</v>
      </c>
      <c r="CV18">
        <f>IF(P18=0,0,COUNTIF('Transect 4_imgsummary'!E18:I18,"LOBO")*100/P18)</f>
        <v>0</v>
      </c>
      <c r="CW18">
        <f>IF(P18=0,0,COUNTIF('Transect 4_imgsummary'!E18:I18,"MAST")*100/P18)</f>
        <v>0</v>
      </c>
      <c r="CX18">
        <f>IF(P18=0,0,COUNTIF('Transect 4_imgsummary'!E18:I18,"MICDTY")*100/P18)</f>
        <v>0</v>
      </c>
      <c r="CY18">
        <f>IF(P18=0,0,COUNTIF('Transect 4_imgsummary'!E18:I18,"NEOM")*100/P18)</f>
        <v>0</v>
      </c>
      <c r="CZ18">
        <f>IF(P18=0,0,COUNTIF('Transect 4_imgsummary'!E18:I18,"NOIDMAC")*100/P18)</f>
        <v>0</v>
      </c>
      <c r="DA18">
        <f>IF(P18=0,0,COUNTIF('Transect 4_imgsummary'!E18:I18,"PAD")*100/P18)</f>
        <v>0</v>
      </c>
      <c r="DB18">
        <f>IF(P18=0,0,COUNTIF('Transect 4_imgsummary'!E18:I18,"SARG")*100/P18)</f>
        <v>0</v>
      </c>
      <c r="DC18">
        <f>IF(P18=0,0,COUNTIF('Transect 4_imgsummary'!E18:I18,"SCHIZ")*100/P18)</f>
        <v>0</v>
      </c>
      <c r="DD18">
        <f>IF(P18=0,0,COUNTIF('Transect 4_imgsummary'!E18:I18,"TURB")*100/P18)</f>
        <v>0</v>
      </c>
      <c r="DE18">
        <f>IF(P18=0,0,COUNTIF('Transect 4_imgsummary'!E18:I18,"TYDM")*100/P18)</f>
        <v>0</v>
      </c>
      <c r="DG18">
        <f>IF(P18=0,0,COUNTIF('Transect 4_imgsummary'!E18:I18,"AMP")*100/P18)</f>
        <v>0</v>
      </c>
      <c r="DH18">
        <f>IF(P18=0,0,COUNTIF('Transect 4_imgsummary'!E18:I18,"BCA1")*100/P18)</f>
        <v>0</v>
      </c>
      <c r="DI18">
        <f>IF(P18=0,0,COUNTIF('Transect 4_imgsummary'!E18:I18,"JAN")*100/P18)</f>
        <v>0</v>
      </c>
      <c r="DK18" s="29">
        <f>IF(P18=0,0,COUNTIF('Transect 4_imgsummary'!E18:I18,"CCA1")*100/P18)</f>
        <v>60</v>
      </c>
      <c r="DM18">
        <f>IF(P18=0,0,COUNTIF('Transect 4_imgsummary'!E18:I18,"Sand")*100/P18)</f>
        <v>0</v>
      </c>
      <c r="DO18">
        <f>IF(P18=0,0,COUNTIF('Transect 4_imgsummary'!E18:I18,"FCA1")*100/P18)</f>
        <v>0</v>
      </c>
      <c r="DQ18">
        <f>IF(P18=0,0,COUNTIF('Transect 4_imgsummary'!E18:I18,"CHRYOBRN")*100/P18)</f>
        <v>0</v>
      </c>
      <c r="DS18">
        <f>IF(P18=0,0,COUNTIF('Transect 4_imgsummary'!E18:I18,"TURF")*100/P18)</f>
        <v>0</v>
      </c>
      <c r="DU18">
        <f>COUNTIF('Transect 4_imgsummary'!E18:I18,"Shadow")*100/5</f>
        <v>0</v>
      </c>
      <c r="DV18">
        <f>COUNTIF('Transect 4_imgsummary'!E18:I18,"Tape")*100/5</f>
        <v>0</v>
      </c>
      <c r="DW18">
        <f>COUNTIF('Transect 4_imgsummary'!E18:I18,"Wand")*100/5</f>
        <v>0</v>
      </c>
      <c r="DY18">
        <f>IF(P18=0,0,COUNTIF('Transect 4_imgsummary'!O18:S18,"BC")*100/P18)</f>
        <v>0</v>
      </c>
    </row>
    <row r="19" spans="1:129">
      <c r="A19">
        <v>17</v>
      </c>
      <c r="B19" t="s">
        <v>562</v>
      </c>
      <c r="F19" s="29">
        <f>IF(P19=0,0,COUNTIF('Transect 4_imgsummary'!J19:N19,"C")*100/P19)</f>
        <v>40</v>
      </c>
      <c r="G19">
        <f>IF(P19=0,0,COUNTIF('Transect 4_imgsummary'!J19:N19,"OI")*100/P19)</f>
        <v>0</v>
      </c>
      <c r="H19">
        <f>IF(P19=0,0,COUNTIF('Transect 4_imgsummary'!J19:N19,"MA")*100/P19)</f>
        <v>0</v>
      </c>
      <c r="I19">
        <f>IF(P19=0,0,COUNTIF('Transect 4_imgsummary'!J19:N19,"BCA")*100/P19)</f>
        <v>0</v>
      </c>
      <c r="J19">
        <f>IF(P19=0,0,COUNTIF('Transect 4_imgsummary'!J19:N19,"CCA")*100/P19)</f>
        <v>0</v>
      </c>
      <c r="K19">
        <f>IF(P19=0,0,COUNTIF('Transect 4_imgsummary'!J19:N19,"SD")*100/P19)</f>
        <v>0</v>
      </c>
      <c r="L19" s="29">
        <f>IF(P19=0,0,COUNTIF('Transect 4_imgsummary'!J19:N19,"FCA")*100/P19)</f>
        <v>20</v>
      </c>
      <c r="M19">
        <f>IF(P19=0,0,COUNTIF('Transect 4_imgsummary'!J19:N19,"CHRYS")*100/P19)</f>
        <v>0</v>
      </c>
      <c r="N19" s="29">
        <f>IF(P19=0,0,COUNTIF('Transect 4_imgsummary'!J19:N19,"T")*100/P19)</f>
        <v>40</v>
      </c>
      <c r="O19">
        <f>IF(P19=0,0,COUNTIF('Transect 4_imgsummary'!J19:N19,"TWS")*100/P19)</f>
        <v>0</v>
      </c>
      <c r="P19">
        <f>5-COUNTIF('Transect 4_imgsummary'!J19:N19,"TWS")</f>
        <v>5</v>
      </c>
      <c r="S19">
        <f>IF(P19=0,0,COUNTIF('Transect 4_imgsummary'!E19:I19,"ACAN")*100/P19)</f>
        <v>0</v>
      </c>
      <c r="T19">
        <f>IF(P19=0,0,COUNTIF('Transect 4_imgsummary'!E19:I19,"ACROP")*100/P19)</f>
        <v>0</v>
      </c>
      <c r="U19">
        <f>IF(P19=0,0,COUNTIF('Transect 4_imgsummary'!E19:I19,"ACROPARB")*100/P19)</f>
        <v>0</v>
      </c>
      <c r="V19">
        <f>IF(P19=0,0,COUNTIF('Transect 4_imgsummary'!E19:I19,"ACROST")*100/P19)</f>
        <v>0</v>
      </c>
      <c r="W19">
        <f>IF(P19=0,0,COUNTIF('Transect 4_imgsummary'!E19:I19,"ACROTBL")*100/P19)</f>
        <v>0</v>
      </c>
      <c r="X19">
        <f>IF(P19=0,0,COUNTIF('Transect 4_imgsummary'!E19:I19,"ASTRP")*100/P19)</f>
        <v>0</v>
      </c>
      <c r="Y19">
        <f>IF(P19=0,0,COUNTIF('Transect 4_imgsummary'!E19:I19,"CAUL")*100/P19)</f>
        <v>0</v>
      </c>
      <c r="Z19">
        <f>IF(P19=0,0,COUNTIF('Transect 4_imgsummary'!E19:I19,"COSC")*100/P19)</f>
        <v>0</v>
      </c>
      <c r="AA19">
        <f>IF(P19=0,0,COUNTIF('Transect 4_imgsummary'!E19:I19,"CTEN")*100/P19)</f>
        <v>0</v>
      </c>
      <c r="AB19">
        <f>IF(P19=0,0,COUNTIF('Transect 4_imgsummary'!E19:I19,"CYPH")*100/P19)</f>
        <v>0</v>
      </c>
      <c r="AC19">
        <f>IF(P19=0,0,COUNTIF('Transect 4_imgsummary'!E19:I19,"DIPLO")*100/P19)</f>
        <v>0</v>
      </c>
      <c r="AD19" s="29">
        <f>IF(P19=0,0,COUNTIF('Transect 4_imgsummary'!E19:I19,"ECHPO")*100/P19)</f>
        <v>20</v>
      </c>
      <c r="AE19">
        <f>IF(P19=0,0,COUNTIF('Transect 4_imgsummary'!E19:I19,"ECHPHY")*100/P19)</f>
        <v>0</v>
      </c>
      <c r="AF19">
        <f>IF(P19=0,0,COUNTIF('Transect 4_imgsummary'!E19:I19,"EUPH")*100/P19)</f>
        <v>0</v>
      </c>
      <c r="AG19">
        <f>IF(P19=0,0,COUNTIF('Transect 4_imgsummary'!E19:I19,"FAV")*100/P19)</f>
        <v>0</v>
      </c>
      <c r="AH19">
        <f>IF(P19=0,0,COUNTIF('Transect 4_imgsummary'!E19:I19,"FAVT")*100/P19)</f>
        <v>0</v>
      </c>
      <c r="AI19">
        <f>IF(P19=0,0,COUNTIF('Transect 4_imgsummary'!E19:I19,"FUNG")*100/P19)</f>
        <v>0</v>
      </c>
      <c r="AJ19">
        <f>IF(P19=0,0,COUNTIF('Transect 4_imgsummary'!E19:I19,"GAL")*100/P19)</f>
        <v>0</v>
      </c>
      <c r="AK19">
        <f>IF(P19=0,0,COUNTIF('Transect 4_imgsummary'!E19:I19,"GARD")*100/P19)</f>
        <v>0</v>
      </c>
      <c r="AL19">
        <f>IF(P19=0,0,COUNTIF('Transect 4_imgsummary'!E19:I19,"GON")*100/P19)</f>
        <v>0</v>
      </c>
      <c r="AM19">
        <f>IF(P19=0,0,COUNTIF('Transect 4_imgsummary'!E19:I19,"GONIO")*100/P19)</f>
        <v>0</v>
      </c>
      <c r="AN19">
        <f>IF(P19=0,0,COUNTIF('Transect 4_imgsummary'!E19:I19,"HELIO")*100/P19)</f>
        <v>0</v>
      </c>
      <c r="AO19">
        <f>IF(P19=0,0,COUNTIF('Transect 4_imgsummary'!E19:I19,"HERP")*100/P19)</f>
        <v>0</v>
      </c>
      <c r="AP19" s="29">
        <f>IF(P19=0,0,COUNTIF('Transect 4_imgsummary'!E19:I19,"HYD")*100/P19)</f>
        <v>20</v>
      </c>
      <c r="AQ19">
        <f>IF(P19=0,0,COUNTIF('Transect 4_imgsummary'!E19:I19,"ISOP")*100/P19)</f>
        <v>0</v>
      </c>
      <c r="AR19">
        <f>IF(P19=0,0,COUNTIF('Transect 4_imgsummary'!E19:I19,"LEPT")*100/P19)</f>
        <v>0</v>
      </c>
      <c r="AS19">
        <f>IF(P19=0,0,COUNTIF('Transect 4_imgsummary'!E19:I19,"LEPTOR")*100/P19)</f>
        <v>0</v>
      </c>
      <c r="AT19">
        <f>IF(P19=0,0,COUNTIF('Transect 4_imgsummary'!E19:I19,"LEPTOS")*100/P19)</f>
        <v>0</v>
      </c>
      <c r="AU19">
        <f>IF(P19=0,0,COUNTIF('Transect 4_imgsummary'!E19:I19,"LOBOPH")*100/P19)</f>
        <v>0</v>
      </c>
      <c r="AV19">
        <f>IF(P19=0,0,COUNTIF('Transect 4_imgsummary'!E19:I19,"MERU")*100/P19)</f>
        <v>0</v>
      </c>
      <c r="AW19">
        <f>IF(P19=0,0,COUNTIF('Transect 4_imgsummary'!E19:I19,"MILL")*100/P19)</f>
        <v>0</v>
      </c>
      <c r="AX19">
        <f>IF(P19=0,0,COUNTIF('Transect 4_imgsummary'!E19:I19,"MONT")*100/P19)</f>
        <v>0</v>
      </c>
      <c r="AY19">
        <f>IF(P19=0,0,COUNTIF('Transect 4_imgsummary'!E19:I19,"MONTI")*100/P19)</f>
        <v>0</v>
      </c>
      <c r="AZ19">
        <f>IF(P19=0,0,COUNTIF('Transect 4_imgsummary'!E19:I19,"MYCED")*100/P19)</f>
        <v>0</v>
      </c>
      <c r="BA19">
        <f>IF(P19=0,0,COUNTIF('Transect 4_imgsummary'!E19:I19,"OULO")*100/P19)</f>
        <v>0</v>
      </c>
      <c r="BB19">
        <f>IF(P19=0,0,COUNTIF('Transect 4_imgsummary'!E19:I19,"OXYP")*100/P19)</f>
        <v>0</v>
      </c>
      <c r="BC19">
        <f>IF(P19=0,0,COUNTIF('Transect 4_imgsummary'!E19:I19,"PLSIA")*100/P19)</f>
        <v>0</v>
      </c>
      <c r="BD19">
        <f>IF(P19=0,0,COUNTIF('Transect 4_imgsummary'!E19:I19,"PACHY")*100/P19)</f>
        <v>0</v>
      </c>
      <c r="BE19">
        <f>IF(P19=0,0,COUNTIF('Transect 4_imgsummary'!E19:I19,"PAV")*100/P19)</f>
        <v>0</v>
      </c>
      <c r="BF19">
        <f>IF(P19=0,0,COUNTIF('Transect 4_imgsummary'!E19:I19,"PECT")*100/P19)</f>
        <v>0</v>
      </c>
      <c r="BG19">
        <f>IF(P19=0,0,COUNTIF('Transect 4_imgsummary'!E19:I19,"PHYSO")*100/P19)</f>
        <v>0</v>
      </c>
      <c r="BH19">
        <f>IF(P19=0,0,COUNTIF('Transect 4_imgsummary'!E19:I19,"PLAT")*100/P19)</f>
        <v>0</v>
      </c>
      <c r="BI19">
        <f>IF(P19=0,0,COUNTIF('Transect 4_imgsummary'!E19:I19,"PLERO")*100/P19)</f>
        <v>0</v>
      </c>
      <c r="BJ19">
        <f>IF(P19=0,0,COUNTIF('Transect 4_imgsummary'!E19:I19,"POC")*100/P19)</f>
        <v>0</v>
      </c>
      <c r="BK19">
        <f>IF(P19=0,0,COUNTIF('Transect 4_imgsummary'!E19:I19,"POR")*100/P19)</f>
        <v>0</v>
      </c>
      <c r="BL19">
        <f>IF(P19=0,0,COUNTIF('Transect 4_imgsummary'!E19:I19,"PORCYL")*100/P19)</f>
        <v>0</v>
      </c>
      <c r="BM19">
        <f>IF(P19=0,0,COUNTIF('Transect 4_imgsummary'!E19:I19,"PORMAS")*100/P19)</f>
        <v>0</v>
      </c>
      <c r="BN19">
        <f>IF(P19=0,0,COUNTIF('Transect 4_imgsummary'!E19:I19,"PORRUS")*100/P19)</f>
        <v>0</v>
      </c>
      <c r="BO19">
        <f>IF(P19=0,0,COUNTIF('Transect 4_imgsummary'!E19:I19,"PSAM")*100/P19)</f>
        <v>0</v>
      </c>
      <c r="BP19">
        <f>IF(P19=0,0,COUNTIF('Transect 4_imgsummary'!E19:I19,"SANDO")*100/P19)</f>
        <v>0</v>
      </c>
      <c r="BQ19">
        <f>IF(P19=0,0,COUNTIF('Transect 4_imgsummary'!E19:I19,"SCAP")*100/P19)</f>
        <v>0</v>
      </c>
      <c r="BR19">
        <f>IF(P19=0,0,COUNTIF('Transect 4_imgsummary'!E19:I19,"SERIA")*100/P19)</f>
        <v>0</v>
      </c>
      <c r="BS19">
        <f>IF(P19=0,0,COUNTIF('Transect 4_imgsummary'!E19:I19,"STYLC")*100/P19)</f>
        <v>0</v>
      </c>
      <c r="BT19">
        <f>IF(P19=0,0,COUNTIF('Transect 4_imgsummary'!E19:I19,"STYLO")*100/P19)</f>
        <v>0</v>
      </c>
      <c r="BU19">
        <f>IF(P19=0,0,COUNTIF('Transect 4_imgsummary'!E19:I19,"SYMP")*100/P19)</f>
        <v>0</v>
      </c>
      <c r="BV19">
        <f>IF(P19=0,0,COUNTIF('Transect 4_imgsummary'!E19:I19,"TURBIN")*100/P19)</f>
        <v>0</v>
      </c>
      <c r="BX19">
        <f>IF(P19=0,0,COUNTIF('Transect 4_imgsummary'!E19:I19,"ANEM")*100/P19)</f>
        <v>0</v>
      </c>
      <c r="BY19">
        <f>IF(P19=0,0,COUNTIF('Transect 4_imgsummary'!E19:I19,"ASC")*100/P19)</f>
        <v>0</v>
      </c>
      <c r="BZ19">
        <f>IF(P19=0,0,COUNTIF('Transect 4_imgsummary'!E19:I19,"CUPS")*100/P19)</f>
        <v>0</v>
      </c>
      <c r="CA19">
        <f>IF(P19=0,0,COUNTIF('Transect 4_imgsummary'!E19:I19,"DISCO")*100/P19)</f>
        <v>0</v>
      </c>
      <c r="CB19">
        <f>IF(P19=0,0,COUNTIF('Transect 4_imgsummary'!E19:I19,"DYS")*100/P19)</f>
        <v>0</v>
      </c>
      <c r="CC19">
        <f>IF(P19=0,0,COUNTIF('Transect 4_imgsummary'!E19:I19,"G")*100/P19)</f>
        <v>0</v>
      </c>
      <c r="CD19">
        <f>IF(P19=0,0,COUNTIF('Transect 4_imgsummary'!E19:I19,"NoIDINV")*100/P19)</f>
        <v>0</v>
      </c>
      <c r="CE19">
        <f>IF(P19=0,0,COUNTIF('Transect 4_imgsummary'!E19:I19,"OLV")*100/P19)</f>
        <v>0</v>
      </c>
      <c r="CF19">
        <f>IF(P19=0,0,COUNTIF('Transect 4_imgsummary'!E19:I19,"SC")*100/P19)</f>
        <v>0</v>
      </c>
      <c r="CG19">
        <f>IF(P19=0,0,COUNTIF('Transect 4_imgsummary'!E19:I19,"S")*100/P19)</f>
        <v>0</v>
      </c>
      <c r="CH19">
        <f>IF(P19=0,0,COUNTIF('Transect 4_imgsummary'!E19:I19,"TERPS")*100/P19)</f>
        <v>0</v>
      </c>
      <c r="CI19">
        <f>IF(P19=0,0,COUNTIF('Transect 4_imgsummary'!E19:I19,"Z")*100/P19)</f>
        <v>0</v>
      </c>
      <c r="CK19">
        <f>IF(P19=0,0,COUNTIF('Transect 4_imgsummary'!E19:I19,"ASP")*100/P19)</f>
        <v>0</v>
      </c>
      <c r="CL19">
        <f>IF(P19=0,0,COUNTIF('Transect 4_imgsummary'!E19:I19,"BG")*100/P19)</f>
        <v>0</v>
      </c>
      <c r="CM19">
        <f>IF(P19=0,0,COUNTIF('Transect 4_imgsummary'!E19:I19,"Bood")*100/P19)</f>
        <v>0</v>
      </c>
      <c r="CN19">
        <f>IF(P19=0,0,COUNTIF('Transect 4_imgsummary'!E19:I19,"BRYP")*100/P19)</f>
        <v>0</v>
      </c>
      <c r="CO19">
        <f>IF(P19=0,0,COUNTIF('Transect 4_imgsummary'!E19:I19,"CLP")*100/P19)</f>
        <v>0</v>
      </c>
      <c r="CP19">
        <f>IF(P19=0,0,COUNTIF('Transect 4_imgsummary'!E19:I19,"CHLDES")*100/P19)</f>
        <v>0</v>
      </c>
      <c r="CQ19">
        <f>IF(P19=0,0,COUNTIF('Transect 4_imgsummary'!E19:I19,"DYCTY")*100/P19)</f>
        <v>0</v>
      </c>
      <c r="CR19">
        <f>IF(P19=0,0,COUNTIF('Transect 4_imgsummary'!E19:I19,"DICT")*100/P19)</f>
        <v>0</v>
      </c>
      <c r="CS19">
        <f>IF(P19=0,0,COUNTIF('Transect 4_imgsummary'!E19:I19,"GLXU")*100/P19)</f>
        <v>0</v>
      </c>
      <c r="CT19">
        <f>IF(P19=0,0,COUNTIF('Transect 4_imgsummary'!E19:I19,"HALI")*100/P19)</f>
        <v>0</v>
      </c>
      <c r="CU19">
        <f>IF(P19=0,0,COUNTIF('Transect 4_imgsummary'!E19:I19,"LIAG")*100/P19)</f>
        <v>0</v>
      </c>
      <c r="CV19">
        <f>IF(P19=0,0,COUNTIF('Transect 4_imgsummary'!E19:I19,"LOBO")*100/P19)</f>
        <v>0</v>
      </c>
      <c r="CW19">
        <f>IF(P19=0,0,COUNTIF('Transect 4_imgsummary'!E19:I19,"MAST")*100/P19)</f>
        <v>0</v>
      </c>
      <c r="CX19">
        <f>IF(P19=0,0,COUNTIF('Transect 4_imgsummary'!E19:I19,"MICDTY")*100/P19)</f>
        <v>0</v>
      </c>
      <c r="CY19">
        <f>IF(P19=0,0,COUNTIF('Transect 4_imgsummary'!E19:I19,"NEOM")*100/P19)</f>
        <v>0</v>
      </c>
      <c r="CZ19">
        <f>IF(P19=0,0,COUNTIF('Transect 4_imgsummary'!E19:I19,"NOIDMAC")*100/P19)</f>
        <v>0</v>
      </c>
      <c r="DA19">
        <f>IF(P19=0,0,COUNTIF('Transect 4_imgsummary'!E19:I19,"PAD")*100/P19)</f>
        <v>0</v>
      </c>
      <c r="DB19">
        <f>IF(P19=0,0,COUNTIF('Transect 4_imgsummary'!E19:I19,"SARG")*100/P19)</f>
        <v>0</v>
      </c>
      <c r="DC19">
        <f>IF(P19=0,0,COUNTIF('Transect 4_imgsummary'!E19:I19,"SCHIZ")*100/P19)</f>
        <v>0</v>
      </c>
      <c r="DD19">
        <f>IF(P19=0,0,COUNTIF('Transect 4_imgsummary'!E19:I19,"TURB")*100/P19)</f>
        <v>0</v>
      </c>
      <c r="DE19">
        <f>IF(P19=0,0,COUNTIF('Transect 4_imgsummary'!E19:I19,"TYDM")*100/P19)</f>
        <v>0</v>
      </c>
      <c r="DG19">
        <f>IF(P19=0,0,COUNTIF('Transect 4_imgsummary'!E19:I19,"AMP")*100/P19)</f>
        <v>0</v>
      </c>
      <c r="DH19">
        <f>IF(P19=0,0,COUNTIF('Transect 4_imgsummary'!E19:I19,"BCA1")*100/P19)</f>
        <v>0</v>
      </c>
      <c r="DI19">
        <f>IF(P19=0,0,COUNTIF('Transect 4_imgsummary'!E19:I19,"JAN")*100/P19)</f>
        <v>0</v>
      </c>
      <c r="DK19">
        <f>IF(P19=0,0,COUNTIF('Transect 4_imgsummary'!E19:I19,"CCA1")*100/P19)</f>
        <v>0</v>
      </c>
      <c r="DM19">
        <f>IF(P19=0,0,COUNTIF('Transect 4_imgsummary'!E19:I19,"Sand")*100/P19)</f>
        <v>0</v>
      </c>
      <c r="DO19" s="29">
        <f>IF(P19=0,0,COUNTIF('Transect 4_imgsummary'!E19:I19,"FCA1")*100/P19)</f>
        <v>20</v>
      </c>
      <c r="DQ19">
        <f>IF(P19=0,0,COUNTIF('Transect 4_imgsummary'!E19:I19,"CHRYOBRN")*100/P19)</f>
        <v>0</v>
      </c>
      <c r="DS19" s="29">
        <f>IF(P19=0,0,COUNTIF('Transect 4_imgsummary'!E19:I19,"TURF")*100/P19)</f>
        <v>40</v>
      </c>
      <c r="DU19">
        <f>COUNTIF('Transect 4_imgsummary'!E19:I19,"Shadow")*100/5</f>
        <v>0</v>
      </c>
      <c r="DV19">
        <f>COUNTIF('Transect 4_imgsummary'!E19:I19,"Tape")*100/5</f>
        <v>0</v>
      </c>
      <c r="DW19">
        <f>COUNTIF('Transect 4_imgsummary'!E19:I19,"Wand")*100/5</f>
        <v>0</v>
      </c>
      <c r="DY19">
        <f>IF(P19=0,0,COUNTIF('Transect 4_imgsummary'!O19:S19,"BC")*100/P19)</f>
        <v>0</v>
      </c>
    </row>
    <row r="20" spans="1:129">
      <c r="A20">
        <v>18</v>
      </c>
      <c r="B20" t="s">
        <v>563</v>
      </c>
      <c r="F20" s="29">
        <f>IF(P20=0,0,COUNTIF('Transect 4_imgsummary'!J20:N20,"C")*100/P20)</f>
        <v>100</v>
      </c>
      <c r="G20">
        <f>IF(P20=0,0,COUNTIF('Transect 4_imgsummary'!J20:N20,"OI")*100/P20)</f>
        <v>0</v>
      </c>
      <c r="H20">
        <f>IF(P20=0,0,COUNTIF('Transect 4_imgsummary'!J20:N20,"MA")*100/P20)</f>
        <v>0</v>
      </c>
      <c r="I20">
        <f>IF(P20=0,0,COUNTIF('Transect 4_imgsummary'!J20:N20,"BCA")*100/P20)</f>
        <v>0</v>
      </c>
      <c r="J20">
        <f>IF(P20=0,0,COUNTIF('Transect 4_imgsummary'!J20:N20,"CCA")*100/P20)</f>
        <v>0</v>
      </c>
      <c r="K20">
        <f>IF(P20=0,0,COUNTIF('Transect 4_imgsummary'!J20:N20,"SD")*100/P20)</f>
        <v>0</v>
      </c>
      <c r="L20">
        <f>IF(P20=0,0,COUNTIF('Transect 4_imgsummary'!J20:N20,"FCA")*100/P20)</f>
        <v>0</v>
      </c>
      <c r="M20">
        <f>IF(P20=0,0,COUNTIF('Transect 4_imgsummary'!J20:N20,"CHRYS")*100/P20)</f>
        <v>0</v>
      </c>
      <c r="N20">
        <f>IF(P20=0,0,COUNTIF('Transect 4_imgsummary'!J20:N20,"T")*100/P20)</f>
        <v>0</v>
      </c>
      <c r="O20">
        <f>IF(P20=0,0,COUNTIF('Transect 4_imgsummary'!J20:N20,"TWS")*100/P20)</f>
        <v>0</v>
      </c>
      <c r="P20">
        <f>5-COUNTIF('Transect 4_imgsummary'!J20:N20,"TWS")</f>
        <v>5</v>
      </c>
      <c r="S20">
        <f>IF(P20=0,0,COUNTIF('Transect 4_imgsummary'!E20:I20,"ACAN")*100/P20)</f>
        <v>0</v>
      </c>
      <c r="T20">
        <f>IF(P20=0,0,COUNTIF('Transect 4_imgsummary'!E20:I20,"ACROP")*100/P20)</f>
        <v>0</v>
      </c>
      <c r="U20">
        <f>IF(P20=0,0,COUNTIF('Transect 4_imgsummary'!E20:I20,"ACROPARB")*100/P20)</f>
        <v>0</v>
      </c>
      <c r="V20">
        <f>IF(P20=0,0,COUNTIF('Transect 4_imgsummary'!E20:I20,"ACROST")*100/P20)</f>
        <v>0</v>
      </c>
      <c r="W20">
        <f>IF(P20=0,0,COUNTIF('Transect 4_imgsummary'!E20:I20,"ACROTBL")*100/P20)</f>
        <v>0</v>
      </c>
      <c r="X20">
        <f>IF(P20=0,0,COUNTIF('Transect 4_imgsummary'!E20:I20,"ASTRP")*100/P20)</f>
        <v>0</v>
      </c>
      <c r="Y20">
        <f>IF(P20=0,0,COUNTIF('Transect 4_imgsummary'!E20:I20,"CAUL")*100/P20)</f>
        <v>0</v>
      </c>
      <c r="Z20">
        <f>IF(P20=0,0,COUNTIF('Transect 4_imgsummary'!E20:I20,"COSC")*100/P20)</f>
        <v>0</v>
      </c>
      <c r="AA20">
        <f>IF(P20=0,0,COUNTIF('Transect 4_imgsummary'!E20:I20,"CTEN")*100/P20)</f>
        <v>0</v>
      </c>
      <c r="AB20">
        <f>IF(P20=0,0,COUNTIF('Transect 4_imgsummary'!E20:I20,"CYPH")*100/P20)</f>
        <v>0</v>
      </c>
      <c r="AC20">
        <f>IF(P20=0,0,COUNTIF('Transect 4_imgsummary'!E20:I20,"DIPLO")*100/P20)</f>
        <v>0</v>
      </c>
      <c r="AD20">
        <f>IF(P20=0,0,COUNTIF('Transect 4_imgsummary'!E20:I20,"ECHPO")*100/P20)</f>
        <v>0</v>
      </c>
      <c r="AE20">
        <f>IF(P20=0,0,COUNTIF('Transect 4_imgsummary'!E20:I20,"ECHPHY")*100/P20)</f>
        <v>0</v>
      </c>
      <c r="AF20">
        <f>IF(P20=0,0,COUNTIF('Transect 4_imgsummary'!E20:I20,"EUPH")*100/P20)</f>
        <v>0</v>
      </c>
      <c r="AG20">
        <f>IF(P20=0,0,COUNTIF('Transect 4_imgsummary'!E20:I20,"FAV")*100/P20)</f>
        <v>0</v>
      </c>
      <c r="AH20">
        <f>IF(P20=0,0,COUNTIF('Transect 4_imgsummary'!E20:I20,"FAVT")*100/P20)</f>
        <v>0</v>
      </c>
      <c r="AI20">
        <f>IF(P20=0,0,COUNTIF('Transect 4_imgsummary'!E20:I20,"FUNG")*100/P20)</f>
        <v>0</v>
      </c>
      <c r="AJ20">
        <f>IF(P20=0,0,COUNTIF('Transect 4_imgsummary'!E20:I20,"GAL")*100/P20)</f>
        <v>0</v>
      </c>
      <c r="AK20">
        <f>IF(P20=0,0,COUNTIF('Transect 4_imgsummary'!E20:I20,"GARD")*100/P20)</f>
        <v>0</v>
      </c>
      <c r="AL20">
        <f>IF(P20=0,0,COUNTIF('Transect 4_imgsummary'!E20:I20,"GON")*100/P20)</f>
        <v>0</v>
      </c>
      <c r="AM20">
        <f>IF(P20=0,0,COUNTIF('Transect 4_imgsummary'!E20:I20,"GONIO")*100/P20)</f>
        <v>0</v>
      </c>
      <c r="AN20">
        <f>IF(P20=0,0,COUNTIF('Transect 4_imgsummary'!E20:I20,"HELIO")*100/P20)</f>
        <v>0</v>
      </c>
      <c r="AO20">
        <f>IF(P20=0,0,COUNTIF('Transect 4_imgsummary'!E20:I20,"HERP")*100/P20)</f>
        <v>0</v>
      </c>
      <c r="AP20">
        <f>IF(P20=0,0,COUNTIF('Transect 4_imgsummary'!E20:I20,"HYD")*100/P20)</f>
        <v>0</v>
      </c>
      <c r="AQ20">
        <f>IF(P20=0,0,COUNTIF('Transect 4_imgsummary'!E20:I20,"ISOP")*100/P20)</f>
        <v>0</v>
      </c>
      <c r="AR20" s="29">
        <f>IF(P20=0,0,COUNTIF('Transect 4_imgsummary'!E20:I20,"LEPT")*100/P20)</f>
        <v>100</v>
      </c>
      <c r="AS20">
        <f>IF(P20=0,0,COUNTIF('Transect 4_imgsummary'!E20:I20,"LEPTOR")*100/P20)</f>
        <v>0</v>
      </c>
      <c r="AT20">
        <f>IF(P20=0,0,COUNTIF('Transect 4_imgsummary'!E20:I20,"LEPTOS")*100/P20)</f>
        <v>0</v>
      </c>
      <c r="AU20">
        <f>IF(P20=0,0,COUNTIF('Transect 4_imgsummary'!E20:I20,"LOBOPH")*100/P20)</f>
        <v>0</v>
      </c>
      <c r="AV20">
        <f>IF(P20=0,0,COUNTIF('Transect 4_imgsummary'!E20:I20,"MERU")*100/P20)</f>
        <v>0</v>
      </c>
      <c r="AW20">
        <f>IF(P20=0,0,COUNTIF('Transect 4_imgsummary'!E20:I20,"MILL")*100/P20)</f>
        <v>0</v>
      </c>
      <c r="AX20">
        <f>IF(P20=0,0,COUNTIF('Transect 4_imgsummary'!E20:I20,"MONT")*100/P20)</f>
        <v>0</v>
      </c>
      <c r="AY20">
        <f>IF(P20=0,0,COUNTIF('Transect 4_imgsummary'!E20:I20,"MONTI")*100/P20)</f>
        <v>0</v>
      </c>
      <c r="AZ20">
        <f>IF(P20=0,0,COUNTIF('Transect 4_imgsummary'!E20:I20,"MYCED")*100/P20)</f>
        <v>0</v>
      </c>
      <c r="BA20">
        <f>IF(P20=0,0,COUNTIF('Transect 4_imgsummary'!E20:I20,"OULO")*100/P20)</f>
        <v>0</v>
      </c>
      <c r="BB20">
        <f>IF(P20=0,0,COUNTIF('Transect 4_imgsummary'!E20:I20,"OXYP")*100/P20)</f>
        <v>0</v>
      </c>
      <c r="BC20">
        <f>IF(P20=0,0,COUNTIF('Transect 4_imgsummary'!E20:I20,"PLSIA")*100/P20)</f>
        <v>0</v>
      </c>
      <c r="BD20">
        <f>IF(P20=0,0,COUNTIF('Transect 4_imgsummary'!E20:I20,"PACHY")*100/P20)</f>
        <v>0</v>
      </c>
      <c r="BE20">
        <f>IF(P20=0,0,COUNTIF('Transect 4_imgsummary'!E20:I20,"PAV")*100/P20)</f>
        <v>0</v>
      </c>
      <c r="BF20">
        <f>IF(P20=0,0,COUNTIF('Transect 4_imgsummary'!E20:I20,"PECT")*100/P20)</f>
        <v>0</v>
      </c>
      <c r="BG20">
        <f>IF(P20=0,0,COUNTIF('Transect 4_imgsummary'!E20:I20,"PHYSO")*100/P20)</f>
        <v>0</v>
      </c>
      <c r="BH20">
        <f>IF(P20=0,0,COUNTIF('Transect 4_imgsummary'!E20:I20,"PLAT")*100/P20)</f>
        <v>0</v>
      </c>
      <c r="BI20">
        <f>IF(P20=0,0,COUNTIF('Transect 4_imgsummary'!E20:I20,"PLERO")*100/P20)</f>
        <v>0</v>
      </c>
      <c r="BJ20">
        <f>IF(P20=0,0,COUNTIF('Transect 4_imgsummary'!E20:I20,"POC")*100/P20)</f>
        <v>0</v>
      </c>
      <c r="BK20">
        <f>IF(P20=0,0,COUNTIF('Transect 4_imgsummary'!E20:I20,"POR")*100/P20)</f>
        <v>0</v>
      </c>
      <c r="BL20">
        <f>IF(P20=0,0,COUNTIF('Transect 4_imgsummary'!E20:I20,"PORCYL")*100/P20)</f>
        <v>0</v>
      </c>
      <c r="BM20">
        <f>IF(P20=0,0,COUNTIF('Transect 4_imgsummary'!E20:I20,"PORMAS")*100/P20)</f>
        <v>0</v>
      </c>
      <c r="BN20">
        <f>IF(P20=0,0,COUNTIF('Transect 4_imgsummary'!E20:I20,"PORRUS")*100/P20)</f>
        <v>0</v>
      </c>
      <c r="BO20">
        <f>IF(P20=0,0,COUNTIF('Transect 4_imgsummary'!E20:I20,"PSAM")*100/P20)</f>
        <v>0</v>
      </c>
      <c r="BP20">
        <f>IF(P20=0,0,COUNTIF('Transect 4_imgsummary'!E20:I20,"SANDO")*100/P20)</f>
        <v>0</v>
      </c>
      <c r="BQ20">
        <f>IF(P20=0,0,COUNTIF('Transect 4_imgsummary'!E20:I20,"SCAP")*100/P20)</f>
        <v>0</v>
      </c>
      <c r="BR20">
        <f>IF(P20=0,0,COUNTIF('Transect 4_imgsummary'!E20:I20,"SERIA")*100/P20)</f>
        <v>0</v>
      </c>
      <c r="BS20">
        <f>IF(P20=0,0,COUNTIF('Transect 4_imgsummary'!E20:I20,"STYLC")*100/P20)</f>
        <v>0</v>
      </c>
      <c r="BT20">
        <f>IF(P20=0,0,COUNTIF('Transect 4_imgsummary'!E20:I20,"STYLO")*100/P20)</f>
        <v>0</v>
      </c>
      <c r="BU20">
        <f>IF(P20=0,0,COUNTIF('Transect 4_imgsummary'!E20:I20,"SYMP")*100/P20)</f>
        <v>0</v>
      </c>
      <c r="BV20">
        <f>IF(P20=0,0,COUNTIF('Transect 4_imgsummary'!E20:I20,"TURBIN")*100/P20)</f>
        <v>0</v>
      </c>
      <c r="BX20">
        <f>IF(P20=0,0,COUNTIF('Transect 4_imgsummary'!E20:I20,"ANEM")*100/P20)</f>
        <v>0</v>
      </c>
      <c r="BY20">
        <f>IF(P20=0,0,COUNTIF('Transect 4_imgsummary'!E20:I20,"ASC")*100/P20)</f>
        <v>0</v>
      </c>
      <c r="BZ20">
        <f>IF(P20=0,0,COUNTIF('Transect 4_imgsummary'!E20:I20,"CUPS")*100/P20)</f>
        <v>0</v>
      </c>
      <c r="CA20">
        <f>IF(P20=0,0,COUNTIF('Transect 4_imgsummary'!E20:I20,"DISCO")*100/P20)</f>
        <v>0</v>
      </c>
      <c r="CB20">
        <f>IF(P20=0,0,COUNTIF('Transect 4_imgsummary'!E20:I20,"DYS")*100/P20)</f>
        <v>0</v>
      </c>
      <c r="CC20">
        <f>IF(P20=0,0,COUNTIF('Transect 4_imgsummary'!E20:I20,"G")*100/P20)</f>
        <v>0</v>
      </c>
      <c r="CD20">
        <f>IF(P20=0,0,COUNTIF('Transect 4_imgsummary'!E20:I20,"NoIDINV")*100/P20)</f>
        <v>0</v>
      </c>
      <c r="CE20">
        <f>IF(P20=0,0,COUNTIF('Transect 4_imgsummary'!E20:I20,"OLV")*100/P20)</f>
        <v>0</v>
      </c>
      <c r="CF20">
        <f>IF(P20=0,0,COUNTIF('Transect 4_imgsummary'!E20:I20,"SC")*100/P20)</f>
        <v>0</v>
      </c>
      <c r="CG20">
        <f>IF(P20=0,0,COUNTIF('Transect 4_imgsummary'!E20:I20,"S")*100/P20)</f>
        <v>0</v>
      </c>
      <c r="CH20">
        <f>IF(P20=0,0,COUNTIF('Transect 4_imgsummary'!E20:I20,"TERPS")*100/P20)</f>
        <v>0</v>
      </c>
      <c r="CI20">
        <f>IF(P20=0,0,COUNTIF('Transect 4_imgsummary'!E20:I20,"Z")*100/P20)</f>
        <v>0</v>
      </c>
      <c r="CK20">
        <f>IF(P20=0,0,COUNTIF('Transect 4_imgsummary'!E20:I20,"ASP")*100/P20)</f>
        <v>0</v>
      </c>
      <c r="CL20">
        <f>IF(P20=0,0,COUNTIF('Transect 4_imgsummary'!E20:I20,"BG")*100/P20)</f>
        <v>0</v>
      </c>
      <c r="CM20">
        <f>IF(P20=0,0,COUNTIF('Transect 4_imgsummary'!E20:I20,"Bood")*100/P20)</f>
        <v>0</v>
      </c>
      <c r="CN20">
        <f>IF(P20=0,0,COUNTIF('Transect 4_imgsummary'!E20:I20,"BRYP")*100/P20)</f>
        <v>0</v>
      </c>
      <c r="CO20">
        <f>IF(P20=0,0,COUNTIF('Transect 4_imgsummary'!E20:I20,"CLP")*100/P20)</f>
        <v>0</v>
      </c>
      <c r="CP20">
        <f>IF(P20=0,0,COUNTIF('Transect 4_imgsummary'!E20:I20,"CHLDES")*100/P20)</f>
        <v>0</v>
      </c>
      <c r="CQ20">
        <f>IF(P20=0,0,COUNTIF('Transect 4_imgsummary'!E20:I20,"DYCTY")*100/P20)</f>
        <v>0</v>
      </c>
      <c r="CR20">
        <f>IF(P20=0,0,COUNTIF('Transect 4_imgsummary'!E20:I20,"DICT")*100/P20)</f>
        <v>0</v>
      </c>
      <c r="CS20">
        <f>IF(P20=0,0,COUNTIF('Transect 4_imgsummary'!E20:I20,"GLXU")*100/P20)</f>
        <v>0</v>
      </c>
      <c r="CT20">
        <f>IF(P20=0,0,COUNTIF('Transect 4_imgsummary'!E20:I20,"HALI")*100/P20)</f>
        <v>0</v>
      </c>
      <c r="CU20">
        <f>IF(P20=0,0,COUNTIF('Transect 4_imgsummary'!E20:I20,"LIAG")*100/P20)</f>
        <v>0</v>
      </c>
      <c r="CV20">
        <f>IF(P20=0,0,COUNTIF('Transect 4_imgsummary'!E20:I20,"LOBO")*100/P20)</f>
        <v>0</v>
      </c>
      <c r="CW20">
        <f>IF(P20=0,0,COUNTIF('Transect 4_imgsummary'!E20:I20,"MAST")*100/P20)</f>
        <v>0</v>
      </c>
      <c r="CX20">
        <f>IF(P20=0,0,COUNTIF('Transect 4_imgsummary'!E20:I20,"MICDTY")*100/P20)</f>
        <v>0</v>
      </c>
      <c r="CY20">
        <f>IF(P20=0,0,COUNTIF('Transect 4_imgsummary'!E20:I20,"NEOM")*100/P20)</f>
        <v>0</v>
      </c>
      <c r="CZ20">
        <f>IF(P20=0,0,COUNTIF('Transect 4_imgsummary'!E20:I20,"NOIDMAC")*100/P20)</f>
        <v>0</v>
      </c>
      <c r="DA20">
        <f>IF(P20=0,0,COUNTIF('Transect 4_imgsummary'!E20:I20,"PAD")*100/P20)</f>
        <v>0</v>
      </c>
      <c r="DB20">
        <f>IF(P20=0,0,COUNTIF('Transect 4_imgsummary'!E20:I20,"SARG")*100/P20)</f>
        <v>0</v>
      </c>
      <c r="DC20">
        <f>IF(P20=0,0,COUNTIF('Transect 4_imgsummary'!E20:I20,"SCHIZ")*100/P20)</f>
        <v>0</v>
      </c>
      <c r="DD20">
        <f>IF(P20=0,0,COUNTIF('Transect 4_imgsummary'!E20:I20,"TURB")*100/P20)</f>
        <v>0</v>
      </c>
      <c r="DE20">
        <f>IF(P20=0,0,COUNTIF('Transect 4_imgsummary'!E20:I20,"TYDM")*100/P20)</f>
        <v>0</v>
      </c>
      <c r="DG20">
        <f>IF(P20=0,0,COUNTIF('Transect 4_imgsummary'!E20:I20,"AMP")*100/P20)</f>
        <v>0</v>
      </c>
      <c r="DH20">
        <f>IF(P20=0,0,COUNTIF('Transect 4_imgsummary'!E20:I20,"BCA1")*100/P20)</f>
        <v>0</v>
      </c>
      <c r="DI20">
        <f>IF(P20=0,0,COUNTIF('Transect 4_imgsummary'!E20:I20,"JAN")*100/P20)</f>
        <v>0</v>
      </c>
      <c r="DK20">
        <f>IF(P20=0,0,COUNTIF('Transect 4_imgsummary'!E20:I20,"CCA1")*100/P20)</f>
        <v>0</v>
      </c>
      <c r="DM20">
        <f>IF(P20=0,0,COUNTIF('Transect 4_imgsummary'!E20:I20,"Sand")*100/P20)</f>
        <v>0</v>
      </c>
      <c r="DO20">
        <f>IF(P20=0,0,COUNTIF('Transect 4_imgsummary'!E20:I20,"FCA1")*100/P20)</f>
        <v>0</v>
      </c>
      <c r="DQ20">
        <f>IF(P20=0,0,COUNTIF('Transect 4_imgsummary'!E20:I20,"CHRYOBRN")*100/P20)</f>
        <v>0</v>
      </c>
      <c r="DS20">
        <f>IF(P20=0,0,COUNTIF('Transect 4_imgsummary'!E20:I20,"TURF")*100/P20)</f>
        <v>0</v>
      </c>
      <c r="DU20">
        <f>COUNTIF('Transect 4_imgsummary'!E20:I20,"Shadow")*100/5</f>
        <v>0</v>
      </c>
      <c r="DV20">
        <f>COUNTIF('Transect 4_imgsummary'!E20:I20,"Tape")*100/5</f>
        <v>0</v>
      </c>
      <c r="DW20">
        <f>COUNTIF('Transect 4_imgsummary'!E20:I20,"Wand")*100/5</f>
        <v>0</v>
      </c>
      <c r="DY20">
        <f>IF(P20=0,0,COUNTIF('Transect 4_imgsummary'!O20:S20,"BC")*100/P20)</f>
        <v>0</v>
      </c>
    </row>
    <row r="21" spans="1:129">
      <c r="A21">
        <v>19</v>
      </c>
      <c r="B21" t="s">
        <v>564</v>
      </c>
      <c r="F21" s="29">
        <f>IF(P21=0,0,COUNTIF('Transect 4_imgsummary'!J21:N21,"C")*100/P21)</f>
        <v>60</v>
      </c>
      <c r="G21">
        <f>IF(P21=0,0,COUNTIF('Transect 4_imgsummary'!J21:N21,"OI")*100/P21)</f>
        <v>0</v>
      </c>
      <c r="H21">
        <f>IF(P21=0,0,COUNTIF('Transect 4_imgsummary'!J21:N21,"MA")*100/P21)</f>
        <v>0</v>
      </c>
      <c r="I21">
        <f>IF(P21=0,0,COUNTIF('Transect 4_imgsummary'!J21:N21,"BCA")*100/P21)</f>
        <v>0</v>
      </c>
      <c r="J21" s="29">
        <f>IF(P21=0,0,COUNTIF('Transect 4_imgsummary'!J21:N21,"CCA")*100/P21)</f>
        <v>20</v>
      </c>
      <c r="K21">
        <f>IF(P21=0,0,COUNTIF('Transect 4_imgsummary'!J21:N21,"SD")*100/P21)</f>
        <v>0</v>
      </c>
      <c r="L21">
        <f>IF(P21=0,0,COUNTIF('Transect 4_imgsummary'!J21:N21,"FCA")*100/P21)</f>
        <v>0</v>
      </c>
      <c r="M21">
        <f>IF(P21=0,0,COUNTIF('Transect 4_imgsummary'!J21:N21,"CHRYS")*100/P21)</f>
        <v>0</v>
      </c>
      <c r="N21" s="29">
        <f>IF(P21=0,0,COUNTIF('Transect 4_imgsummary'!J21:N21,"T")*100/P21)</f>
        <v>20</v>
      </c>
      <c r="O21">
        <f>IF(P21=0,0,COUNTIF('Transect 4_imgsummary'!J21:N21,"TWS")*100/P21)</f>
        <v>0</v>
      </c>
      <c r="P21">
        <f>5-COUNTIF('Transect 4_imgsummary'!J21:N21,"TWS")</f>
        <v>5</v>
      </c>
      <c r="S21">
        <f>IF(P21=0,0,COUNTIF('Transect 4_imgsummary'!E21:I21,"ACAN")*100/P21)</f>
        <v>0</v>
      </c>
      <c r="T21">
        <f>IF(P21=0,0,COUNTIF('Transect 4_imgsummary'!E21:I21,"ACROP")*100/P21)</f>
        <v>0</v>
      </c>
      <c r="U21">
        <f>IF(P21=0,0,COUNTIF('Transect 4_imgsummary'!E21:I21,"ACROPARB")*100/P21)</f>
        <v>0</v>
      </c>
      <c r="V21">
        <f>IF(P21=0,0,COUNTIF('Transect 4_imgsummary'!E21:I21,"ACROST")*100/P21)</f>
        <v>0</v>
      </c>
      <c r="W21">
        <f>IF(P21=0,0,COUNTIF('Transect 4_imgsummary'!E21:I21,"ACROTBL")*100/P21)</f>
        <v>0</v>
      </c>
      <c r="X21">
        <f>IF(P21=0,0,COUNTIF('Transect 4_imgsummary'!E21:I21,"ASTRP")*100/P21)</f>
        <v>0</v>
      </c>
      <c r="Y21">
        <f>IF(P21=0,0,COUNTIF('Transect 4_imgsummary'!E21:I21,"CAUL")*100/P21)</f>
        <v>0</v>
      </c>
      <c r="Z21">
        <f>IF(P21=0,0,COUNTIF('Transect 4_imgsummary'!E21:I21,"COSC")*100/P21)</f>
        <v>0</v>
      </c>
      <c r="AA21">
        <f>IF(P21=0,0,COUNTIF('Transect 4_imgsummary'!E21:I21,"CTEN")*100/P21)</f>
        <v>0</v>
      </c>
      <c r="AB21">
        <f>IF(P21=0,0,COUNTIF('Transect 4_imgsummary'!E21:I21,"CYPH")*100/P21)</f>
        <v>0</v>
      </c>
      <c r="AC21">
        <f>IF(P21=0,0,COUNTIF('Transect 4_imgsummary'!E21:I21,"DIPLO")*100/P21)</f>
        <v>0</v>
      </c>
      <c r="AD21">
        <f>IF(P21=0,0,COUNTIF('Transect 4_imgsummary'!E21:I21,"ECHPO")*100/P21)</f>
        <v>0</v>
      </c>
      <c r="AE21">
        <f>IF(P21=0,0,COUNTIF('Transect 4_imgsummary'!E21:I21,"ECHPHY")*100/P21)</f>
        <v>0</v>
      </c>
      <c r="AF21">
        <f>IF(P21=0,0,COUNTIF('Transect 4_imgsummary'!E21:I21,"EUPH")*100/P21)</f>
        <v>0</v>
      </c>
      <c r="AG21">
        <f>IF(P21=0,0,COUNTIF('Transect 4_imgsummary'!E21:I21,"FAV")*100/P21)</f>
        <v>0</v>
      </c>
      <c r="AH21">
        <f>IF(P21=0,0,COUNTIF('Transect 4_imgsummary'!E21:I21,"FAVT")*100/P21)</f>
        <v>0</v>
      </c>
      <c r="AI21">
        <f>IF(P21=0,0,COUNTIF('Transect 4_imgsummary'!E21:I21,"FUNG")*100/P21)</f>
        <v>0</v>
      </c>
      <c r="AJ21">
        <f>IF(P21=0,0,COUNTIF('Transect 4_imgsummary'!E21:I21,"GAL")*100/P21)</f>
        <v>0</v>
      </c>
      <c r="AK21">
        <f>IF(P21=0,0,COUNTIF('Transect 4_imgsummary'!E21:I21,"GARD")*100/P21)</f>
        <v>0</v>
      </c>
      <c r="AL21">
        <f>IF(P21=0,0,COUNTIF('Transect 4_imgsummary'!E21:I21,"GON")*100/P21)</f>
        <v>0</v>
      </c>
      <c r="AM21">
        <f>IF(P21=0,0,COUNTIF('Transect 4_imgsummary'!E21:I21,"GONIO")*100/P21)</f>
        <v>0</v>
      </c>
      <c r="AN21">
        <f>IF(P21=0,0,COUNTIF('Transect 4_imgsummary'!E21:I21,"HELIO")*100/P21)</f>
        <v>0</v>
      </c>
      <c r="AO21">
        <f>IF(P21=0,0,COUNTIF('Transect 4_imgsummary'!E21:I21,"HERP")*100/P21)</f>
        <v>0</v>
      </c>
      <c r="AP21">
        <f>IF(P21=0,0,COUNTIF('Transect 4_imgsummary'!E21:I21,"HYD")*100/P21)</f>
        <v>0</v>
      </c>
      <c r="AQ21">
        <f>IF(P21=0,0,COUNTIF('Transect 4_imgsummary'!E21:I21,"ISOP")*100/P21)</f>
        <v>0</v>
      </c>
      <c r="AR21">
        <f>IF(P21=0,0,COUNTIF('Transect 4_imgsummary'!E21:I21,"LEPT")*100/P21)</f>
        <v>0</v>
      </c>
      <c r="AS21" s="29">
        <f>IF(P21=0,0,COUNTIF('Transect 4_imgsummary'!E21:I21,"LEPTOR")*100/P21)</f>
        <v>60</v>
      </c>
      <c r="AT21">
        <f>IF(P21=0,0,COUNTIF('Transect 4_imgsummary'!E21:I21,"LEPTOS")*100/P21)</f>
        <v>0</v>
      </c>
      <c r="AU21">
        <f>IF(P21=0,0,COUNTIF('Transect 4_imgsummary'!E21:I21,"LOBOPH")*100/P21)</f>
        <v>0</v>
      </c>
      <c r="AV21">
        <f>IF(P21=0,0,COUNTIF('Transect 4_imgsummary'!E21:I21,"MERU")*100/P21)</f>
        <v>0</v>
      </c>
      <c r="AW21">
        <f>IF(P21=0,0,COUNTIF('Transect 4_imgsummary'!E21:I21,"MILL")*100/P21)</f>
        <v>0</v>
      </c>
      <c r="AX21">
        <f>IF(P21=0,0,COUNTIF('Transect 4_imgsummary'!E21:I21,"MONT")*100/P21)</f>
        <v>0</v>
      </c>
      <c r="AY21">
        <f>IF(P21=0,0,COUNTIF('Transect 4_imgsummary'!E21:I21,"MONTI")*100/P21)</f>
        <v>0</v>
      </c>
      <c r="AZ21">
        <f>IF(P21=0,0,COUNTIF('Transect 4_imgsummary'!E21:I21,"MYCED")*100/P21)</f>
        <v>0</v>
      </c>
      <c r="BA21">
        <f>IF(P21=0,0,COUNTIF('Transect 4_imgsummary'!E21:I21,"OULO")*100/P21)</f>
        <v>0</v>
      </c>
      <c r="BB21">
        <f>IF(P21=0,0,COUNTIF('Transect 4_imgsummary'!E21:I21,"OXYP")*100/P21)</f>
        <v>0</v>
      </c>
      <c r="BC21">
        <f>IF(P21=0,0,COUNTIF('Transect 4_imgsummary'!E21:I21,"PLSIA")*100/P21)</f>
        <v>0</v>
      </c>
      <c r="BD21">
        <f>IF(P21=0,0,COUNTIF('Transect 4_imgsummary'!E21:I21,"PACHY")*100/P21)</f>
        <v>0</v>
      </c>
      <c r="BE21">
        <f>IF(P21=0,0,COUNTIF('Transect 4_imgsummary'!E21:I21,"PAV")*100/P21)</f>
        <v>0</v>
      </c>
      <c r="BF21">
        <f>IF(P21=0,0,COUNTIF('Transect 4_imgsummary'!E21:I21,"PECT")*100/P21)</f>
        <v>0</v>
      </c>
      <c r="BG21">
        <f>IF(P21=0,0,COUNTIF('Transect 4_imgsummary'!E21:I21,"PHYSO")*100/P21)</f>
        <v>0</v>
      </c>
      <c r="BH21">
        <f>IF(P21=0,0,COUNTIF('Transect 4_imgsummary'!E21:I21,"PLAT")*100/P21)</f>
        <v>0</v>
      </c>
      <c r="BI21">
        <f>IF(P21=0,0,COUNTIF('Transect 4_imgsummary'!E21:I21,"PLERO")*100/P21)</f>
        <v>0</v>
      </c>
      <c r="BJ21">
        <f>IF(P21=0,0,COUNTIF('Transect 4_imgsummary'!E21:I21,"POC")*100/P21)</f>
        <v>0</v>
      </c>
      <c r="BK21">
        <f>IF(P21=0,0,COUNTIF('Transect 4_imgsummary'!E21:I21,"POR")*100/P21)</f>
        <v>0</v>
      </c>
      <c r="BL21">
        <f>IF(P21=0,0,COUNTIF('Transect 4_imgsummary'!E21:I21,"PORCYL")*100/P21)</f>
        <v>0</v>
      </c>
      <c r="BM21">
        <f>IF(P21=0,0,COUNTIF('Transect 4_imgsummary'!E21:I21,"PORMAS")*100/P21)</f>
        <v>0</v>
      </c>
      <c r="BN21">
        <f>IF(P21=0,0,COUNTIF('Transect 4_imgsummary'!E21:I21,"PORRUS")*100/P21)</f>
        <v>0</v>
      </c>
      <c r="BO21">
        <f>IF(P21=0,0,COUNTIF('Transect 4_imgsummary'!E21:I21,"PSAM")*100/P21)</f>
        <v>0</v>
      </c>
      <c r="BP21">
        <f>IF(P21=0,0,COUNTIF('Transect 4_imgsummary'!E21:I21,"SANDO")*100/P21)</f>
        <v>0</v>
      </c>
      <c r="BQ21">
        <f>IF(P21=0,0,COUNTIF('Transect 4_imgsummary'!E21:I21,"SCAP")*100/P21)</f>
        <v>0</v>
      </c>
      <c r="BR21">
        <f>IF(P21=0,0,COUNTIF('Transect 4_imgsummary'!E21:I21,"SERIA")*100/P21)</f>
        <v>0</v>
      </c>
      <c r="BS21">
        <f>IF(P21=0,0,COUNTIF('Transect 4_imgsummary'!E21:I21,"STYLC")*100/P21)</f>
        <v>0</v>
      </c>
      <c r="BT21">
        <f>IF(P21=0,0,COUNTIF('Transect 4_imgsummary'!E21:I21,"STYLO")*100/P21)</f>
        <v>0</v>
      </c>
      <c r="BU21">
        <f>IF(P21=0,0,COUNTIF('Transect 4_imgsummary'!E21:I21,"SYMP")*100/P21)</f>
        <v>0</v>
      </c>
      <c r="BV21">
        <f>IF(P21=0,0,COUNTIF('Transect 4_imgsummary'!E21:I21,"TURBIN")*100/P21)</f>
        <v>0</v>
      </c>
      <c r="BX21">
        <f>IF(P21=0,0,COUNTIF('Transect 4_imgsummary'!E21:I21,"ANEM")*100/P21)</f>
        <v>0</v>
      </c>
      <c r="BY21">
        <f>IF(P21=0,0,COUNTIF('Transect 4_imgsummary'!E21:I21,"ASC")*100/P21)</f>
        <v>0</v>
      </c>
      <c r="BZ21">
        <f>IF(P21=0,0,COUNTIF('Transect 4_imgsummary'!E21:I21,"CUPS")*100/P21)</f>
        <v>0</v>
      </c>
      <c r="CA21">
        <f>IF(P21=0,0,COUNTIF('Transect 4_imgsummary'!E21:I21,"DISCO")*100/P21)</f>
        <v>0</v>
      </c>
      <c r="CB21">
        <f>IF(P21=0,0,COUNTIF('Transect 4_imgsummary'!E21:I21,"DYS")*100/P21)</f>
        <v>0</v>
      </c>
      <c r="CC21">
        <f>IF(P21=0,0,COUNTIF('Transect 4_imgsummary'!E21:I21,"G")*100/P21)</f>
        <v>0</v>
      </c>
      <c r="CD21">
        <f>IF(P21=0,0,COUNTIF('Transect 4_imgsummary'!E21:I21,"NoIDINV")*100/P21)</f>
        <v>0</v>
      </c>
      <c r="CE21">
        <f>IF(P21=0,0,COUNTIF('Transect 4_imgsummary'!E21:I21,"OLV")*100/P21)</f>
        <v>0</v>
      </c>
      <c r="CF21">
        <f>IF(P21=0,0,COUNTIF('Transect 4_imgsummary'!E21:I21,"SC")*100/P21)</f>
        <v>0</v>
      </c>
      <c r="CG21">
        <f>IF(P21=0,0,COUNTIF('Transect 4_imgsummary'!E21:I21,"S")*100/P21)</f>
        <v>0</v>
      </c>
      <c r="CH21">
        <f>IF(P21=0,0,COUNTIF('Transect 4_imgsummary'!E21:I21,"TERPS")*100/P21)</f>
        <v>0</v>
      </c>
      <c r="CI21">
        <f>IF(P21=0,0,COUNTIF('Transect 4_imgsummary'!E21:I21,"Z")*100/P21)</f>
        <v>0</v>
      </c>
      <c r="CK21">
        <f>IF(P21=0,0,COUNTIF('Transect 4_imgsummary'!E21:I21,"ASP")*100/P21)</f>
        <v>0</v>
      </c>
      <c r="CL21">
        <f>IF(P21=0,0,COUNTIF('Transect 4_imgsummary'!E21:I21,"BG")*100/P21)</f>
        <v>0</v>
      </c>
      <c r="CM21">
        <f>IF(P21=0,0,COUNTIF('Transect 4_imgsummary'!E21:I21,"Bood")*100/P21)</f>
        <v>0</v>
      </c>
      <c r="CN21">
        <f>IF(P21=0,0,COUNTIF('Transect 4_imgsummary'!E21:I21,"BRYP")*100/P21)</f>
        <v>0</v>
      </c>
      <c r="CO21">
        <f>IF(P21=0,0,COUNTIF('Transect 4_imgsummary'!E21:I21,"CLP")*100/P21)</f>
        <v>0</v>
      </c>
      <c r="CP21">
        <f>IF(P21=0,0,COUNTIF('Transect 4_imgsummary'!E21:I21,"CHLDES")*100/P21)</f>
        <v>0</v>
      </c>
      <c r="CQ21">
        <f>IF(P21=0,0,COUNTIF('Transect 4_imgsummary'!E21:I21,"DYCTY")*100/P21)</f>
        <v>0</v>
      </c>
      <c r="CR21">
        <f>IF(P21=0,0,COUNTIF('Transect 4_imgsummary'!E21:I21,"DICT")*100/P21)</f>
        <v>0</v>
      </c>
      <c r="CS21">
        <f>IF(P21=0,0,COUNTIF('Transect 4_imgsummary'!E21:I21,"GLXU")*100/P21)</f>
        <v>0</v>
      </c>
      <c r="CT21">
        <f>IF(P21=0,0,COUNTIF('Transect 4_imgsummary'!E21:I21,"HALI")*100/P21)</f>
        <v>0</v>
      </c>
      <c r="CU21">
        <f>IF(P21=0,0,COUNTIF('Transect 4_imgsummary'!E21:I21,"LIAG")*100/P21)</f>
        <v>0</v>
      </c>
      <c r="CV21">
        <f>IF(P21=0,0,COUNTIF('Transect 4_imgsummary'!E21:I21,"LOBO")*100/P21)</f>
        <v>0</v>
      </c>
      <c r="CW21">
        <f>IF(P21=0,0,COUNTIF('Transect 4_imgsummary'!E21:I21,"MAST")*100/P21)</f>
        <v>0</v>
      </c>
      <c r="CX21">
        <f>IF(P21=0,0,COUNTIF('Transect 4_imgsummary'!E21:I21,"MICDTY")*100/P21)</f>
        <v>0</v>
      </c>
      <c r="CY21">
        <f>IF(P21=0,0,COUNTIF('Transect 4_imgsummary'!E21:I21,"NEOM")*100/P21)</f>
        <v>0</v>
      </c>
      <c r="CZ21">
        <f>IF(P21=0,0,COUNTIF('Transect 4_imgsummary'!E21:I21,"NOIDMAC")*100/P21)</f>
        <v>0</v>
      </c>
      <c r="DA21">
        <f>IF(P21=0,0,COUNTIF('Transect 4_imgsummary'!E21:I21,"PAD")*100/P21)</f>
        <v>0</v>
      </c>
      <c r="DB21">
        <f>IF(P21=0,0,COUNTIF('Transect 4_imgsummary'!E21:I21,"SARG")*100/P21)</f>
        <v>0</v>
      </c>
      <c r="DC21">
        <f>IF(P21=0,0,COUNTIF('Transect 4_imgsummary'!E21:I21,"SCHIZ")*100/P21)</f>
        <v>0</v>
      </c>
      <c r="DD21">
        <f>IF(P21=0,0,COUNTIF('Transect 4_imgsummary'!E21:I21,"TURB")*100/P21)</f>
        <v>0</v>
      </c>
      <c r="DE21">
        <f>IF(P21=0,0,COUNTIF('Transect 4_imgsummary'!E21:I21,"TYDM")*100/P21)</f>
        <v>0</v>
      </c>
      <c r="DG21">
        <f>IF(P21=0,0,COUNTIF('Transect 4_imgsummary'!E21:I21,"AMP")*100/P21)</f>
        <v>0</v>
      </c>
      <c r="DH21">
        <f>IF(P21=0,0,COUNTIF('Transect 4_imgsummary'!E21:I21,"BCA1")*100/P21)</f>
        <v>0</v>
      </c>
      <c r="DI21">
        <f>IF(P21=0,0,COUNTIF('Transect 4_imgsummary'!E21:I21,"JAN")*100/P21)</f>
        <v>0</v>
      </c>
      <c r="DK21" s="29">
        <f>IF(P21=0,0,COUNTIF('Transect 4_imgsummary'!E21:I21,"CCA1")*100/P21)</f>
        <v>20</v>
      </c>
      <c r="DM21">
        <f>IF(P21=0,0,COUNTIF('Transect 4_imgsummary'!E21:I21,"Sand")*100/P21)</f>
        <v>0</v>
      </c>
      <c r="DO21">
        <f>IF(P21=0,0,COUNTIF('Transect 4_imgsummary'!E21:I21,"FCA1")*100/P21)</f>
        <v>0</v>
      </c>
      <c r="DQ21">
        <f>IF(P21=0,0,COUNTIF('Transect 4_imgsummary'!E21:I21,"CHRYOBRN")*100/P21)</f>
        <v>0</v>
      </c>
      <c r="DS21" s="29">
        <f>IF(P21=0,0,COUNTIF('Transect 4_imgsummary'!E21:I21,"TURF")*100/P21)</f>
        <v>20</v>
      </c>
      <c r="DU21">
        <f>COUNTIF('Transect 4_imgsummary'!E21:I21,"Shadow")*100/5</f>
        <v>0</v>
      </c>
      <c r="DV21">
        <f>COUNTIF('Transect 4_imgsummary'!E21:I21,"Tape")*100/5</f>
        <v>0</v>
      </c>
      <c r="DW21">
        <f>COUNTIF('Transect 4_imgsummary'!E21:I21,"Wand")*100/5</f>
        <v>0</v>
      </c>
      <c r="DY21">
        <f>IF(P21=0,0,COUNTIF('Transect 4_imgsummary'!O21:S21,"BC")*100/P21)</f>
        <v>0</v>
      </c>
    </row>
    <row r="22" spans="1:129">
      <c r="A22">
        <v>20</v>
      </c>
      <c r="B22" t="s">
        <v>565</v>
      </c>
      <c r="F22" s="29">
        <f>IF(P22=0,0,COUNTIF('Transect 4_imgsummary'!J22:N22,"C")*100/P22)</f>
        <v>60</v>
      </c>
      <c r="G22">
        <f>IF(P22=0,0,COUNTIF('Transect 4_imgsummary'!J22:N22,"OI")*100/P22)</f>
        <v>0</v>
      </c>
      <c r="H22">
        <f>IF(P22=0,0,COUNTIF('Transect 4_imgsummary'!J22:N22,"MA")*100/P22)</f>
        <v>0</v>
      </c>
      <c r="I22">
        <f>IF(P22=0,0,COUNTIF('Transect 4_imgsummary'!J22:N22,"BCA")*100/P22)</f>
        <v>0</v>
      </c>
      <c r="J22" s="29">
        <f>IF(P22=0,0,COUNTIF('Transect 4_imgsummary'!J22:N22,"CCA")*100/P22)</f>
        <v>40</v>
      </c>
      <c r="K22">
        <f>IF(P22=0,0,COUNTIF('Transect 4_imgsummary'!J22:N22,"SD")*100/P22)</f>
        <v>0</v>
      </c>
      <c r="L22">
        <f>IF(P22=0,0,COUNTIF('Transect 4_imgsummary'!J22:N22,"FCA")*100/P22)</f>
        <v>0</v>
      </c>
      <c r="M22">
        <f>IF(P22=0,0,COUNTIF('Transect 4_imgsummary'!J22:N22,"CHRYS")*100/P22)</f>
        <v>0</v>
      </c>
      <c r="N22">
        <f>IF(P22=0,0,COUNTIF('Transect 4_imgsummary'!J22:N22,"T")*100/P22)</f>
        <v>0</v>
      </c>
      <c r="O22">
        <f>IF(P22=0,0,COUNTIF('Transect 4_imgsummary'!J22:N22,"TWS")*100/P22)</f>
        <v>0</v>
      </c>
      <c r="P22">
        <f>5-COUNTIF('Transect 4_imgsummary'!J22:N22,"TWS")</f>
        <v>5</v>
      </c>
      <c r="S22">
        <f>IF(P22=0,0,COUNTIF('Transect 4_imgsummary'!E22:I22,"ACAN")*100/P22)</f>
        <v>0</v>
      </c>
      <c r="T22" s="29">
        <f>IF(P22=0,0,COUNTIF('Transect 4_imgsummary'!E22:I22,"ACROP")*100/P22)</f>
        <v>20</v>
      </c>
      <c r="U22">
        <f>IF(P22=0,0,COUNTIF('Transect 4_imgsummary'!E22:I22,"ACROPARB")*100/P22)</f>
        <v>0</v>
      </c>
      <c r="V22">
        <f>IF(P22=0,0,COUNTIF('Transect 4_imgsummary'!E22:I22,"ACROST")*100/P22)</f>
        <v>0</v>
      </c>
      <c r="W22">
        <f>IF(P22=0,0,COUNTIF('Transect 4_imgsummary'!E22:I22,"ACROTBL")*100/P22)</f>
        <v>0</v>
      </c>
      <c r="X22">
        <f>IF(P22=0,0,COUNTIF('Transect 4_imgsummary'!E22:I22,"ASTRP")*100/P22)</f>
        <v>0</v>
      </c>
      <c r="Y22">
        <f>IF(P22=0,0,COUNTIF('Transect 4_imgsummary'!E22:I22,"CAUL")*100/P22)</f>
        <v>0</v>
      </c>
      <c r="Z22">
        <f>IF(P22=0,0,COUNTIF('Transect 4_imgsummary'!E22:I22,"COSC")*100/P22)</f>
        <v>0</v>
      </c>
      <c r="AA22">
        <f>IF(P22=0,0,COUNTIF('Transect 4_imgsummary'!E22:I22,"CTEN")*100/P22)</f>
        <v>0</v>
      </c>
      <c r="AB22">
        <f>IF(P22=0,0,COUNTIF('Transect 4_imgsummary'!E22:I22,"CYPH")*100/P22)</f>
        <v>0</v>
      </c>
      <c r="AC22">
        <f>IF(P22=0,0,COUNTIF('Transect 4_imgsummary'!E22:I22,"DIPLO")*100/P22)</f>
        <v>0</v>
      </c>
      <c r="AD22">
        <f>IF(P22=0,0,COUNTIF('Transect 4_imgsummary'!E22:I22,"ECHPO")*100/P22)</f>
        <v>0</v>
      </c>
      <c r="AE22">
        <f>IF(P22=0,0,COUNTIF('Transect 4_imgsummary'!E22:I22,"ECHPHY")*100/P22)</f>
        <v>0</v>
      </c>
      <c r="AF22">
        <f>IF(P22=0,0,COUNTIF('Transect 4_imgsummary'!E22:I22,"EUPH")*100/P22)</f>
        <v>0</v>
      </c>
      <c r="AG22">
        <f>IF(P22=0,0,COUNTIF('Transect 4_imgsummary'!E22:I22,"FAV")*100/P22)</f>
        <v>0</v>
      </c>
      <c r="AH22">
        <f>IF(P22=0,0,COUNTIF('Transect 4_imgsummary'!E22:I22,"FAVT")*100/P22)</f>
        <v>0</v>
      </c>
      <c r="AI22">
        <f>IF(P22=0,0,COUNTIF('Transect 4_imgsummary'!E22:I22,"FUNG")*100/P22)</f>
        <v>0</v>
      </c>
      <c r="AJ22">
        <f>IF(P22=0,0,COUNTIF('Transect 4_imgsummary'!E22:I22,"GAL")*100/P22)</f>
        <v>0</v>
      </c>
      <c r="AK22">
        <f>IF(P22=0,0,COUNTIF('Transect 4_imgsummary'!E22:I22,"GARD")*100/P22)</f>
        <v>0</v>
      </c>
      <c r="AL22">
        <f>IF(P22=0,0,COUNTIF('Transect 4_imgsummary'!E22:I22,"GON")*100/P22)</f>
        <v>0</v>
      </c>
      <c r="AM22">
        <f>IF(P22=0,0,COUNTIF('Transect 4_imgsummary'!E22:I22,"GONIO")*100/P22)</f>
        <v>0</v>
      </c>
      <c r="AN22">
        <f>IF(P22=0,0,COUNTIF('Transect 4_imgsummary'!E22:I22,"HELIO")*100/P22)</f>
        <v>0</v>
      </c>
      <c r="AO22">
        <f>IF(P22=0,0,COUNTIF('Transect 4_imgsummary'!E22:I22,"HERP")*100/P22)</f>
        <v>0</v>
      </c>
      <c r="AP22">
        <f>IF(P22=0,0,COUNTIF('Transect 4_imgsummary'!E22:I22,"HYD")*100/P22)</f>
        <v>0</v>
      </c>
      <c r="AQ22">
        <f>IF(P22=0,0,COUNTIF('Transect 4_imgsummary'!E22:I22,"ISOP")*100/P22)</f>
        <v>0</v>
      </c>
      <c r="AR22">
        <f>IF(P22=0,0,COUNTIF('Transect 4_imgsummary'!E22:I22,"LEPT")*100/P22)</f>
        <v>0</v>
      </c>
      <c r="AS22">
        <f>IF(P22=0,0,COUNTIF('Transect 4_imgsummary'!E22:I22,"LEPTOR")*100/P22)</f>
        <v>0</v>
      </c>
      <c r="AT22">
        <f>IF(P22=0,0,COUNTIF('Transect 4_imgsummary'!E22:I22,"LEPTOS")*100/P22)</f>
        <v>0</v>
      </c>
      <c r="AU22">
        <f>IF(P22=0,0,COUNTIF('Transect 4_imgsummary'!E22:I22,"LOBOPH")*100/P22)</f>
        <v>0</v>
      </c>
      <c r="AV22">
        <f>IF(P22=0,0,COUNTIF('Transect 4_imgsummary'!E22:I22,"MERU")*100/P22)</f>
        <v>0</v>
      </c>
      <c r="AW22">
        <f>IF(P22=0,0,COUNTIF('Transect 4_imgsummary'!E22:I22,"MILL")*100/P22)</f>
        <v>0</v>
      </c>
      <c r="AX22">
        <f>IF(P22=0,0,COUNTIF('Transect 4_imgsummary'!E22:I22,"MONT")*100/P22)</f>
        <v>0</v>
      </c>
      <c r="AY22" s="29">
        <f>IF(P22=0,0,COUNTIF('Transect 4_imgsummary'!E22:I22,"MONTI")*100/P22)</f>
        <v>20</v>
      </c>
      <c r="AZ22">
        <f>IF(P22=0,0,COUNTIF('Transect 4_imgsummary'!E22:I22,"MYCED")*100/P22)</f>
        <v>0</v>
      </c>
      <c r="BA22">
        <f>IF(P22=0,0,COUNTIF('Transect 4_imgsummary'!E22:I22,"OULO")*100/P22)</f>
        <v>0</v>
      </c>
      <c r="BB22">
        <f>IF(P22=0,0,COUNTIF('Transect 4_imgsummary'!E22:I22,"OXYP")*100/P22)</f>
        <v>0</v>
      </c>
      <c r="BC22">
        <f>IF(P22=0,0,COUNTIF('Transect 4_imgsummary'!E22:I22,"PLSIA")*100/P22)</f>
        <v>0</v>
      </c>
      <c r="BD22">
        <f>IF(P22=0,0,COUNTIF('Transect 4_imgsummary'!E22:I22,"PACHY")*100/P22)</f>
        <v>0</v>
      </c>
      <c r="BE22">
        <f>IF(P22=0,0,COUNTIF('Transect 4_imgsummary'!E22:I22,"PAV")*100/P22)</f>
        <v>0</v>
      </c>
      <c r="BF22">
        <f>IF(P22=0,0,COUNTIF('Transect 4_imgsummary'!E22:I22,"PECT")*100/P22)</f>
        <v>0</v>
      </c>
      <c r="BG22">
        <f>IF(P22=0,0,COUNTIF('Transect 4_imgsummary'!E22:I22,"PHYSO")*100/P22)</f>
        <v>0</v>
      </c>
      <c r="BH22">
        <f>IF(P22=0,0,COUNTIF('Transect 4_imgsummary'!E22:I22,"PLAT")*100/P22)</f>
        <v>0</v>
      </c>
      <c r="BI22">
        <f>IF(P22=0,0,COUNTIF('Transect 4_imgsummary'!E22:I22,"PLERO")*100/P22)</f>
        <v>0</v>
      </c>
      <c r="BJ22">
        <f>IF(P22=0,0,COUNTIF('Transect 4_imgsummary'!E22:I22,"POC")*100/P22)</f>
        <v>0</v>
      </c>
      <c r="BK22">
        <f>IF(P22=0,0,COUNTIF('Transect 4_imgsummary'!E22:I22,"POR")*100/P22)</f>
        <v>0</v>
      </c>
      <c r="BL22">
        <f>IF(P22=0,0,COUNTIF('Transect 4_imgsummary'!E22:I22,"PORCYL")*100/P22)</f>
        <v>0</v>
      </c>
      <c r="BM22">
        <f>IF(P22=0,0,COUNTIF('Transect 4_imgsummary'!E22:I22,"PORMAS")*100/P22)</f>
        <v>0</v>
      </c>
      <c r="BN22" s="29">
        <f>IF(P22=0,0,COUNTIF('Transect 4_imgsummary'!E22:I22,"PORRUS")*100/P22)</f>
        <v>20</v>
      </c>
      <c r="BO22">
        <f>IF(P22=0,0,COUNTIF('Transect 4_imgsummary'!E22:I22,"PSAM")*100/P22)</f>
        <v>0</v>
      </c>
      <c r="BP22">
        <f>IF(P22=0,0,COUNTIF('Transect 4_imgsummary'!E22:I22,"SANDO")*100/P22)</f>
        <v>0</v>
      </c>
      <c r="BQ22">
        <f>IF(P22=0,0,COUNTIF('Transect 4_imgsummary'!E22:I22,"SCAP")*100/P22)</f>
        <v>0</v>
      </c>
      <c r="BR22">
        <f>IF(P22=0,0,COUNTIF('Transect 4_imgsummary'!E22:I22,"SERIA")*100/P22)</f>
        <v>0</v>
      </c>
      <c r="BS22">
        <f>IF(P22=0,0,COUNTIF('Transect 4_imgsummary'!E22:I22,"STYLC")*100/P22)</f>
        <v>0</v>
      </c>
      <c r="BT22">
        <f>IF(P22=0,0,COUNTIF('Transect 4_imgsummary'!E22:I22,"STYLO")*100/P22)</f>
        <v>0</v>
      </c>
      <c r="BU22">
        <f>IF(P22=0,0,COUNTIF('Transect 4_imgsummary'!E22:I22,"SYMP")*100/P22)</f>
        <v>0</v>
      </c>
      <c r="BV22">
        <f>IF(P22=0,0,COUNTIF('Transect 4_imgsummary'!E22:I22,"TURBIN")*100/P22)</f>
        <v>0</v>
      </c>
      <c r="BX22">
        <f>IF(P22=0,0,COUNTIF('Transect 4_imgsummary'!E22:I22,"ANEM")*100/P22)</f>
        <v>0</v>
      </c>
      <c r="BY22">
        <f>IF(P22=0,0,COUNTIF('Transect 4_imgsummary'!E22:I22,"ASC")*100/P22)</f>
        <v>0</v>
      </c>
      <c r="BZ22">
        <f>IF(P22=0,0,COUNTIF('Transect 4_imgsummary'!E22:I22,"CUPS")*100/P22)</f>
        <v>0</v>
      </c>
      <c r="CA22">
        <f>IF(P22=0,0,COUNTIF('Transect 4_imgsummary'!E22:I22,"DISCO")*100/P22)</f>
        <v>0</v>
      </c>
      <c r="CB22">
        <f>IF(P22=0,0,COUNTIF('Transect 4_imgsummary'!E22:I22,"DYS")*100/P22)</f>
        <v>0</v>
      </c>
      <c r="CC22">
        <f>IF(P22=0,0,COUNTIF('Transect 4_imgsummary'!E22:I22,"G")*100/P22)</f>
        <v>0</v>
      </c>
      <c r="CD22">
        <f>IF(P22=0,0,COUNTIF('Transect 4_imgsummary'!E22:I22,"NoIDINV")*100/P22)</f>
        <v>0</v>
      </c>
      <c r="CE22">
        <f>IF(P22=0,0,COUNTIF('Transect 4_imgsummary'!E22:I22,"OLV")*100/P22)</f>
        <v>0</v>
      </c>
      <c r="CF22">
        <f>IF(P22=0,0,COUNTIF('Transect 4_imgsummary'!E22:I22,"SC")*100/P22)</f>
        <v>0</v>
      </c>
      <c r="CG22">
        <f>IF(P22=0,0,COUNTIF('Transect 4_imgsummary'!E22:I22,"S")*100/P22)</f>
        <v>0</v>
      </c>
      <c r="CH22">
        <f>IF(P22=0,0,COUNTIF('Transect 4_imgsummary'!E22:I22,"TERPS")*100/P22)</f>
        <v>0</v>
      </c>
      <c r="CI22">
        <f>IF(P22=0,0,COUNTIF('Transect 4_imgsummary'!E22:I22,"Z")*100/P22)</f>
        <v>0</v>
      </c>
      <c r="CK22">
        <f>IF(P22=0,0,COUNTIF('Transect 4_imgsummary'!E22:I22,"ASP")*100/P22)</f>
        <v>0</v>
      </c>
      <c r="CL22">
        <f>IF(P22=0,0,COUNTIF('Transect 4_imgsummary'!E22:I22,"BG")*100/P22)</f>
        <v>0</v>
      </c>
      <c r="CM22">
        <f>IF(P22=0,0,COUNTIF('Transect 4_imgsummary'!E22:I22,"Bood")*100/P22)</f>
        <v>0</v>
      </c>
      <c r="CN22">
        <f>IF(P22=0,0,COUNTIF('Transect 4_imgsummary'!E22:I22,"BRYP")*100/P22)</f>
        <v>0</v>
      </c>
      <c r="CO22">
        <f>IF(P22=0,0,COUNTIF('Transect 4_imgsummary'!E22:I22,"CLP")*100/P22)</f>
        <v>0</v>
      </c>
      <c r="CP22">
        <f>IF(P22=0,0,COUNTIF('Transect 4_imgsummary'!E22:I22,"CHLDES")*100/P22)</f>
        <v>0</v>
      </c>
      <c r="CQ22">
        <f>IF(P22=0,0,COUNTIF('Transect 4_imgsummary'!E22:I22,"DYCTY")*100/P22)</f>
        <v>0</v>
      </c>
      <c r="CR22">
        <f>IF(P22=0,0,COUNTIF('Transect 4_imgsummary'!E22:I22,"DICT")*100/P22)</f>
        <v>0</v>
      </c>
      <c r="CS22">
        <f>IF(P22=0,0,COUNTIF('Transect 4_imgsummary'!E22:I22,"GLXU")*100/P22)</f>
        <v>0</v>
      </c>
      <c r="CT22">
        <f>IF(P22=0,0,COUNTIF('Transect 4_imgsummary'!E22:I22,"HALI")*100/P22)</f>
        <v>0</v>
      </c>
      <c r="CU22">
        <f>IF(P22=0,0,COUNTIF('Transect 4_imgsummary'!E22:I22,"LIAG")*100/P22)</f>
        <v>0</v>
      </c>
      <c r="CV22">
        <f>IF(P22=0,0,COUNTIF('Transect 4_imgsummary'!E22:I22,"LOBO")*100/P22)</f>
        <v>0</v>
      </c>
      <c r="CW22">
        <f>IF(P22=0,0,COUNTIF('Transect 4_imgsummary'!E22:I22,"MAST")*100/P22)</f>
        <v>0</v>
      </c>
      <c r="CX22">
        <f>IF(P22=0,0,COUNTIF('Transect 4_imgsummary'!E22:I22,"MICDTY")*100/P22)</f>
        <v>0</v>
      </c>
      <c r="CY22">
        <f>IF(P22=0,0,COUNTIF('Transect 4_imgsummary'!E22:I22,"NEOM")*100/P22)</f>
        <v>0</v>
      </c>
      <c r="CZ22">
        <f>IF(P22=0,0,COUNTIF('Transect 4_imgsummary'!E22:I22,"NOIDMAC")*100/P22)</f>
        <v>0</v>
      </c>
      <c r="DA22">
        <f>IF(P22=0,0,COUNTIF('Transect 4_imgsummary'!E22:I22,"PAD")*100/P22)</f>
        <v>0</v>
      </c>
      <c r="DB22">
        <f>IF(P22=0,0,COUNTIF('Transect 4_imgsummary'!E22:I22,"SARG")*100/P22)</f>
        <v>0</v>
      </c>
      <c r="DC22">
        <f>IF(P22=0,0,COUNTIF('Transect 4_imgsummary'!E22:I22,"SCHIZ")*100/P22)</f>
        <v>0</v>
      </c>
      <c r="DD22">
        <f>IF(P22=0,0,COUNTIF('Transect 4_imgsummary'!E22:I22,"TURB")*100/P22)</f>
        <v>0</v>
      </c>
      <c r="DE22">
        <f>IF(P22=0,0,COUNTIF('Transect 4_imgsummary'!E22:I22,"TYDM")*100/P22)</f>
        <v>0</v>
      </c>
      <c r="DG22">
        <f>IF(P22=0,0,COUNTIF('Transect 4_imgsummary'!E22:I22,"AMP")*100/P22)</f>
        <v>0</v>
      </c>
      <c r="DH22">
        <f>IF(P22=0,0,COUNTIF('Transect 4_imgsummary'!E22:I22,"BCA1")*100/P22)</f>
        <v>0</v>
      </c>
      <c r="DI22">
        <f>IF(P22=0,0,COUNTIF('Transect 4_imgsummary'!E22:I22,"JAN")*100/P22)</f>
        <v>0</v>
      </c>
      <c r="DK22" s="29">
        <f>IF(P22=0,0,COUNTIF('Transect 4_imgsummary'!E22:I22,"CCA1")*100/P22)</f>
        <v>40</v>
      </c>
      <c r="DM22">
        <f>IF(P22=0,0,COUNTIF('Transect 4_imgsummary'!E22:I22,"Sand")*100/P22)</f>
        <v>0</v>
      </c>
      <c r="DO22">
        <f>IF(P22=0,0,COUNTIF('Transect 4_imgsummary'!E22:I22,"FCA1")*100/P22)</f>
        <v>0</v>
      </c>
      <c r="DQ22">
        <f>IF(P22=0,0,COUNTIF('Transect 4_imgsummary'!E22:I22,"CHRYOBRN")*100/P22)</f>
        <v>0</v>
      </c>
      <c r="DS22">
        <f>IF(P22=0,0,COUNTIF('Transect 4_imgsummary'!E22:I22,"TURF")*100/P22)</f>
        <v>0</v>
      </c>
      <c r="DU22">
        <f>COUNTIF('Transect 4_imgsummary'!E22:I22,"Shadow")*100/5</f>
        <v>0</v>
      </c>
      <c r="DV22">
        <f>COUNTIF('Transect 4_imgsummary'!E22:I22,"Tape")*100/5</f>
        <v>0</v>
      </c>
      <c r="DW22">
        <f>COUNTIF('Transect 4_imgsummary'!E22:I22,"Wand")*100/5</f>
        <v>0</v>
      </c>
      <c r="DY22">
        <f>IF(P22=0,0,COUNTIF('Transect 4_imgsummary'!O22:S22,"BC")*100/P22)</f>
        <v>0</v>
      </c>
    </row>
    <row r="23" spans="1:129">
      <c r="A23">
        <v>21</v>
      </c>
      <c r="B23" t="s">
        <v>566</v>
      </c>
      <c r="F23" s="29">
        <f>IF(P23=0,0,COUNTIF('Transect 4_imgsummary'!J23:N23,"C")*100/P23)</f>
        <v>80</v>
      </c>
      <c r="G23">
        <f>IF(P23=0,0,COUNTIF('Transect 4_imgsummary'!J23:N23,"OI")*100/P23)</f>
        <v>0</v>
      </c>
      <c r="H23">
        <f>IF(P23=0,0,COUNTIF('Transect 4_imgsummary'!J23:N23,"MA")*100/P23)</f>
        <v>0</v>
      </c>
      <c r="I23">
        <f>IF(P23=0,0,COUNTIF('Transect 4_imgsummary'!J23:N23,"BCA")*100/P23)</f>
        <v>0</v>
      </c>
      <c r="J23">
        <f>IF(P23=0,0,COUNTIF('Transect 4_imgsummary'!J23:N23,"CCA")*100/P23)</f>
        <v>0</v>
      </c>
      <c r="K23">
        <f>IF(P23=0,0,COUNTIF('Transect 4_imgsummary'!J23:N23,"SD")*100/P23)</f>
        <v>0</v>
      </c>
      <c r="L23">
        <f>IF(P23=0,0,COUNTIF('Transect 4_imgsummary'!J23:N23,"FCA")*100/P23)</f>
        <v>0</v>
      </c>
      <c r="M23">
        <f>IF(P23=0,0,COUNTIF('Transect 4_imgsummary'!J23:N23,"CHRYS")*100/P23)</f>
        <v>0</v>
      </c>
      <c r="N23" s="29">
        <f>IF(P23=0,0,COUNTIF('Transect 4_imgsummary'!J23:N23,"T")*100/P23)</f>
        <v>20</v>
      </c>
      <c r="O23">
        <f>IF(P23=0,0,COUNTIF('Transect 4_imgsummary'!J23:N23,"TWS")*100/P23)</f>
        <v>0</v>
      </c>
      <c r="P23">
        <f>5-COUNTIF('Transect 4_imgsummary'!J23:N23,"TWS")</f>
        <v>5</v>
      </c>
      <c r="S23">
        <f>IF(P23=0,0,COUNTIF('Transect 4_imgsummary'!E23:I23,"ACAN")*100/P23)</f>
        <v>0</v>
      </c>
      <c r="T23" s="29">
        <f>IF(P23=0,0,COUNTIF('Transect 4_imgsummary'!E23:I23,"ACROP")*100/P23)</f>
        <v>40</v>
      </c>
      <c r="U23">
        <f>IF(P23=0,0,COUNTIF('Transect 4_imgsummary'!E23:I23,"ACROPARB")*100/P23)</f>
        <v>0</v>
      </c>
      <c r="V23">
        <f>IF(P23=0,0,COUNTIF('Transect 4_imgsummary'!E23:I23,"ACROST")*100/P23)</f>
        <v>0</v>
      </c>
      <c r="W23">
        <f>IF(P23=0,0,COUNTIF('Transect 4_imgsummary'!E23:I23,"ACROTBL")*100/P23)</f>
        <v>0</v>
      </c>
      <c r="X23">
        <f>IF(P23=0,0,COUNTIF('Transect 4_imgsummary'!E23:I23,"ASTRP")*100/P23)</f>
        <v>0</v>
      </c>
      <c r="Y23">
        <f>IF(P23=0,0,COUNTIF('Transect 4_imgsummary'!E23:I23,"CAUL")*100/P23)</f>
        <v>0</v>
      </c>
      <c r="Z23">
        <f>IF(P23=0,0,COUNTIF('Transect 4_imgsummary'!E23:I23,"COSC")*100/P23)</f>
        <v>0</v>
      </c>
      <c r="AA23">
        <f>IF(P23=0,0,COUNTIF('Transect 4_imgsummary'!E23:I23,"CTEN")*100/P23)</f>
        <v>0</v>
      </c>
      <c r="AB23">
        <f>IF(P23=0,0,COUNTIF('Transect 4_imgsummary'!E23:I23,"CYPH")*100/P23)</f>
        <v>0</v>
      </c>
      <c r="AC23">
        <f>IF(P23=0,0,COUNTIF('Transect 4_imgsummary'!E23:I23,"DIPLO")*100/P23)</f>
        <v>0</v>
      </c>
      <c r="AD23" s="29">
        <f>IF(P23=0,0,COUNTIF('Transect 4_imgsummary'!E23:I23,"ECHPO")*100/P23)</f>
        <v>20</v>
      </c>
      <c r="AE23">
        <f>IF(P23=0,0,COUNTIF('Transect 4_imgsummary'!E23:I23,"ECHPHY")*100/P23)</f>
        <v>0</v>
      </c>
      <c r="AF23">
        <f>IF(P23=0,0,COUNTIF('Transect 4_imgsummary'!E23:I23,"EUPH")*100/P23)</f>
        <v>0</v>
      </c>
      <c r="AG23">
        <f>IF(P23=0,0,COUNTIF('Transect 4_imgsummary'!E23:I23,"FAV")*100/P23)</f>
        <v>0</v>
      </c>
      <c r="AH23">
        <f>IF(P23=0,0,COUNTIF('Transect 4_imgsummary'!E23:I23,"FAVT")*100/P23)</f>
        <v>0</v>
      </c>
      <c r="AI23">
        <f>IF(P23=0,0,COUNTIF('Transect 4_imgsummary'!E23:I23,"FUNG")*100/P23)</f>
        <v>0</v>
      </c>
      <c r="AJ23">
        <f>IF(P23=0,0,COUNTIF('Transect 4_imgsummary'!E23:I23,"GAL")*100/P23)</f>
        <v>0</v>
      </c>
      <c r="AK23">
        <f>IF(P23=0,0,COUNTIF('Transect 4_imgsummary'!E23:I23,"GARD")*100/P23)</f>
        <v>0</v>
      </c>
      <c r="AL23">
        <f>IF(P23=0,0,COUNTIF('Transect 4_imgsummary'!E23:I23,"GON")*100/P23)</f>
        <v>0</v>
      </c>
      <c r="AM23">
        <f>IF(P23=0,0,COUNTIF('Transect 4_imgsummary'!E23:I23,"GONIO")*100/P23)</f>
        <v>0</v>
      </c>
      <c r="AN23">
        <f>IF(P23=0,0,COUNTIF('Transect 4_imgsummary'!E23:I23,"HELIO")*100/P23)</f>
        <v>0</v>
      </c>
      <c r="AO23">
        <f>IF(P23=0,0,COUNTIF('Transect 4_imgsummary'!E23:I23,"HERP")*100/P23)</f>
        <v>0</v>
      </c>
      <c r="AP23">
        <f>IF(P23=0,0,COUNTIF('Transect 4_imgsummary'!E23:I23,"HYD")*100/P23)</f>
        <v>0</v>
      </c>
      <c r="AQ23">
        <f>IF(P23=0,0,COUNTIF('Transect 4_imgsummary'!E23:I23,"ISOP")*100/P23)</f>
        <v>0</v>
      </c>
      <c r="AR23">
        <f>IF(P23=0,0,COUNTIF('Transect 4_imgsummary'!E23:I23,"LEPT")*100/P23)</f>
        <v>0</v>
      </c>
      <c r="AS23" s="29">
        <f>IF(P23=0,0,COUNTIF('Transect 4_imgsummary'!E23:I23,"LEPTOR")*100/P23)</f>
        <v>20</v>
      </c>
      <c r="AT23">
        <f>IF(P23=0,0,COUNTIF('Transect 4_imgsummary'!E23:I23,"LEPTOS")*100/P23)</f>
        <v>0</v>
      </c>
      <c r="AU23">
        <f>IF(P23=0,0,COUNTIF('Transect 4_imgsummary'!E23:I23,"LOBOPH")*100/P23)</f>
        <v>0</v>
      </c>
      <c r="AV23">
        <f>IF(P23=0,0,COUNTIF('Transect 4_imgsummary'!E23:I23,"MERU")*100/P23)</f>
        <v>0</v>
      </c>
      <c r="AW23">
        <f>IF(P23=0,0,COUNTIF('Transect 4_imgsummary'!E23:I23,"MILL")*100/P23)</f>
        <v>0</v>
      </c>
      <c r="AX23">
        <f>IF(P23=0,0,COUNTIF('Transect 4_imgsummary'!E23:I23,"MONT")*100/P23)</f>
        <v>0</v>
      </c>
      <c r="AY23">
        <f>IF(P23=0,0,COUNTIF('Transect 4_imgsummary'!E23:I23,"MONTI")*100/P23)</f>
        <v>0</v>
      </c>
      <c r="AZ23">
        <f>IF(P23=0,0,COUNTIF('Transect 4_imgsummary'!E23:I23,"MYCED")*100/P23)</f>
        <v>0</v>
      </c>
      <c r="BA23">
        <f>IF(P23=0,0,COUNTIF('Transect 4_imgsummary'!E23:I23,"OULO")*100/P23)</f>
        <v>0</v>
      </c>
      <c r="BB23">
        <f>IF(P23=0,0,COUNTIF('Transect 4_imgsummary'!E23:I23,"OXYP")*100/P23)</f>
        <v>0</v>
      </c>
      <c r="BC23">
        <f>IF(P23=0,0,COUNTIF('Transect 4_imgsummary'!E23:I23,"PLSIA")*100/P23)</f>
        <v>0</v>
      </c>
      <c r="BD23">
        <f>IF(P23=0,0,COUNTIF('Transect 4_imgsummary'!E23:I23,"PACHY")*100/P23)</f>
        <v>0</v>
      </c>
      <c r="BE23">
        <f>IF(P23=0,0,COUNTIF('Transect 4_imgsummary'!E23:I23,"PAV")*100/P23)</f>
        <v>0</v>
      </c>
      <c r="BF23">
        <f>IF(P23=0,0,COUNTIF('Transect 4_imgsummary'!E23:I23,"PECT")*100/P23)</f>
        <v>0</v>
      </c>
      <c r="BG23">
        <f>IF(P23=0,0,COUNTIF('Transect 4_imgsummary'!E23:I23,"PHYSO")*100/P23)</f>
        <v>0</v>
      </c>
      <c r="BH23">
        <f>IF(P23=0,0,COUNTIF('Transect 4_imgsummary'!E23:I23,"PLAT")*100/P23)</f>
        <v>0</v>
      </c>
      <c r="BI23">
        <f>IF(P23=0,0,COUNTIF('Transect 4_imgsummary'!E23:I23,"PLERO")*100/P23)</f>
        <v>0</v>
      </c>
      <c r="BJ23">
        <f>IF(P23=0,0,COUNTIF('Transect 4_imgsummary'!E23:I23,"POC")*100/P23)</f>
        <v>0</v>
      </c>
      <c r="BK23">
        <f>IF(P23=0,0,COUNTIF('Transect 4_imgsummary'!E23:I23,"POR")*100/P23)</f>
        <v>0</v>
      </c>
      <c r="BL23">
        <f>IF(P23=0,0,COUNTIF('Transect 4_imgsummary'!E23:I23,"PORCYL")*100/P23)</f>
        <v>0</v>
      </c>
      <c r="BM23">
        <f>IF(P23=0,0,COUNTIF('Transect 4_imgsummary'!E23:I23,"PORMAS")*100/P23)</f>
        <v>0</v>
      </c>
      <c r="BN23">
        <f>IF(P23=0,0,COUNTIF('Transect 4_imgsummary'!E23:I23,"PORRUS")*100/P23)</f>
        <v>0</v>
      </c>
      <c r="BO23">
        <f>IF(P23=0,0,COUNTIF('Transect 4_imgsummary'!E23:I23,"PSAM")*100/P23)</f>
        <v>0</v>
      </c>
      <c r="BP23">
        <f>IF(P23=0,0,COUNTIF('Transect 4_imgsummary'!E23:I23,"SANDO")*100/P23)</f>
        <v>0</v>
      </c>
      <c r="BQ23">
        <f>IF(P23=0,0,COUNTIF('Transect 4_imgsummary'!E23:I23,"SCAP")*100/P23)</f>
        <v>0</v>
      </c>
      <c r="BR23">
        <f>IF(P23=0,0,COUNTIF('Transect 4_imgsummary'!E23:I23,"SERIA")*100/P23)</f>
        <v>0</v>
      </c>
      <c r="BS23">
        <f>IF(P23=0,0,COUNTIF('Transect 4_imgsummary'!E23:I23,"STYLC")*100/P23)</f>
        <v>0</v>
      </c>
      <c r="BT23">
        <f>IF(P23=0,0,COUNTIF('Transect 4_imgsummary'!E23:I23,"STYLO")*100/P23)</f>
        <v>0</v>
      </c>
      <c r="BU23">
        <f>IF(P23=0,0,COUNTIF('Transect 4_imgsummary'!E23:I23,"SYMP")*100/P23)</f>
        <v>0</v>
      </c>
      <c r="BV23">
        <f>IF(P23=0,0,COUNTIF('Transect 4_imgsummary'!E23:I23,"TURBIN")*100/P23)</f>
        <v>0</v>
      </c>
      <c r="BX23">
        <f>IF(P23=0,0,COUNTIF('Transect 4_imgsummary'!E23:I23,"ANEM")*100/P23)</f>
        <v>0</v>
      </c>
      <c r="BY23">
        <f>IF(P23=0,0,COUNTIF('Transect 4_imgsummary'!E23:I23,"ASC")*100/P23)</f>
        <v>0</v>
      </c>
      <c r="BZ23">
        <f>IF(P23=0,0,COUNTIF('Transect 4_imgsummary'!E23:I23,"CUPS")*100/P23)</f>
        <v>0</v>
      </c>
      <c r="CA23">
        <f>IF(P23=0,0,COUNTIF('Transect 4_imgsummary'!E23:I23,"DISCO")*100/P23)</f>
        <v>0</v>
      </c>
      <c r="CB23">
        <f>IF(P23=0,0,COUNTIF('Transect 4_imgsummary'!E23:I23,"DYS")*100/P23)</f>
        <v>0</v>
      </c>
      <c r="CC23">
        <f>IF(P23=0,0,COUNTIF('Transect 4_imgsummary'!E23:I23,"G")*100/P23)</f>
        <v>0</v>
      </c>
      <c r="CD23">
        <f>IF(P23=0,0,COUNTIF('Transect 4_imgsummary'!E23:I23,"NoIDINV")*100/P23)</f>
        <v>0</v>
      </c>
      <c r="CE23">
        <f>IF(P23=0,0,COUNTIF('Transect 4_imgsummary'!E23:I23,"OLV")*100/P23)</f>
        <v>0</v>
      </c>
      <c r="CF23">
        <f>IF(P23=0,0,COUNTIF('Transect 4_imgsummary'!E23:I23,"SC")*100/P23)</f>
        <v>0</v>
      </c>
      <c r="CG23">
        <f>IF(P23=0,0,COUNTIF('Transect 4_imgsummary'!E23:I23,"S")*100/P23)</f>
        <v>0</v>
      </c>
      <c r="CH23">
        <f>IF(P23=0,0,COUNTIF('Transect 4_imgsummary'!E23:I23,"TERPS")*100/P23)</f>
        <v>0</v>
      </c>
      <c r="CI23">
        <f>IF(P23=0,0,COUNTIF('Transect 4_imgsummary'!E23:I23,"Z")*100/P23)</f>
        <v>0</v>
      </c>
      <c r="CK23">
        <f>IF(P23=0,0,COUNTIF('Transect 4_imgsummary'!E23:I23,"ASP")*100/P23)</f>
        <v>0</v>
      </c>
      <c r="CL23">
        <f>IF(P23=0,0,COUNTIF('Transect 4_imgsummary'!E23:I23,"BG")*100/P23)</f>
        <v>0</v>
      </c>
      <c r="CM23">
        <f>IF(P23=0,0,COUNTIF('Transect 4_imgsummary'!E23:I23,"Bood")*100/P23)</f>
        <v>0</v>
      </c>
      <c r="CN23">
        <f>IF(P23=0,0,COUNTIF('Transect 4_imgsummary'!E23:I23,"BRYP")*100/P23)</f>
        <v>0</v>
      </c>
      <c r="CO23">
        <f>IF(P23=0,0,COUNTIF('Transect 4_imgsummary'!E23:I23,"CLP")*100/P23)</f>
        <v>0</v>
      </c>
      <c r="CP23">
        <f>IF(P23=0,0,COUNTIF('Transect 4_imgsummary'!E23:I23,"CHLDES")*100/P23)</f>
        <v>0</v>
      </c>
      <c r="CQ23">
        <f>IF(P23=0,0,COUNTIF('Transect 4_imgsummary'!E23:I23,"DYCTY")*100/P23)</f>
        <v>0</v>
      </c>
      <c r="CR23">
        <f>IF(P23=0,0,COUNTIF('Transect 4_imgsummary'!E23:I23,"DICT")*100/P23)</f>
        <v>0</v>
      </c>
      <c r="CS23">
        <f>IF(P23=0,0,COUNTIF('Transect 4_imgsummary'!E23:I23,"GLXU")*100/P23)</f>
        <v>0</v>
      </c>
      <c r="CT23">
        <f>IF(P23=0,0,COUNTIF('Transect 4_imgsummary'!E23:I23,"HALI")*100/P23)</f>
        <v>0</v>
      </c>
      <c r="CU23">
        <f>IF(P23=0,0,COUNTIF('Transect 4_imgsummary'!E23:I23,"LIAG")*100/P23)</f>
        <v>0</v>
      </c>
      <c r="CV23">
        <f>IF(P23=0,0,COUNTIF('Transect 4_imgsummary'!E23:I23,"LOBO")*100/P23)</f>
        <v>0</v>
      </c>
      <c r="CW23">
        <f>IF(P23=0,0,COUNTIF('Transect 4_imgsummary'!E23:I23,"MAST")*100/P23)</f>
        <v>0</v>
      </c>
      <c r="CX23">
        <f>IF(P23=0,0,COUNTIF('Transect 4_imgsummary'!E23:I23,"MICDTY")*100/P23)</f>
        <v>0</v>
      </c>
      <c r="CY23">
        <f>IF(P23=0,0,COUNTIF('Transect 4_imgsummary'!E23:I23,"NEOM")*100/P23)</f>
        <v>0</v>
      </c>
      <c r="CZ23">
        <f>IF(P23=0,0,COUNTIF('Transect 4_imgsummary'!E23:I23,"NOIDMAC")*100/P23)</f>
        <v>0</v>
      </c>
      <c r="DA23">
        <f>IF(P23=0,0,COUNTIF('Transect 4_imgsummary'!E23:I23,"PAD")*100/P23)</f>
        <v>0</v>
      </c>
      <c r="DB23">
        <f>IF(P23=0,0,COUNTIF('Transect 4_imgsummary'!E23:I23,"SARG")*100/P23)</f>
        <v>0</v>
      </c>
      <c r="DC23">
        <f>IF(P23=0,0,COUNTIF('Transect 4_imgsummary'!E23:I23,"SCHIZ")*100/P23)</f>
        <v>0</v>
      </c>
      <c r="DD23">
        <f>IF(P23=0,0,COUNTIF('Transect 4_imgsummary'!E23:I23,"TURB")*100/P23)</f>
        <v>0</v>
      </c>
      <c r="DE23">
        <f>IF(P23=0,0,COUNTIF('Transect 4_imgsummary'!E23:I23,"TYDM")*100/P23)</f>
        <v>0</v>
      </c>
      <c r="DG23">
        <f>IF(P23=0,0,COUNTIF('Transect 4_imgsummary'!E23:I23,"AMP")*100/P23)</f>
        <v>0</v>
      </c>
      <c r="DH23">
        <f>IF(P23=0,0,COUNTIF('Transect 4_imgsummary'!E23:I23,"BCA1")*100/P23)</f>
        <v>0</v>
      </c>
      <c r="DI23">
        <f>IF(P23=0,0,COUNTIF('Transect 4_imgsummary'!E23:I23,"JAN")*100/P23)</f>
        <v>0</v>
      </c>
      <c r="DK23">
        <f>IF(P23=0,0,COUNTIF('Transect 4_imgsummary'!E23:I23,"CCA1")*100/P23)</f>
        <v>0</v>
      </c>
      <c r="DM23">
        <f>IF(P23=0,0,COUNTIF('Transect 4_imgsummary'!E23:I23,"Sand")*100/P23)</f>
        <v>0</v>
      </c>
      <c r="DO23">
        <f>IF(P23=0,0,COUNTIF('Transect 4_imgsummary'!E23:I23,"FCA1")*100/P23)</f>
        <v>0</v>
      </c>
      <c r="DQ23">
        <f>IF(P23=0,0,COUNTIF('Transect 4_imgsummary'!E23:I23,"CHRYOBRN")*100/P23)</f>
        <v>0</v>
      </c>
      <c r="DS23" s="29">
        <f>IF(P23=0,0,COUNTIF('Transect 4_imgsummary'!E23:I23,"TURF")*100/P23)</f>
        <v>20</v>
      </c>
      <c r="DU23">
        <f>COUNTIF('Transect 4_imgsummary'!E23:I23,"Shadow")*100/5</f>
        <v>0</v>
      </c>
      <c r="DV23">
        <f>COUNTIF('Transect 4_imgsummary'!E23:I23,"Tape")*100/5</f>
        <v>0</v>
      </c>
      <c r="DW23">
        <f>COUNTIF('Transect 4_imgsummary'!E23:I23,"Wand")*100/5</f>
        <v>0</v>
      </c>
      <c r="DY23">
        <f>IF(P23=0,0,COUNTIF('Transect 4_imgsummary'!O23:S23,"BC")*100/P23)</f>
        <v>0</v>
      </c>
    </row>
    <row r="24" spans="1:129">
      <c r="A24">
        <v>22</v>
      </c>
      <c r="B24" t="s">
        <v>567</v>
      </c>
      <c r="F24" s="29">
        <f>IF(P24=0,0,COUNTIF('Transect 4_imgsummary'!J24:N24,"C")*100/P24)</f>
        <v>40</v>
      </c>
      <c r="G24">
        <f>IF(P24=0,0,COUNTIF('Transect 4_imgsummary'!J24:N24,"OI")*100/P24)</f>
        <v>0</v>
      </c>
      <c r="H24">
        <f>IF(P24=0,0,COUNTIF('Transect 4_imgsummary'!J24:N24,"MA")*100/P24)</f>
        <v>0</v>
      </c>
      <c r="I24">
        <f>IF(P24=0,0,COUNTIF('Transect 4_imgsummary'!J24:N24,"BCA")*100/P24)</f>
        <v>0</v>
      </c>
      <c r="J24" s="29">
        <f>IF(P24=0,0,COUNTIF('Transect 4_imgsummary'!J24:N24,"CCA")*100/P24)</f>
        <v>40</v>
      </c>
      <c r="K24">
        <f>IF(P24=0,0,COUNTIF('Transect 4_imgsummary'!J24:N24,"SD")*100/P24)</f>
        <v>0</v>
      </c>
      <c r="L24">
        <f>IF(P24=0,0,COUNTIF('Transect 4_imgsummary'!J24:N24,"FCA")*100/P24)</f>
        <v>0</v>
      </c>
      <c r="M24">
        <f>IF(P24=0,0,COUNTIF('Transect 4_imgsummary'!J24:N24,"CHRYS")*100/P24)</f>
        <v>0</v>
      </c>
      <c r="N24" s="29">
        <f>IF(P24=0,0,COUNTIF('Transect 4_imgsummary'!J24:N24,"T")*100/P24)</f>
        <v>20</v>
      </c>
      <c r="O24">
        <f>IF(P24=0,0,COUNTIF('Transect 4_imgsummary'!J24:N24,"TWS")*100/P24)</f>
        <v>0</v>
      </c>
      <c r="P24">
        <f>5-COUNTIF('Transect 4_imgsummary'!J24:N24,"TWS")</f>
        <v>5</v>
      </c>
      <c r="S24">
        <f>IF(P24=0,0,COUNTIF('Transect 4_imgsummary'!E24:I24,"ACAN")*100/P24)</f>
        <v>0</v>
      </c>
      <c r="T24">
        <f>IF(P24=0,0,COUNTIF('Transect 4_imgsummary'!E24:I24,"ACROP")*100/P24)</f>
        <v>0</v>
      </c>
      <c r="U24">
        <f>IF(P24=0,0,COUNTIF('Transect 4_imgsummary'!E24:I24,"ACROPARB")*100/P24)</f>
        <v>0</v>
      </c>
      <c r="V24">
        <f>IF(P24=0,0,COUNTIF('Transect 4_imgsummary'!E24:I24,"ACROST")*100/P24)</f>
        <v>0</v>
      </c>
      <c r="W24" s="29">
        <f>IF(P24=0,0,COUNTIF('Transect 4_imgsummary'!E24:I24,"ACROTBL")*100/P24)</f>
        <v>20</v>
      </c>
      <c r="X24">
        <f>IF(P24=0,0,COUNTIF('Transect 4_imgsummary'!E24:I24,"ASTRP")*100/P24)</f>
        <v>0</v>
      </c>
      <c r="Y24">
        <f>IF(P24=0,0,COUNTIF('Transect 4_imgsummary'!E24:I24,"CAUL")*100/P24)</f>
        <v>0</v>
      </c>
      <c r="Z24">
        <f>IF(P24=0,0,COUNTIF('Transect 4_imgsummary'!E24:I24,"COSC")*100/P24)</f>
        <v>0</v>
      </c>
      <c r="AA24">
        <f>IF(P24=0,0,COUNTIF('Transect 4_imgsummary'!E24:I24,"CTEN")*100/P24)</f>
        <v>0</v>
      </c>
      <c r="AB24">
        <f>IF(P24=0,0,COUNTIF('Transect 4_imgsummary'!E24:I24,"CYPH")*100/P24)</f>
        <v>0</v>
      </c>
      <c r="AC24">
        <f>IF(P24=0,0,COUNTIF('Transect 4_imgsummary'!E24:I24,"DIPLO")*100/P24)</f>
        <v>0</v>
      </c>
      <c r="AD24">
        <f>IF(P24=0,0,COUNTIF('Transect 4_imgsummary'!E24:I24,"ECHPO")*100/P24)</f>
        <v>0</v>
      </c>
      <c r="AE24">
        <f>IF(P24=0,0,COUNTIF('Transect 4_imgsummary'!E24:I24,"ECHPHY")*100/P24)</f>
        <v>0</v>
      </c>
      <c r="AF24">
        <f>IF(P24=0,0,COUNTIF('Transect 4_imgsummary'!E24:I24,"EUPH")*100/P24)</f>
        <v>0</v>
      </c>
      <c r="AG24">
        <f>IF(P24=0,0,COUNTIF('Transect 4_imgsummary'!E24:I24,"FAV")*100/P24)</f>
        <v>0</v>
      </c>
      <c r="AH24">
        <f>IF(P24=0,0,COUNTIF('Transect 4_imgsummary'!E24:I24,"FAVT")*100/P24)</f>
        <v>0</v>
      </c>
      <c r="AI24">
        <f>IF(P24=0,0,COUNTIF('Transect 4_imgsummary'!E24:I24,"FUNG")*100/P24)</f>
        <v>0</v>
      </c>
      <c r="AJ24">
        <f>IF(P24=0,0,COUNTIF('Transect 4_imgsummary'!E24:I24,"GAL")*100/P24)</f>
        <v>0</v>
      </c>
      <c r="AK24">
        <f>IF(P24=0,0,COUNTIF('Transect 4_imgsummary'!E24:I24,"GARD")*100/P24)</f>
        <v>0</v>
      </c>
      <c r="AL24">
        <f>IF(P24=0,0,COUNTIF('Transect 4_imgsummary'!E24:I24,"GON")*100/P24)</f>
        <v>0</v>
      </c>
      <c r="AM24">
        <f>IF(P24=0,0,COUNTIF('Transect 4_imgsummary'!E24:I24,"GONIO")*100/P24)</f>
        <v>0</v>
      </c>
      <c r="AN24">
        <f>IF(P24=0,0,COUNTIF('Transect 4_imgsummary'!E24:I24,"HELIO")*100/P24)</f>
        <v>0</v>
      </c>
      <c r="AO24">
        <f>IF(P24=0,0,COUNTIF('Transect 4_imgsummary'!E24:I24,"HERP")*100/P24)</f>
        <v>0</v>
      </c>
      <c r="AP24">
        <f>IF(P24=0,0,COUNTIF('Transect 4_imgsummary'!E24:I24,"HYD")*100/P24)</f>
        <v>0</v>
      </c>
      <c r="AQ24">
        <f>IF(P24=0,0,COUNTIF('Transect 4_imgsummary'!E24:I24,"ISOP")*100/P24)</f>
        <v>0</v>
      </c>
      <c r="AR24">
        <f>IF(P24=0,0,COUNTIF('Transect 4_imgsummary'!E24:I24,"LEPT")*100/P24)</f>
        <v>0</v>
      </c>
      <c r="AS24" s="29">
        <f>IF(P24=0,0,COUNTIF('Transect 4_imgsummary'!E24:I24,"LEPTOR")*100/P24)</f>
        <v>20</v>
      </c>
      <c r="AT24">
        <f>IF(P24=0,0,COUNTIF('Transect 4_imgsummary'!E24:I24,"LEPTOS")*100/P24)</f>
        <v>0</v>
      </c>
      <c r="AU24">
        <f>IF(P24=0,0,COUNTIF('Transect 4_imgsummary'!E24:I24,"LOBOPH")*100/P24)</f>
        <v>0</v>
      </c>
      <c r="AV24">
        <f>IF(P24=0,0,COUNTIF('Transect 4_imgsummary'!E24:I24,"MERU")*100/P24)</f>
        <v>0</v>
      </c>
      <c r="AW24">
        <f>IF(P24=0,0,COUNTIF('Transect 4_imgsummary'!E24:I24,"MILL")*100/P24)</f>
        <v>0</v>
      </c>
      <c r="AX24">
        <f>IF(P24=0,0,COUNTIF('Transect 4_imgsummary'!E24:I24,"MONT")*100/P24)</f>
        <v>0</v>
      </c>
      <c r="AY24">
        <f>IF(P24=0,0,COUNTIF('Transect 4_imgsummary'!E24:I24,"MONTI")*100/P24)</f>
        <v>0</v>
      </c>
      <c r="AZ24">
        <f>IF(P24=0,0,COUNTIF('Transect 4_imgsummary'!E24:I24,"MYCED")*100/P24)</f>
        <v>0</v>
      </c>
      <c r="BA24">
        <f>IF(P24=0,0,COUNTIF('Transect 4_imgsummary'!E24:I24,"OULO")*100/P24)</f>
        <v>0</v>
      </c>
      <c r="BB24">
        <f>IF(P24=0,0,COUNTIF('Transect 4_imgsummary'!E24:I24,"OXYP")*100/P24)</f>
        <v>0</v>
      </c>
      <c r="BC24">
        <f>IF(P24=0,0,COUNTIF('Transect 4_imgsummary'!E24:I24,"PLSIA")*100/P24)</f>
        <v>0</v>
      </c>
      <c r="BD24">
        <f>IF(P24=0,0,COUNTIF('Transect 4_imgsummary'!E24:I24,"PACHY")*100/P24)</f>
        <v>0</v>
      </c>
      <c r="BE24">
        <f>IF(P24=0,0,COUNTIF('Transect 4_imgsummary'!E24:I24,"PAV")*100/P24)</f>
        <v>0</v>
      </c>
      <c r="BF24">
        <f>IF(P24=0,0,COUNTIF('Transect 4_imgsummary'!E24:I24,"PECT")*100/P24)</f>
        <v>0</v>
      </c>
      <c r="BG24">
        <f>IF(P24=0,0,COUNTIF('Transect 4_imgsummary'!E24:I24,"PHYSO")*100/P24)</f>
        <v>0</v>
      </c>
      <c r="BH24">
        <f>IF(P24=0,0,COUNTIF('Transect 4_imgsummary'!E24:I24,"PLAT")*100/P24)</f>
        <v>0</v>
      </c>
      <c r="BI24">
        <f>IF(P24=0,0,COUNTIF('Transect 4_imgsummary'!E24:I24,"PLERO")*100/P24)</f>
        <v>0</v>
      </c>
      <c r="BJ24">
        <f>IF(P24=0,0,COUNTIF('Transect 4_imgsummary'!E24:I24,"POC")*100/P24)</f>
        <v>0</v>
      </c>
      <c r="BK24">
        <f>IF(P24=0,0,COUNTIF('Transect 4_imgsummary'!E24:I24,"POR")*100/P24)</f>
        <v>0</v>
      </c>
      <c r="BL24">
        <f>IF(P24=0,0,COUNTIF('Transect 4_imgsummary'!E24:I24,"PORCYL")*100/P24)</f>
        <v>0</v>
      </c>
      <c r="BM24">
        <f>IF(P24=0,0,COUNTIF('Transect 4_imgsummary'!E24:I24,"PORMAS")*100/P24)</f>
        <v>0</v>
      </c>
      <c r="BN24">
        <f>IF(P24=0,0,COUNTIF('Transect 4_imgsummary'!E24:I24,"PORRUS")*100/P24)</f>
        <v>0</v>
      </c>
      <c r="BO24">
        <f>IF(P24=0,0,COUNTIF('Transect 4_imgsummary'!E24:I24,"PSAM")*100/P24)</f>
        <v>0</v>
      </c>
      <c r="BP24">
        <f>IF(P24=0,0,COUNTIF('Transect 4_imgsummary'!E24:I24,"SANDO")*100/P24)</f>
        <v>0</v>
      </c>
      <c r="BQ24">
        <f>IF(P24=0,0,COUNTIF('Transect 4_imgsummary'!E24:I24,"SCAP")*100/P24)</f>
        <v>0</v>
      </c>
      <c r="BR24">
        <f>IF(P24=0,0,COUNTIF('Transect 4_imgsummary'!E24:I24,"SERIA")*100/P24)</f>
        <v>0</v>
      </c>
      <c r="BS24">
        <f>IF(P24=0,0,COUNTIF('Transect 4_imgsummary'!E24:I24,"STYLC")*100/P24)</f>
        <v>0</v>
      </c>
      <c r="BT24">
        <f>IF(P24=0,0,COUNTIF('Transect 4_imgsummary'!E24:I24,"STYLO")*100/P24)</f>
        <v>0</v>
      </c>
      <c r="BU24">
        <f>IF(P24=0,0,COUNTIF('Transect 4_imgsummary'!E24:I24,"SYMP")*100/P24)</f>
        <v>0</v>
      </c>
      <c r="BV24">
        <f>IF(P24=0,0,COUNTIF('Transect 4_imgsummary'!E24:I24,"TURBIN")*100/P24)</f>
        <v>0</v>
      </c>
      <c r="BX24">
        <f>IF(P24=0,0,COUNTIF('Transect 4_imgsummary'!E24:I24,"ANEM")*100/P24)</f>
        <v>0</v>
      </c>
      <c r="BY24">
        <f>IF(P24=0,0,COUNTIF('Transect 4_imgsummary'!E24:I24,"ASC")*100/P24)</f>
        <v>0</v>
      </c>
      <c r="BZ24">
        <f>IF(P24=0,0,COUNTIF('Transect 4_imgsummary'!E24:I24,"CUPS")*100/P24)</f>
        <v>0</v>
      </c>
      <c r="CA24">
        <f>IF(P24=0,0,COUNTIF('Transect 4_imgsummary'!E24:I24,"DISCO")*100/P24)</f>
        <v>0</v>
      </c>
      <c r="CB24">
        <f>IF(P24=0,0,COUNTIF('Transect 4_imgsummary'!E24:I24,"DYS")*100/P24)</f>
        <v>0</v>
      </c>
      <c r="CC24">
        <f>IF(P24=0,0,COUNTIF('Transect 4_imgsummary'!E24:I24,"G")*100/P24)</f>
        <v>0</v>
      </c>
      <c r="CD24">
        <f>IF(P24=0,0,COUNTIF('Transect 4_imgsummary'!E24:I24,"NoIDINV")*100/P24)</f>
        <v>0</v>
      </c>
      <c r="CE24">
        <f>IF(P24=0,0,COUNTIF('Transect 4_imgsummary'!E24:I24,"OLV")*100/P24)</f>
        <v>0</v>
      </c>
      <c r="CF24">
        <f>IF(P24=0,0,COUNTIF('Transect 4_imgsummary'!E24:I24,"SC")*100/P24)</f>
        <v>0</v>
      </c>
      <c r="CG24">
        <f>IF(P24=0,0,COUNTIF('Transect 4_imgsummary'!E24:I24,"S")*100/P24)</f>
        <v>0</v>
      </c>
      <c r="CH24">
        <f>IF(P24=0,0,COUNTIF('Transect 4_imgsummary'!E24:I24,"TERPS")*100/P24)</f>
        <v>0</v>
      </c>
      <c r="CI24">
        <f>IF(P24=0,0,COUNTIF('Transect 4_imgsummary'!E24:I24,"Z")*100/P24)</f>
        <v>0</v>
      </c>
      <c r="CK24">
        <f>IF(P24=0,0,COUNTIF('Transect 4_imgsummary'!E24:I24,"ASP")*100/P24)</f>
        <v>0</v>
      </c>
      <c r="CL24">
        <f>IF(P24=0,0,COUNTIF('Transect 4_imgsummary'!E24:I24,"BG")*100/P24)</f>
        <v>0</v>
      </c>
      <c r="CM24">
        <f>IF(P24=0,0,COUNTIF('Transect 4_imgsummary'!E24:I24,"Bood")*100/P24)</f>
        <v>0</v>
      </c>
      <c r="CN24">
        <f>IF(P24=0,0,COUNTIF('Transect 4_imgsummary'!E24:I24,"BRYP")*100/P24)</f>
        <v>0</v>
      </c>
      <c r="CO24">
        <f>IF(P24=0,0,COUNTIF('Transect 4_imgsummary'!E24:I24,"CLP")*100/P24)</f>
        <v>0</v>
      </c>
      <c r="CP24">
        <f>IF(P24=0,0,COUNTIF('Transect 4_imgsummary'!E24:I24,"CHLDES")*100/P24)</f>
        <v>0</v>
      </c>
      <c r="CQ24">
        <f>IF(P24=0,0,COUNTIF('Transect 4_imgsummary'!E24:I24,"DYCTY")*100/P24)</f>
        <v>0</v>
      </c>
      <c r="CR24">
        <f>IF(P24=0,0,COUNTIF('Transect 4_imgsummary'!E24:I24,"DICT")*100/P24)</f>
        <v>0</v>
      </c>
      <c r="CS24">
        <f>IF(P24=0,0,COUNTIF('Transect 4_imgsummary'!E24:I24,"GLXU")*100/P24)</f>
        <v>0</v>
      </c>
      <c r="CT24">
        <f>IF(P24=0,0,COUNTIF('Transect 4_imgsummary'!E24:I24,"HALI")*100/P24)</f>
        <v>0</v>
      </c>
      <c r="CU24">
        <f>IF(P24=0,0,COUNTIF('Transect 4_imgsummary'!E24:I24,"LIAG")*100/P24)</f>
        <v>0</v>
      </c>
      <c r="CV24">
        <f>IF(P24=0,0,COUNTIF('Transect 4_imgsummary'!E24:I24,"LOBO")*100/P24)</f>
        <v>0</v>
      </c>
      <c r="CW24">
        <f>IF(P24=0,0,COUNTIF('Transect 4_imgsummary'!E24:I24,"MAST")*100/P24)</f>
        <v>0</v>
      </c>
      <c r="CX24">
        <f>IF(P24=0,0,COUNTIF('Transect 4_imgsummary'!E24:I24,"MICDTY")*100/P24)</f>
        <v>0</v>
      </c>
      <c r="CY24">
        <f>IF(P24=0,0,COUNTIF('Transect 4_imgsummary'!E24:I24,"NEOM")*100/P24)</f>
        <v>0</v>
      </c>
      <c r="CZ24">
        <f>IF(P24=0,0,COUNTIF('Transect 4_imgsummary'!E24:I24,"NOIDMAC")*100/P24)</f>
        <v>0</v>
      </c>
      <c r="DA24">
        <f>IF(P24=0,0,COUNTIF('Transect 4_imgsummary'!E24:I24,"PAD")*100/P24)</f>
        <v>0</v>
      </c>
      <c r="DB24">
        <f>IF(P24=0,0,COUNTIF('Transect 4_imgsummary'!E24:I24,"SARG")*100/P24)</f>
        <v>0</v>
      </c>
      <c r="DC24">
        <f>IF(P24=0,0,COUNTIF('Transect 4_imgsummary'!E24:I24,"SCHIZ")*100/P24)</f>
        <v>0</v>
      </c>
      <c r="DD24">
        <f>IF(P24=0,0,COUNTIF('Transect 4_imgsummary'!E24:I24,"TURB")*100/P24)</f>
        <v>0</v>
      </c>
      <c r="DE24">
        <f>IF(P24=0,0,COUNTIF('Transect 4_imgsummary'!E24:I24,"TYDM")*100/P24)</f>
        <v>0</v>
      </c>
      <c r="DG24">
        <f>IF(P24=0,0,COUNTIF('Transect 4_imgsummary'!E24:I24,"AMP")*100/P24)</f>
        <v>0</v>
      </c>
      <c r="DH24">
        <f>IF(P24=0,0,COUNTIF('Transect 4_imgsummary'!E24:I24,"BCA1")*100/P24)</f>
        <v>0</v>
      </c>
      <c r="DI24">
        <f>IF(P24=0,0,COUNTIF('Transect 4_imgsummary'!E24:I24,"JAN")*100/P24)</f>
        <v>0</v>
      </c>
      <c r="DK24" s="29">
        <f>IF(P24=0,0,COUNTIF('Transect 4_imgsummary'!E24:I24,"CCA1")*100/P24)</f>
        <v>40</v>
      </c>
      <c r="DM24">
        <f>IF(P24=0,0,COUNTIF('Transect 4_imgsummary'!E24:I24,"Sand")*100/P24)</f>
        <v>0</v>
      </c>
      <c r="DO24">
        <f>IF(P24=0,0,COUNTIF('Transect 4_imgsummary'!E24:I24,"FCA1")*100/P24)</f>
        <v>0</v>
      </c>
      <c r="DQ24">
        <f>IF(P24=0,0,COUNTIF('Transect 4_imgsummary'!E24:I24,"CHRYOBRN")*100/P24)</f>
        <v>0</v>
      </c>
      <c r="DS24" s="29">
        <f>IF(P24=0,0,COUNTIF('Transect 4_imgsummary'!E24:I24,"TURF")*100/P24)</f>
        <v>20</v>
      </c>
      <c r="DU24">
        <f>COUNTIF('Transect 4_imgsummary'!E24:I24,"Shadow")*100/5</f>
        <v>0</v>
      </c>
      <c r="DV24">
        <f>COUNTIF('Transect 4_imgsummary'!E24:I24,"Tape")*100/5</f>
        <v>0</v>
      </c>
      <c r="DW24">
        <f>COUNTIF('Transect 4_imgsummary'!E24:I24,"Wand")*100/5</f>
        <v>0</v>
      </c>
      <c r="DY24">
        <f>IF(P24=0,0,COUNTIF('Transect 4_imgsummary'!O24:S24,"BC")*100/P24)</f>
        <v>0</v>
      </c>
    </row>
    <row r="25" spans="1:129">
      <c r="A25">
        <v>23</v>
      </c>
      <c r="B25" t="s">
        <v>568</v>
      </c>
      <c r="F25" s="29">
        <f>IF(P25=0,0,COUNTIF('Transect 4_imgsummary'!J25:N25,"C")*100/P25)</f>
        <v>100</v>
      </c>
      <c r="G25">
        <f>IF(P25=0,0,COUNTIF('Transect 4_imgsummary'!J25:N25,"OI")*100/P25)</f>
        <v>0</v>
      </c>
      <c r="H25">
        <f>IF(P25=0,0,COUNTIF('Transect 4_imgsummary'!J25:N25,"MA")*100/P25)</f>
        <v>0</v>
      </c>
      <c r="I25">
        <f>IF(P25=0,0,COUNTIF('Transect 4_imgsummary'!J25:N25,"BCA")*100/P25)</f>
        <v>0</v>
      </c>
      <c r="J25">
        <f>IF(P25=0,0,COUNTIF('Transect 4_imgsummary'!J25:N25,"CCA")*100/P25)</f>
        <v>0</v>
      </c>
      <c r="K25">
        <f>IF(P25=0,0,COUNTIF('Transect 4_imgsummary'!J25:N25,"SD")*100/P25)</f>
        <v>0</v>
      </c>
      <c r="L25">
        <f>IF(P25=0,0,COUNTIF('Transect 4_imgsummary'!J25:N25,"FCA")*100/P25)</f>
        <v>0</v>
      </c>
      <c r="M25">
        <f>IF(P25=0,0,COUNTIF('Transect 4_imgsummary'!J25:N25,"CHRYS")*100/P25)</f>
        <v>0</v>
      </c>
      <c r="N25">
        <f>IF(P25=0,0,COUNTIF('Transect 4_imgsummary'!J25:N25,"T")*100/P25)</f>
        <v>0</v>
      </c>
      <c r="O25">
        <f>IF(P25=0,0,COUNTIF('Transect 4_imgsummary'!J25:N25,"TWS")*100/P25)</f>
        <v>0</v>
      </c>
      <c r="P25">
        <f>5-COUNTIF('Transect 4_imgsummary'!J25:N25,"TWS")</f>
        <v>5</v>
      </c>
      <c r="S25">
        <f>IF(P25=0,0,COUNTIF('Transect 4_imgsummary'!E25:I25,"ACAN")*100/P25)</f>
        <v>0</v>
      </c>
      <c r="T25">
        <f>IF(P25=0,0,COUNTIF('Transect 4_imgsummary'!E25:I25,"ACROP")*100/P25)</f>
        <v>0</v>
      </c>
      <c r="U25">
        <f>IF(P25=0,0,COUNTIF('Transect 4_imgsummary'!E25:I25,"ACROPARB")*100/P25)</f>
        <v>0</v>
      </c>
      <c r="V25">
        <f>IF(P25=0,0,COUNTIF('Transect 4_imgsummary'!E25:I25,"ACROST")*100/P25)</f>
        <v>0</v>
      </c>
      <c r="W25" s="29">
        <f>IF(P25=0,0,COUNTIF('Transect 4_imgsummary'!E25:I25,"ACROTBL")*100/P25)</f>
        <v>100</v>
      </c>
      <c r="X25">
        <f>IF(P25=0,0,COUNTIF('Transect 4_imgsummary'!E25:I25,"ASTRP")*100/P25)</f>
        <v>0</v>
      </c>
      <c r="Y25">
        <f>IF(P25=0,0,COUNTIF('Transect 4_imgsummary'!E25:I25,"CAUL")*100/P25)</f>
        <v>0</v>
      </c>
      <c r="Z25">
        <f>IF(P25=0,0,COUNTIF('Transect 4_imgsummary'!E25:I25,"COSC")*100/P25)</f>
        <v>0</v>
      </c>
      <c r="AA25">
        <f>IF(P25=0,0,COUNTIF('Transect 4_imgsummary'!E25:I25,"CTEN")*100/P25)</f>
        <v>0</v>
      </c>
      <c r="AB25">
        <f>IF(P25=0,0,COUNTIF('Transect 4_imgsummary'!E25:I25,"CYPH")*100/P25)</f>
        <v>0</v>
      </c>
      <c r="AC25">
        <f>IF(P25=0,0,COUNTIF('Transect 4_imgsummary'!E25:I25,"DIPLO")*100/P25)</f>
        <v>0</v>
      </c>
      <c r="AD25">
        <f>IF(P25=0,0,COUNTIF('Transect 4_imgsummary'!E25:I25,"ECHPO")*100/P25)</f>
        <v>0</v>
      </c>
      <c r="AE25">
        <f>IF(P25=0,0,COUNTIF('Transect 4_imgsummary'!E25:I25,"ECHPHY")*100/P25)</f>
        <v>0</v>
      </c>
      <c r="AF25">
        <f>IF(P25=0,0,COUNTIF('Transect 4_imgsummary'!E25:I25,"EUPH")*100/P25)</f>
        <v>0</v>
      </c>
      <c r="AG25">
        <f>IF(P25=0,0,COUNTIF('Transect 4_imgsummary'!E25:I25,"FAV")*100/P25)</f>
        <v>0</v>
      </c>
      <c r="AH25">
        <f>IF(P25=0,0,COUNTIF('Transect 4_imgsummary'!E25:I25,"FAVT")*100/P25)</f>
        <v>0</v>
      </c>
      <c r="AI25">
        <f>IF(P25=0,0,COUNTIF('Transect 4_imgsummary'!E25:I25,"FUNG")*100/P25)</f>
        <v>0</v>
      </c>
      <c r="AJ25">
        <f>IF(P25=0,0,COUNTIF('Transect 4_imgsummary'!E25:I25,"GAL")*100/P25)</f>
        <v>0</v>
      </c>
      <c r="AK25">
        <f>IF(P25=0,0,COUNTIF('Transect 4_imgsummary'!E25:I25,"GARD")*100/P25)</f>
        <v>0</v>
      </c>
      <c r="AL25">
        <f>IF(P25=0,0,COUNTIF('Transect 4_imgsummary'!E25:I25,"GON")*100/P25)</f>
        <v>0</v>
      </c>
      <c r="AM25">
        <f>IF(P25=0,0,COUNTIF('Transect 4_imgsummary'!E25:I25,"GONIO")*100/P25)</f>
        <v>0</v>
      </c>
      <c r="AN25">
        <f>IF(P25=0,0,COUNTIF('Transect 4_imgsummary'!E25:I25,"HELIO")*100/P25)</f>
        <v>0</v>
      </c>
      <c r="AO25">
        <f>IF(P25=0,0,COUNTIF('Transect 4_imgsummary'!E25:I25,"HERP")*100/P25)</f>
        <v>0</v>
      </c>
      <c r="AP25">
        <f>IF(P25=0,0,COUNTIF('Transect 4_imgsummary'!E25:I25,"HYD")*100/P25)</f>
        <v>0</v>
      </c>
      <c r="AQ25">
        <f>IF(P25=0,0,COUNTIF('Transect 4_imgsummary'!E25:I25,"ISOP")*100/P25)</f>
        <v>0</v>
      </c>
      <c r="AR25">
        <f>IF(P25=0,0,COUNTIF('Transect 4_imgsummary'!E25:I25,"LEPT")*100/P25)</f>
        <v>0</v>
      </c>
      <c r="AS25">
        <f>IF(P25=0,0,COUNTIF('Transect 4_imgsummary'!E25:I25,"LEPTOR")*100/P25)</f>
        <v>0</v>
      </c>
      <c r="AT25">
        <f>IF(P25=0,0,COUNTIF('Transect 4_imgsummary'!E25:I25,"LEPTOS")*100/P25)</f>
        <v>0</v>
      </c>
      <c r="AU25">
        <f>IF(P25=0,0,COUNTIF('Transect 4_imgsummary'!E25:I25,"LOBOPH")*100/P25)</f>
        <v>0</v>
      </c>
      <c r="AV25">
        <f>IF(P25=0,0,COUNTIF('Transect 4_imgsummary'!E25:I25,"MERU")*100/P25)</f>
        <v>0</v>
      </c>
      <c r="AW25">
        <f>IF(P25=0,0,COUNTIF('Transect 4_imgsummary'!E25:I25,"MILL")*100/P25)</f>
        <v>0</v>
      </c>
      <c r="AX25">
        <f>IF(P25=0,0,COUNTIF('Transect 4_imgsummary'!E25:I25,"MONT")*100/P25)</f>
        <v>0</v>
      </c>
      <c r="AY25">
        <f>IF(P25=0,0,COUNTIF('Transect 4_imgsummary'!E25:I25,"MONTI")*100/P25)</f>
        <v>0</v>
      </c>
      <c r="AZ25">
        <f>IF(P25=0,0,COUNTIF('Transect 4_imgsummary'!E25:I25,"MYCED")*100/P25)</f>
        <v>0</v>
      </c>
      <c r="BA25">
        <f>IF(P25=0,0,COUNTIF('Transect 4_imgsummary'!E25:I25,"OULO")*100/P25)</f>
        <v>0</v>
      </c>
      <c r="BB25">
        <f>IF(P25=0,0,COUNTIF('Transect 4_imgsummary'!E25:I25,"OXYP")*100/P25)</f>
        <v>0</v>
      </c>
      <c r="BC25">
        <f>IF(P25=0,0,COUNTIF('Transect 4_imgsummary'!E25:I25,"PLSIA")*100/P25)</f>
        <v>0</v>
      </c>
      <c r="BD25">
        <f>IF(P25=0,0,COUNTIF('Transect 4_imgsummary'!E25:I25,"PACHY")*100/P25)</f>
        <v>0</v>
      </c>
      <c r="BE25">
        <f>IF(P25=0,0,COUNTIF('Transect 4_imgsummary'!E25:I25,"PAV")*100/P25)</f>
        <v>0</v>
      </c>
      <c r="BF25">
        <f>IF(P25=0,0,COUNTIF('Transect 4_imgsummary'!E25:I25,"PECT")*100/P25)</f>
        <v>0</v>
      </c>
      <c r="BG25">
        <f>IF(P25=0,0,COUNTIF('Transect 4_imgsummary'!E25:I25,"PHYSO")*100/P25)</f>
        <v>0</v>
      </c>
      <c r="BH25">
        <f>IF(P25=0,0,COUNTIF('Transect 4_imgsummary'!E25:I25,"PLAT")*100/P25)</f>
        <v>0</v>
      </c>
      <c r="BI25">
        <f>IF(P25=0,0,COUNTIF('Transect 4_imgsummary'!E25:I25,"PLERO")*100/P25)</f>
        <v>0</v>
      </c>
      <c r="BJ25">
        <f>IF(P25=0,0,COUNTIF('Transect 4_imgsummary'!E25:I25,"POC")*100/P25)</f>
        <v>0</v>
      </c>
      <c r="BK25">
        <f>IF(P25=0,0,COUNTIF('Transect 4_imgsummary'!E25:I25,"POR")*100/P25)</f>
        <v>0</v>
      </c>
      <c r="BL25">
        <f>IF(P25=0,0,COUNTIF('Transect 4_imgsummary'!E25:I25,"PORCYL")*100/P25)</f>
        <v>0</v>
      </c>
      <c r="BM25">
        <f>IF(P25=0,0,COUNTIF('Transect 4_imgsummary'!E25:I25,"PORMAS")*100/P25)</f>
        <v>0</v>
      </c>
      <c r="BN25">
        <f>IF(P25=0,0,COUNTIF('Transect 4_imgsummary'!E25:I25,"PORRUS")*100/P25)</f>
        <v>0</v>
      </c>
      <c r="BO25">
        <f>IF(P25=0,0,COUNTIF('Transect 4_imgsummary'!E25:I25,"PSAM")*100/P25)</f>
        <v>0</v>
      </c>
      <c r="BP25">
        <f>IF(P25=0,0,COUNTIF('Transect 4_imgsummary'!E25:I25,"SANDO")*100/P25)</f>
        <v>0</v>
      </c>
      <c r="BQ25">
        <f>IF(P25=0,0,COUNTIF('Transect 4_imgsummary'!E25:I25,"SCAP")*100/P25)</f>
        <v>0</v>
      </c>
      <c r="BR25">
        <f>IF(P25=0,0,COUNTIF('Transect 4_imgsummary'!E25:I25,"SERIA")*100/P25)</f>
        <v>0</v>
      </c>
      <c r="BS25">
        <f>IF(P25=0,0,COUNTIF('Transect 4_imgsummary'!E25:I25,"STYLC")*100/P25)</f>
        <v>0</v>
      </c>
      <c r="BT25">
        <f>IF(P25=0,0,COUNTIF('Transect 4_imgsummary'!E25:I25,"STYLO")*100/P25)</f>
        <v>0</v>
      </c>
      <c r="BU25">
        <f>IF(P25=0,0,COUNTIF('Transect 4_imgsummary'!E25:I25,"SYMP")*100/P25)</f>
        <v>0</v>
      </c>
      <c r="BV25">
        <f>IF(P25=0,0,COUNTIF('Transect 4_imgsummary'!E25:I25,"TURBIN")*100/P25)</f>
        <v>0</v>
      </c>
      <c r="BX25">
        <f>IF(P25=0,0,COUNTIF('Transect 4_imgsummary'!E25:I25,"ANEM")*100/P25)</f>
        <v>0</v>
      </c>
      <c r="BY25">
        <f>IF(P25=0,0,COUNTIF('Transect 4_imgsummary'!E25:I25,"ASC")*100/P25)</f>
        <v>0</v>
      </c>
      <c r="BZ25">
        <f>IF(P25=0,0,COUNTIF('Transect 4_imgsummary'!E25:I25,"CUPS")*100/P25)</f>
        <v>0</v>
      </c>
      <c r="CA25">
        <f>IF(P25=0,0,COUNTIF('Transect 4_imgsummary'!E25:I25,"DISCO")*100/P25)</f>
        <v>0</v>
      </c>
      <c r="CB25">
        <f>IF(P25=0,0,COUNTIF('Transect 4_imgsummary'!E25:I25,"DYS")*100/P25)</f>
        <v>0</v>
      </c>
      <c r="CC25">
        <f>IF(P25=0,0,COUNTIF('Transect 4_imgsummary'!E25:I25,"G")*100/P25)</f>
        <v>0</v>
      </c>
      <c r="CD25">
        <f>IF(P25=0,0,COUNTIF('Transect 4_imgsummary'!E25:I25,"NoIDINV")*100/P25)</f>
        <v>0</v>
      </c>
      <c r="CE25">
        <f>IF(P25=0,0,COUNTIF('Transect 4_imgsummary'!E25:I25,"OLV")*100/P25)</f>
        <v>0</v>
      </c>
      <c r="CF25">
        <f>IF(P25=0,0,COUNTIF('Transect 4_imgsummary'!E25:I25,"SC")*100/P25)</f>
        <v>0</v>
      </c>
      <c r="CG25">
        <f>IF(P25=0,0,COUNTIF('Transect 4_imgsummary'!E25:I25,"S")*100/P25)</f>
        <v>0</v>
      </c>
      <c r="CH25">
        <f>IF(P25=0,0,COUNTIF('Transect 4_imgsummary'!E25:I25,"TERPS")*100/P25)</f>
        <v>0</v>
      </c>
      <c r="CI25">
        <f>IF(P25=0,0,COUNTIF('Transect 4_imgsummary'!E25:I25,"Z")*100/P25)</f>
        <v>0</v>
      </c>
      <c r="CK25">
        <f>IF(P25=0,0,COUNTIF('Transect 4_imgsummary'!E25:I25,"ASP")*100/P25)</f>
        <v>0</v>
      </c>
      <c r="CL25">
        <f>IF(P25=0,0,COUNTIF('Transect 4_imgsummary'!E25:I25,"BG")*100/P25)</f>
        <v>0</v>
      </c>
      <c r="CM25">
        <f>IF(P25=0,0,COUNTIF('Transect 4_imgsummary'!E25:I25,"Bood")*100/P25)</f>
        <v>0</v>
      </c>
      <c r="CN25">
        <f>IF(P25=0,0,COUNTIF('Transect 4_imgsummary'!E25:I25,"BRYP")*100/P25)</f>
        <v>0</v>
      </c>
      <c r="CO25">
        <f>IF(P25=0,0,COUNTIF('Transect 4_imgsummary'!E25:I25,"CLP")*100/P25)</f>
        <v>0</v>
      </c>
      <c r="CP25">
        <f>IF(P25=0,0,COUNTIF('Transect 4_imgsummary'!E25:I25,"CHLDES")*100/P25)</f>
        <v>0</v>
      </c>
      <c r="CQ25">
        <f>IF(P25=0,0,COUNTIF('Transect 4_imgsummary'!E25:I25,"DYCTY")*100/P25)</f>
        <v>0</v>
      </c>
      <c r="CR25">
        <f>IF(P25=0,0,COUNTIF('Transect 4_imgsummary'!E25:I25,"DICT")*100/P25)</f>
        <v>0</v>
      </c>
      <c r="CS25">
        <f>IF(P25=0,0,COUNTIF('Transect 4_imgsummary'!E25:I25,"GLXU")*100/P25)</f>
        <v>0</v>
      </c>
      <c r="CT25">
        <f>IF(P25=0,0,COUNTIF('Transect 4_imgsummary'!E25:I25,"HALI")*100/P25)</f>
        <v>0</v>
      </c>
      <c r="CU25">
        <f>IF(P25=0,0,COUNTIF('Transect 4_imgsummary'!E25:I25,"LIAG")*100/P25)</f>
        <v>0</v>
      </c>
      <c r="CV25">
        <f>IF(P25=0,0,COUNTIF('Transect 4_imgsummary'!E25:I25,"LOBO")*100/P25)</f>
        <v>0</v>
      </c>
      <c r="CW25">
        <f>IF(P25=0,0,COUNTIF('Transect 4_imgsummary'!E25:I25,"MAST")*100/P25)</f>
        <v>0</v>
      </c>
      <c r="CX25">
        <f>IF(P25=0,0,COUNTIF('Transect 4_imgsummary'!E25:I25,"MICDTY")*100/P25)</f>
        <v>0</v>
      </c>
      <c r="CY25">
        <f>IF(P25=0,0,COUNTIF('Transect 4_imgsummary'!E25:I25,"NEOM")*100/P25)</f>
        <v>0</v>
      </c>
      <c r="CZ25">
        <f>IF(P25=0,0,COUNTIF('Transect 4_imgsummary'!E25:I25,"NOIDMAC")*100/P25)</f>
        <v>0</v>
      </c>
      <c r="DA25">
        <f>IF(P25=0,0,COUNTIF('Transect 4_imgsummary'!E25:I25,"PAD")*100/P25)</f>
        <v>0</v>
      </c>
      <c r="DB25">
        <f>IF(P25=0,0,COUNTIF('Transect 4_imgsummary'!E25:I25,"SARG")*100/P25)</f>
        <v>0</v>
      </c>
      <c r="DC25">
        <f>IF(P25=0,0,COUNTIF('Transect 4_imgsummary'!E25:I25,"SCHIZ")*100/P25)</f>
        <v>0</v>
      </c>
      <c r="DD25">
        <f>IF(P25=0,0,COUNTIF('Transect 4_imgsummary'!E25:I25,"TURB")*100/P25)</f>
        <v>0</v>
      </c>
      <c r="DE25">
        <f>IF(P25=0,0,COUNTIF('Transect 4_imgsummary'!E25:I25,"TYDM")*100/P25)</f>
        <v>0</v>
      </c>
      <c r="DG25">
        <f>IF(P25=0,0,COUNTIF('Transect 4_imgsummary'!E25:I25,"AMP")*100/P25)</f>
        <v>0</v>
      </c>
      <c r="DH25">
        <f>IF(P25=0,0,COUNTIF('Transect 4_imgsummary'!E25:I25,"BCA1")*100/P25)</f>
        <v>0</v>
      </c>
      <c r="DI25">
        <f>IF(P25=0,0,COUNTIF('Transect 4_imgsummary'!E25:I25,"JAN")*100/P25)</f>
        <v>0</v>
      </c>
      <c r="DK25">
        <f>IF(P25=0,0,COUNTIF('Transect 4_imgsummary'!E25:I25,"CCA1")*100/P25)</f>
        <v>0</v>
      </c>
      <c r="DM25">
        <f>IF(P25=0,0,COUNTIF('Transect 4_imgsummary'!E25:I25,"Sand")*100/P25)</f>
        <v>0</v>
      </c>
      <c r="DO25">
        <f>IF(P25=0,0,COUNTIF('Transect 4_imgsummary'!E25:I25,"FCA1")*100/P25)</f>
        <v>0</v>
      </c>
      <c r="DQ25">
        <f>IF(P25=0,0,COUNTIF('Transect 4_imgsummary'!E25:I25,"CHRYOBRN")*100/P25)</f>
        <v>0</v>
      </c>
      <c r="DS25">
        <f>IF(P25=0,0,COUNTIF('Transect 4_imgsummary'!E25:I25,"TURF")*100/P25)</f>
        <v>0</v>
      </c>
      <c r="DU25">
        <f>COUNTIF('Transect 4_imgsummary'!E25:I25,"Shadow")*100/5</f>
        <v>0</v>
      </c>
      <c r="DV25">
        <f>COUNTIF('Transect 4_imgsummary'!E25:I25,"Tape")*100/5</f>
        <v>0</v>
      </c>
      <c r="DW25">
        <f>COUNTIF('Transect 4_imgsummary'!E25:I25,"Wand")*100/5</f>
        <v>0</v>
      </c>
      <c r="DY25">
        <f>IF(P25=0,0,COUNTIF('Transect 4_imgsummary'!O25:S25,"BC")*100/P25)</f>
        <v>0</v>
      </c>
    </row>
    <row r="26" spans="1:129">
      <c r="A26">
        <v>24</v>
      </c>
      <c r="B26" t="s">
        <v>569</v>
      </c>
      <c r="F26" s="29">
        <f>IF(P26=0,0,COUNTIF('Transect 4_imgsummary'!J26:N26,"C")*100/P26)</f>
        <v>80</v>
      </c>
      <c r="G26">
        <f>IF(P26=0,0,COUNTIF('Transect 4_imgsummary'!J26:N26,"OI")*100/P26)</f>
        <v>0</v>
      </c>
      <c r="H26">
        <f>IF(P26=0,0,COUNTIF('Transect 4_imgsummary'!J26:N26,"MA")*100/P26)</f>
        <v>0</v>
      </c>
      <c r="I26">
        <f>IF(P26=0,0,COUNTIF('Transect 4_imgsummary'!J26:N26,"BCA")*100/P26)</f>
        <v>0</v>
      </c>
      <c r="J26" s="29">
        <f>IF(P26=0,0,COUNTIF('Transect 4_imgsummary'!J26:N26,"CCA")*100/P26)</f>
        <v>20</v>
      </c>
      <c r="K26">
        <f>IF(P26=0,0,COUNTIF('Transect 4_imgsummary'!J26:N26,"SD")*100/P26)</f>
        <v>0</v>
      </c>
      <c r="L26">
        <f>IF(P26=0,0,COUNTIF('Transect 4_imgsummary'!J26:N26,"FCA")*100/P26)</f>
        <v>0</v>
      </c>
      <c r="M26">
        <f>IF(P26=0,0,COUNTIF('Transect 4_imgsummary'!J26:N26,"CHRYS")*100/P26)</f>
        <v>0</v>
      </c>
      <c r="N26">
        <f>IF(P26=0,0,COUNTIF('Transect 4_imgsummary'!J26:N26,"T")*100/P26)</f>
        <v>0</v>
      </c>
      <c r="O26">
        <f>IF(P26=0,0,COUNTIF('Transect 4_imgsummary'!J26:N26,"TWS")*100/P26)</f>
        <v>0</v>
      </c>
      <c r="P26">
        <f>5-COUNTIF('Transect 4_imgsummary'!J26:N26,"TWS")</f>
        <v>5</v>
      </c>
      <c r="S26">
        <f>IF(P26=0,0,COUNTIF('Transect 4_imgsummary'!E26:I26,"ACAN")*100/P26)</f>
        <v>0</v>
      </c>
      <c r="T26">
        <f>IF(P26=0,0,COUNTIF('Transect 4_imgsummary'!E26:I26,"ACROP")*100/P26)</f>
        <v>0</v>
      </c>
      <c r="U26">
        <f>IF(P26=0,0,COUNTIF('Transect 4_imgsummary'!E26:I26,"ACROPARB")*100/P26)</f>
        <v>0</v>
      </c>
      <c r="V26">
        <f>IF(P26=0,0,COUNTIF('Transect 4_imgsummary'!E26:I26,"ACROST")*100/P26)</f>
        <v>0</v>
      </c>
      <c r="W26">
        <f>IF(P26=0,0,COUNTIF('Transect 4_imgsummary'!E26:I26,"ACROTBL")*100/P26)</f>
        <v>0</v>
      </c>
      <c r="X26">
        <f>IF(P26=0,0,COUNTIF('Transect 4_imgsummary'!E26:I26,"ASTRP")*100/P26)</f>
        <v>0</v>
      </c>
      <c r="Y26">
        <f>IF(P26=0,0,COUNTIF('Transect 4_imgsummary'!E26:I26,"CAUL")*100/P26)</f>
        <v>0</v>
      </c>
      <c r="Z26">
        <f>IF(P26=0,0,COUNTIF('Transect 4_imgsummary'!E26:I26,"COSC")*100/P26)</f>
        <v>0</v>
      </c>
      <c r="AA26">
        <f>IF(P26=0,0,COUNTIF('Transect 4_imgsummary'!E26:I26,"CTEN")*100/P26)</f>
        <v>0</v>
      </c>
      <c r="AB26">
        <f>IF(P26=0,0,COUNTIF('Transect 4_imgsummary'!E26:I26,"CYPH")*100/P26)</f>
        <v>0</v>
      </c>
      <c r="AC26">
        <f>IF(P26=0,0,COUNTIF('Transect 4_imgsummary'!E26:I26,"DIPLO")*100/P26)</f>
        <v>0</v>
      </c>
      <c r="AD26" s="29">
        <f>IF(P26=0,0,COUNTIF('Transect 4_imgsummary'!E26:I26,"ECHPO")*100/P26)</f>
        <v>80</v>
      </c>
      <c r="AE26">
        <f>IF(P26=0,0,COUNTIF('Transect 4_imgsummary'!E26:I26,"ECHPHY")*100/P26)</f>
        <v>0</v>
      </c>
      <c r="AF26">
        <f>IF(P26=0,0,COUNTIF('Transect 4_imgsummary'!E26:I26,"EUPH")*100/P26)</f>
        <v>0</v>
      </c>
      <c r="AG26">
        <f>IF(P26=0,0,COUNTIF('Transect 4_imgsummary'!E26:I26,"FAV")*100/P26)</f>
        <v>0</v>
      </c>
      <c r="AH26">
        <f>IF(P26=0,0,COUNTIF('Transect 4_imgsummary'!E26:I26,"FAVT")*100/P26)</f>
        <v>0</v>
      </c>
      <c r="AI26">
        <f>IF(P26=0,0,COUNTIF('Transect 4_imgsummary'!E26:I26,"FUNG")*100/P26)</f>
        <v>0</v>
      </c>
      <c r="AJ26">
        <f>IF(P26=0,0,COUNTIF('Transect 4_imgsummary'!E26:I26,"GAL")*100/P26)</f>
        <v>0</v>
      </c>
      <c r="AK26">
        <f>IF(P26=0,0,COUNTIF('Transect 4_imgsummary'!E26:I26,"GARD")*100/P26)</f>
        <v>0</v>
      </c>
      <c r="AL26">
        <f>IF(P26=0,0,COUNTIF('Transect 4_imgsummary'!E26:I26,"GON")*100/P26)</f>
        <v>0</v>
      </c>
      <c r="AM26">
        <f>IF(P26=0,0,COUNTIF('Transect 4_imgsummary'!E26:I26,"GONIO")*100/P26)</f>
        <v>0</v>
      </c>
      <c r="AN26">
        <f>IF(P26=0,0,COUNTIF('Transect 4_imgsummary'!E26:I26,"HELIO")*100/P26)</f>
        <v>0</v>
      </c>
      <c r="AO26">
        <f>IF(P26=0,0,COUNTIF('Transect 4_imgsummary'!E26:I26,"HERP")*100/P26)</f>
        <v>0</v>
      </c>
      <c r="AP26">
        <f>IF(P26=0,0,COUNTIF('Transect 4_imgsummary'!E26:I26,"HYD")*100/P26)</f>
        <v>0</v>
      </c>
      <c r="AQ26">
        <f>IF(P26=0,0,COUNTIF('Transect 4_imgsummary'!E26:I26,"ISOP")*100/P26)</f>
        <v>0</v>
      </c>
      <c r="AR26">
        <f>IF(P26=0,0,COUNTIF('Transect 4_imgsummary'!E26:I26,"LEPT")*100/P26)</f>
        <v>0</v>
      </c>
      <c r="AS26">
        <f>IF(P26=0,0,COUNTIF('Transect 4_imgsummary'!E26:I26,"LEPTOR")*100/P26)</f>
        <v>0</v>
      </c>
      <c r="AT26">
        <f>IF(P26=0,0,COUNTIF('Transect 4_imgsummary'!E26:I26,"LEPTOS")*100/P26)</f>
        <v>0</v>
      </c>
      <c r="AU26">
        <f>IF(P26=0,0,COUNTIF('Transect 4_imgsummary'!E26:I26,"LOBOPH")*100/P26)</f>
        <v>0</v>
      </c>
      <c r="AV26">
        <f>IF(P26=0,0,COUNTIF('Transect 4_imgsummary'!E26:I26,"MERU")*100/P26)</f>
        <v>0</v>
      </c>
      <c r="AW26">
        <f>IF(P26=0,0,COUNTIF('Transect 4_imgsummary'!E26:I26,"MILL")*100/P26)</f>
        <v>0</v>
      </c>
      <c r="AX26">
        <f>IF(P26=0,0,COUNTIF('Transect 4_imgsummary'!E26:I26,"MONT")*100/P26)</f>
        <v>0</v>
      </c>
      <c r="AY26">
        <f>IF(P26=0,0,COUNTIF('Transect 4_imgsummary'!E26:I26,"MONTI")*100/P26)</f>
        <v>0</v>
      </c>
      <c r="AZ26">
        <f>IF(P26=0,0,COUNTIF('Transect 4_imgsummary'!E26:I26,"MYCED")*100/P26)</f>
        <v>0</v>
      </c>
      <c r="BA26">
        <f>IF(P26=0,0,COUNTIF('Transect 4_imgsummary'!E26:I26,"OULO")*100/P26)</f>
        <v>0</v>
      </c>
      <c r="BB26">
        <f>IF(P26=0,0,COUNTIF('Transect 4_imgsummary'!E26:I26,"OXYP")*100/P26)</f>
        <v>0</v>
      </c>
      <c r="BC26">
        <f>IF(P26=0,0,COUNTIF('Transect 4_imgsummary'!E26:I26,"PLSIA")*100/P26)</f>
        <v>0</v>
      </c>
      <c r="BD26">
        <f>IF(P26=0,0,COUNTIF('Transect 4_imgsummary'!E26:I26,"PACHY")*100/P26)</f>
        <v>0</v>
      </c>
      <c r="BE26">
        <f>IF(P26=0,0,COUNTIF('Transect 4_imgsummary'!E26:I26,"PAV")*100/P26)</f>
        <v>0</v>
      </c>
      <c r="BF26">
        <f>IF(P26=0,0,COUNTIF('Transect 4_imgsummary'!E26:I26,"PECT")*100/P26)</f>
        <v>0</v>
      </c>
      <c r="BG26">
        <f>IF(P26=0,0,COUNTIF('Transect 4_imgsummary'!E26:I26,"PHYSO")*100/P26)</f>
        <v>0</v>
      </c>
      <c r="BH26">
        <f>IF(P26=0,0,COUNTIF('Transect 4_imgsummary'!E26:I26,"PLAT")*100/P26)</f>
        <v>0</v>
      </c>
      <c r="BI26">
        <f>IF(P26=0,0,COUNTIF('Transect 4_imgsummary'!E26:I26,"PLERO")*100/P26)</f>
        <v>0</v>
      </c>
      <c r="BJ26">
        <f>IF(P26=0,0,COUNTIF('Transect 4_imgsummary'!E26:I26,"POC")*100/P26)</f>
        <v>0</v>
      </c>
      <c r="BK26">
        <f>IF(P26=0,0,COUNTIF('Transect 4_imgsummary'!E26:I26,"POR")*100/P26)</f>
        <v>0</v>
      </c>
      <c r="BL26">
        <f>IF(P26=0,0,COUNTIF('Transect 4_imgsummary'!E26:I26,"PORCYL")*100/P26)</f>
        <v>0</v>
      </c>
      <c r="BM26">
        <f>IF(P26=0,0,COUNTIF('Transect 4_imgsummary'!E26:I26,"PORMAS")*100/P26)</f>
        <v>0</v>
      </c>
      <c r="BN26">
        <f>IF(P26=0,0,COUNTIF('Transect 4_imgsummary'!E26:I26,"PORRUS")*100/P26)</f>
        <v>0</v>
      </c>
      <c r="BO26">
        <f>IF(P26=0,0,COUNTIF('Transect 4_imgsummary'!E26:I26,"PSAM")*100/P26)</f>
        <v>0</v>
      </c>
      <c r="BP26">
        <f>IF(P26=0,0,COUNTIF('Transect 4_imgsummary'!E26:I26,"SANDO")*100/P26)</f>
        <v>0</v>
      </c>
      <c r="BQ26">
        <f>IF(P26=0,0,COUNTIF('Transect 4_imgsummary'!E26:I26,"SCAP")*100/P26)</f>
        <v>0</v>
      </c>
      <c r="BR26">
        <f>IF(P26=0,0,COUNTIF('Transect 4_imgsummary'!E26:I26,"SERIA")*100/P26)</f>
        <v>0</v>
      </c>
      <c r="BS26">
        <f>IF(P26=0,0,COUNTIF('Transect 4_imgsummary'!E26:I26,"STYLC")*100/P26)</f>
        <v>0</v>
      </c>
      <c r="BT26">
        <f>IF(P26=0,0,COUNTIF('Transect 4_imgsummary'!E26:I26,"STYLO")*100/P26)</f>
        <v>0</v>
      </c>
      <c r="BU26">
        <f>IF(P26=0,0,COUNTIF('Transect 4_imgsummary'!E26:I26,"SYMP")*100/P26)</f>
        <v>0</v>
      </c>
      <c r="BV26">
        <f>IF(P26=0,0,COUNTIF('Transect 4_imgsummary'!E26:I26,"TURBIN")*100/P26)</f>
        <v>0</v>
      </c>
      <c r="BX26">
        <f>IF(P26=0,0,COUNTIF('Transect 4_imgsummary'!E26:I26,"ANEM")*100/P26)</f>
        <v>0</v>
      </c>
      <c r="BY26">
        <f>IF(P26=0,0,COUNTIF('Transect 4_imgsummary'!E26:I26,"ASC")*100/P26)</f>
        <v>0</v>
      </c>
      <c r="BZ26">
        <f>IF(P26=0,0,COUNTIF('Transect 4_imgsummary'!E26:I26,"CUPS")*100/P26)</f>
        <v>0</v>
      </c>
      <c r="CA26">
        <f>IF(P26=0,0,COUNTIF('Transect 4_imgsummary'!E26:I26,"DISCO")*100/P26)</f>
        <v>0</v>
      </c>
      <c r="CB26">
        <f>IF(P26=0,0,COUNTIF('Transect 4_imgsummary'!E26:I26,"DYS")*100/P26)</f>
        <v>0</v>
      </c>
      <c r="CC26">
        <f>IF(P26=0,0,COUNTIF('Transect 4_imgsummary'!E26:I26,"G")*100/P26)</f>
        <v>0</v>
      </c>
      <c r="CD26">
        <f>IF(P26=0,0,COUNTIF('Transect 4_imgsummary'!E26:I26,"NoIDINV")*100/P26)</f>
        <v>0</v>
      </c>
      <c r="CE26">
        <f>IF(P26=0,0,COUNTIF('Transect 4_imgsummary'!E26:I26,"OLV")*100/P26)</f>
        <v>0</v>
      </c>
      <c r="CF26">
        <f>IF(P26=0,0,COUNTIF('Transect 4_imgsummary'!E26:I26,"SC")*100/P26)</f>
        <v>0</v>
      </c>
      <c r="CG26">
        <f>IF(P26=0,0,COUNTIF('Transect 4_imgsummary'!E26:I26,"S")*100/P26)</f>
        <v>0</v>
      </c>
      <c r="CH26">
        <f>IF(P26=0,0,COUNTIF('Transect 4_imgsummary'!E26:I26,"TERPS")*100/P26)</f>
        <v>0</v>
      </c>
      <c r="CI26">
        <f>IF(P26=0,0,COUNTIF('Transect 4_imgsummary'!E26:I26,"Z")*100/P26)</f>
        <v>0</v>
      </c>
      <c r="CK26">
        <f>IF(P26=0,0,COUNTIF('Transect 4_imgsummary'!E26:I26,"ASP")*100/P26)</f>
        <v>0</v>
      </c>
      <c r="CL26">
        <f>IF(P26=0,0,COUNTIF('Transect 4_imgsummary'!E26:I26,"BG")*100/P26)</f>
        <v>0</v>
      </c>
      <c r="CM26">
        <f>IF(P26=0,0,COUNTIF('Transect 4_imgsummary'!E26:I26,"Bood")*100/P26)</f>
        <v>0</v>
      </c>
      <c r="CN26">
        <f>IF(P26=0,0,COUNTIF('Transect 4_imgsummary'!E26:I26,"BRYP")*100/P26)</f>
        <v>0</v>
      </c>
      <c r="CO26">
        <f>IF(P26=0,0,COUNTIF('Transect 4_imgsummary'!E26:I26,"CLP")*100/P26)</f>
        <v>0</v>
      </c>
      <c r="CP26">
        <f>IF(P26=0,0,COUNTIF('Transect 4_imgsummary'!E26:I26,"CHLDES")*100/P26)</f>
        <v>0</v>
      </c>
      <c r="CQ26">
        <f>IF(P26=0,0,COUNTIF('Transect 4_imgsummary'!E26:I26,"DYCTY")*100/P26)</f>
        <v>0</v>
      </c>
      <c r="CR26">
        <f>IF(P26=0,0,COUNTIF('Transect 4_imgsummary'!E26:I26,"DICT")*100/P26)</f>
        <v>0</v>
      </c>
      <c r="CS26">
        <f>IF(P26=0,0,COUNTIF('Transect 4_imgsummary'!E26:I26,"GLXU")*100/P26)</f>
        <v>0</v>
      </c>
      <c r="CT26">
        <f>IF(P26=0,0,COUNTIF('Transect 4_imgsummary'!E26:I26,"HALI")*100/P26)</f>
        <v>0</v>
      </c>
      <c r="CU26">
        <f>IF(P26=0,0,COUNTIF('Transect 4_imgsummary'!E26:I26,"LIAG")*100/P26)</f>
        <v>0</v>
      </c>
      <c r="CV26">
        <f>IF(P26=0,0,COUNTIF('Transect 4_imgsummary'!E26:I26,"LOBO")*100/P26)</f>
        <v>0</v>
      </c>
      <c r="CW26">
        <f>IF(P26=0,0,COUNTIF('Transect 4_imgsummary'!E26:I26,"MAST")*100/P26)</f>
        <v>0</v>
      </c>
      <c r="CX26">
        <f>IF(P26=0,0,COUNTIF('Transect 4_imgsummary'!E26:I26,"MICDTY")*100/P26)</f>
        <v>0</v>
      </c>
      <c r="CY26">
        <f>IF(P26=0,0,COUNTIF('Transect 4_imgsummary'!E26:I26,"NEOM")*100/P26)</f>
        <v>0</v>
      </c>
      <c r="CZ26">
        <f>IF(P26=0,0,COUNTIF('Transect 4_imgsummary'!E26:I26,"NOIDMAC")*100/P26)</f>
        <v>0</v>
      </c>
      <c r="DA26">
        <f>IF(P26=0,0,COUNTIF('Transect 4_imgsummary'!E26:I26,"PAD")*100/P26)</f>
        <v>0</v>
      </c>
      <c r="DB26">
        <f>IF(P26=0,0,COUNTIF('Transect 4_imgsummary'!E26:I26,"SARG")*100/P26)</f>
        <v>0</v>
      </c>
      <c r="DC26">
        <f>IF(P26=0,0,COUNTIF('Transect 4_imgsummary'!E26:I26,"SCHIZ")*100/P26)</f>
        <v>0</v>
      </c>
      <c r="DD26">
        <f>IF(P26=0,0,COUNTIF('Transect 4_imgsummary'!E26:I26,"TURB")*100/P26)</f>
        <v>0</v>
      </c>
      <c r="DE26">
        <f>IF(P26=0,0,COUNTIF('Transect 4_imgsummary'!E26:I26,"TYDM")*100/P26)</f>
        <v>0</v>
      </c>
      <c r="DG26">
        <f>IF(P26=0,0,COUNTIF('Transect 4_imgsummary'!E26:I26,"AMP")*100/P26)</f>
        <v>0</v>
      </c>
      <c r="DH26">
        <f>IF(P26=0,0,COUNTIF('Transect 4_imgsummary'!E26:I26,"BCA1")*100/P26)</f>
        <v>0</v>
      </c>
      <c r="DI26">
        <f>IF(P26=0,0,COUNTIF('Transect 4_imgsummary'!E26:I26,"JAN")*100/P26)</f>
        <v>0</v>
      </c>
      <c r="DK26" s="29">
        <f>IF(P26=0,0,COUNTIF('Transect 4_imgsummary'!E26:I26,"CCA1")*100/P26)</f>
        <v>20</v>
      </c>
      <c r="DM26">
        <f>IF(P26=0,0,COUNTIF('Transect 4_imgsummary'!E26:I26,"Sand")*100/P26)</f>
        <v>0</v>
      </c>
      <c r="DO26">
        <f>IF(P26=0,0,COUNTIF('Transect 4_imgsummary'!E26:I26,"FCA1")*100/P26)</f>
        <v>0</v>
      </c>
      <c r="DQ26">
        <f>IF(P26=0,0,COUNTIF('Transect 4_imgsummary'!E26:I26,"CHRYOBRN")*100/P26)</f>
        <v>0</v>
      </c>
      <c r="DS26">
        <f>IF(P26=0,0,COUNTIF('Transect 4_imgsummary'!E26:I26,"TURF")*100/P26)</f>
        <v>0</v>
      </c>
      <c r="DU26">
        <f>COUNTIF('Transect 4_imgsummary'!E26:I26,"Shadow")*100/5</f>
        <v>0</v>
      </c>
      <c r="DV26">
        <f>COUNTIF('Transect 4_imgsummary'!E26:I26,"Tape")*100/5</f>
        <v>0</v>
      </c>
      <c r="DW26">
        <f>COUNTIF('Transect 4_imgsummary'!E26:I26,"Wand")*100/5</f>
        <v>0</v>
      </c>
      <c r="DY26">
        <f>IF(P26=0,0,COUNTIF('Transect 4_imgsummary'!O26:S26,"BC")*100/P26)</f>
        <v>0</v>
      </c>
    </row>
    <row r="27" spans="1:129">
      <c r="A27">
        <v>25</v>
      </c>
      <c r="B27" t="s">
        <v>570</v>
      </c>
      <c r="F27" s="29">
        <f>IF(P27=0,0,COUNTIF('Transect 4_imgsummary'!J27:N27,"C")*100/P27)</f>
        <v>20</v>
      </c>
      <c r="G27">
        <f>IF(P27=0,0,COUNTIF('Transect 4_imgsummary'!J27:N27,"OI")*100/P27)</f>
        <v>0</v>
      </c>
      <c r="H27">
        <f>IF(P27=0,0,COUNTIF('Transect 4_imgsummary'!J27:N27,"MA")*100/P27)</f>
        <v>0</v>
      </c>
      <c r="I27">
        <f>IF(P27=0,0,COUNTIF('Transect 4_imgsummary'!J27:N27,"BCA")*100/P27)</f>
        <v>0</v>
      </c>
      <c r="J27" s="29">
        <f>IF(P27=0,0,COUNTIF('Transect 4_imgsummary'!J27:N27,"CCA")*100/P27)</f>
        <v>80</v>
      </c>
      <c r="K27">
        <f>IF(P27=0,0,COUNTIF('Transect 4_imgsummary'!J27:N27,"SD")*100/P27)</f>
        <v>0</v>
      </c>
      <c r="L27">
        <f>IF(P27=0,0,COUNTIF('Transect 4_imgsummary'!J27:N27,"FCA")*100/P27)</f>
        <v>0</v>
      </c>
      <c r="M27">
        <f>IF(P27=0,0,COUNTIF('Transect 4_imgsummary'!J27:N27,"CHRYS")*100/P27)</f>
        <v>0</v>
      </c>
      <c r="N27">
        <f>IF(P27=0,0,COUNTIF('Transect 4_imgsummary'!J27:N27,"T")*100/P27)</f>
        <v>0</v>
      </c>
      <c r="O27">
        <f>IF(P27=0,0,COUNTIF('Transect 4_imgsummary'!J27:N27,"TWS")*100/P27)</f>
        <v>0</v>
      </c>
      <c r="P27">
        <f>5-COUNTIF('Transect 4_imgsummary'!J27:N27,"TWS")</f>
        <v>5</v>
      </c>
      <c r="S27">
        <f>IF(P27=0,0,COUNTIF('Transect 4_imgsummary'!E27:I27,"ACAN")*100/P27)</f>
        <v>0</v>
      </c>
      <c r="T27">
        <f>IF(P27=0,0,COUNTIF('Transect 4_imgsummary'!E27:I27,"ACROP")*100/P27)</f>
        <v>0</v>
      </c>
      <c r="U27">
        <f>IF(P27=0,0,COUNTIF('Transect 4_imgsummary'!E27:I27,"ACROPARB")*100/P27)</f>
        <v>0</v>
      </c>
      <c r="V27">
        <f>IF(P27=0,0,COUNTIF('Transect 4_imgsummary'!E27:I27,"ACROST")*100/P27)</f>
        <v>0</v>
      </c>
      <c r="W27">
        <f>IF(P27=0,0,COUNTIF('Transect 4_imgsummary'!E27:I27,"ACROTBL")*100/P27)</f>
        <v>0</v>
      </c>
      <c r="X27">
        <f>IF(P27=0,0,COUNTIF('Transect 4_imgsummary'!E27:I27,"ASTRP")*100/P27)</f>
        <v>0</v>
      </c>
      <c r="Y27">
        <f>IF(P27=0,0,COUNTIF('Transect 4_imgsummary'!E27:I27,"CAUL")*100/P27)</f>
        <v>0</v>
      </c>
      <c r="Z27">
        <f>IF(P27=0,0,COUNTIF('Transect 4_imgsummary'!E27:I27,"COSC")*100/P27)</f>
        <v>0</v>
      </c>
      <c r="AA27">
        <f>IF(P27=0,0,COUNTIF('Transect 4_imgsummary'!E27:I27,"CTEN")*100/P27)</f>
        <v>0</v>
      </c>
      <c r="AB27">
        <f>IF(P27=0,0,COUNTIF('Transect 4_imgsummary'!E27:I27,"CYPH")*100/P27)</f>
        <v>0</v>
      </c>
      <c r="AC27">
        <f>IF(P27=0,0,COUNTIF('Transect 4_imgsummary'!E27:I27,"DIPLO")*100/P27)</f>
        <v>0</v>
      </c>
      <c r="AD27">
        <f>IF(P27=0,0,COUNTIF('Transect 4_imgsummary'!E27:I27,"ECHPO")*100/P27)</f>
        <v>0</v>
      </c>
      <c r="AE27">
        <f>IF(P27=0,0,COUNTIF('Transect 4_imgsummary'!E27:I27,"ECHPHY")*100/P27)</f>
        <v>0</v>
      </c>
      <c r="AF27">
        <f>IF(P27=0,0,COUNTIF('Transect 4_imgsummary'!E27:I27,"EUPH")*100/P27)</f>
        <v>0</v>
      </c>
      <c r="AG27">
        <f>IF(P27=0,0,COUNTIF('Transect 4_imgsummary'!E27:I27,"FAV")*100/P27)</f>
        <v>0</v>
      </c>
      <c r="AH27">
        <f>IF(P27=0,0,COUNTIF('Transect 4_imgsummary'!E27:I27,"FAVT")*100/P27)</f>
        <v>0</v>
      </c>
      <c r="AI27">
        <f>IF(P27=0,0,COUNTIF('Transect 4_imgsummary'!E27:I27,"FUNG")*100/P27)</f>
        <v>0</v>
      </c>
      <c r="AJ27">
        <f>IF(P27=0,0,COUNTIF('Transect 4_imgsummary'!E27:I27,"GAL")*100/P27)</f>
        <v>0</v>
      </c>
      <c r="AK27">
        <f>IF(P27=0,0,COUNTIF('Transect 4_imgsummary'!E27:I27,"GARD")*100/P27)</f>
        <v>0</v>
      </c>
      <c r="AL27">
        <f>IF(P27=0,0,COUNTIF('Transect 4_imgsummary'!E27:I27,"GON")*100/P27)</f>
        <v>0</v>
      </c>
      <c r="AM27">
        <f>IF(P27=0,0,COUNTIF('Transect 4_imgsummary'!E27:I27,"GONIO")*100/P27)</f>
        <v>0</v>
      </c>
      <c r="AN27">
        <f>IF(P27=0,0,COUNTIF('Transect 4_imgsummary'!E27:I27,"HELIO")*100/P27)</f>
        <v>0</v>
      </c>
      <c r="AO27">
        <f>IF(P27=0,0,COUNTIF('Transect 4_imgsummary'!E27:I27,"HERP")*100/P27)</f>
        <v>0</v>
      </c>
      <c r="AP27">
        <f>IF(P27=0,0,COUNTIF('Transect 4_imgsummary'!E27:I27,"HYD")*100/P27)</f>
        <v>0</v>
      </c>
      <c r="AQ27">
        <f>IF(P27=0,0,COUNTIF('Transect 4_imgsummary'!E27:I27,"ISOP")*100/P27)</f>
        <v>0</v>
      </c>
      <c r="AR27">
        <f>IF(P27=0,0,COUNTIF('Transect 4_imgsummary'!E27:I27,"LEPT")*100/P27)</f>
        <v>0</v>
      </c>
      <c r="AS27">
        <f>IF(P27=0,0,COUNTIF('Transect 4_imgsummary'!E27:I27,"LEPTOR")*100/P27)</f>
        <v>0</v>
      </c>
      <c r="AT27">
        <f>IF(P27=0,0,COUNTIF('Transect 4_imgsummary'!E27:I27,"LEPTOS")*100/P27)</f>
        <v>0</v>
      </c>
      <c r="AU27">
        <f>IF(P27=0,0,COUNTIF('Transect 4_imgsummary'!E27:I27,"LOBOPH")*100/P27)</f>
        <v>0</v>
      </c>
      <c r="AV27">
        <f>IF(P27=0,0,COUNTIF('Transect 4_imgsummary'!E27:I27,"MERU")*100/P27)</f>
        <v>0</v>
      </c>
      <c r="AW27">
        <f>IF(P27=0,0,COUNTIF('Transect 4_imgsummary'!E27:I27,"MILL")*100/P27)</f>
        <v>0</v>
      </c>
      <c r="AX27">
        <f>IF(P27=0,0,COUNTIF('Transect 4_imgsummary'!E27:I27,"MONT")*100/P27)</f>
        <v>0</v>
      </c>
      <c r="AY27">
        <f>IF(P27=0,0,COUNTIF('Transect 4_imgsummary'!E27:I27,"MONTI")*100/P27)</f>
        <v>0</v>
      </c>
      <c r="AZ27">
        <f>IF(P27=0,0,COUNTIF('Transect 4_imgsummary'!E27:I27,"MYCED")*100/P27)</f>
        <v>0</v>
      </c>
      <c r="BA27">
        <f>IF(P27=0,0,COUNTIF('Transect 4_imgsummary'!E27:I27,"OULO")*100/P27)</f>
        <v>0</v>
      </c>
      <c r="BB27">
        <f>IF(P27=0,0,COUNTIF('Transect 4_imgsummary'!E27:I27,"OXYP")*100/P27)</f>
        <v>0</v>
      </c>
      <c r="BC27">
        <f>IF(P27=0,0,COUNTIF('Transect 4_imgsummary'!E27:I27,"PLSIA")*100/P27)</f>
        <v>0</v>
      </c>
      <c r="BD27">
        <f>IF(P27=0,0,COUNTIF('Transect 4_imgsummary'!E27:I27,"PACHY")*100/P27)</f>
        <v>0</v>
      </c>
      <c r="BE27">
        <f>IF(P27=0,0,COUNTIF('Transect 4_imgsummary'!E27:I27,"PAV")*100/P27)</f>
        <v>0</v>
      </c>
      <c r="BF27">
        <f>IF(P27=0,0,COUNTIF('Transect 4_imgsummary'!E27:I27,"PECT")*100/P27)</f>
        <v>0</v>
      </c>
      <c r="BG27">
        <f>IF(P27=0,0,COUNTIF('Transect 4_imgsummary'!E27:I27,"PHYSO")*100/P27)</f>
        <v>0</v>
      </c>
      <c r="BH27">
        <f>IF(P27=0,0,COUNTIF('Transect 4_imgsummary'!E27:I27,"PLAT")*100/P27)</f>
        <v>0</v>
      </c>
      <c r="BI27">
        <f>IF(P27=0,0,COUNTIF('Transect 4_imgsummary'!E27:I27,"PLERO")*100/P27)</f>
        <v>0</v>
      </c>
      <c r="BJ27" s="29">
        <f>IF(P27=0,0,COUNTIF('Transect 4_imgsummary'!E27:I27,"POC")*100/P27)</f>
        <v>20</v>
      </c>
      <c r="BK27">
        <f>IF(P27=0,0,COUNTIF('Transect 4_imgsummary'!E27:I27,"POR")*100/P27)</f>
        <v>0</v>
      </c>
      <c r="BL27">
        <f>IF(P27=0,0,COUNTIF('Transect 4_imgsummary'!E27:I27,"PORCYL")*100/P27)</f>
        <v>0</v>
      </c>
      <c r="BM27">
        <f>IF(P27=0,0,COUNTIF('Transect 4_imgsummary'!E27:I27,"PORMAS")*100/P27)</f>
        <v>0</v>
      </c>
      <c r="BN27">
        <f>IF(P27=0,0,COUNTIF('Transect 4_imgsummary'!E27:I27,"PORRUS")*100/P27)</f>
        <v>0</v>
      </c>
      <c r="BO27">
        <f>IF(P27=0,0,COUNTIF('Transect 4_imgsummary'!E27:I27,"PSAM")*100/P27)</f>
        <v>0</v>
      </c>
      <c r="BP27">
        <f>IF(P27=0,0,COUNTIF('Transect 4_imgsummary'!E27:I27,"SANDO")*100/P27)</f>
        <v>0</v>
      </c>
      <c r="BQ27">
        <f>IF(P27=0,0,COUNTIF('Transect 4_imgsummary'!E27:I27,"SCAP")*100/P27)</f>
        <v>0</v>
      </c>
      <c r="BR27">
        <f>IF(P27=0,0,COUNTIF('Transect 4_imgsummary'!E27:I27,"SERIA")*100/P27)</f>
        <v>0</v>
      </c>
      <c r="BS27">
        <f>IF(P27=0,0,COUNTIF('Transect 4_imgsummary'!E27:I27,"STYLC")*100/P27)</f>
        <v>0</v>
      </c>
      <c r="BT27">
        <f>IF(P27=0,0,COUNTIF('Transect 4_imgsummary'!E27:I27,"STYLO")*100/P27)</f>
        <v>0</v>
      </c>
      <c r="BU27">
        <f>IF(P27=0,0,COUNTIF('Transect 4_imgsummary'!E27:I27,"SYMP")*100/P27)</f>
        <v>0</v>
      </c>
      <c r="BV27">
        <f>IF(P27=0,0,COUNTIF('Transect 4_imgsummary'!E27:I27,"TURBIN")*100/P27)</f>
        <v>0</v>
      </c>
      <c r="BX27">
        <f>IF(P27=0,0,COUNTIF('Transect 4_imgsummary'!E27:I27,"ANEM")*100/P27)</f>
        <v>0</v>
      </c>
      <c r="BY27">
        <f>IF(P27=0,0,COUNTIF('Transect 4_imgsummary'!E27:I27,"ASC")*100/P27)</f>
        <v>0</v>
      </c>
      <c r="BZ27">
        <f>IF(P27=0,0,COUNTIF('Transect 4_imgsummary'!E27:I27,"CUPS")*100/P27)</f>
        <v>0</v>
      </c>
      <c r="CA27">
        <f>IF(P27=0,0,COUNTIF('Transect 4_imgsummary'!E27:I27,"DISCO")*100/P27)</f>
        <v>0</v>
      </c>
      <c r="CB27">
        <f>IF(P27=0,0,COUNTIF('Transect 4_imgsummary'!E27:I27,"DYS")*100/P27)</f>
        <v>0</v>
      </c>
      <c r="CC27">
        <f>IF(P27=0,0,COUNTIF('Transect 4_imgsummary'!E27:I27,"G")*100/P27)</f>
        <v>0</v>
      </c>
      <c r="CD27">
        <f>IF(P27=0,0,COUNTIF('Transect 4_imgsummary'!E27:I27,"NoIDINV")*100/P27)</f>
        <v>0</v>
      </c>
      <c r="CE27">
        <f>IF(P27=0,0,COUNTIF('Transect 4_imgsummary'!E27:I27,"OLV")*100/P27)</f>
        <v>0</v>
      </c>
      <c r="CF27">
        <f>IF(P27=0,0,COUNTIF('Transect 4_imgsummary'!E27:I27,"SC")*100/P27)</f>
        <v>0</v>
      </c>
      <c r="CG27">
        <f>IF(P27=0,0,COUNTIF('Transect 4_imgsummary'!E27:I27,"S")*100/P27)</f>
        <v>0</v>
      </c>
      <c r="CH27">
        <f>IF(P27=0,0,COUNTIF('Transect 4_imgsummary'!E27:I27,"TERPS")*100/P27)</f>
        <v>0</v>
      </c>
      <c r="CI27">
        <f>IF(P27=0,0,COUNTIF('Transect 4_imgsummary'!E27:I27,"Z")*100/P27)</f>
        <v>0</v>
      </c>
      <c r="CK27">
        <f>IF(P27=0,0,COUNTIF('Transect 4_imgsummary'!E27:I27,"ASP")*100/P27)</f>
        <v>0</v>
      </c>
      <c r="CL27">
        <f>IF(P27=0,0,COUNTIF('Transect 4_imgsummary'!E27:I27,"BG")*100/P27)</f>
        <v>0</v>
      </c>
      <c r="CM27">
        <f>IF(P27=0,0,COUNTIF('Transect 4_imgsummary'!E27:I27,"Bood")*100/P27)</f>
        <v>0</v>
      </c>
      <c r="CN27">
        <f>IF(P27=0,0,COUNTIF('Transect 4_imgsummary'!E27:I27,"BRYP")*100/P27)</f>
        <v>0</v>
      </c>
      <c r="CO27">
        <f>IF(P27=0,0,COUNTIF('Transect 4_imgsummary'!E27:I27,"CLP")*100/P27)</f>
        <v>0</v>
      </c>
      <c r="CP27">
        <f>IF(P27=0,0,COUNTIF('Transect 4_imgsummary'!E27:I27,"CHLDES")*100/P27)</f>
        <v>0</v>
      </c>
      <c r="CQ27">
        <f>IF(P27=0,0,COUNTIF('Transect 4_imgsummary'!E27:I27,"DYCTY")*100/P27)</f>
        <v>0</v>
      </c>
      <c r="CR27">
        <f>IF(P27=0,0,COUNTIF('Transect 4_imgsummary'!E27:I27,"DICT")*100/P27)</f>
        <v>0</v>
      </c>
      <c r="CS27">
        <f>IF(P27=0,0,COUNTIF('Transect 4_imgsummary'!E27:I27,"GLXU")*100/P27)</f>
        <v>0</v>
      </c>
      <c r="CT27">
        <f>IF(P27=0,0,COUNTIF('Transect 4_imgsummary'!E27:I27,"HALI")*100/P27)</f>
        <v>0</v>
      </c>
      <c r="CU27">
        <f>IF(P27=0,0,COUNTIF('Transect 4_imgsummary'!E27:I27,"LIAG")*100/P27)</f>
        <v>0</v>
      </c>
      <c r="CV27">
        <f>IF(P27=0,0,COUNTIF('Transect 4_imgsummary'!E27:I27,"LOBO")*100/P27)</f>
        <v>0</v>
      </c>
      <c r="CW27">
        <f>IF(P27=0,0,COUNTIF('Transect 4_imgsummary'!E27:I27,"MAST")*100/P27)</f>
        <v>0</v>
      </c>
      <c r="CX27">
        <f>IF(P27=0,0,COUNTIF('Transect 4_imgsummary'!E27:I27,"MICDTY")*100/P27)</f>
        <v>0</v>
      </c>
      <c r="CY27">
        <f>IF(P27=0,0,COUNTIF('Transect 4_imgsummary'!E27:I27,"NEOM")*100/P27)</f>
        <v>0</v>
      </c>
      <c r="CZ27">
        <f>IF(P27=0,0,COUNTIF('Transect 4_imgsummary'!E27:I27,"NOIDMAC")*100/P27)</f>
        <v>0</v>
      </c>
      <c r="DA27">
        <f>IF(P27=0,0,COUNTIF('Transect 4_imgsummary'!E27:I27,"PAD")*100/P27)</f>
        <v>0</v>
      </c>
      <c r="DB27">
        <f>IF(P27=0,0,COUNTIF('Transect 4_imgsummary'!E27:I27,"SARG")*100/P27)</f>
        <v>0</v>
      </c>
      <c r="DC27">
        <f>IF(P27=0,0,COUNTIF('Transect 4_imgsummary'!E27:I27,"SCHIZ")*100/P27)</f>
        <v>0</v>
      </c>
      <c r="DD27">
        <f>IF(P27=0,0,COUNTIF('Transect 4_imgsummary'!E27:I27,"TURB")*100/P27)</f>
        <v>0</v>
      </c>
      <c r="DE27">
        <f>IF(P27=0,0,COUNTIF('Transect 4_imgsummary'!E27:I27,"TYDM")*100/P27)</f>
        <v>0</v>
      </c>
      <c r="DG27">
        <f>IF(P27=0,0,COUNTIF('Transect 4_imgsummary'!E27:I27,"AMP")*100/P27)</f>
        <v>0</v>
      </c>
      <c r="DH27">
        <f>IF(P27=0,0,COUNTIF('Transect 4_imgsummary'!E27:I27,"BCA1")*100/P27)</f>
        <v>0</v>
      </c>
      <c r="DI27">
        <f>IF(P27=0,0,COUNTIF('Transect 4_imgsummary'!E27:I27,"JAN")*100/P27)</f>
        <v>0</v>
      </c>
      <c r="DK27" s="29">
        <f>IF(P27=0,0,COUNTIF('Transect 4_imgsummary'!E27:I27,"CCA1")*100/P27)</f>
        <v>80</v>
      </c>
      <c r="DM27">
        <f>IF(P27=0,0,COUNTIF('Transect 4_imgsummary'!E27:I27,"Sand")*100/P27)</f>
        <v>0</v>
      </c>
      <c r="DO27">
        <f>IF(P27=0,0,COUNTIF('Transect 4_imgsummary'!E27:I27,"FCA1")*100/P27)</f>
        <v>0</v>
      </c>
      <c r="DQ27">
        <f>IF(P27=0,0,COUNTIF('Transect 4_imgsummary'!E27:I27,"CHRYOBRN")*100/P27)</f>
        <v>0</v>
      </c>
      <c r="DS27">
        <f>IF(P27=0,0,COUNTIF('Transect 4_imgsummary'!E27:I27,"TURF")*100/P27)</f>
        <v>0</v>
      </c>
      <c r="DU27">
        <f>COUNTIF('Transect 4_imgsummary'!E27:I27,"Shadow")*100/5</f>
        <v>0</v>
      </c>
      <c r="DV27">
        <f>COUNTIF('Transect 4_imgsummary'!E27:I27,"Tape")*100/5</f>
        <v>0</v>
      </c>
      <c r="DW27">
        <f>COUNTIF('Transect 4_imgsummary'!E27:I27,"Wand")*100/5</f>
        <v>0</v>
      </c>
      <c r="DY27">
        <f>IF(P27=0,0,COUNTIF('Transect 4_imgsummary'!O27:S27,"BC")*100/P27)</f>
        <v>0</v>
      </c>
    </row>
    <row r="28" spans="1:129">
      <c r="A28">
        <v>26</v>
      </c>
      <c r="B28" t="s">
        <v>571</v>
      </c>
      <c r="F28" s="29">
        <f>IF(P28=0,0,COUNTIF('Transect 4_imgsummary'!J28:N28,"C")*100/P28)</f>
        <v>20</v>
      </c>
      <c r="G28">
        <f>IF(P28=0,0,COUNTIF('Transect 4_imgsummary'!J28:N28,"OI")*100/P28)</f>
        <v>0</v>
      </c>
      <c r="H28">
        <f>IF(P28=0,0,COUNTIF('Transect 4_imgsummary'!J28:N28,"MA")*100/P28)</f>
        <v>0</v>
      </c>
      <c r="I28">
        <f>IF(P28=0,0,COUNTIF('Transect 4_imgsummary'!J28:N28,"BCA")*100/P28)</f>
        <v>0</v>
      </c>
      <c r="J28" s="29">
        <f>IF(P28=0,0,COUNTIF('Transect 4_imgsummary'!J28:N28,"CCA")*100/P28)</f>
        <v>40</v>
      </c>
      <c r="K28">
        <f>IF(P28=0,0,COUNTIF('Transect 4_imgsummary'!J28:N28,"SD")*100/P28)</f>
        <v>0</v>
      </c>
      <c r="L28">
        <f>IF(P28=0,0,COUNTIF('Transect 4_imgsummary'!J28:N28,"FCA")*100/P28)</f>
        <v>0</v>
      </c>
      <c r="M28">
        <f>IF(P28=0,0,COUNTIF('Transect 4_imgsummary'!J28:N28,"CHRYS")*100/P28)</f>
        <v>0</v>
      </c>
      <c r="N28" s="29">
        <f>IF(P28=0,0,COUNTIF('Transect 4_imgsummary'!J28:N28,"T")*100/P28)</f>
        <v>40</v>
      </c>
      <c r="O28">
        <f>IF(P28=0,0,COUNTIF('Transect 4_imgsummary'!J28:N28,"TWS")*100/P28)</f>
        <v>0</v>
      </c>
      <c r="P28">
        <f>5-COUNTIF('Transect 4_imgsummary'!J28:N28,"TWS")</f>
        <v>5</v>
      </c>
      <c r="S28">
        <f>IF(P28=0,0,COUNTIF('Transect 4_imgsummary'!E28:I28,"ACAN")*100/P28)</f>
        <v>0</v>
      </c>
      <c r="T28">
        <f>IF(P28=0,0,COUNTIF('Transect 4_imgsummary'!E28:I28,"ACROP")*100/P28)</f>
        <v>0</v>
      </c>
      <c r="U28">
        <f>IF(P28=0,0,COUNTIF('Transect 4_imgsummary'!E28:I28,"ACROPARB")*100/P28)</f>
        <v>0</v>
      </c>
      <c r="V28">
        <f>IF(P28=0,0,COUNTIF('Transect 4_imgsummary'!E28:I28,"ACROST")*100/P28)</f>
        <v>0</v>
      </c>
      <c r="W28">
        <f>IF(P28=0,0,COUNTIF('Transect 4_imgsummary'!E28:I28,"ACROTBL")*100/P28)</f>
        <v>0</v>
      </c>
      <c r="X28">
        <f>IF(P28=0,0,COUNTIF('Transect 4_imgsummary'!E28:I28,"ASTRP")*100/P28)</f>
        <v>0</v>
      </c>
      <c r="Y28">
        <f>IF(P28=0,0,COUNTIF('Transect 4_imgsummary'!E28:I28,"CAUL")*100/P28)</f>
        <v>0</v>
      </c>
      <c r="Z28">
        <f>IF(P28=0,0,COUNTIF('Transect 4_imgsummary'!E28:I28,"COSC")*100/P28)</f>
        <v>0</v>
      </c>
      <c r="AA28">
        <f>IF(P28=0,0,COUNTIF('Transect 4_imgsummary'!E28:I28,"CTEN")*100/P28)</f>
        <v>0</v>
      </c>
      <c r="AB28">
        <f>IF(P28=0,0,COUNTIF('Transect 4_imgsummary'!E28:I28,"CYPH")*100/P28)</f>
        <v>0</v>
      </c>
      <c r="AC28">
        <f>IF(P28=0,0,COUNTIF('Transect 4_imgsummary'!E28:I28,"DIPLO")*100/P28)</f>
        <v>0</v>
      </c>
      <c r="AD28">
        <f>IF(P28=0,0,COUNTIF('Transect 4_imgsummary'!E28:I28,"ECHPO")*100/P28)</f>
        <v>0</v>
      </c>
      <c r="AE28">
        <f>IF(P28=0,0,COUNTIF('Transect 4_imgsummary'!E28:I28,"ECHPHY")*100/P28)</f>
        <v>0</v>
      </c>
      <c r="AF28">
        <f>IF(P28=0,0,COUNTIF('Transect 4_imgsummary'!E28:I28,"EUPH")*100/P28)</f>
        <v>0</v>
      </c>
      <c r="AG28">
        <f>IF(P28=0,0,COUNTIF('Transect 4_imgsummary'!E28:I28,"FAV")*100/P28)</f>
        <v>0</v>
      </c>
      <c r="AH28" s="29">
        <f>IF(P28=0,0,COUNTIF('Transect 4_imgsummary'!E28:I28,"FAVT")*100/P28)</f>
        <v>20</v>
      </c>
      <c r="AI28">
        <f>IF(P28=0,0,COUNTIF('Transect 4_imgsummary'!E28:I28,"FUNG")*100/P28)</f>
        <v>0</v>
      </c>
      <c r="AJ28">
        <f>IF(P28=0,0,COUNTIF('Transect 4_imgsummary'!E28:I28,"GAL")*100/P28)</f>
        <v>0</v>
      </c>
      <c r="AK28">
        <f>IF(P28=0,0,COUNTIF('Transect 4_imgsummary'!E28:I28,"GARD")*100/P28)</f>
        <v>0</v>
      </c>
      <c r="AL28">
        <f>IF(P28=0,0,COUNTIF('Transect 4_imgsummary'!E28:I28,"GON")*100/P28)</f>
        <v>0</v>
      </c>
      <c r="AM28">
        <f>IF(P28=0,0,COUNTIF('Transect 4_imgsummary'!E28:I28,"GONIO")*100/P28)</f>
        <v>0</v>
      </c>
      <c r="AN28">
        <f>IF(P28=0,0,COUNTIF('Transect 4_imgsummary'!E28:I28,"HELIO")*100/P28)</f>
        <v>0</v>
      </c>
      <c r="AO28">
        <f>IF(P28=0,0,COUNTIF('Transect 4_imgsummary'!E28:I28,"HERP")*100/P28)</f>
        <v>0</v>
      </c>
      <c r="AP28">
        <f>IF(P28=0,0,COUNTIF('Transect 4_imgsummary'!E28:I28,"HYD")*100/P28)</f>
        <v>0</v>
      </c>
      <c r="AQ28">
        <f>IF(P28=0,0,COUNTIF('Transect 4_imgsummary'!E28:I28,"ISOP")*100/P28)</f>
        <v>0</v>
      </c>
      <c r="AR28">
        <f>IF(P28=0,0,COUNTIF('Transect 4_imgsummary'!E28:I28,"LEPT")*100/P28)</f>
        <v>0</v>
      </c>
      <c r="AS28">
        <f>IF(P28=0,0,COUNTIF('Transect 4_imgsummary'!E28:I28,"LEPTOR")*100/P28)</f>
        <v>0</v>
      </c>
      <c r="AT28">
        <f>IF(P28=0,0,COUNTIF('Transect 4_imgsummary'!E28:I28,"LEPTOS")*100/P28)</f>
        <v>0</v>
      </c>
      <c r="AU28">
        <f>IF(P28=0,0,COUNTIF('Transect 4_imgsummary'!E28:I28,"LOBOPH")*100/P28)</f>
        <v>0</v>
      </c>
      <c r="AV28">
        <f>IF(P28=0,0,COUNTIF('Transect 4_imgsummary'!E28:I28,"MERU")*100/P28)</f>
        <v>0</v>
      </c>
      <c r="AW28">
        <f>IF(P28=0,0,COUNTIF('Transect 4_imgsummary'!E28:I28,"MILL")*100/P28)</f>
        <v>0</v>
      </c>
      <c r="AX28">
        <f>IF(P28=0,0,COUNTIF('Transect 4_imgsummary'!E28:I28,"MONT")*100/P28)</f>
        <v>0</v>
      </c>
      <c r="AY28">
        <f>IF(P28=0,0,COUNTIF('Transect 4_imgsummary'!E28:I28,"MONTI")*100/P28)</f>
        <v>0</v>
      </c>
      <c r="AZ28">
        <f>IF(P28=0,0,COUNTIF('Transect 4_imgsummary'!E28:I28,"MYCED")*100/P28)</f>
        <v>0</v>
      </c>
      <c r="BA28">
        <f>IF(P28=0,0,COUNTIF('Transect 4_imgsummary'!E28:I28,"OULO")*100/P28)</f>
        <v>0</v>
      </c>
      <c r="BB28">
        <f>IF(P28=0,0,COUNTIF('Transect 4_imgsummary'!E28:I28,"OXYP")*100/P28)</f>
        <v>0</v>
      </c>
      <c r="BC28">
        <f>IF(P28=0,0,COUNTIF('Transect 4_imgsummary'!E28:I28,"PLSIA")*100/P28)</f>
        <v>0</v>
      </c>
      <c r="BD28">
        <f>IF(P28=0,0,COUNTIF('Transect 4_imgsummary'!E28:I28,"PACHY")*100/P28)</f>
        <v>0</v>
      </c>
      <c r="BE28">
        <f>IF(P28=0,0,COUNTIF('Transect 4_imgsummary'!E28:I28,"PAV")*100/P28)</f>
        <v>0</v>
      </c>
      <c r="BF28">
        <f>IF(P28=0,0,COUNTIF('Transect 4_imgsummary'!E28:I28,"PECT")*100/P28)</f>
        <v>0</v>
      </c>
      <c r="BG28">
        <f>IF(P28=0,0,COUNTIF('Transect 4_imgsummary'!E28:I28,"PHYSO")*100/P28)</f>
        <v>0</v>
      </c>
      <c r="BH28">
        <f>IF(P28=0,0,COUNTIF('Transect 4_imgsummary'!E28:I28,"PLAT")*100/P28)</f>
        <v>0</v>
      </c>
      <c r="BI28">
        <f>IF(P28=0,0,COUNTIF('Transect 4_imgsummary'!E28:I28,"PLERO")*100/P28)</f>
        <v>0</v>
      </c>
      <c r="BJ28">
        <f>IF(P28=0,0,COUNTIF('Transect 4_imgsummary'!E28:I28,"POC")*100/P28)</f>
        <v>0</v>
      </c>
      <c r="BK28">
        <f>IF(P28=0,0,COUNTIF('Transect 4_imgsummary'!E28:I28,"POR")*100/P28)</f>
        <v>0</v>
      </c>
      <c r="BL28">
        <f>IF(P28=0,0,COUNTIF('Transect 4_imgsummary'!E28:I28,"PORCYL")*100/P28)</f>
        <v>0</v>
      </c>
      <c r="BM28">
        <f>IF(P28=0,0,COUNTIF('Transect 4_imgsummary'!E28:I28,"PORMAS")*100/P28)</f>
        <v>0</v>
      </c>
      <c r="BN28">
        <f>IF(P28=0,0,COUNTIF('Transect 4_imgsummary'!E28:I28,"PORRUS")*100/P28)</f>
        <v>0</v>
      </c>
      <c r="BO28">
        <f>IF(P28=0,0,COUNTIF('Transect 4_imgsummary'!E28:I28,"PSAM")*100/P28)</f>
        <v>0</v>
      </c>
      <c r="BP28">
        <f>IF(P28=0,0,COUNTIF('Transect 4_imgsummary'!E28:I28,"SANDO")*100/P28)</f>
        <v>0</v>
      </c>
      <c r="BQ28">
        <f>IF(P28=0,0,COUNTIF('Transect 4_imgsummary'!E28:I28,"SCAP")*100/P28)</f>
        <v>0</v>
      </c>
      <c r="BR28">
        <f>IF(P28=0,0,COUNTIF('Transect 4_imgsummary'!E28:I28,"SERIA")*100/P28)</f>
        <v>0</v>
      </c>
      <c r="BS28">
        <f>IF(P28=0,0,COUNTIF('Transect 4_imgsummary'!E28:I28,"STYLC")*100/P28)</f>
        <v>0</v>
      </c>
      <c r="BT28">
        <f>IF(P28=0,0,COUNTIF('Transect 4_imgsummary'!E28:I28,"STYLO")*100/P28)</f>
        <v>0</v>
      </c>
      <c r="BU28">
        <f>IF(P28=0,0,COUNTIF('Transect 4_imgsummary'!E28:I28,"SYMP")*100/P28)</f>
        <v>0</v>
      </c>
      <c r="BV28">
        <f>IF(P28=0,0,COUNTIF('Transect 4_imgsummary'!E28:I28,"TURBIN")*100/P28)</f>
        <v>0</v>
      </c>
      <c r="BX28">
        <f>IF(P28=0,0,COUNTIF('Transect 4_imgsummary'!E28:I28,"ANEM")*100/P28)</f>
        <v>0</v>
      </c>
      <c r="BY28">
        <f>IF(P28=0,0,COUNTIF('Transect 4_imgsummary'!E28:I28,"ASC")*100/P28)</f>
        <v>0</v>
      </c>
      <c r="BZ28">
        <f>IF(P28=0,0,COUNTIF('Transect 4_imgsummary'!E28:I28,"CUPS")*100/P28)</f>
        <v>0</v>
      </c>
      <c r="CA28">
        <f>IF(P28=0,0,COUNTIF('Transect 4_imgsummary'!E28:I28,"DISCO")*100/P28)</f>
        <v>0</v>
      </c>
      <c r="CB28">
        <f>IF(P28=0,0,COUNTIF('Transect 4_imgsummary'!E28:I28,"DYS")*100/P28)</f>
        <v>0</v>
      </c>
      <c r="CC28">
        <f>IF(P28=0,0,COUNTIF('Transect 4_imgsummary'!E28:I28,"G")*100/P28)</f>
        <v>0</v>
      </c>
      <c r="CD28">
        <f>IF(P28=0,0,COUNTIF('Transect 4_imgsummary'!E28:I28,"NoIDINV")*100/P28)</f>
        <v>0</v>
      </c>
      <c r="CE28">
        <f>IF(P28=0,0,COUNTIF('Transect 4_imgsummary'!E28:I28,"OLV")*100/P28)</f>
        <v>0</v>
      </c>
      <c r="CF28">
        <f>IF(P28=0,0,COUNTIF('Transect 4_imgsummary'!E28:I28,"SC")*100/P28)</f>
        <v>0</v>
      </c>
      <c r="CG28">
        <f>IF(P28=0,0,COUNTIF('Transect 4_imgsummary'!E28:I28,"S")*100/P28)</f>
        <v>0</v>
      </c>
      <c r="CH28">
        <f>IF(P28=0,0,COUNTIF('Transect 4_imgsummary'!E28:I28,"TERPS")*100/P28)</f>
        <v>0</v>
      </c>
      <c r="CI28">
        <f>IF(P28=0,0,COUNTIF('Transect 4_imgsummary'!E28:I28,"Z")*100/P28)</f>
        <v>0</v>
      </c>
      <c r="CK28">
        <f>IF(P28=0,0,COUNTIF('Transect 4_imgsummary'!E28:I28,"ASP")*100/P28)</f>
        <v>0</v>
      </c>
      <c r="CL28">
        <f>IF(P28=0,0,COUNTIF('Transect 4_imgsummary'!E28:I28,"BG")*100/P28)</f>
        <v>0</v>
      </c>
      <c r="CM28">
        <f>IF(P28=0,0,COUNTIF('Transect 4_imgsummary'!E28:I28,"Bood")*100/P28)</f>
        <v>0</v>
      </c>
      <c r="CN28">
        <f>IF(P28=0,0,COUNTIF('Transect 4_imgsummary'!E28:I28,"BRYP")*100/P28)</f>
        <v>0</v>
      </c>
      <c r="CO28">
        <f>IF(P28=0,0,COUNTIF('Transect 4_imgsummary'!E28:I28,"CLP")*100/P28)</f>
        <v>0</v>
      </c>
      <c r="CP28">
        <f>IF(P28=0,0,COUNTIF('Transect 4_imgsummary'!E28:I28,"CHLDES")*100/P28)</f>
        <v>0</v>
      </c>
      <c r="CQ28">
        <f>IF(P28=0,0,COUNTIF('Transect 4_imgsummary'!E28:I28,"DYCTY")*100/P28)</f>
        <v>0</v>
      </c>
      <c r="CR28">
        <f>IF(P28=0,0,COUNTIF('Transect 4_imgsummary'!E28:I28,"DICT")*100/P28)</f>
        <v>0</v>
      </c>
      <c r="CS28">
        <f>IF(P28=0,0,COUNTIF('Transect 4_imgsummary'!E28:I28,"GLXU")*100/P28)</f>
        <v>0</v>
      </c>
      <c r="CT28">
        <f>IF(P28=0,0,COUNTIF('Transect 4_imgsummary'!E28:I28,"HALI")*100/P28)</f>
        <v>0</v>
      </c>
      <c r="CU28">
        <f>IF(P28=0,0,COUNTIF('Transect 4_imgsummary'!E28:I28,"LIAG")*100/P28)</f>
        <v>0</v>
      </c>
      <c r="CV28">
        <f>IF(P28=0,0,COUNTIF('Transect 4_imgsummary'!E28:I28,"LOBO")*100/P28)</f>
        <v>0</v>
      </c>
      <c r="CW28">
        <f>IF(P28=0,0,COUNTIF('Transect 4_imgsummary'!E28:I28,"MAST")*100/P28)</f>
        <v>0</v>
      </c>
      <c r="CX28">
        <f>IF(P28=0,0,COUNTIF('Transect 4_imgsummary'!E28:I28,"MICDTY")*100/P28)</f>
        <v>0</v>
      </c>
      <c r="CY28">
        <f>IF(P28=0,0,COUNTIF('Transect 4_imgsummary'!E28:I28,"NEOM")*100/P28)</f>
        <v>0</v>
      </c>
      <c r="CZ28">
        <f>IF(P28=0,0,COUNTIF('Transect 4_imgsummary'!E28:I28,"NOIDMAC")*100/P28)</f>
        <v>0</v>
      </c>
      <c r="DA28">
        <f>IF(P28=0,0,COUNTIF('Transect 4_imgsummary'!E28:I28,"PAD")*100/P28)</f>
        <v>0</v>
      </c>
      <c r="DB28">
        <f>IF(P28=0,0,COUNTIF('Transect 4_imgsummary'!E28:I28,"SARG")*100/P28)</f>
        <v>0</v>
      </c>
      <c r="DC28">
        <f>IF(P28=0,0,COUNTIF('Transect 4_imgsummary'!E28:I28,"SCHIZ")*100/P28)</f>
        <v>0</v>
      </c>
      <c r="DD28">
        <f>IF(P28=0,0,COUNTIF('Transect 4_imgsummary'!E28:I28,"TURB")*100/P28)</f>
        <v>0</v>
      </c>
      <c r="DE28">
        <f>IF(P28=0,0,COUNTIF('Transect 4_imgsummary'!E28:I28,"TYDM")*100/P28)</f>
        <v>0</v>
      </c>
      <c r="DG28">
        <f>IF(P28=0,0,COUNTIF('Transect 4_imgsummary'!E28:I28,"AMP")*100/P28)</f>
        <v>0</v>
      </c>
      <c r="DH28">
        <f>IF(P28=0,0,COUNTIF('Transect 4_imgsummary'!E28:I28,"BCA1")*100/P28)</f>
        <v>0</v>
      </c>
      <c r="DI28">
        <f>IF(P28=0,0,COUNTIF('Transect 4_imgsummary'!E28:I28,"JAN")*100/P28)</f>
        <v>0</v>
      </c>
      <c r="DK28" s="29">
        <f>IF(P28=0,0,COUNTIF('Transect 4_imgsummary'!E28:I28,"CCA1")*100/P28)</f>
        <v>40</v>
      </c>
      <c r="DM28">
        <f>IF(P28=0,0,COUNTIF('Transect 4_imgsummary'!E28:I28,"Sand")*100/P28)</f>
        <v>0</v>
      </c>
      <c r="DO28">
        <f>IF(P28=0,0,COUNTIF('Transect 4_imgsummary'!E28:I28,"FCA1")*100/P28)</f>
        <v>0</v>
      </c>
      <c r="DQ28">
        <f>IF(P28=0,0,COUNTIF('Transect 4_imgsummary'!E28:I28,"CHRYOBRN")*100/P28)</f>
        <v>0</v>
      </c>
      <c r="DS28" s="29">
        <f>IF(P28=0,0,COUNTIF('Transect 4_imgsummary'!E28:I28,"TURF")*100/P28)</f>
        <v>40</v>
      </c>
      <c r="DU28">
        <f>COUNTIF('Transect 4_imgsummary'!E28:I28,"Shadow")*100/5</f>
        <v>0</v>
      </c>
      <c r="DV28">
        <f>COUNTIF('Transect 4_imgsummary'!E28:I28,"Tape")*100/5</f>
        <v>0</v>
      </c>
      <c r="DW28">
        <f>COUNTIF('Transect 4_imgsummary'!E28:I28,"Wand")*100/5</f>
        <v>0</v>
      </c>
      <c r="DY28">
        <f>IF(P28=0,0,COUNTIF('Transect 4_imgsummary'!O28:S28,"BC")*100/P28)</f>
        <v>0</v>
      </c>
    </row>
    <row r="29" spans="1:129">
      <c r="A29">
        <v>27</v>
      </c>
      <c r="B29" t="s">
        <v>572</v>
      </c>
      <c r="F29" s="29">
        <f>IF(P29=0,0,COUNTIF('Transect 4_imgsummary'!J29:N29,"C")*100/P29)</f>
        <v>40</v>
      </c>
      <c r="G29">
        <f>IF(P29=0,0,COUNTIF('Transect 4_imgsummary'!J29:N29,"OI")*100/P29)</f>
        <v>0</v>
      </c>
      <c r="H29">
        <f>IF(P29=0,0,COUNTIF('Transect 4_imgsummary'!J29:N29,"MA")*100/P29)</f>
        <v>0</v>
      </c>
      <c r="I29">
        <f>IF(P29=0,0,COUNTIF('Transect 4_imgsummary'!J29:N29,"BCA")*100/P29)</f>
        <v>0</v>
      </c>
      <c r="J29" s="29">
        <f>IF(P29=0,0,COUNTIF('Transect 4_imgsummary'!J29:N29,"CCA")*100/P29)</f>
        <v>40</v>
      </c>
      <c r="K29">
        <f>IF(P29=0,0,COUNTIF('Transect 4_imgsummary'!J29:N29,"SD")*100/P29)</f>
        <v>0</v>
      </c>
      <c r="L29">
        <f>IF(P29=0,0,COUNTIF('Transect 4_imgsummary'!J29:N29,"FCA")*100/P29)</f>
        <v>0</v>
      </c>
      <c r="M29">
        <f>IF(P29=0,0,COUNTIF('Transect 4_imgsummary'!J29:N29,"CHRYS")*100/P29)</f>
        <v>0</v>
      </c>
      <c r="N29" s="29">
        <f>IF(P29=0,0,COUNTIF('Transect 4_imgsummary'!J29:N29,"T")*100/P29)</f>
        <v>20</v>
      </c>
      <c r="O29">
        <f>IF(P29=0,0,COUNTIF('Transect 4_imgsummary'!J29:N29,"TWS")*100/P29)</f>
        <v>0</v>
      </c>
      <c r="P29">
        <f>5-COUNTIF('Transect 4_imgsummary'!J29:N29,"TWS")</f>
        <v>5</v>
      </c>
      <c r="S29">
        <f>IF(P29=0,0,COUNTIF('Transect 4_imgsummary'!E29:I29,"ACAN")*100/P29)</f>
        <v>0</v>
      </c>
      <c r="T29">
        <f>IF(P29=0,0,COUNTIF('Transect 4_imgsummary'!E29:I29,"ACROP")*100/P29)</f>
        <v>0</v>
      </c>
      <c r="U29">
        <f>IF(P29=0,0,COUNTIF('Transect 4_imgsummary'!E29:I29,"ACROPARB")*100/P29)</f>
        <v>0</v>
      </c>
      <c r="V29">
        <f>IF(P29=0,0,COUNTIF('Transect 4_imgsummary'!E29:I29,"ACROST")*100/P29)</f>
        <v>0</v>
      </c>
      <c r="W29">
        <f>IF(P29=0,0,COUNTIF('Transect 4_imgsummary'!E29:I29,"ACROTBL")*100/P29)</f>
        <v>0</v>
      </c>
      <c r="X29">
        <f>IF(P29=0,0,COUNTIF('Transect 4_imgsummary'!E29:I29,"ASTRP")*100/P29)</f>
        <v>0</v>
      </c>
      <c r="Y29">
        <f>IF(P29=0,0,COUNTIF('Transect 4_imgsummary'!E29:I29,"CAUL")*100/P29)</f>
        <v>0</v>
      </c>
      <c r="Z29">
        <f>IF(P29=0,0,COUNTIF('Transect 4_imgsummary'!E29:I29,"COSC")*100/P29)</f>
        <v>0</v>
      </c>
      <c r="AA29">
        <f>IF(P29=0,0,COUNTIF('Transect 4_imgsummary'!E29:I29,"CTEN")*100/P29)</f>
        <v>0</v>
      </c>
      <c r="AB29">
        <f>IF(P29=0,0,COUNTIF('Transect 4_imgsummary'!E29:I29,"CYPH")*100/P29)</f>
        <v>0</v>
      </c>
      <c r="AC29">
        <f>IF(P29=0,0,COUNTIF('Transect 4_imgsummary'!E29:I29,"DIPLO")*100/P29)</f>
        <v>0</v>
      </c>
      <c r="AD29">
        <f>IF(P29=0,0,COUNTIF('Transect 4_imgsummary'!E29:I29,"ECHPO")*100/P29)</f>
        <v>0</v>
      </c>
      <c r="AE29">
        <f>IF(P29=0,0,COUNTIF('Transect 4_imgsummary'!E29:I29,"ECHPHY")*100/P29)</f>
        <v>0</v>
      </c>
      <c r="AF29">
        <f>IF(P29=0,0,COUNTIF('Transect 4_imgsummary'!E29:I29,"EUPH")*100/P29)</f>
        <v>0</v>
      </c>
      <c r="AG29">
        <f>IF(P29=0,0,COUNTIF('Transect 4_imgsummary'!E29:I29,"FAV")*100/P29)</f>
        <v>0</v>
      </c>
      <c r="AH29">
        <f>IF(P29=0,0,COUNTIF('Transect 4_imgsummary'!E29:I29,"FAVT")*100/P29)</f>
        <v>0</v>
      </c>
      <c r="AI29">
        <f>IF(P29=0,0,COUNTIF('Transect 4_imgsummary'!E29:I29,"FUNG")*100/P29)</f>
        <v>0</v>
      </c>
      <c r="AJ29">
        <f>IF(P29=0,0,COUNTIF('Transect 4_imgsummary'!E29:I29,"GAL")*100/P29)</f>
        <v>0</v>
      </c>
      <c r="AK29">
        <f>IF(P29=0,0,COUNTIF('Transect 4_imgsummary'!E29:I29,"GARD")*100/P29)</f>
        <v>0</v>
      </c>
      <c r="AL29">
        <f>IF(P29=0,0,COUNTIF('Transect 4_imgsummary'!E29:I29,"GON")*100/P29)</f>
        <v>0</v>
      </c>
      <c r="AM29">
        <f>IF(P29=0,0,COUNTIF('Transect 4_imgsummary'!E29:I29,"GONIO")*100/P29)</f>
        <v>0</v>
      </c>
      <c r="AN29">
        <f>IF(P29=0,0,COUNTIF('Transect 4_imgsummary'!E29:I29,"HELIO")*100/P29)</f>
        <v>0</v>
      </c>
      <c r="AO29">
        <f>IF(P29=0,0,COUNTIF('Transect 4_imgsummary'!E29:I29,"HERP")*100/P29)</f>
        <v>0</v>
      </c>
      <c r="AP29">
        <f>IF(P29=0,0,COUNTIF('Transect 4_imgsummary'!E29:I29,"HYD")*100/P29)</f>
        <v>0</v>
      </c>
      <c r="AQ29">
        <f>IF(P29=0,0,COUNTIF('Transect 4_imgsummary'!E29:I29,"ISOP")*100/P29)</f>
        <v>0</v>
      </c>
      <c r="AR29">
        <f>IF(P29=0,0,COUNTIF('Transect 4_imgsummary'!E29:I29,"LEPT")*100/P29)</f>
        <v>0</v>
      </c>
      <c r="AS29">
        <f>IF(P29=0,0,COUNTIF('Transect 4_imgsummary'!E29:I29,"LEPTOR")*100/P29)</f>
        <v>0</v>
      </c>
      <c r="AT29">
        <f>IF(P29=0,0,COUNTIF('Transect 4_imgsummary'!E29:I29,"LEPTOS")*100/P29)</f>
        <v>0</v>
      </c>
      <c r="AU29">
        <f>IF(P29=0,0,COUNTIF('Transect 4_imgsummary'!E29:I29,"LOBOPH")*100/P29)</f>
        <v>0</v>
      </c>
      <c r="AV29">
        <f>IF(P29=0,0,COUNTIF('Transect 4_imgsummary'!E29:I29,"MERU")*100/P29)</f>
        <v>0</v>
      </c>
      <c r="AW29">
        <f>IF(P29=0,0,COUNTIF('Transect 4_imgsummary'!E29:I29,"MILL")*100/P29)</f>
        <v>0</v>
      </c>
      <c r="AX29">
        <f>IF(P29=0,0,COUNTIF('Transect 4_imgsummary'!E29:I29,"MONT")*100/P29)</f>
        <v>0</v>
      </c>
      <c r="AY29">
        <f>IF(P29=0,0,COUNTIF('Transect 4_imgsummary'!E29:I29,"MONTI")*100/P29)</f>
        <v>0</v>
      </c>
      <c r="AZ29">
        <f>IF(P29=0,0,COUNTIF('Transect 4_imgsummary'!E29:I29,"MYCED")*100/P29)</f>
        <v>0</v>
      </c>
      <c r="BA29">
        <f>IF(P29=0,0,COUNTIF('Transect 4_imgsummary'!E29:I29,"OULO")*100/P29)</f>
        <v>0</v>
      </c>
      <c r="BB29">
        <f>IF(P29=0,0,COUNTIF('Transect 4_imgsummary'!E29:I29,"OXYP")*100/P29)</f>
        <v>0</v>
      </c>
      <c r="BC29">
        <f>IF(P29=0,0,COUNTIF('Transect 4_imgsummary'!E29:I29,"PLSIA")*100/P29)</f>
        <v>0</v>
      </c>
      <c r="BD29">
        <f>IF(P29=0,0,COUNTIF('Transect 4_imgsummary'!E29:I29,"PACHY")*100/P29)</f>
        <v>0</v>
      </c>
      <c r="BE29">
        <f>IF(P29=0,0,COUNTIF('Transect 4_imgsummary'!E29:I29,"PAV")*100/P29)</f>
        <v>0</v>
      </c>
      <c r="BF29">
        <f>IF(P29=0,0,COUNTIF('Transect 4_imgsummary'!E29:I29,"PECT")*100/P29)</f>
        <v>0</v>
      </c>
      <c r="BG29">
        <f>IF(P29=0,0,COUNTIF('Transect 4_imgsummary'!E29:I29,"PHYSO")*100/P29)</f>
        <v>0</v>
      </c>
      <c r="BH29">
        <f>IF(P29=0,0,COUNTIF('Transect 4_imgsummary'!E29:I29,"PLAT")*100/P29)</f>
        <v>0</v>
      </c>
      <c r="BI29">
        <f>IF(P29=0,0,COUNTIF('Transect 4_imgsummary'!E29:I29,"PLERO")*100/P29)</f>
        <v>0</v>
      </c>
      <c r="BJ29">
        <f>IF(P29=0,0,COUNTIF('Transect 4_imgsummary'!E29:I29,"POC")*100/P29)</f>
        <v>0</v>
      </c>
      <c r="BK29">
        <f>IF(P29=0,0,COUNTIF('Transect 4_imgsummary'!E29:I29,"POR")*100/P29)</f>
        <v>0</v>
      </c>
      <c r="BL29">
        <f>IF(P29=0,0,COUNTIF('Transect 4_imgsummary'!E29:I29,"PORCYL")*100/P29)</f>
        <v>0</v>
      </c>
      <c r="BM29">
        <f>IF(P29=0,0,COUNTIF('Transect 4_imgsummary'!E29:I29,"PORMAS")*100/P29)</f>
        <v>0</v>
      </c>
      <c r="BN29">
        <f>IF(P29=0,0,COUNTIF('Transect 4_imgsummary'!E29:I29,"PORRUS")*100/P29)</f>
        <v>0</v>
      </c>
      <c r="BO29">
        <f>IF(P29=0,0,COUNTIF('Transect 4_imgsummary'!E29:I29,"PSAM")*100/P29)</f>
        <v>0</v>
      </c>
      <c r="BP29">
        <f>IF(P29=0,0,COUNTIF('Transect 4_imgsummary'!E29:I29,"SANDO")*100/P29)</f>
        <v>0</v>
      </c>
      <c r="BQ29">
        <f>IF(P29=0,0,COUNTIF('Transect 4_imgsummary'!E29:I29,"SCAP")*100/P29)</f>
        <v>0</v>
      </c>
      <c r="BR29">
        <f>IF(P29=0,0,COUNTIF('Transect 4_imgsummary'!E29:I29,"SERIA")*100/P29)</f>
        <v>0</v>
      </c>
      <c r="BS29">
        <f>IF(P29=0,0,COUNTIF('Transect 4_imgsummary'!E29:I29,"STYLC")*100/P29)</f>
        <v>0</v>
      </c>
      <c r="BT29" s="29">
        <f>IF(P29=0,0,COUNTIF('Transect 4_imgsummary'!E29:I29,"STYLO")*100/P29)</f>
        <v>40</v>
      </c>
      <c r="BU29">
        <f>IF(P29=0,0,COUNTIF('Transect 4_imgsummary'!E29:I29,"SYMP")*100/P29)</f>
        <v>0</v>
      </c>
      <c r="BV29">
        <f>IF(P29=0,0,COUNTIF('Transect 4_imgsummary'!E29:I29,"TURBIN")*100/P29)</f>
        <v>0</v>
      </c>
      <c r="BX29">
        <f>IF(P29=0,0,COUNTIF('Transect 4_imgsummary'!E29:I29,"ANEM")*100/P29)</f>
        <v>0</v>
      </c>
      <c r="BY29">
        <f>IF(P29=0,0,COUNTIF('Transect 4_imgsummary'!E29:I29,"ASC")*100/P29)</f>
        <v>0</v>
      </c>
      <c r="BZ29">
        <f>IF(P29=0,0,COUNTIF('Transect 4_imgsummary'!E29:I29,"CUPS")*100/P29)</f>
        <v>0</v>
      </c>
      <c r="CA29">
        <f>IF(P29=0,0,COUNTIF('Transect 4_imgsummary'!E29:I29,"DISCO")*100/P29)</f>
        <v>0</v>
      </c>
      <c r="CB29">
        <f>IF(P29=0,0,COUNTIF('Transect 4_imgsummary'!E29:I29,"DYS")*100/P29)</f>
        <v>0</v>
      </c>
      <c r="CC29">
        <f>IF(P29=0,0,COUNTIF('Transect 4_imgsummary'!E29:I29,"G")*100/P29)</f>
        <v>0</v>
      </c>
      <c r="CD29">
        <f>IF(P29=0,0,COUNTIF('Transect 4_imgsummary'!E29:I29,"NoIDINV")*100/P29)</f>
        <v>0</v>
      </c>
      <c r="CE29">
        <f>IF(P29=0,0,COUNTIF('Transect 4_imgsummary'!E29:I29,"OLV")*100/P29)</f>
        <v>0</v>
      </c>
      <c r="CF29">
        <f>IF(P29=0,0,COUNTIF('Transect 4_imgsummary'!E29:I29,"SC")*100/P29)</f>
        <v>0</v>
      </c>
      <c r="CG29">
        <f>IF(P29=0,0,COUNTIF('Transect 4_imgsummary'!E29:I29,"S")*100/P29)</f>
        <v>0</v>
      </c>
      <c r="CH29">
        <f>IF(P29=0,0,COUNTIF('Transect 4_imgsummary'!E29:I29,"TERPS")*100/P29)</f>
        <v>0</v>
      </c>
      <c r="CI29">
        <f>IF(P29=0,0,COUNTIF('Transect 4_imgsummary'!E29:I29,"Z")*100/P29)</f>
        <v>0</v>
      </c>
      <c r="CK29">
        <f>IF(P29=0,0,COUNTIF('Transect 4_imgsummary'!E29:I29,"ASP")*100/P29)</f>
        <v>0</v>
      </c>
      <c r="CL29">
        <f>IF(P29=0,0,COUNTIF('Transect 4_imgsummary'!E29:I29,"BG")*100/P29)</f>
        <v>0</v>
      </c>
      <c r="CM29">
        <f>IF(P29=0,0,COUNTIF('Transect 4_imgsummary'!E29:I29,"Bood")*100/P29)</f>
        <v>0</v>
      </c>
      <c r="CN29">
        <f>IF(P29=0,0,COUNTIF('Transect 4_imgsummary'!E29:I29,"BRYP")*100/P29)</f>
        <v>0</v>
      </c>
      <c r="CO29">
        <f>IF(P29=0,0,COUNTIF('Transect 4_imgsummary'!E29:I29,"CLP")*100/P29)</f>
        <v>0</v>
      </c>
      <c r="CP29">
        <f>IF(P29=0,0,COUNTIF('Transect 4_imgsummary'!E29:I29,"CHLDES")*100/P29)</f>
        <v>0</v>
      </c>
      <c r="CQ29">
        <f>IF(P29=0,0,COUNTIF('Transect 4_imgsummary'!E29:I29,"DYCTY")*100/P29)</f>
        <v>0</v>
      </c>
      <c r="CR29">
        <f>IF(P29=0,0,COUNTIF('Transect 4_imgsummary'!E29:I29,"DICT")*100/P29)</f>
        <v>0</v>
      </c>
      <c r="CS29">
        <f>IF(P29=0,0,COUNTIF('Transect 4_imgsummary'!E29:I29,"GLXU")*100/P29)</f>
        <v>0</v>
      </c>
      <c r="CT29">
        <f>IF(P29=0,0,COUNTIF('Transect 4_imgsummary'!E29:I29,"HALI")*100/P29)</f>
        <v>0</v>
      </c>
      <c r="CU29">
        <f>IF(P29=0,0,COUNTIF('Transect 4_imgsummary'!E29:I29,"LIAG")*100/P29)</f>
        <v>0</v>
      </c>
      <c r="CV29">
        <f>IF(P29=0,0,COUNTIF('Transect 4_imgsummary'!E29:I29,"LOBO")*100/P29)</f>
        <v>0</v>
      </c>
      <c r="CW29">
        <f>IF(P29=0,0,COUNTIF('Transect 4_imgsummary'!E29:I29,"MAST")*100/P29)</f>
        <v>0</v>
      </c>
      <c r="CX29">
        <f>IF(P29=0,0,COUNTIF('Transect 4_imgsummary'!E29:I29,"MICDTY")*100/P29)</f>
        <v>0</v>
      </c>
      <c r="CY29">
        <f>IF(P29=0,0,COUNTIF('Transect 4_imgsummary'!E29:I29,"NEOM")*100/P29)</f>
        <v>0</v>
      </c>
      <c r="CZ29">
        <f>IF(P29=0,0,COUNTIF('Transect 4_imgsummary'!E29:I29,"NOIDMAC")*100/P29)</f>
        <v>0</v>
      </c>
      <c r="DA29">
        <f>IF(P29=0,0,COUNTIF('Transect 4_imgsummary'!E29:I29,"PAD")*100/P29)</f>
        <v>0</v>
      </c>
      <c r="DB29">
        <f>IF(P29=0,0,COUNTIF('Transect 4_imgsummary'!E29:I29,"SARG")*100/P29)</f>
        <v>0</v>
      </c>
      <c r="DC29">
        <f>IF(P29=0,0,COUNTIF('Transect 4_imgsummary'!E29:I29,"SCHIZ")*100/P29)</f>
        <v>0</v>
      </c>
      <c r="DD29">
        <f>IF(P29=0,0,COUNTIF('Transect 4_imgsummary'!E29:I29,"TURB")*100/P29)</f>
        <v>0</v>
      </c>
      <c r="DE29">
        <f>IF(P29=0,0,COUNTIF('Transect 4_imgsummary'!E29:I29,"TYDM")*100/P29)</f>
        <v>0</v>
      </c>
      <c r="DG29">
        <f>IF(P29=0,0,COUNTIF('Transect 4_imgsummary'!E29:I29,"AMP")*100/P29)</f>
        <v>0</v>
      </c>
      <c r="DH29">
        <f>IF(P29=0,0,COUNTIF('Transect 4_imgsummary'!E29:I29,"BCA1")*100/P29)</f>
        <v>0</v>
      </c>
      <c r="DI29">
        <f>IF(P29=0,0,COUNTIF('Transect 4_imgsummary'!E29:I29,"JAN")*100/P29)</f>
        <v>0</v>
      </c>
      <c r="DK29" s="29">
        <f>IF(P29=0,0,COUNTIF('Transect 4_imgsummary'!E29:I29,"CCA1")*100/P29)</f>
        <v>40</v>
      </c>
      <c r="DM29">
        <f>IF(P29=0,0,COUNTIF('Transect 4_imgsummary'!E29:I29,"Sand")*100/P29)</f>
        <v>0</v>
      </c>
      <c r="DO29">
        <f>IF(P29=0,0,COUNTIF('Transect 4_imgsummary'!E29:I29,"FCA1")*100/P29)</f>
        <v>0</v>
      </c>
      <c r="DQ29">
        <f>IF(P29=0,0,COUNTIF('Transect 4_imgsummary'!E29:I29,"CHRYOBRN")*100/P29)</f>
        <v>0</v>
      </c>
      <c r="DS29" s="29">
        <f>IF(P29=0,0,COUNTIF('Transect 4_imgsummary'!E29:I29,"TURF")*100/P29)</f>
        <v>20</v>
      </c>
      <c r="DU29">
        <f>COUNTIF('Transect 4_imgsummary'!E29:I29,"Shadow")*100/5</f>
        <v>0</v>
      </c>
      <c r="DV29">
        <f>COUNTIF('Transect 4_imgsummary'!E29:I29,"Tape")*100/5</f>
        <v>0</v>
      </c>
      <c r="DW29">
        <f>COUNTIF('Transect 4_imgsummary'!E29:I29,"Wand")*100/5</f>
        <v>0</v>
      </c>
      <c r="DY29">
        <f>IF(P29=0,0,COUNTIF('Transect 4_imgsummary'!O29:S29,"BC")*100/P29)</f>
        <v>0</v>
      </c>
    </row>
    <row r="30" spans="1:129">
      <c r="A30">
        <v>28</v>
      </c>
      <c r="B30" t="s">
        <v>573</v>
      </c>
      <c r="F30" s="29">
        <f>IF(P30=0,0,COUNTIF('Transect 4_imgsummary'!J30:N30,"C")*100/P30)</f>
        <v>100</v>
      </c>
      <c r="G30">
        <f>IF(P30=0,0,COUNTIF('Transect 4_imgsummary'!J30:N30,"OI")*100/P30)</f>
        <v>0</v>
      </c>
      <c r="H30">
        <f>IF(P30=0,0,COUNTIF('Transect 4_imgsummary'!J30:N30,"MA")*100/P30)</f>
        <v>0</v>
      </c>
      <c r="I30">
        <f>IF(P30=0,0,COUNTIF('Transect 4_imgsummary'!J30:N30,"BCA")*100/P30)</f>
        <v>0</v>
      </c>
      <c r="J30">
        <f>IF(P30=0,0,COUNTIF('Transect 4_imgsummary'!J30:N30,"CCA")*100/P30)</f>
        <v>0</v>
      </c>
      <c r="K30">
        <f>IF(P30=0,0,COUNTIF('Transect 4_imgsummary'!J30:N30,"SD")*100/P30)</f>
        <v>0</v>
      </c>
      <c r="L30">
        <f>IF(P30=0,0,COUNTIF('Transect 4_imgsummary'!J30:N30,"FCA")*100/P30)</f>
        <v>0</v>
      </c>
      <c r="M30">
        <f>IF(P30=0,0,COUNTIF('Transect 4_imgsummary'!J30:N30,"CHRYS")*100/P30)</f>
        <v>0</v>
      </c>
      <c r="N30">
        <f>IF(P30=0,0,COUNTIF('Transect 4_imgsummary'!J30:N30,"T")*100/P30)</f>
        <v>0</v>
      </c>
      <c r="O30">
        <f>IF(P30=0,0,COUNTIF('Transect 4_imgsummary'!J30:N30,"TWS")*100/P30)</f>
        <v>0</v>
      </c>
      <c r="P30">
        <f>5-COUNTIF('Transect 4_imgsummary'!J30:N30,"TWS")</f>
        <v>5</v>
      </c>
      <c r="S30">
        <f>IF(P30=0,0,COUNTIF('Transect 4_imgsummary'!E30:I30,"ACAN")*100/P30)</f>
        <v>0</v>
      </c>
      <c r="T30">
        <f>IF(P30=0,0,COUNTIF('Transect 4_imgsummary'!E30:I30,"ACROP")*100/P30)</f>
        <v>0</v>
      </c>
      <c r="U30">
        <f>IF(P30=0,0,COUNTIF('Transect 4_imgsummary'!E30:I30,"ACROPARB")*100/P30)</f>
        <v>0</v>
      </c>
      <c r="V30">
        <f>IF(P30=0,0,COUNTIF('Transect 4_imgsummary'!E30:I30,"ACROST")*100/P30)</f>
        <v>0</v>
      </c>
      <c r="W30">
        <f>IF(P30=0,0,COUNTIF('Transect 4_imgsummary'!E30:I30,"ACROTBL")*100/P30)</f>
        <v>0</v>
      </c>
      <c r="X30">
        <f>IF(P30=0,0,COUNTIF('Transect 4_imgsummary'!E30:I30,"ASTRP")*100/P30)</f>
        <v>0</v>
      </c>
      <c r="Y30">
        <f>IF(P30=0,0,COUNTIF('Transect 4_imgsummary'!E30:I30,"CAUL")*100/P30)</f>
        <v>0</v>
      </c>
      <c r="Z30">
        <f>IF(P30=0,0,COUNTIF('Transect 4_imgsummary'!E30:I30,"COSC")*100/P30)</f>
        <v>0</v>
      </c>
      <c r="AA30">
        <f>IF(P30=0,0,COUNTIF('Transect 4_imgsummary'!E30:I30,"CTEN")*100/P30)</f>
        <v>0</v>
      </c>
      <c r="AB30">
        <f>IF(P30=0,0,COUNTIF('Transect 4_imgsummary'!E30:I30,"CYPH")*100/P30)</f>
        <v>0</v>
      </c>
      <c r="AC30">
        <f>IF(P30=0,0,COUNTIF('Transect 4_imgsummary'!E30:I30,"DIPLO")*100/P30)</f>
        <v>0</v>
      </c>
      <c r="AD30">
        <f>IF(P30=0,0,COUNTIF('Transect 4_imgsummary'!E30:I30,"ECHPO")*100/P30)</f>
        <v>0</v>
      </c>
      <c r="AE30">
        <f>IF(P30=0,0,COUNTIF('Transect 4_imgsummary'!E30:I30,"ECHPHY")*100/P30)</f>
        <v>0</v>
      </c>
      <c r="AF30">
        <f>IF(P30=0,0,COUNTIF('Transect 4_imgsummary'!E30:I30,"EUPH")*100/P30)</f>
        <v>0</v>
      </c>
      <c r="AG30">
        <f>IF(P30=0,0,COUNTIF('Transect 4_imgsummary'!E30:I30,"FAV")*100/P30)</f>
        <v>0</v>
      </c>
      <c r="AH30">
        <f>IF(P30=0,0,COUNTIF('Transect 4_imgsummary'!E30:I30,"FAVT")*100/P30)</f>
        <v>0</v>
      </c>
      <c r="AI30">
        <f>IF(P30=0,0,COUNTIF('Transect 4_imgsummary'!E30:I30,"FUNG")*100/P30)</f>
        <v>0</v>
      </c>
      <c r="AJ30">
        <f>IF(P30=0,0,COUNTIF('Transect 4_imgsummary'!E30:I30,"GAL")*100/P30)</f>
        <v>0</v>
      </c>
      <c r="AK30">
        <f>IF(P30=0,0,COUNTIF('Transect 4_imgsummary'!E30:I30,"GARD")*100/P30)</f>
        <v>0</v>
      </c>
      <c r="AL30">
        <f>IF(P30=0,0,COUNTIF('Transect 4_imgsummary'!E30:I30,"GON")*100/P30)</f>
        <v>0</v>
      </c>
      <c r="AM30">
        <f>IF(P30=0,0,COUNTIF('Transect 4_imgsummary'!E30:I30,"GONIO")*100/P30)</f>
        <v>0</v>
      </c>
      <c r="AN30">
        <f>IF(P30=0,0,COUNTIF('Transect 4_imgsummary'!E30:I30,"HELIO")*100/P30)</f>
        <v>0</v>
      </c>
      <c r="AO30">
        <f>IF(P30=0,0,COUNTIF('Transect 4_imgsummary'!E30:I30,"HERP")*100/P30)</f>
        <v>0</v>
      </c>
      <c r="AP30">
        <f>IF(P30=0,0,COUNTIF('Transect 4_imgsummary'!E30:I30,"HYD")*100/P30)</f>
        <v>0</v>
      </c>
      <c r="AQ30">
        <f>IF(P30=0,0,COUNTIF('Transect 4_imgsummary'!E30:I30,"ISOP")*100/P30)</f>
        <v>0</v>
      </c>
      <c r="AR30">
        <f>IF(P30=0,0,COUNTIF('Transect 4_imgsummary'!E30:I30,"LEPT")*100/P30)</f>
        <v>0</v>
      </c>
      <c r="AS30">
        <f>IF(P30=0,0,COUNTIF('Transect 4_imgsummary'!E30:I30,"LEPTOR")*100/P30)</f>
        <v>0</v>
      </c>
      <c r="AT30">
        <f>IF(P30=0,0,COUNTIF('Transect 4_imgsummary'!E30:I30,"LEPTOS")*100/P30)</f>
        <v>0</v>
      </c>
      <c r="AU30">
        <f>IF(P30=0,0,COUNTIF('Transect 4_imgsummary'!E30:I30,"LOBOPH")*100/P30)</f>
        <v>0</v>
      </c>
      <c r="AV30">
        <f>IF(P30=0,0,COUNTIF('Transect 4_imgsummary'!E30:I30,"MERU")*100/P30)</f>
        <v>0</v>
      </c>
      <c r="AW30">
        <f>IF(P30=0,0,COUNTIF('Transect 4_imgsummary'!E30:I30,"MILL")*100/P30)</f>
        <v>0</v>
      </c>
      <c r="AX30">
        <f>IF(P30=0,0,COUNTIF('Transect 4_imgsummary'!E30:I30,"MONT")*100/P30)</f>
        <v>0</v>
      </c>
      <c r="AY30">
        <f>IF(P30=0,0,COUNTIF('Transect 4_imgsummary'!E30:I30,"MONTI")*100/P30)</f>
        <v>0</v>
      </c>
      <c r="AZ30">
        <f>IF(P30=0,0,COUNTIF('Transect 4_imgsummary'!E30:I30,"MYCED")*100/P30)</f>
        <v>0</v>
      </c>
      <c r="BA30">
        <f>IF(P30=0,0,COUNTIF('Transect 4_imgsummary'!E30:I30,"OULO")*100/P30)</f>
        <v>0</v>
      </c>
      <c r="BB30">
        <f>IF(P30=0,0,COUNTIF('Transect 4_imgsummary'!E30:I30,"OXYP")*100/P30)</f>
        <v>0</v>
      </c>
      <c r="BC30">
        <f>IF(P30=0,0,COUNTIF('Transect 4_imgsummary'!E30:I30,"PLSIA")*100/P30)</f>
        <v>0</v>
      </c>
      <c r="BD30">
        <f>IF(P30=0,0,COUNTIF('Transect 4_imgsummary'!E30:I30,"PACHY")*100/P30)</f>
        <v>0</v>
      </c>
      <c r="BE30">
        <f>IF(P30=0,0,COUNTIF('Transect 4_imgsummary'!E30:I30,"PAV")*100/P30)</f>
        <v>0</v>
      </c>
      <c r="BF30">
        <f>IF(P30=0,0,COUNTIF('Transect 4_imgsummary'!E30:I30,"PECT")*100/P30)</f>
        <v>0</v>
      </c>
      <c r="BG30">
        <f>IF(P30=0,0,COUNTIF('Transect 4_imgsummary'!E30:I30,"PHYSO")*100/P30)</f>
        <v>0</v>
      </c>
      <c r="BH30" s="29">
        <f>IF(P30=0,0,COUNTIF('Transect 4_imgsummary'!E30:I30,"PLAT")*100/P30)</f>
        <v>40</v>
      </c>
      <c r="BI30">
        <f>IF(P30=0,0,COUNTIF('Transect 4_imgsummary'!E30:I30,"PLERO")*100/P30)</f>
        <v>0</v>
      </c>
      <c r="BJ30">
        <f>IF(P30=0,0,COUNTIF('Transect 4_imgsummary'!E30:I30,"POC")*100/P30)</f>
        <v>0</v>
      </c>
      <c r="BK30">
        <f>IF(P30=0,0,COUNTIF('Transect 4_imgsummary'!E30:I30,"POR")*100/P30)</f>
        <v>0</v>
      </c>
      <c r="BL30">
        <f>IF(P30=0,0,COUNTIF('Transect 4_imgsummary'!E30:I30,"PORCYL")*100/P30)</f>
        <v>0</v>
      </c>
      <c r="BM30">
        <f>IF(P30=0,0,COUNTIF('Transect 4_imgsummary'!E30:I30,"PORMAS")*100/P30)</f>
        <v>0</v>
      </c>
      <c r="BN30">
        <f>IF(P30=0,0,COUNTIF('Transect 4_imgsummary'!E30:I30,"PORRUS")*100/P30)</f>
        <v>0</v>
      </c>
      <c r="BO30">
        <f>IF(P30=0,0,COUNTIF('Transect 4_imgsummary'!E30:I30,"PSAM")*100/P30)</f>
        <v>0</v>
      </c>
      <c r="BP30">
        <f>IF(P30=0,0,COUNTIF('Transect 4_imgsummary'!E30:I30,"SANDO")*100/P30)</f>
        <v>0</v>
      </c>
      <c r="BQ30">
        <f>IF(P30=0,0,COUNTIF('Transect 4_imgsummary'!E30:I30,"SCAP")*100/P30)</f>
        <v>0</v>
      </c>
      <c r="BR30">
        <f>IF(P30=0,0,COUNTIF('Transect 4_imgsummary'!E30:I30,"SERIA")*100/P30)</f>
        <v>0</v>
      </c>
      <c r="BS30">
        <f>IF(P30=0,0,COUNTIF('Transect 4_imgsummary'!E30:I30,"STYLC")*100/P30)</f>
        <v>0</v>
      </c>
      <c r="BT30" s="29">
        <f>IF(P30=0,0,COUNTIF('Transect 4_imgsummary'!E30:I30,"STYLO")*100/P30)</f>
        <v>60</v>
      </c>
      <c r="BU30">
        <f>IF(P30=0,0,COUNTIF('Transect 4_imgsummary'!E30:I30,"SYMP")*100/P30)</f>
        <v>0</v>
      </c>
      <c r="BV30">
        <f>IF(P30=0,0,COUNTIF('Transect 4_imgsummary'!E30:I30,"TURBIN")*100/P30)</f>
        <v>0</v>
      </c>
      <c r="BX30">
        <f>IF(P30=0,0,COUNTIF('Transect 4_imgsummary'!E30:I30,"ANEM")*100/P30)</f>
        <v>0</v>
      </c>
      <c r="BY30">
        <f>IF(P30=0,0,COUNTIF('Transect 4_imgsummary'!E30:I30,"ASC")*100/P30)</f>
        <v>0</v>
      </c>
      <c r="BZ30">
        <f>IF(P30=0,0,COUNTIF('Transect 4_imgsummary'!E30:I30,"CUPS")*100/P30)</f>
        <v>0</v>
      </c>
      <c r="CA30">
        <f>IF(P30=0,0,COUNTIF('Transect 4_imgsummary'!E30:I30,"DISCO")*100/P30)</f>
        <v>0</v>
      </c>
      <c r="CB30">
        <f>IF(P30=0,0,COUNTIF('Transect 4_imgsummary'!E30:I30,"DYS")*100/P30)</f>
        <v>0</v>
      </c>
      <c r="CC30">
        <f>IF(P30=0,0,COUNTIF('Transect 4_imgsummary'!E30:I30,"G")*100/P30)</f>
        <v>0</v>
      </c>
      <c r="CD30">
        <f>IF(P30=0,0,COUNTIF('Transect 4_imgsummary'!E30:I30,"NoIDINV")*100/P30)</f>
        <v>0</v>
      </c>
      <c r="CE30">
        <f>IF(P30=0,0,COUNTIF('Transect 4_imgsummary'!E30:I30,"OLV")*100/P30)</f>
        <v>0</v>
      </c>
      <c r="CF30">
        <f>IF(P30=0,0,COUNTIF('Transect 4_imgsummary'!E30:I30,"SC")*100/P30)</f>
        <v>0</v>
      </c>
      <c r="CG30">
        <f>IF(P30=0,0,COUNTIF('Transect 4_imgsummary'!E30:I30,"S")*100/P30)</f>
        <v>0</v>
      </c>
      <c r="CH30">
        <f>IF(P30=0,0,COUNTIF('Transect 4_imgsummary'!E30:I30,"TERPS")*100/P30)</f>
        <v>0</v>
      </c>
      <c r="CI30">
        <f>IF(P30=0,0,COUNTIF('Transect 4_imgsummary'!E30:I30,"Z")*100/P30)</f>
        <v>0</v>
      </c>
      <c r="CK30">
        <f>IF(P30=0,0,COUNTIF('Transect 4_imgsummary'!E30:I30,"ASP")*100/P30)</f>
        <v>0</v>
      </c>
      <c r="CL30">
        <f>IF(P30=0,0,COUNTIF('Transect 4_imgsummary'!E30:I30,"BG")*100/P30)</f>
        <v>0</v>
      </c>
      <c r="CM30">
        <f>IF(P30=0,0,COUNTIF('Transect 4_imgsummary'!E30:I30,"Bood")*100/P30)</f>
        <v>0</v>
      </c>
      <c r="CN30">
        <f>IF(P30=0,0,COUNTIF('Transect 4_imgsummary'!E30:I30,"BRYP")*100/P30)</f>
        <v>0</v>
      </c>
      <c r="CO30">
        <f>IF(P30=0,0,COUNTIF('Transect 4_imgsummary'!E30:I30,"CLP")*100/P30)</f>
        <v>0</v>
      </c>
      <c r="CP30">
        <f>IF(P30=0,0,COUNTIF('Transect 4_imgsummary'!E30:I30,"CHLDES")*100/P30)</f>
        <v>0</v>
      </c>
      <c r="CQ30">
        <f>IF(P30=0,0,COUNTIF('Transect 4_imgsummary'!E30:I30,"DYCTY")*100/P30)</f>
        <v>0</v>
      </c>
      <c r="CR30">
        <f>IF(P30=0,0,COUNTIF('Transect 4_imgsummary'!E30:I30,"DICT")*100/P30)</f>
        <v>0</v>
      </c>
      <c r="CS30">
        <f>IF(P30=0,0,COUNTIF('Transect 4_imgsummary'!E30:I30,"GLXU")*100/P30)</f>
        <v>0</v>
      </c>
      <c r="CT30">
        <f>IF(P30=0,0,COUNTIF('Transect 4_imgsummary'!E30:I30,"HALI")*100/P30)</f>
        <v>0</v>
      </c>
      <c r="CU30">
        <f>IF(P30=0,0,COUNTIF('Transect 4_imgsummary'!E30:I30,"LIAG")*100/P30)</f>
        <v>0</v>
      </c>
      <c r="CV30">
        <f>IF(P30=0,0,COUNTIF('Transect 4_imgsummary'!E30:I30,"LOBO")*100/P30)</f>
        <v>0</v>
      </c>
      <c r="CW30">
        <f>IF(P30=0,0,COUNTIF('Transect 4_imgsummary'!E30:I30,"MAST")*100/P30)</f>
        <v>0</v>
      </c>
      <c r="CX30">
        <f>IF(P30=0,0,COUNTIF('Transect 4_imgsummary'!E30:I30,"MICDTY")*100/P30)</f>
        <v>0</v>
      </c>
      <c r="CY30">
        <f>IF(P30=0,0,COUNTIF('Transect 4_imgsummary'!E30:I30,"NEOM")*100/P30)</f>
        <v>0</v>
      </c>
      <c r="CZ30">
        <f>IF(P30=0,0,COUNTIF('Transect 4_imgsummary'!E30:I30,"NOIDMAC")*100/P30)</f>
        <v>0</v>
      </c>
      <c r="DA30">
        <f>IF(P30=0,0,COUNTIF('Transect 4_imgsummary'!E30:I30,"PAD")*100/P30)</f>
        <v>0</v>
      </c>
      <c r="DB30">
        <f>IF(P30=0,0,COUNTIF('Transect 4_imgsummary'!E30:I30,"SARG")*100/P30)</f>
        <v>0</v>
      </c>
      <c r="DC30">
        <f>IF(P30=0,0,COUNTIF('Transect 4_imgsummary'!E30:I30,"SCHIZ")*100/P30)</f>
        <v>0</v>
      </c>
      <c r="DD30">
        <f>IF(P30=0,0,COUNTIF('Transect 4_imgsummary'!E30:I30,"TURB")*100/P30)</f>
        <v>0</v>
      </c>
      <c r="DE30">
        <f>IF(P30=0,0,COUNTIF('Transect 4_imgsummary'!E30:I30,"TYDM")*100/P30)</f>
        <v>0</v>
      </c>
      <c r="DG30">
        <f>IF(P30=0,0,COUNTIF('Transect 4_imgsummary'!E30:I30,"AMP")*100/P30)</f>
        <v>0</v>
      </c>
      <c r="DH30">
        <f>IF(P30=0,0,COUNTIF('Transect 4_imgsummary'!E30:I30,"BCA1")*100/P30)</f>
        <v>0</v>
      </c>
      <c r="DI30">
        <f>IF(P30=0,0,COUNTIF('Transect 4_imgsummary'!E30:I30,"JAN")*100/P30)</f>
        <v>0</v>
      </c>
      <c r="DK30">
        <f>IF(P30=0,0,COUNTIF('Transect 4_imgsummary'!E30:I30,"CCA1")*100/P30)</f>
        <v>0</v>
      </c>
      <c r="DM30">
        <f>IF(P30=0,0,COUNTIF('Transect 4_imgsummary'!E30:I30,"Sand")*100/P30)</f>
        <v>0</v>
      </c>
      <c r="DO30">
        <f>IF(P30=0,0,COUNTIF('Transect 4_imgsummary'!E30:I30,"FCA1")*100/P30)</f>
        <v>0</v>
      </c>
      <c r="DQ30">
        <f>IF(P30=0,0,COUNTIF('Transect 4_imgsummary'!E30:I30,"CHRYOBRN")*100/P30)</f>
        <v>0</v>
      </c>
      <c r="DS30">
        <f>IF(P30=0,0,COUNTIF('Transect 4_imgsummary'!E30:I30,"TURF")*100/P30)</f>
        <v>0</v>
      </c>
      <c r="DU30">
        <f>COUNTIF('Transect 4_imgsummary'!E30:I30,"Shadow")*100/5</f>
        <v>0</v>
      </c>
      <c r="DV30">
        <f>COUNTIF('Transect 4_imgsummary'!E30:I30,"Tape")*100/5</f>
        <v>0</v>
      </c>
      <c r="DW30">
        <f>COUNTIF('Transect 4_imgsummary'!E30:I30,"Wand")*100/5</f>
        <v>0</v>
      </c>
      <c r="DY30">
        <f>IF(P30=0,0,COUNTIF('Transect 4_imgsummary'!O30:S30,"BC")*100/P30)</f>
        <v>0</v>
      </c>
    </row>
    <row r="31" spans="1:129">
      <c r="A31">
        <v>29</v>
      </c>
      <c r="B31" t="s">
        <v>574</v>
      </c>
      <c r="F31" s="29">
        <f>IF(P31=0,0,COUNTIF('Transect 4_imgsummary'!J31:N31,"C")*100/P31)</f>
        <v>60</v>
      </c>
      <c r="G31">
        <f>IF(P31=0,0,COUNTIF('Transect 4_imgsummary'!J31:N31,"OI")*100/P31)</f>
        <v>0</v>
      </c>
      <c r="H31">
        <f>IF(P31=0,0,COUNTIF('Transect 4_imgsummary'!J31:N31,"MA")*100/P31)</f>
        <v>0</v>
      </c>
      <c r="I31">
        <f>IF(P31=0,0,COUNTIF('Transect 4_imgsummary'!J31:N31,"BCA")*100/P31)</f>
        <v>0</v>
      </c>
      <c r="J31" s="29">
        <f>IF(P31=0,0,COUNTIF('Transect 4_imgsummary'!J31:N31,"CCA")*100/P31)</f>
        <v>20</v>
      </c>
      <c r="K31">
        <f>IF(P31=0,0,COUNTIF('Transect 4_imgsummary'!J31:N31,"SD")*100/P31)</f>
        <v>0</v>
      </c>
      <c r="L31">
        <f>IF(P31=0,0,COUNTIF('Transect 4_imgsummary'!J31:N31,"FCA")*100/P31)</f>
        <v>0</v>
      </c>
      <c r="M31">
        <f>IF(P31=0,0,COUNTIF('Transect 4_imgsummary'!J31:N31,"CHRYS")*100/P31)</f>
        <v>0</v>
      </c>
      <c r="N31" s="29">
        <f>IF(P31=0,0,COUNTIF('Transect 4_imgsummary'!J31:N31,"T")*100/P31)</f>
        <v>20</v>
      </c>
      <c r="O31">
        <f>IF(P31=0,0,COUNTIF('Transect 4_imgsummary'!J31:N31,"TWS")*100/P31)</f>
        <v>0</v>
      </c>
      <c r="P31">
        <f>5-COUNTIF('Transect 4_imgsummary'!J31:N31,"TWS")</f>
        <v>5</v>
      </c>
      <c r="S31">
        <f>IF(P31=0,0,COUNTIF('Transect 4_imgsummary'!E31:I31,"ACAN")*100/P31)</f>
        <v>0</v>
      </c>
      <c r="T31">
        <f>IF(P31=0,0,COUNTIF('Transect 4_imgsummary'!E31:I31,"ACROP")*100/P31)</f>
        <v>0</v>
      </c>
      <c r="U31">
        <f>IF(P31=0,0,COUNTIF('Transect 4_imgsummary'!E31:I31,"ACROPARB")*100/P31)</f>
        <v>0</v>
      </c>
      <c r="V31">
        <f>IF(P31=0,0,COUNTIF('Transect 4_imgsummary'!E31:I31,"ACROST")*100/P31)</f>
        <v>0</v>
      </c>
      <c r="W31">
        <f>IF(P31=0,0,COUNTIF('Transect 4_imgsummary'!E31:I31,"ACROTBL")*100/P31)</f>
        <v>0</v>
      </c>
      <c r="X31">
        <f>IF(P31=0,0,COUNTIF('Transect 4_imgsummary'!E31:I31,"ASTRP")*100/P31)</f>
        <v>0</v>
      </c>
      <c r="Y31">
        <f>IF(P31=0,0,COUNTIF('Transect 4_imgsummary'!E31:I31,"CAUL")*100/P31)</f>
        <v>0</v>
      </c>
      <c r="Z31">
        <f>IF(P31=0,0,COUNTIF('Transect 4_imgsummary'!E31:I31,"COSC")*100/P31)</f>
        <v>0</v>
      </c>
      <c r="AA31">
        <f>IF(P31=0,0,COUNTIF('Transect 4_imgsummary'!E31:I31,"CTEN")*100/P31)</f>
        <v>0</v>
      </c>
      <c r="AB31">
        <f>IF(P31=0,0,COUNTIF('Transect 4_imgsummary'!E31:I31,"CYPH")*100/P31)</f>
        <v>0</v>
      </c>
      <c r="AC31">
        <f>IF(P31=0,0,COUNTIF('Transect 4_imgsummary'!E31:I31,"DIPLO")*100/P31)</f>
        <v>0</v>
      </c>
      <c r="AD31">
        <f>IF(P31=0,0,COUNTIF('Transect 4_imgsummary'!E31:I31,"ECHPO")*100/P31)</f>
        <v>0</v>
      </c>
      <c r="AE31">
        <f>IF(P31=0,0,COUNTIF('Transect 4_imgsummary'!E31:I31,"ECHPHY")*100/P31)</f>
        <v>0</v>
      </c>
      <c r="AF31">
        <f>IF(P31=0,0,COUNTIF('Transect 4_imgsummary'!E31:I31,"EUPH")*100/P31)</f>
        <v>0</v>
      </c>
      <c r="AG31">
        <f>IF(P31=0,0,COUNTIF('Transect 4_imgsummary'!E31:I31,"FAV")*100/P31)</f>
        <v>0</v>
      </c>
      <c r="AH31">
        <f>IF(P31=0,0,COUNTIF('Transect 4_imgsummary'!E31:I31,"FAVT")*100/P31)</f>
        <v>0</v>
      </c>
      <c r="AI31">
        <f>IF(P31=0,0,COUNTIF('Transect 4_imgsummary'!E31:I31,"FUNG")*100/P31)</f>
        <v>0</v>
      </c>
      <c r="AJ31">
        <f>IF(P31=0,0,COUNTIF('Transect 4_imgsummary'!E31:I31,"GAL")*100/P31)</f>
        <v>0</v>
      </c>
      <c r="AK31">
        <f>IF(P31=0,0,COUNTIF('Transect 4_imgsummary'!E31:I31,"GARD")*100/P31)</f>
        <v>0</v>
      </c>
      <c r="AL31">
        <f>IF(P31=0,0,COUNTIF('Transect 4_imgsummary'!E31:I31,"GON")*100/P31)</f>
        <v>0</v>
      </c>
      <c r="AM31">
        <f>IF(P31=0,0,COUNTIF('Transect 4_imgsummary'!E31:I31,"GONIO")*100/P31)</f>
        <v>0</v>
      </c>
      <c r="AN31">
        <f>IF(P31=0,0,COUNTIF('Transect 4_imgsummary'!E31:I31,"HELIO")*100/P31)</f>
        <v>0</v>
      </c>
      <c r="AO31">
        <f>IF(P31=0,0,COUNTIF('Transect 4_imgsummary'!E31:I31,"HERP")*100/P31)</f>
        <v>0</v>
      </c>
      <c r="AP31">
        <f>IF(P31=0,0,COUNTIF('Transect 4_imgsummary'!E31:I31,"HYD")*100/P31)</f>
        <v>0</v>
      </c>
      <c r="AQ31">
        <f>IF(P31=0,0,COUNTIF('Transect 4_imgsummary'!E31:I31,"ISOP")*100/P31)</f>
        <v>0</v>
      </c>
      <c r="AR31">
        <f>IF(P31=0,0,COUNTIF('Transect 4_imgsummary'!E31:I31,"LEPT")*100/P31)</f>
        <v>0</v>
      </c>
      <c r="AS31">
        <f>IF(P31=0,0,COUNTIF('Transect 4_imgsummary'!E31:I31,"LEPTOR")*100/P31)</f>
        <v>0</v>
      </c>
      <c r="AT31">
        <f>IF(P31=0,0,COUNTIF('Transect 4_imgsummary'!E31:I31,"LEPTOS")*100/P31)</f>
        <v>0</v>
      </c>
      <c r="AU31">
        <f>IF(P31=0,0,COUNTIF('Transect 4_imgsummary'!E31:I31,"LOBOPH")*100/P31)</f>
        <v>0</v>
      </c>
      <c r="AV31">
        <f>IF(P31=0,0,COUNTIF('Transect 4_imgsummary'!E31:I31,"MERU")*100/P31)</f>
        <v>0</v>
      </c>
      <c r="AW31">
        <f>IF(P31=0,0,COUNTIF('Transect 4_imgsummary'!E31:I31,"MILL")*100/P31)</f>
        <v>0</v>
      </c>
      <c r="AX31">
        <f>IF(P31=0,0,COUNTIF('Transect 4_imgsummary'!E31:I31,"MONT")*100/P31)</f>
        <v>0</v>
      </c>
      <c r="AY31">
        <f>IF(P31=0,0,COUNTIF('Transect 4_imgsummary'!E31:I31,"MONTI")*100/P31)</f>
        <v>0</v>
      </c>
      <c r="AZ31">
        <f>IF(P31=0,0,COUNTIF('Transect 4_imgsummary'!E31:I31,"MYCED")*100/P31)</f>
        <v>0</v>
      </c>
      <c r="BA31">
        <f>IF(P31=0,0,COUNTIF('Transect 4_imgsummary'!E31:I31,"OULO")*100/P31)</f>
        <v>0</v>
      </c>
      <c r="BB31">
        <f>IF(P31=0,0,COUNTIF('Transect 4_imgsummary'!E31:I31,"OXYP")*100/P31)</f>
        <v>0</v>
      </c>
      <c r="BC31">
        <f>IF(P31=0,0,COUNTIF('Transect 4_imgsummary'!E31:I31,"PLSIA")*100/P31)</f>
        <v>0</v>
      </c>
      <c r="BD31">
        <f>IF(P31=0,0,COUNTIF('Transect 4_imgsummary'!E31:I31,"PACHY")*100/P31)</f>
        <v>0</v>
      </c>
      <c r="BE31">
        <f>IF(P31=0,0,COUNTIF('Transect 4_imgsummary'!E31:I31,"PAV")*100/P31)</f>
        <v>0</v>
      </c>
      <c r="BF31">
        <f>IF(P31=0,0,COUNTIF('Transect 4_imgsummary'!E31:I31,"PECT")*100/P31)</f>
        <v>0</v>
      </c>
      <c r="BG31">
        <f>IF(P31=0,0,COUNTIF('Transect 4_imgsummary'!E31:I31,"PHYSO")*100/P31)</f>
        <v>0</v>
      </c>
      <c r="BH31" s="29">
        <f>IF(P31=0,0,COUNTIF('Transect 4_imgsummary'!E31:I31,"PLAT")*100/P31)</f>
        <v>40</v>
      </c>
      <c r="BI31">
        <f>IF(P31=0,0,COUNTIF('Transect 4_imgsummary'!E31:I31,"PLERO")*100/P31)</f>
        <v>0</v>
      </c>
      <c r="BJ31">
        <f>IF(P31=0,0,COUNTIF('Transect 4_imgsummary'!E31:I31,"POC")*100/P31)</f>
        <v>0</v>
      </c>
      <c r="BK31">
        <f>IF(P31=0,0,COUNTIF('Transect 4_imgsummary'!E31:I31,"POR")*100/P31)</f>
        <v>0</v>
      </c>
      <c r="BL31">
        <f>IF(P31=0,0,COUNTIF('Transect 4_imgsummary'!E31:I31,"PORCYL")*100/P31)</f>
        <v>0</v>
      </c>
      <c r="BM31">
        <f>IF(P31=0,0,COUNTIF('Transect 4_imgsummary'!E31:I31,"PORMAS")*100/P31)</f>
        <v>0</v>
      </c>
      <c r="BN31" s="29">
        <f>IF(P31=0,0,COUNTIF('Transect 4_imgsummary'!E31:I31,"PORRUS")*100/P31)</f>
        <v>20</v>
      </c>
      <c r="BO31">
        <f>IF(P31=0,0,COUNTIF('Transect 4_imgsummary'!E31:I31,"PSAM")*100/P31)</f>
        <v>0</v>
      </c>
      <c r="BP31">
        <f>IF(P31=0,0,COUNTIF('Transect 4_imgsummary'!E31:I31,"SANDO")*100/P31)</f>
        <v>0</v>
      </c>
      <c r="BQ31">
        <f>IF(P31=0,0,COUNTIF('Transect 4_imgsummary'!E31:I31,"SCAP")*100/P31)</f>
        <v>0</v>
      </c>
      <c r="BR31">
        <f>IF(P31=0,0,COUNTIF('Transect 4_imgsummary'!E31:I31,"SERIA")*100/P31)</f>
        <v>0</v>
      </c>
      <c r="BS31">
        <f>IF(P31=0,0,COUNTIF('Transect 4_imgsummary'!E31:I31,"STYLC")*100/P31)</f>
        <v>0</v>
      </c>
      <c r="BT31">
        <f>IF(P31=0,0,COUNTIF('Transect 4_imgsummary'!E31:I31,"STYLO")*100/P31)</f>
        <v>0</v>
      </c>
      <c r="BU31">
        <f>IF(P31=0,0,COUNTIF('Transect 4_imgsummary'!E31:I31,"SYMP")*100/P31)</f>
        <v>0</v>
      </c>
      <c r="BV31">
        <f>IF(P31=0,0,COUNTIF('Transect 4_imgsummary'!E31:I31,"TURBIN")*100/P31)</f>
        <v>0</v>
      </c>
      <c r="BX31">
        <f>IF(P31=0,0,COUNTIF('Transect 4_imgsummary'!E31:I31,"ANEM")*100/P31)</f>
        <v>0</v>
      </c>
      <c r="BY31">
        <f>IF(P31=0,0,COUNTIF('Transect 4_imgsummary'!E31:I31,"ASC")*100/P31)</f>
        <v>0</v>
      </c>
      <c r="BZ31">
        <f>IF(P31=0,0,COUNTIF('Transect 4_imgsummary'!E31:I31,"CUPS")*100/P31)</f>
        <v>0</v>
      </c>
      <c r="CA31">
        <f>IF(P31=0,0,COUNTIF('Transect 4_imgsummary'!E31:I31,"DISCO")*100/P31)</f>
        <v>0</v>
      </c>
      <c r="CB31">
        <f>IF(P31=0,0,COUNTIF('Transect 4_imgsummary'!E31:I31,"DYS")*100/P31)</f>
        <v>0</v>
      </c>
      <c r="CC31">
        <f>IF(P31=0,0,COUNTIF('Transect 4_imgsummary'!E31:I31,"G")*100/P31)</f>
        <v>0</v>
      </c>
      <c r="CD31">
        <f>IF(P31=0,0,COUNTIF('Transect 4_imgsummary'!E31:I31,"NoIDINV")*100/P31)</f>
        <v>0</v>
      </c>
      <c r="CE31">
        <f>IF(P31=0,0,COUNTIF('Transect 4_imgsummary'!E31:I31,"OLV")*100/P31)</f>
        <v>0</v>
      </c>
      <c r="CF31">
        <f>IF(P31=0,0,COUNTIF('Transect 4_imgsummary'!E31:I31,"SC")*100/P31)</f>
        <v>0</v>
      </c>
      <c r="CG31">
        <f>IF(P31=0,0,COUNTIF('Transect 4_imgsummary'!E31:I31,"S")*100/P31)</f>
        <v>0</v>
      </c>
      <c r="CH31">
        <f>IF(P31=0,0,COUNTIF('Transect 4_imgsummary'!E31:I31,"TERPS")*100/P31)</f>
        <v>0</v>
      </c>
      <c r="CI31">
        <f>IF(P31=0,0,COUNTIF('Transect 4_imgsummary'!E31:I31,"Z")*100/P31)</f>
        <v>0</v>
      </c>
      <c r="CK31">
        <f>IF(P31=0,0,COUNTIF('Transect 4_imgsummary'!E31:I31,"ASP")*100/P31)</f>
        <v>0</v>
      </c>
      <c r="CL31">
        <f>IF(P31=0,0,COUNTIF('Transect 4_imgsummary'!E31:I31,"BG")*100/P31)</f>
        <v>0</v>
      </c>
      <c r="CM31">
        <f>IF(P31=0,0,COUNTIF('Transect 4_imgsummary'!E31:I31,"Bood")*100/P31)</f>
        <v>0</v>
      </c>
      <c r="CN31">
        <f>IF(P31=0,0,COUNTIF('Transect 4_imgsummary'!E31:I31,"BRYP")*100/P31)</f>
        <v>0</v>
      </c>
      <c r="CO31">
        <f>IF(P31=0,0,COUNTIF('Transect 4_imgsummary'!E31:I31,"CLP")*100/P31)</f>
        <v>0</v>
      </c>
      <c r="CP31">
        <f>IF(P31=0,0,COUNTIF('Transect 4_imgsummary'!E31:I31,"CHLDES")*100/P31)</f>
        <v>0</v>
      </c>
      <c r="CQ31">
        <f>IF(P31=0,0,COUNTIF('Transect 4_imgsummary'!E31:I31,"DYCTY")*100/P31)</f>
        <v>0</v>
      </c>
      <c r="CR31">
        <f>IF(P31=0,0,COUNTIF('Transect 4_imgsummary'!E31:I31,"DICT")*100/P31)</f>
        <v>0</v>
      </c>
      <c r="CS31">
        <f>IF(P31=0,0,COUNTIF('Transect 4_imgsummary'!E31:I31,"GLXU")*100/P31)</f>
        <v>0</v>
      </c>
      <c r="CT31">
        <f>IF(P31=0,0,COUNTIF('Transect 4_imgsummary'!E31:I31,"HALI")*100/P31)</f>
        <v>0</v>
      </c>
      <c r="CU31">
        <f>IF(P31=0,0,COUNTIF('Transect 4_imgsummary'!E31:I31,"LIAG")*100/P31)</f>
        <v>0</v>
      </c>
      <c r="CV31">
        <f>IF(P31=0,0,COUNTIF('Transect 4_imgsummary'!E31:I31,"LOBO")*100/P31)</f>
        <v>0</v>
      </c>
      <c r="CW31">
        <f>IF(P31=0,0,COUNTIF('Transect 4_imgsummary'!E31:I31,"MAST")*100/P31)</f>
        <v>0</v>
      </c>
      <c r="CX31">
        <f>IF(P31=0,0,COUNTIF('Transect 4_imgsummary'!E31:I31,"MICDTY")*100/P31)</f>
        <v>0</v>
      </c>
      <c r="CY31">
        <f>IF(P31=0,0,COUNTIF('Transect 4_imgsummary'!E31:I31,"NEOM")*100/P31)</f>
        <v>0</v>
      </c>
      <c r="CZ31">
        <f>IF(P31=0,0,COUNTIF('Transect 4_imgsummary'!E31:I31,"NOIDMAC")*100/P31)</f>
        <v>0</v>
      </c>
      <c r="DA31">
        <f>IF(P31=0,0,COUNTIF('Transect 4_imgsummary'!E31:I31,"PAD")*100/P31)</f>
        <v>0</v>
      </c>
      <c r="DB31">
        <f>IF(P31=0,0,COUNTIF('Transect 4_imgsummary'!E31:I31,"SARG")*100/P31)</f>
        <v>0</v>
      </c>
      <c r="DC31">
        <f>IF(P31=0,0,COUNTIF('Transect 4_imgsummary'!E31:I31,"SCHIZ")*100/P31)</f>
        <v>0</v>
      </c>
      <c r="DD31">
        <f>IF(P31=0,0,COUNTIF('Transect 4_imgsummary'!E31:I31,"TURB")*100/P31)</f>
        <v>0</v>
      </c>
      <c r="DE31">
        <f>IF(P31=0,0,COUNTIF('Transect 4_imgsummary'!E31:I31,"TYDM")*100/P31)</f>
        <v>0</v>
      </c>
      <c r="DG31">
        <f>IF(P31=0,0,COUNTIF('Transect 4_imgsummary'!E31:I31,"AMP")*100/P31)</f>
        <v>0</v>
      </c>
      <c r="DH31">
        <f>IF(P31=0,0,COUNTIF('Transect 4_imgsummary'!E31:I31,"BCA1")*100/P31)</f>
        <v>0</v>
      </c>
      <c r="DI31">
        <f>IF(P31=0,0,COUNTIF('Transect 4_imgsummary'!E31:I31,"JAN")*100/P31)</f>
        <v>0</v>
      </c>
      <c r="DK31" s="29">
        <f>IF(P31=0,0,COUNTIF('Transect 4_imgsummary'!E31:I31,"CCA1")*100/P31)</f>
        <v>20</v>
      </c>
      <c r="DM31">
        <f>IF(P31=0,0,COUNTIF('Transect 4_imgsummary'!E31:I31,"Sand")*100/P31)</f>
        <v>0</v>
      </c>
      <c r="DO31">
        <f>IF(P31=0,0,COUNTIF('Transect 4_imgsummary'!E31:I31,"FCA1")*100/P31)</f>
        <v>0</v>
      </c>
      <c r="DQ31">
        <f>IF(P31=0,0,COUNTIF('Transect 4_imgsummary'!E31:I31,"CHRYOBRN")*100/P31)</f>
        <v>0</v>
      </c>
      <c r="DS31" s="29">
        <f>IF(P31=0,0,COUNTIF('Transect 4_imgsummary'!E31:I31,"TURF")*100/P31)</f>
        <v>20</v>
      </c>
      <c r="DU31">
        <f>COUNTIF('Transect 4_imgsummary'!E31:I31,"Shadow")*100/5</f>
        <v>0</v>
      </c>
      <c r="DV31">
        <f>COUNTIF('Transect 4_imgsummary'!E31:I31,"Tape")*100/5</f>
        <v>0</v>
      </c>
      <c r="DW31">
        <f>COUNTIF('Transect 4_imgsummary'!E31:I31,"Wand")*100/5</f>
        <v>0</v>
      </c>
      <c r="DY31">
        <f>IF(P31=0,0,COUNTIF('Transect 4_imgsummary'!O31:S31,"BC")*100/P31)</f>
        <v>0</v>
      </c>
    </row>
    <row r="32" spans="1:129">
      <c r="A32">
        <v>30</v>
      </c>
      <c r="B32" t="s">
        <v>575</v>
      </c>
      <c r="F32" s="29">
        <f>IF(P32=0,0,COUNTIF('Transect 4_imgsummary'!J32:N32,"C")*100/P32)</f>
        <v>80</v>
      </c>
      <c r="G32">
        <f>IF(P32=0,0,COUNTIF('Transect 4_imgsummary'!J32:N32,"OI")*100/P32)</f>
        <v>0</v>
      </c>
      <c r="H32">
        <f>IF(P32=0,0,COUNTIF('Transect 4_imgsummary'!J32:N32,"MA")*100/P32)</f>
        <v>0</v>
      </c>
      <c r="I32">
        <f>IF(P32=0,0,COUNTIF('Transect 4_imgsummary'!J32:N32,"BCA")*100/P32)</f>
        <v>0</v>
      </c>
      <c r="J32">
        <f>IF(P32=0,0,COUNTIF('Transect 4_imgsummary'!J32:N32,"CCA")*100/P32)</f>
        <v>0</v>
      </c>
      <c r="K32">
        <f>IF(P32=0,0,COUNTIF('Transect 4_imgsummary'!J32:N32,"SD")*100/P32)</f>
        <v>0</v>
      </c>
      <c r="L32">
        <f>IF(P32=0,0,COUNTIF('Transect 4_imgsummary'!J32:N32,"FCA")*100/P32)</f>
        <v>0</v>
      </c>
      <c r="M32">
        <f>IF(P32=0,0,COUNTIF('Transect 4_imgsummary'!J32:N32,"CHRYS")*100/P32)</f>
        <v>0</v>
      </c>
      <c r="N32" s="29">
        <f>IF(P32=0,0,COUNTIF('Transect 4_imgsummary'!J32:N32,"T")*100/P32)</f>
        <v>20</v>
      </c>
      <c r="O32">
        <f>IF(P32=0,0,COUNTIF('Transect 4_imgsummary'!J32:N32,"TWS")*100/P32)</f>
        <v>0</v>
      </c>
      <c r="P32">
        <f>5-COUNTIF('Transect 4_imgsummary'!J32:N32,"TWS")</f>
        <v>5</v>
      </c>
      <c r="S32">
        <f>IF(P32=0,0,COUNTIF('Transect 4_imgsummary'!E32:I32,"ACAN")*100/P32)</f>
        <v>0</v>
      </c>
      <c r="T32">
        <f>IF(P32=0,0,COUNTIF('Transect 4_imgsummary'!E32:I32,"ACROP")*100/P32)</f>
        <v>0</v>
      </c>
      <c r="U32">
        <f>IF(P32=0,0,COUNTIF('Transect 4_imgsummary'!E32:I32,"ACROPARB")*100/P32)</f>
        <v>0</v>
      </c>
      <c r="V32">
        <f>IF(P32=0,0,COUNTIF('Transect 4_imgsummary'!E32:I32,"ACROST")*100/P32)</f>
        <v>0</v>
      </c>
      <c r="W32" s="29">
        <f>IF(P32=0,0,COUNTIF('Transect 4_imgsummary'!E32:I32,"ACROTBL")*100/P32)</f>
        <v>60</v>
      </c>
      <c r="X32">
        <f>IF(P32=0,0,COUNTIF('Transect 4_imgsummary'!E32:I32,"ASTRP")*100/P32)</f>
        <v>0</v>
      </c>
      <c r="Y32">
        <f>IF(P32=0,0,COUNTIF('Transect 4_imgsummary'!E32:I32,"CAUL")*100/P32)</f>
        <v>0</v>
      </c>
      <c r="Z32">
        <f>IF(P32=0,0,COUNTIF('Transect 4_imgsummary'!E32:I32,"COSC")*100/P32)</f>
        <v>0</v>
      </c>
      <c r="AA32">
        <f>IF(P32=0,0,COUNTIF('Transect 4_imgsummary'!E32:I32,"CTEN")*100/P32)</f>
        <v>0</v>
      </c>
      <c r="AB32">
        <f>IF(P32=0,0,COUNTIF('Transect 4_imgsummary'!E32:I32,"CYPH")*100/P32)</f>
        <v>0</v>
      </c>
      <c r="AC32">
        <f>IF(P32=0,0,COUNTIF('Transect 4_imgsummary'!E32:I32,"DIPLO")*100/P32)</f>
        <v>0</v>
      </c>
      <c r="AD32">
        <f>IF(P32=0,0,COUNTIF('Transect 4_imgsummary'!E32:I32,"ECHPO")*100/P32)</f>
        <v>0</v>
      </c>
      <c r="AE32">
        <f>IF(P32=0,0,COUNTIF('Transect 4_imgsummary'!E32:I32,"ECHPHY")*100/P32)</f>
        <v>0</v>
      </c>
      <c r="AF32">
        <f>IF(P32=0,0,COUNTIF('Transect 4_imgsummary'!E32:I32,"EUPH")*100/P32)</f>
        <v>0</v>
      </c>
      <c r="AG32">
        <f>IF(P32=0,0,COUNTIF('Transect 4_imgsummary'!E32:I32,"FAV")*100/P32)</f>
        <v>0</v>
      </c>
      <c r="AH32">
        <f>IF(P32=0,0,COUNTIF('Transect 4_imgsummary'!E32:I32,"FAVT")*100/P32)</f>
        <v>0</v>
      </c>
      <c r="AI32">
        <f>IF(P32=0,0,COUNTIF('Transect 4_imgsummary'!E32:I32,"FUNG")*100/P32)</f>
        <v>0</v>
      </c>
      <c r="AJ32">
        <f>IF(P32=0,0,COUNTIF('Transect 4_imgsummary'!E32:I32,"GAL")*100/P32)</f>
        <v>0</v>
      </c>
      <c r="AK32">
        <f>IF(P32=0,0,COUNTIF('Transect 4_imgsummary'!E32:I32,"GARD")*100/P32)</f>
        <v>0</v>
      </c>
      <c r="AL32">
        <f>IF(P32=0,0,COUNTIF('Transect 4_imgsummary'!E32:I32,"GON")*100/P32)</f>
        <v>0</v>
      </c>
      <c r="AM32">
        <f>IF(P32=0,0,COUNTIF('Transect 4_imgsummary'!E32:I32,"GONIO")*100/P32)</f>
        <v>0</v>
      </c>
      <c r="AN32">
        <f>IF(P32=0,0,COUNTIF('Transect 4_imgsummary'!E32:I32,"HELIO")*100/P32)</f>
        <v>0</v>
      </c>
      <c r="AO32">
        <f>IF(P32=0,0,COUNTIF('Transect 4_imgsummary'!E32:I32,"HERP")*100/P32)</f>
        <v>0</v>
      </c>
      <c r="AP32">
        <f>IF(P32=0,0,COUNTIF('Transect 4_imgsummary'!E32:I32,"HYD")*100/P32)</f>
        <v>0</v>
      </c>
      <c r="AQ32" s="29">
        <f>IF(P32=0,0,COUNTIF('Transect 4_imgsummary'!E32:I32,"ISOP")*100/P32)</f>
        <v>20</v>
      </c>
      <c r="AR32">
        <f>IF(P32=0,0,COUNTIF('Transect 4_imgsummary'!E32:I32,"LEPT")*100/P32)</f>
        <v>0</v>
      </c>
      <c r="AS32">
        <f>IF(P32=0,0,COUNTIF('Transect 4_imgsummary'!E32:I32,"LEPTOR")*100/P32)</f>
        <v>0</v>
      </c>
      <c r="AT32">
        <f>IF(P32=0,0,COUNTIF('Transect 4_imgsummary'!E32:I32,"LEPTOS")*100/P32)</f>
        <v>0</v>
      </c>
      <c r="AU32">
        <f>IF(P32=0,0,COUNTIF('Transect 4_imgsummary'!E32:I32,"LOBOPH")*100/P32)</f>
        <v>0</v>
      </c>
      <c r="AV32">
        <f>IF(P32=0,0,COUNTIF('Transect 4_imgsummary'!E32:I32,"MERU")*100/P32)</f>
        <v>0</v>
      </c>
      <c r="AW32">
        <f>IF(P32=0,0,COUNTIF('Transect 4_imgsummary'!E32:I32,"MILL")*100/P32)</f>
        <v>0</v>
      </c>
      <c r="AX32">
        <f>IF(P32=0,0,COUNTIF('Transect 4_imgsummary'!E32:I32,"MONT")*100/P32)</f>
        <v>0</v>
      </c>
      <c r="AY32">
        <f>IF(P32=0,0,COUNTIF('Transect 4_imgsummary'!E32:I32,"MONTI")*100/P32)</f>
        <v>0</v>
      </c>
      <c r="AZ32">
        <f>IF(P32=0,0,COUNTIF('Transect 4_imgsummary'!E32:I32,"MYCED")*100/P32)</f>
        <v>0</v>
      </c>
      <c r="BA32">
        <f>IF(P32=0,0,COUNTIF('Transect 4_imgsummary'!E32:I32,"OULO")*100/P32)</f>
        <v>0</v>
      </c>
      <c r="BB32">
        <f>IF(P32=0,0,COUNTIF('Transect 4_imgsummary'!E32:I32,"OXYP")*100/P32)</f>
        <v>0</v>
      </c>
      <c r="BC32">
        <f>IF(P32=0,0,COUNTIF('Transect 4_imgsummary'!E32:I32,"PLSIA")*100/P32)</f>
        <v>0</v>
      </c>
      <c r="BD32">
        <f>IF(P32=0,0,COUNTIF('Transect 4_imgsummary'!E32:I32,"PACHY")*100/P32)</f>
        <v>0</v>
      </c>
      <c r="BE32">
        <f>IF(P32=0,0,COUNTIF('Transect 4_imgsummary'!E32:I32,"PAV")*100/P32)</f>
        <v>0</v>
      </c>
      <c r="BF32">
        <f>IF(P32=0,0,COUNTIF('Transect 4_imgsummary'!E32:I32,"PECT")*100/P32)</f>
        <v>0</v>
      </c>
      <c r="BG32">
        <f>IF(P32=0,0,COUNTIF('Transect 4_imgsummary'!E32:I32,"PHYSO")*100/P32)</f>
        <v>0</v>
      </c>
      <c r="BH32">
        <f>IF(P32=0,0,COUNTIF('Transect 4_imgsummary'!E32:I32,"PLAT")*100/P32)</f>
        <v>0</v>
      </c>
      <c r="BI32">
        <f>IF(P32=0,0,COUNTIF('Transect 4_imgsummary'!E32:I32,"PLERO")*100/P32)</f>
        <v>0</v>
      </c>
      <c r="BJ32">
        <f>IF(P32=0,0,COUNTIF('Transect 4_imgsummary'!E32:I32,"POC")*100/P32)</f>
        <v>0</v>
      </c>
      <c r="BK32">
        <f>IF(P32=0,0,COUNTIF('Transect 4_imgsummary'!E32:I32,"POR")*100/P32)</f>
        <v>0</v>
      </c>
      <c r="BL32">
        <f>IF(P32=0,0,COUNTIF('Transect 4_imgsummary'!E32:I32,"PORCYL")*100/P32)</f>
        <v>0</v>
      </c>
      <c r="BM32">
        <f>IF(P32=0,0,COUNTIF('Transect 4_imgsummary'!E32:I32,"PORMAS")*100/P32)</f>
        <v>0</v>
      </c>
      <c r="BN32">
        <f>IF(P32=0,0,COUNTIF('Transect 4_imgsummary'!E32:I32,"PORRUS")*100/P32)</f>
        <v>0</v>
      </c>
      <c r="BO32">
        <f>IF(P32=0,0,COUNTIF('Transect 4_imgsummary'!E32:I32,"PSAM")*100/P32)</f>
        <v>0</v>
      </c>
      <c r="BP32">
        <f>IF(P32=0,0,COUNTIF('Transect 4_imgsummary'!E32:I32,"SANDO")*100/P32)</f>
        <v>0</v>
      </c>
      <c r="BQ32">
        <f>IF(P32=0,0,COUNTIF('Transect 4_imgsummary'!E32:I32,"SCAP")*100/P32)</f>
        <v>0</v>
      </c>
      <c r="BR32">
        <f>IF(P32=0,0,COUNTIF('Transect 4_imgsummary'!E32:I32,"SERIA")*100/P32)</f>
        <v>0</v>
      </c>
      <c r="BS32">
        <f>IF(P32=0,0,COUNTIF('Transect 4_imgsummary'!E32:I32,"STYLC")*100/P32)</f>
        <v>0</v>
      </c>
      <c r="BT32">
        <f>IF(P32=0,0,COUNTIF('Transect 4_imgsummary'!E32:I32,"STYLO")*100/P32)</f>
        <v>0</v>
      </c>
      <c r="BU32">
        <f>IF(P32=0,0,COUNTIF('Transect 4_imgsummary'!E32:I32,"SYMP")*100/P32)</f>
        <v>0</v>
      </c>
      <c r="BV32">
        <f>IF(P32=0,0,COUNTIF('Transect 4_imgsummary'!E32:I32,"TURBIN")*100/P32)</f>
        <v>0</v>
      </c>
      <c r="BX32">
        <f>IF(P32=0,0,COUNTIF('Transect 4_imgsummary'!E32:I32,"ANEM")*100/P32)</f>
        <v>0</v>
      </c>
      <c r="BY32">
        <f>IF(P32=0,0,COUNTIF('Transect 4_imgsummary'!E32:I32,"ASC")*100/P32)</f>
        <v>0</v>
      </c>
      <c r="BZ32">
        <f>IF(P32=0,0,COUNTIF('Transect 4_imgsummary'!E32:I32,"CUPS")*100/P32)</f>
        <v>0</v>
      </c>
      <c r="CA32">
        <f>IF(P32=0,0,COUNTIF('Transect 4_imgsummary'!E32:I32,"DISCO")*100/P32)</f>
        <v>0</v>
      </c>
      <c r="CB32">
        <f>IF(P32=0,0,COUNTIF('Transect 4_imgsummary'!E32:I32,"DYS")*100/P32)</f>
        <v>0</v>
      </c>
      <c r="CC32">
        <f>IF(P32=0,0,COUNTIF('Transect 4_imgsummary'!E32:I32,"G")*100/P32)</f>
        <v>0</v>
      </c>
      <c r="CD32">
        <f>IF(P32=0,0,COUNTIF('Transect 4_imgsummary'!E32:I32,"NoIDINV")*100/P32)</f>
        <v>0</v>
      </c>
      <c r="CE32">
        <f>IF(P32=0,0,COUNTIF('Transect 4_imgsummary'!E32:I32,"OLV")*100/P32)</f>
        <v>0</v>
      </c>
      <c r="CF32">
        <f>IF(P32=0,0,COUNTIF('Transect 4_imgsummary'!E32:I32,"SC")*100/P32)</f>
        <v>0</v>
      </c>
      <c r="CG32">
        <f>IF(P32=0,0,COUNTIF('Transect 4_imgsummary'!E32:I32,"S")*100/P32)</f>
        <v>0</v>
      </c>
      <c r="CH32">
        <f>IF(P32=0,0,COUNTIF('Transect 4_imgsummary'!E32:I32,"TERPS")*100/P32)</f>
        <v>0</v>
      </c>
      <c r="CI32">
        <f>IF(P32=0,0,COUNTIF('Transect 4_imgsummary'!E32:I32,"Z")*100/P32)</f>
        <v>0</v>
      </c>
      <c r="CK32">
        <f>IF(P32=0,0,COUNTIF('Transect 4_imgsummary'!E32:I32,"ASP")*100/P32)</f>
        <v>0</v>
      </c>
      <c r="CL32">
        <f>IF(P32=0,0,COUNTIF('Transect 4_imgsummary'!E32:I32,"BG")*100/P32)</f>
        <v>0</v>
      </c>
      <c r="CM32">
        <f>IF(P32=0,0,COUNTIF('Transect 4_imgsummary'!E32:I32,"Bood")*100/P32)</f>
        <v>0</v>
      </c>
      <c r="CN32">
        <f>IF(P32=0,0,COUNTIF('Transect 4_imgsummary'!E32:I32,"BRYP")*100/P32)</f>
        <v>0</v>
      </c>
      <c r="CO32">
        <f>IF(P32=0,0,COUNTIF('Transect 4_imgsummary'!E32:I32,"CLP")*100/P32)</f>
        <v>0</v>
      </c>
      <c r="CP32">
        <f>IF(P32=0,0,COUNTIF('Transect 4_imgsummary'!E32:I32,"CHLDES")*100/P32)</f>
        <v>0</v>
      </c>
      <c r="CQ32">
        <f>IF(P32=0,0,COUNTIF('Transect 4_imgsummary'!E32:I32,"DYCTY")*100/P32)</f>
        <v>0</v>
      </c>
      <c r="CR32">
        <f>IF(P32=0,0,COUNTIF('Transect 4_imgsummary'!E32:I32,"DICT")*100/P32)</f>
        <v>0</v>
      </c>
      <c r="CS32">
        <f>IF(P32=0,0,COUNTIF('Transect 4_imgsummary'!E32:I32,"GLXU")*100/P32)</f>
        <v>0</v>
      </c>
      <c r="CT32">
        <f>IF(P32=0,0,COUNTIF('Transect 4_imgsummary'!E32:I32,"HALI")*100/P32)</f>
        <v>0</v>
      </c>
      <c r="CU32">
        <f>IF(P32=0,0,COUNTIF('Transect 4_imgsummary'!E32:I32,"LIAG")*100/P32)</f>
        <v>0</v>
      </c>
      <c r="CV32">
        <f>IF(P32=0,0,COUNTIF('Transect 4_imgsummary'!E32:I32,"LOBO")*100/P32)</f>
        <v>0</v>
      </c>
      <c r="CW32">
        <f>IF(P32=0,0,COUNTIF('Transect 4_imgsummary'!E32:I32,"MAST")*100/P32)</f>
        <v>0</v>
      </c>
      <c r="CX32">
        <f>IF(P32=0,0,COUNTIF('Transect 4_imgsummary'!E32:I32,"MICDTY")*100/P32)</f>
        <v>0</v>
      </c>
      <c r="CY32">
        <f>IF(P32=0,0,COUNTIF('Transect 4_imgsummary'!E32:I32,"NEOM")*100/P32)</f>
        <v>0</v>
      </c>
      <c r="CZ32">
        <f>IF(P32=0,0,COUNTIF('Transect 4_imgsummary'!E32:I32,"NOIDMAC")*100/P32)</f>
        <v>0</v>
      </c>
      <c r="DA32">
        <f>IF(P32=0,0,COUNTIF('Transect 4_imgsummary'!E32:I32,"PAD")*100/P32)</f>
        <v>0</v>
      </c>
      <c r="DB32">
        <f>IF(P32=0,0,COUNTIF('Transect 4_imgsummary'!E32:I32,"SARG")*100/P32)</f>
        <v>0</v>
      </c>
      <c r="DC32">
        <f>IF(P32=0,0,COUNTIF('Transect 4_imgsummary'!E32:I32,"SCHIZ")*100/P32)</f>
        <v>0</v>
      </c>
      <c r="DD32">
        <f>IF(P32=0,0,COUNTIF('Transect 4_imgsummary'!E32:I32,"TURB")*100/P32)</f>
        <v>0</v>
      </c>
      <c r="DE32">
        <f>IF(P32=0,0,COUNTIF('Transect 4_imgsummary'!E32:I32,"TYDM")*100/P32)</f>
        <v>0</v>
      </c>
      <c r="DG32">
        <f>IF(P32=0,0,COUNTIF('Transect 4_imgsummary'!E32:I32,"AMP")*100/P32)</f>
        <v>0</v>
      </c>
      <c r="DH32">
        <f>IF(P32=0,0,COUNTIF('Transect 4_imgsummary'!E32:I32,"BCA1")*100/P32)</f>
        <v>0</v>
      </c>
      <c r="DI32">
        <f>IF(P32=0,0,COUNTIF('Transect 4_imgsummary'!E32:I32,"JAN")*100/P32)</f>
        <v>0</v>
      </c>
      <c r="DK32">
        <f>IF(P32=0,0,COUNTIF('Transect 4_imgsummary'!E32:I32,"CCA1")*100/P32)</f>
        <v>0</v>
      </c>
      <c r="DM32">
        <f>IF(P32=0,0,COUNTIF('Transect 4_imgsummary'!E32:I32,"Sand")*100/P32)</f>
        <v>0</v>
      </c>
      <c r="DO32">
        <f>IF(P32=0,0,COUNTIF('Transect 4_imgsummary'!E32:I32,"FCA1")*100/P32)</f>
        <v>0</v>
      </c>
      <c r="DQ32">
        <f>IF(P32=0,0,COUNTIF('Transect 4_imgsummary'!E32:I32,"CHRYOBRN")*100/P32)</f>
        <v>0</v>
      </c>
      <c r="DS32" s="29">
        <f>IF(P32=0,0,COUNTIF('Transect 4_imgsummary'!E32:I32,"TURF")*100/P32)</f>
        <v>20</v>
      </c>
      <c r="DU32">
        <f>COUNTIF('Transect 4_imgsummary'!E32:I32,"Shadow")*100/5</f>
        <v>0</v>
      </c>
      <c r="DV32">
        <f>COUNTIF('Transect 4_imgsummary'!E32:I32,"Tape")*100/5</f>
        <v>0</v>
      </c>
      <c r="DW32">
        <f>COUNTIF('Transect 4_imgsummary'!E32:I32,"Wand")*100/5</f>
        <v>0</v>
      </c>
      <c r="DY32">
        <f>IF(P32=0,0,COUNTIF('Transect 4_imgsummary'!O32:S32,"BC")*100/P32)</f>
        <v>0</v>
      </c>
    </row>
    <row r="33" spans="1:129">
      <c r="A33">
        <v>31</v>
      </c>
      <c r="B33" t="s">
        <v>576</v>
      </c>
      <c r="F33">
        <f>IF(P33=0,0,COUNTIF('Transect 4_imgsummary'!J33:N33,"C")*100/P33)</f>
        <v>0</v>
      </c>
      <c r="G33">
        <f>IF(P33=0,0,COUNTIF('Transect 4_imgsummary'!J33:N33,"OI")*100/P33)</f>
        <v>0</v>
      </c>
      <c r="H33">
        <f>IF(P33=0,0,COUNTIF('Transect 4_imgsummary'!J33:N33,"MA")*100/P33)</f>
        <v>0</v>
      </c>
      <c r="I33">
        <f>IF(P33=0,0,COUNTIF('Transect 4_imgsummary'!J33:N33,"BCA")*100/P33)</f>
        <v>0</v>
      </c>
      <c r="J33" s="29">
        <f>IF(P33=0,0,COUNTIF('Transect 4_imgsummary'!J33:N33,"CCA")*100/P33)</f>
        <v>60</v>
      </c>
      <c r="K33">
        <f>IF(P33=0,0,COUNTIF('Transect 4_imgsummary'!J33:N33,"SD")*100/P33)</f>
        <v>0</v>
      </c>
      <c r="L33">
        <f>IF(P33=0,0,COUNTIF('Transect 4_imgsummary'!J33:N33,"FCA")*100/P33)</f>
        <v>0</v>
      </c>
      <c r="M33">
        <f>IF(P33=0,0,COUNTIF('Transect 4_imgsummary'!J33:N33,"CHRYS")*100/P33)</f>
        <v>0</v>
      </c>
      <c r="N33" s="29">
        <f>IF(P33=0,0,COUNTIF('Transect 4_imgsummary'!J33:N33,"T")*100/P33)</f>
        <v>40</v>
      </c>
      <c r="O33">
        <f>IF(P33=0,0,COUNTIF('Transect 4_imgsummary'!J33:N33,"TWS")*100/P33)</f>
        <v>0</v>
      </c>
      <c r="P33">
        <f>5-COUNTIF('Transect 4_imgsummary'!J33:N33,"TWS")</f>
        <v>5</v>
      </c>
      <c r="S33">
        <f>IF(P33=0,0,COUNTIF('Transect 4_imgsummary'!E33:I33,"ACAN")*100/P33)</f>
        <v>0</v>
      </c>
      <c r="T33">
        <f>IF(P33=0,0,COUNTIF('Transect 4_imgsummary'!E33:I33,"ACROP")*100/P33)</f>
        <v>0</v>
      </c>
      <c r="U33">
        <f>IF(P33=0,0,COUNTIF('Transect 4_imgsummary'!E33:I33,"ACROPARB")*100/P33)</f>
        <v>0</v>
      </c>
      <c r="V33">
        <f>IF(P33=0,0,COUNTIF('Transect 4_imgsummary'!E33:I33,"ACROST")*100/P33)</f>
        <v>0</v>
      </c>
      <c r="W33">
        <f>IF(P33=0,0,COUNTIF('Transect 4_imgsummary'!E33:I33,"ACROTBL")*100/P33)</f>
        <v>0</v>
      </c>
      <c r="X33">
        <f>IF(P33=0,0,COUNTIF('Transect 4_imgsummary'!E33:I33,"ASTRP")*100/P33)</f>
        <v>0</v>
      </c>
      <c r="Y33">
        <f>IF(P33=0,0,COUNTIF('Transect 4_imgsummary'!E33:I33,"CAUL")*100/P33)</f>
        <v>0</v>
      </c>
      <c r="Z33">
        <f>IF(P33=0,0,COUNTIF('Transect 4_imgsummary'!E33:I33,"COSC")*100/P33)</f>
        <v>0</v>
      </c>
      <c r="AA33">
        <f>IF(P33=0,0,COUNTIF('Transect 4_imgsummary'!E33:I33,"CTEN")*100/P33)</f>
        <v>0</v>
      </c>
      <c r="AB33">
        <f>IF(P33=0,0,COUNTIF('Transect 4_imgsummary'!E33:I33,"CYPH")*100/P33)</f>
        <v>0</v>
      </c>
      <c r="AC33">
        <f>IF(P33=0,0,COUNTIF('Transect 4_imgsummary'!E33:I33,"DIPLO")*100/P33)</f>
        <v>0</v>
      </c>
      <c r="AD33">
        <f>IF(P33=0,0,COUNTIF('Transect 4_imgsummary'!E33:I33,"ECHPO")*100/P33)</f>
        <v>0</v>
      </c>
      <c r="AE33">
        <f>IF(P33=0,0,COUNTIF('Transect 4_imgsummary'!E33:I33,"ECHPHY")*100/P33)</f>
        <v>0</v>
      </c>
      <c r="AF33">
        <f>IF(P33=0,0,COUNTIF('Transect 4_imgsummary'!E33:I33,"EUPH")*100/P33)</f>
        <v>0</v>
      </c>
      <c r="AG33">
        <f>IF(P33=0,0,COUNTIF('Transect 4_imgsummary'!E33:I33,"FAV")*100/P33)</f>
        <v>0</v>
      </c>
      <c r="AH33">
        <f>IF(P33=0,0,COUNTIF('Transect 4_imgsummary'!E33:I33,"FAVT")*100/P33)</f>
        <v>0</v>
      </c>
      <c r="AI33">
        <f>IF(P33=0,0,COUNTIF('Transect 4_imgsummary'!E33:I33,"FUNG")*100/P33)</f>
        <v>0</v>
      </c>
      <c r="AJ33">
        <f>IF(P33=0,0,COUNTIF('Transect 4_imgsummary'!E33:I33,"GAL")*100/P33)</f>
        <v>0</v>
      </c>
      <c r="AK33">
        <f>IF(P33=0,0,COUNTIF('Transect 4_imgsummary'!E33:I33,"GARD")*100/P33)</f>
        <v>0</v>
      </c>
      <c r="AL33">
        <f>IF(P33=0,0,COUNTIF('Transect 4_imgsummary'!E33:I33,"GON")*100/P33)</f>
        <v>0</v>
      </c>
      <c r="AM33">
        <f>IF(P33=0,0,COUNTIF('Transect 4_imgsummary'!E33:I33,"GONIO")*100/P33)</f>
        <v>0</v>
      </c>
      <c r="AN33">
        <f>IF(P33=0,0,COUNTIF('Transect 4_imgsummary'!E33:I33,"HELIO")*100/P33)</f>
        <v>0</v>
      </c>
      <c r="AO33">
        <f>IF(P33=0,0,COUNTIF('Transect 4_imgsummary'!E33:I33,"HERP")*100/P33)</f>
        <v>0</v>
      </c>
      <c r="AP33">
        <f>IF(P33=0,0,COUNTIF('Transect 4_imgsummary'!E33:I33,"HYD")*100/P33)</f>
        <v>0</v>
      </c>
      <c r="AQ33">
        <f>IF(P33=0,0,COUNTIF('Transect 4_imgsummary'!E33:I33,"ISOP")*100/P33)</f>
        <v>0</v>
      </c>
      <c r="AR33">
        <f>IF(P33=0,0,COUNTIF('Transect 4_imgsummary'!E33:I33,"LEPT")*100/P33)</f>
        <v>0</v>
      </c>
      <c r="AS33">
        <f>IF(P33=0,0,COUNTIF('Transect 4_imgsummary'!E33:I33,"LEPTOR")*100/P33)</f>
        <v>0</v>
      </c>
      <c r="AT33">
        <f>IF(P33=0,0,COUNTIF('Transect 4_imgsummary'!E33:I33,"LEPTOS")*100/P33)</f>
        <v>0</v>
      </c>
      <c r="AU33">
        <f>IF(P33=0,0,COUNTIF('Transect 4_imgsummary'!E33:I33,"LOBOPH")*100/P33)</f>
        <v>0</v>
      </c>
      <c r="AV33">
        <f>IF(P33=0,0,COUNTIF('Transect 4_imgsummary'!E33:I33,"MERU")*100/P33)</f>
        <v>0</v>
      </c>
      <c r="AW33">
        <f>IF(P33=0,0,COUNTIF('Transect 4_imgsummary'!E33:I33,"MILL")*100/P33)</f>
        <v>0</v>
      </c>
      <c r="AX33">
        <f>IF(P33=0,0,COUNTIF('Transect 4_imgsummary'!E33:I33,"MONT")*100/P33)</f>
        <v>0</v>
      </c>
      <c r="AY33">
        <f>IF(P33=0,0,COUNTIF('Transect 4_imgsummary'!E33:I33,"MONTI")*100/P33)</f>
        <v>0</v>
      </c>
      <c r="AZ33">
        <f>IF(P33=0,0,COUNTIF('Transect 4_imgsummary'!E33:I33,"MYCED")*100/P33)</f>
        <v>0</v>
      </c>
      <c r="BA33">
        <f>IF(P33=0,0,COUNTIF('Transect 4_imgsummary'!E33:I33,"OULO")*100/P33)</f>
        <v>0</v>
      </c>
      <c r="BB33">
        <f>IF(P33=0,0,COUNTIF('Transect 4_imgsummary'!E33:I33,"OXYP")*100/P33)</f>
        <v>0</v>
      </c>
      <c r="BC33">
        <f>IF(P33=0,0,COUNTIF('Transect 4_imgsummary'!E33:I33,"PLSIA")*100/P33)</f>
        <v>0</v>
      </c>
      <c r="BD33">
        <f>IF(P33=0,0,COUNTIF('Transect 4_imgsummary'!E33:I33,"PACHY")*100/P33)</f>
        <v>0</v>
      </c>
      <c r="BE33">
        <f>IF(P33=0,0,COUNTIF('Transect 4_imgsummary'!E33:I33,"PAV")*100/P33)</f>
        <v>0</v>
      </c>
      <c r="BF33">
        <f>IF(P33=0,0,COUNTIF('Transect 4_imgsummary'!E33:I33,"PECT")*100/P33)</f>
        <v>0</v>
      </c>
      <c r="BG33">
        <f>IF(P33=0,0,COUNTIF('Transect 4_imgsummary'!E33:I33,"PHYSO")*100/P33)</f>
        <v>0</v>
      </c>
      <c r="BH33">
        <f>IF(P33=0,0,COUNTIF('Transect 4_imgsummary'!E33:I33,"PLAT")*100/P33)</f>
        <v>0</v>
      </c>
      <c r="BI33">
        <f>IF(P33=0,0,COUNTIF('Transect 4_imgsummary'!E33:I33,"PLERO")*100/P33)</f>
        <v>0</v>
      </c>
      <c r="BJ33">
        <f>IF(P33=0,0,COUNTIF('Transect 4_imgsummary'!E33:I33,"POC")*100/P33)</f>
        <v>0</v>
      </c>
      <c r="BK33">
        <f>IF(P33=0,0,COUNTIF('Transect 4_imgsummary'!E33:I33,"POR")*100/P33)</f>
        <v>0</v>
      </c>
      <c r="BL33">
        <f>IF(P33=0,0,COUNTIF('Transect 4_imgsummary'!E33:I33,"PORCYL")*100/P33)</f>
        <v>0</v>
      </c>
      <c r="BM33">
        <f>IF(P33=0,0,COUNTIF('Transect 4_imgsummary'!E33:I33,"PORMAS")*100/P33)</f>
        <v>0</v>
      </c>
      <c r="BN33">
        <f>IF(P33=0,0,COUNTIF('Transect 4_imgsummary'!E33:I33,"PORRUS")*100/P33)</f>
        <v>0</v>
      </c>
      <c r="BO33">
        <f>IF(P33=0,0,COUNTIF('Transect 4_imgsummary'!E33:I33,"PSAM")*100/P33)</f>
        <v>0</v>
      </c>
      <c r="BP33">
        <f>IF(P33=0,0,COUNTIF('Transect 4_imgsummary'!E33:I33,"SANDO")*100/P33)</f>
        <v>0</v>
      </c>
      <c r="BQ33">
        <f>IF(P33=0,0,COUNTIF('Transect 4_imgsummary'!E33:I33,"SCAP")*100/P33)</f>
        <v>0</v>
      </c>
      <c r="BR33">
        <f>IF(P33=0,0,COUNTIF('Transect 4_imgsummary'!E33:I33,"SERIA")*100/P33)</f>
        <v>0</v>
      </c>
      <c r="BS33">
        <f>IF(P33=0,0,COUNTIF('Transect 4_imgsummary'!E33:I33,"STYLC")*100/P33)</f>
        <v>0</v>
      </c>
      <c r="BT33">
        <f>IF(P33=0,0,COUNTIF('Transect 4_imgsummary'!E33:I33,"STYLO")*100/P33)</f>
        <v>0</v>
      </c>
      <c r="BU33">
        <f>IF(P33=0,0,COUNTIF('Transect 4_imgsummary'!E33:I33,"SYMP")*100/P33)</f>
        <v>0</v>
      </c>
      <c r="BV33">
        <f>IF(P33=0,0,COUNTIF('Transect 4_imgsummary'!E33:I33,"TURBIN")*100/P33)</f>
        <v>0</v>
      </c>
      <c r="BX33">
        <f>IF(P33=0,0,COUNTIF('Transect 4_imgsummary'!E33:I33,"ANEM")*100/P33)</f>
        <v>0</v>
      </c>
      <c r="BY33">
        <f>IF(P33=0,0,COUNTIF('Transect 4_imgsummary'!E33:I33,"ASC")*100/P33)</f>
        <v>0</v>
      </c>
      <c r="BZ33">
        <f>IF(P33=0,0,COUNTIF('Transect 4_imgsummary'!E33:I33,"CUPS")*100/P33)</f>
        <v>0</v>
      </c>
      <c r="CA33">
        <f>IF(P33=0,0,COUNTIF('Transect 4_imgsummary'!E33:I33,"DISCO")*100/P33)</f>
        <v>0</v>
      </c>
      <c r="CB33">
        <f>IF(P33=0,0,COUNTIF('Transect 4_imgsummary'!E33:I33,"DYS")*100/P33)</f>
        <v>0</v>
      </c>
      <c r="CC33">
        <f>IF(P33=0,0,COUNTIF('Transect 4_imgsummary'!E33:I33,"G")*100/P33)</f>
        <v>0</v>
      </c>
      <c r="CD33">
        <f>IF(P33=0,0,COUNTIF('Transect 4_imgsummary'!E33:I33,"NoIDINV")*100/P33)</f>
        <v>0</v>
      </c>
      <c r="CE33">
        <f>IF(P33=0,0,COUNTIF('Transect 4_imgsummary'!E33:I33,"OLV")*100/P33)</f>
        <v>0</v>
      </c>
      <c r="CF33">
        <f>IF(P33=0,0,COUNTIF('Transect 4_imgsummary'!E33:I33,"SC")*100/P33)</f>
        <v>0</v>
      </c>
      <c r="CG33">
        <f>IF(P33=0,0,COUNTIF('Transect 4_imgsummary'!E33:I33,"S")*100/P33)</f>
        <v>0</v>
      </c>
      <c r="CH33">
        <f>IF(P33=0,0,COUNTIF('Transect 4_imgsummary'!E33:I33,"TERPS")*100/P33)</f>
        <v>0</v>
      </c>
      <c r="CI33">
        <f>IF(P33=0,0,COUNTIF('Transect 4_imgsummary'!E33:I33,"Z")*100/P33)</f>
        <v>0</v>
      </c>
      <c r="CK33">
        <f>IF(P33=0,0,COUNTIF('Transect 4_imgsummary'!E33:I33,"ASP")*100/P33)</f>
        <v>0</v>
      </c>
      <c r="CL33">
        <f>IF(P33=0,0,COUNTIF('Transect 4_imgsummary'!E33:I33,"BG")*100/P33)</f>
        <v>0</v>
      </c>
      <c r="CM33">
        <f>IF(P33=0,0,COUNTIF('Transect 4_imgsummary'!E33:I33,"Bood")*100/P33)</f>
        <v>0</v>
      </c>
      <c r="CN33">
        <f>IF(P33=0,0,COUNTIF('Transect 4_imgsummary'!E33:I33,"BRYP")*100/P33)</f>
        <v>0</v>
      </c>
      <c r="CO33">
        <f>IF(P33=0,0,COUNTIF('Transect 4_imgsummary'!E33:I33,"CLP")*100/P33)</f>
        <v>0</v>
      </c>
      <c r="CP33">
        <f>IF(P33=0,0,COUNTIF('Transect 4_imgsummary'!E33:I33,"CHLDES")*100/P33)</f>
        <v>0</v>
      </c>
      <c r="CQ33">
        <f>IF(P33=0,0,COUNTIF('Transect 4_imgsummary'!E33:I33,"DYCTY")*100/P33)</f>
        <v>0</v>
      </c>
      <c r="CR33">
        <f>IF(P33=0,0,COUNTIF('Transect 4_imgsummary'!E33:I33,"DICT")*100/P33)</f>
        <v>0</v>
      </c>
      <c r="CS33">
        <f>IF(P33=0,0,COUNTIF('Transect 4_imgsummary'!E33:I33,"GLXU")*100/P33)</f>
        <v>0</v>
      </c>
      <c r="CT33">
        <f>IF(P33=0,0,COUNTIF('Transect 4_imgsummary'!E33:I33,"HALI")*100/P33)</f>
        <v>0</v>
      </c>
      <c r="CU33">
        <f>IF(P33=0,0,COUNTIF('Transect 4_imgsummary'!E33:I33,"LIAG")*100/P33)</f>
        <v>0</v>
      </c>
      <c r="CV33">
        <f>IF(P33=0,0,COUNTIF('Transect 4_imgsummary'!E33:I33,"LOBO")*100/P33)</f>
        <v>0</v>
      </c>
      <c r="CW33">
        <f>IF(P33=0,0,COUNTIF('Transect 4_imgsummary'!E33:I33,"MAST")*100/P33)</f>
        <v>0</v>
      </c>
      <c r="CX33">
        <f>IF(P33=0,0,COUNTIF('Transect 4_imgsummary'!E33:I33,"MICDTY")*100/P33)</f>
        <v>0</v>
      </c>
      <c r="CY33">
        <f>IF(P33=0,0,COUNTIF('Transect 4_imgsummary'!E33:I33,"NEOM")*100/P33)</f>
        <v>0</v>
      </c>
      <c r="CZ33">
        <f>IF(P33=0,0,COUNTIF('Transect 4_imgsummary'!E33:I33,"NOIDMAC")*100/P33)</f>
        <v>0</v>
      </c>
      <c r="DA33">
        <f>IF(P33=0,0,COUNTIF('Transect 4_imgsummary'!E33:I33,"PAD")*100/P33)</f>
        <v>0</v>
      </c>
      <c r="DB33">
        <f>IF(P33=0,0,COUNTIF('Transect 4_imgsummary'!E33:I33,"SARG")*100/P33)</f>
        <v>0</v>
      </c>
      <c r="DC33">
        <f>IF(P33=0,0,COUNTIF('Transect 4_imgsummary'!E33:I33,"SCHIZ")*100/P33)</f>
        <v>0</v>
      </c>
      <c r="DD33">
        <f>IF(P33=0,0,COUNTIF('Transect 4_imgsummary'!E33:I33,"TURB")*100/P33)</f>
        <v>0</v>
      </c>
      <c r="DE33">
        <f>IF(P33=0,0,COUNTIF('Transect 4_imgsummary'!E33:I33,"TYDM")*100/P33)</f>
        <v>0</v>
      </c>
      <c r="DG33">
        <f>IF(P33=0,0,COUNTIF('Transect 4_imgsummary'!E33:I33,"AMP")*100/P33)</f>
        <v>0</v>
      </c>
      <c r="DH33">
        <f>IF(P33=0,0,COUNTIF('Transect 4_imgsummary'!E33:I33,"BCA1")*100/P33)</f>
        <v>0</v>
      </c>
      <c r="DI33">
        <f>IF(P33=0,0,COUNTIF('Transect 4_imgsummary'!E33:I33,"JAN")*100/P33)</f>
        <v>0</v>
      </c>
      <c r="DK33" s="29">
        <f>IF(P33=0,0,COUNTIF('Transect 4_imgsummary'!E33:I33,"CCA1")*100/P33)</f>
        <v>60</v>
      </c>
      <c r="DM33">
        <f>IF(P33=0,0,COUNTIF('Transect 4_imgsummary'!E33:I33,"Sand")*100/P33)</f>
        <v>0</v>
      </c>
      <c r="DO33">
        <f>IF(P33=0,0,COUNTIF('Transect 4_imgsummary'!E33:I33,"FCA1")*100/P33)</f>
        <v>0</v>
      </c>
      <c r="DQ33">
        <f>IF(P33=0,0,COUNTIF('Transect 4_imgsummary'!E33:I33,"CHRYOBRN")*100/P33)</f>
        <v>0</v>
      </c>
      <c r="DS33" s="29">
        <f>IF(P33=0,0,COUNTIF('Transect 4_imgsummary'!E33:I33,"TURF")*100/P33)</f>
        <v>40</v>
      </c>
      <c r="DU33">
        <f>COUNTIF('Transect 4_imgsummary'!E33:I33,"Shadow")*100/5</f>
        <v>0</v>
      </c>
      <c r="DV33">
        <f>COUNTIF('Transect 4_imgsummary'!E33:I33,"Tape")*100/5</f>
        <v>0</v>
      </c>
      <c r="DW33">
        <f>COUNTIF('Transect 4_imgsummary'!E33:I33,"Wand")*100/5</f>
        <v>0</v>
      </c>
      <c r="DY33">
        <f>IF(P33=0,0,COUNTIF('Transect 4_imgsummary'!O33:S33,"BC")*100/P33)</f>
        <v>0</v>
      </c>
    </row>
    <row r="34" spans="1:129">
      <c r="A34">
        <v>32</v>
      </c>
      <c r="B34" t="s">
        <v>577</v>
      </c>
      <c r="F34" s="29">
        <f>IF(P34=0,0,COUNTIF('Transect 4_imgsummary'!J34:N34,"C")*100/P34)</f>
        <v>100</v>
      </c>
      <c r="G34">
        <f>IF(P34=0,0,COUNTIF('Transect 4_imgsummary'!J34:N34,"OI")*100/P34)</f>
        <v>0</v>
      </c>
      <c r="H34">
        <f>IF(P34=0,0,COUNTIF('Transect 4_imgsummary'!J34:N34,"MA")*100/P34)</f>
        <v>0</v>
      </c>
      <c r="I34">
        <f>IF(P34=0,0,COUNTIF('Transect 4_imgsummary'!J34:N34,"BCA")*100/P34)</f>
        <v>0</v>
      </c>
      <c r="J34">
        <f>IF(P34=0,0,COUNTIF('Transect 4_imgsummary'!J34:N34,"CCA")*100/P34)</f>
        <v>0</v>
      </c>
      <c r="K34">
        <f>IF(P34=0,0,COUNTIF('Transect 4_imgsummary'!J34:N34,"SD")*100/P34)</f>
        <v>0</v>
      </c>
      <c r="L34">
        <f>IF(P34=0,0,COUNTIF('Transect 4_imgsummary'!J34:N34,"FCA")*100/P34)</f>
        <v>0</v>
      </c>
      <c r="M34">
        <f>IF(P34=0,0,COUNTIF('Transect 4_imgsummary'!J34:N34,"CHRYS")*100/P34)</f>
        <v>0</v>
      </c>
      <c r="N34">
        <f>IF(P34=0,0,COUNTIF('Transect 4_imgsummary'!J34:N34,"T")*100/P34)</f>
        <v>0</v>
      </c>
      <c r="O34">
        <f>IF(P34=0,0,COUNTIF('Transect 4_imgsummary'!J34:N34,"TWS")*100/P34)</f>
        <v>0</v>
      </c>
      <c r="P34">
        <f>5-COUNTIF('Transect 4_imgsummary'!J34:N34,"TWS")</f>
        <v>5</v>
      </c>
      <c r="S34">
        <f>IF(P34=0,0,COUNTIF('Transect 4_imgsummary'!E34:I34,"ACAN")*100/P34)</f>
        <v>0</v>
      </c>
      <c r="T34">
        <f>IF(P34=0,0,COUNTIF('Transect 4_imgsummary'!E34:I34,"ACROP")*100/P34)</f>
        <v>0</v>
      </c>
      <c r="U34">
        <f>IF(P34=0,0,COUNTIF('Transect 4_imgsummary'!E34:I34,"ACROPARB")*100/P34)</f>
        <v>0</v>
      </c>
      <c r="V34">
        <f>IF(P34=0,0,COUNTIF('Transect 4_imgsummary'!E34:I34,"ACROST")*100/P34)</f>
        <v>0</v>
      </c>
      <c r="W34" s="29">
        <f>IF(P34=0,0,COUNTIF('Transect 4_imgsummary'!E34:I34,"ACROTBL")*100/P34)</f>
        <v>20</v>
      </c>
      <c r="X34">
        <f>IF(P34=0,0,COUNTIF('Transect 4_imgsummary'!E34:I34,"ASTRP")*100/P34)</f>
        <v>0</v>
      </c>
      <c r="Y34">
        <f>IF(P34=0,0,COUNTIF('Transect 4_imgsummary'!E34:I34,"CAUL")*100/P34)</f>
        <v>0</v>
      </c>
      <c r="Z34">
        <f>IF(P34=0,0,COUNTIF('Transect 4_imgsummary'!E34:I34,"COSC")*100/P34)</f>
        <v>0</v>
      </c>
      <c r="AA34">
        <f>IF(P34=0,0,COUNTIF('Transect 4_imgsummary'!E34:I34,"CTEN")*100/P34)</f>
        <v>0</v>
      </c>
      <c r="AB34">
        <f>IF(P34=0,0,COUNTIF('Transect 4_imgsummary'!E34:I34,"CYPH")*100/P34)</f>
        <v>0</v>
      </c>
      <c r="AC34">
        <f>IF(P34=0,0,COUNTIF('Transect 4_imgsummary'!E34:I34,"DIPLO")*100/P34)</f>
        <v>0</v>
      </c>
      <c r="AD34">
        <f>IF(P34=0,0,COUNTIF('Transect 4_imgsummary'!E34:I34,"ECHPO")*100/P34)</f>
        <v>0</v>
      </c>
      <c r="AE34">
        <f>IF(P34=0,0,COUNTIF('Transect 4_imgsummary'!E34:I34,"ECHPHY")*100/P34)</f>
        <v>0</v>
      </c>
      <c r="AF34">
        <f>IF(P34=0,0,COUNTIF('Transect 4_imgsummary'!E34:I34,"EUPH")*100/P34)</f>
        <v>0</v>
      </c>
      <c r="AG34">
        <f>IF(P34=0,0,COUNTIF('Transect 4_imgsummary'!E34:I34,"FAV")*100/P34)</f>
        <v>0</v>
      </c>
      <c r="AH34">
        <f>IF(P34=0,0,COUNTIF('Transect 4_imgsummary'!E34:I34,"FAVT")*100/P34)</f>
        <v>0</v>
      </c>
      <c r="AI34">
        <f>IF(P34=0,0,COUNTIF('Transect 4_imgsummary'!E34:I34,"FUNG")*100/P34)</f>
        <v>0</v>
      </c>
      <c r="AJ34">
        <f>IF(P34=0,0,COUNTIF('Transect 4_imgsummary'!E34:I34,"GAL")*100/P34)</f>
        <v>0</v>
      </c>
      <c r="AK34">
        <f>IF(P34=0,0,COUNTIF('Transect 4_imgsummary'!E34:I34,"GARD")*100/P34)</f>
        <v>0</v>
      </c>
      <c r="AL34">
        <f>IF(P34=0,0,COUNTIF('Transect 4_imgsummary'!E34:I34,"GON")*100/P34)</f>
        <v>0</v>
      </c>
      <c r="AM34">
        <f>IF(P34=0,0,COUNTIF('Transect 4_imgsummary'!E34:I34,"GONIO")*100/P34)</f>
        <v>0</v>
      </c>
      <c r="AN34">
        <f>IF(P34=0,0,COUNTIF('Transect 4_imgsummary'!E34:I34,"HELIO")*100/P34)</f>
        <v>0</v>
      </c>
      <c r="AO34">
        <f>IF(P34=0,0,COUNTIF('Transect 4_imgsummary'!E34:I34,"HERP")*100/P34)</f>
        <v>0</v>
      </c>
      <c r="AP34">
        <f>IF(P34=0,0,COUNTIF('Transect 4_imgsummary'!E34:I34,"HYD")*100/P34)</f>
        <v>0</v>
      </c>
      <c r="AQ34">
        <f>IF(P34=0,0,COUNTIF('Transect 4_imgsummary'!E34:I34,"ISOP")*100/P34)</f>
        <v>0</v>
      </c>
      <c r="AR34">
        <f>IF(P34=0,0,COUNTIF('Transect 4_imgsummary'!E34:I34,"LEPT")*100/P34)</f>
        <v>0</v>
      </c>
      <c r="AS34">
        <f>IF(P34=0,0,COUNTIF('Transect 4_imgsummary'!E34:I34,"LEPTOR")*100/P34)</f>
        <v>0</v>
      </c>
      <c r="AT34">
        <f>IF(P34=0,0,COUNTIF('Transect 4_imgsummary'!E34:I34,"LEPTOS")*100/P34)</f>
        <v>0</v>
      </c>
      <c r="AU34">
        <f>IF(P34=0,0,COUNTIF('Transect 4_imgsummary'!E34:I34,"LOBOPH")*100/P34)</f>
        <v>0</v>
      </c>
      <c r="AV34">
        <f>IF(P34=0,0,COUNTIF('Transect 4_imgsummary'!E34:I34,"MERU")*100/P34)</f>
        <v>0</v>
      </c>
      <c r="AW34">
        <f>IF(P34=0,0,COUNTIF('Transect 4_imgsummary'!E34:I34,"MILL")*100/P34)</f>
        <v>0</v>
      </c>
      <c r="AX34">
        <f>IF(P34=0,0,COUNTIF('Transect 4_imgsummary'!E34:I34,"MONT")*100/P34)</f>
        <v>0</v>
      </c>
      <c r="AY34" s="29">
        <f>IF(P34=0,0,COUNTIF('Transect 4_imgsummary'!E34:I34,"MONTI")*100/P34)</f>
        <v>40</v>
      </c>
      <c r="AZ34">
        <f>IF(P34=0,0,COUNTIF('Transect 4_imgsummary'!E34:I34,"MYCED")*100/P34)</f>
        <v>0</v>
      </c>
      <c r="BA34">
        <f>IF(P34=0,0,COUNTIF('Transect 4_imgsummary'!E34:I34,"OULO")*100/P34)</f>
        <v>0</v>
      </c>
      <c r="BB34">
        <f>IF(P34=0,0,COUNTIF('Transect 4_imgsummary'!E34:I34,"OXYP")*100/P34)</f>
        <v>0</v>
      </c>
      <c r="BC34">
        <f>IF(P34=0,0,COUNTIF('Transect 4_imgsummary'!E34:I34,"PLSIA")*100/P34)</f>
        <v>0</v>
      </c>
      <c r="BD34">
        <f>IF(P34=0,0,COUNTIF('Transect 4_imgsummary'!E34:I34,"PACHY")*100/P34)</f>
        <v>0</v>
      </c>
      <c r="BE34">
        <f>IF(P34=0,0,COUNTIF('Transect 4_imgsummary'!E34:I34,"PAV")*100/P34)</f>
        <v>0</v>
      </c>
      <c r="BF34">
        <f>IF(P34=0,0,COUNTIF('Transect 4_imgsummary'!E34:I34,"PECT")*100/P34)</f>
        <v>0</v>
      </c>
      <c r="BG34">
        <f>IF(P34=0,0,COUNTIF('Transect 4_imgsummary'!E34:I34,"PHYSO")*100/P34)</f>
        <v>0</v>
      </c>
      <c r="BH34">
        <f>IF(P34=0,0,COUNTIF('Transect 4_imgsummary'!E34:I34,"PLAT")*100/P34)</f>
        <v>0</v>
      </c>
      <c r="BI34">
        <f>IF(P34=0,0,COUNTIF('Transect 4_imgsummary'!E34:I34,"PLERO")*100/P34)</f>
        <v>0</v>
      </c>
      <c r="BJ34">
        <f>IF(P34=0,0,COUNTIF('Transect 4_imgsummary'!E34:I34,"POC")*100/P34)</f>
        <v>0</v>
      </c>
      <c r="BK34">
        <f>IF(P34=0,0,COUNTIF('Transect 4_imgsummary'!E34:I34,"POR")*100/P34)</f>
        <v>0</v>
      </c>
      <c r="BL34">
        <f>IF(P34=0,0,COUNTIF('Transect 4_imgsummary'!E34:I34,"PORCYL")*100/P34)</f>
        <v>0</v>
      </c>
      <c r="BM34">
        <f>IF(P34=0,0,COUNTIF('Transect 4_imgsummary'!E34:I34,"PORMAS")*100/P34)</f>
        <v>0</v>
      </c>
      <c r="BN34">
        <f>IF(P34=0,0,COUNTIF('Transect 4_imgsummary'!E34:I34,"PORRUS")*100/P34)</f>
        <v>0</v>
      </c>
      <c r="BO34">
        <f>IF(P34=0,0,COUNTIF('Transect 4_imgsummary'!E34:I34,"PSAM")*100/P34)</f>
        <v>0</v>
      </c>
      <c r="BP34">
        <f>IF(P34=0,0,COUNTIF('Transect 4_imgsummary'!E34:I34,"SANDO")*100/P34)</f>
        <v>0</v>
      </c>
      <c r="BQ34">
        <f>IF(P34=0,0,COUNTIF('Transect 4_imgsummary'!E34:I34,"SCAP")*100/P34)</f>
        <v>0</v>
      </c>
      <c r="BR34">
        <f>IF(P34=0,0,COUNTIF('Transect 4_imgsummary'!E34:I34,"SERIA")*100/P34)</f>
        <v>0</v>
      </c>
      <c r="BS34">
        <f>IF(P34=0,0,COUNTIF('Transect 4_imgsummary'!E34:I34,"STYLC")*100/P34)</f>
        <v>0</v>
      </c>
      <c r="BT34" s="29">
        <f>IF(P34=0,0,COUNTIF('Transect 4_imgsummary'!E34:I34,"STYLO")*100/P34)</f>
        <v>40</v>
      </c>
      <c r="BU34">
        <f>IF(P34=0,0,COUNTIF('Transect 4_imgsummary'!E34:I34,"SYMP")*100/P34)</f>
        <v>0</v>
      </c>
      <c r="BV34">
        <f>IF(P34=0,0,COUNTIF('Transect 4_imgsummary'!E34:I34,"TURBIN")*100/P34)</f>
        <v>0</v>
      </c>
      <c r="BX34">
        <f>IF(P34=0,0,COUNTIF('Transect 4_imgsummary'!E34:I34,"ANEM")*100/P34)</f>
        <v>0</v>
      </c>
      <c r="BY34">
        <f>IF(P34=0,0,COUNTIF('Transect 4_imgsummary'!E34:I34,"ASC")*100/P34)</f>
        <v>0</v>
      </c>
      <c r="BZ34">
        <f>IF(P34=0,0,COUNTIF('Transect 4_imgsummary'!E34:I34,"CUPS")*100/P34)</f>
        <v>0</v>
      </c>
      <c r="CA34">
        <f>IF(P34=0,0,COUNTIF('Transect 4_imgsummary'!E34:I34,"DISCO")*100/P34)</f>
        <v>0</v>
      </c>
      <c r="CB34">
        <f>IF(P34=0,0,COUNTIF('Transect 4_imgsummary'!E34:I34,"DYS")*100/P34)</f>
        <v>0</v>
      </c>
      <c r="CC34">
        <f>IF(P34=0,0,COUNTIF('Transect 4_imgsummary'!E34:I34,"G")*100/P34)</f>
        <v>0</v>
      </c>
      <c r="CD34">
        <f>IF(P34=0,0,COUNTIF('Transect 4_imgsummary'!E34:I34,"NoIDINV")*100/P34)</f>
        <v>0</v>
      </c>
      <c r="CE34">
        <f>IF(P34=0,0,COUNTIF('Transect 4_imgsummary'!E34:I34,"OLV")*100/P34)</f>
        <v>0</v>
      </c>
      <c r="CF34">
        <f>IF(P34=0,0,COUNTIF('Transect 4_imgsummary'!E34:I34,"SC")*100/P34)</f>
        <v>0</v>
      </c>
      <c r="CG34">
        <f>IF(P34=0,0,COUNTIF('Transect 4_imgsummary'!E34:I34,"S")*100/P34)</f>
        <v>0</v>
      </c>
      <c r="CH34">
        <f>IF(P34=0,0,COUNTIF('Transect 4_imgsummary'!E34:I34,"TERPS")*100/P34)</f>
        <v>0</v>
      </c>
      <c r="CI34">
        <f>IF(P34=0,0,COUNTIF('Transect 4_imgsummary'!E34:I34,"Z")*100/P34)</f>
        <v>0</v>
      </c>
      <c r="CK34">
        <f>IF(P34=0,0,COUNTIF('Transect 4_imgsummary'!E34:I34,"ASP")*100/P34)</f>
        <v>0</v>
      </c>
      <c r="CL34">
        <f>IF(P34=0,0,COUNTIF('Transect 4_imgsummary'!E34:I34,"BG")*100/P34)</f>
        <v>0</v>
      </c>
      <c r="CM34">
        <f>IF(P34=0,0,COUNTIF('Transect 4_imgsummary'!E34:I34,"Bood")*100/P34)</f>
        <v>0</v>
      </c>
      <c r="CN34">
        <f>IF(P34=0,0,COUNTIF('Transect 4_imgsummary'!E34:I34,"BRYP")*100/P34)</f>
        <v>0</v>
      </c>
      <c r="CO34">
        <f>IF(P34=0,0,COUNTIF('Transect 4_imgsummary'!E34:I34,"CLP")*100/P34)</f>
        <v>0</v>
      </c>
      <c r="CP34">
        <f>IF(P34=0,0,COUNTIF('Transect 4_imgsummary'!E34:I34,"CHLDES")*100/P34)</f>
        <v>0</v>
      </c>
      <c r="CQ34">
        <f>IF(P34=0,0,COUNTIF('Transect 4_imgsummary'!E34:I34,"DYCTY")*100/P34)</f>
        <v>0</v>
      </c>
      <c r="CR34">
        <f>IF(P34=0,0,COUNTIF('Transect 4_imgsummary'!E34:I34,"DICT")*100/P34)</f>
        <v>0</v>
      </c>
      <c r="CS34">
        <f>IF(P34=0,0,COUNTIF('Transect 4_imgsummary'!E34:I34,"GLXU")*100/P34)</f>
        <v>0</v>
      </c>
      <c r="CT34">
        <f>IF(P34=0,0,COUNTIF('Transect 4_imgsummary'!E34:I34,"HALI")*100/P34)</f>
        <v>0</v>
      </c>
      <c r="CU34">
        <f>IF(P34=0,0,COUNTIF('Transect 4_imgsummary'!E34:I34,"LIAG")*100/P34)</f>
        <v>0</v>
      </c>
      <c r="CV34">
        <f>IF(P34=0,0,COUNTIF('Transect 4_imgsummary'!E34:I34,"LOBO")*100/P34)</f>
        <v>0</v>
      </c>
      <c r="CW34">
        <f>IF(P34=0,0,COUNTIF('Transect 4_imgsummary'!E34:I34,"MAST")*100/P34)</f>
        <v>0</v>
      </c>
      <c r="CX34">
        <f>IF(P34=0,0,COUNTIF('Transect 4_imgsummary'!E34:I34,"MICDTY")*100/P34)</f>
        <v>0</v>
      </c>
      <c r="CY34">
        <f>IF(P34=0,0,COUNTIF('Transect 4_imgsummary'!E34:I34,"NEOM")*100/P34)</f>
        <v>0</v>
      </c>
      <c r="CZ34">
        <f>IF(P34=0,0,COUNTIF('Transect 4_imgsummary'!E34:I34,"NOIDMAC")*100/P34)</f>
        <v>0</v>
      </c>
      <c r="DA34">
        <f>IF(P34=0,0,COUNTIF('Transect 4_imgsummary'!E34:I34,"PAD")*100/P34)</f>
        <v>0</v>
      </c>
      <c r="DB34">
        <f>IF(P34=0,0,COUNTIF('Transect 4_imgsummary'!E34:I34,"SARG")*100/P34)</f>
        <v>0</v>
      </c>
      <c r="DC34">
        <f>IF(P34=0,0,COUNTIF('Transect 4_imgsummary'!E34:I34,"SCHIZ")*100/P34)</f>
        <v>0</v>
      </c>
      <c r="DD34">
        <f>IF(P34=0,0,COUNTIF('Transect 4_imgsummary'!E34:I34,"TURB")*100/P34)</f>
        <v>0</v>
      </c>
      <c r="DE34">
        <f>IF(P34=0,0,COUNTIF('Transect 4_imgsummary'!E34:I34,"TYDM")*100/P34)</f>
        <v>0</v>
      </c>
      <c r="DG34">
        <f>IF(P34=0,0,COUNTIF('Transect 4_imgsummary'!E34:I34,"AMP")*100/P34)</f>
        <v>0</v>
      </c>
      <c r="DH34">
        <f>IF(P34=0,0,COUNTIF('Transect 4_imgsummary'!E34:I34,"BCA1")*100/P34)</f>
        <v>0</v>
      </c>
      <c r="DI34">
        <f>IF(P34=0,0,COUNTIF('Transect 4_imgsummary'!E34:I34,"JAN")*100/P34)</f>
        <v>0</v>
      </c>
      <c r="DK34">
        <f>IF(P34=0,0,COUNTIF('Transect 4_imgsummary'!E34:I34,"CCA1")*100/P34)</f>
        <v>0</v>
      </c>
      <c r="DM34">
        <f>IF(P34=0,0,COUNTIF('Transect 4_imgsummary'!E34:I34,"Sand")*100/P34)</f>
        <v>0</v>
      </c>
      <c r="DO34">
        <f>IF(P34=0,0,COUNTIF('Transect 4_imgsummary'!E34:I34,"FCA1")*100/P34)</f>
        <v>0</v>
      </c>
      <c r="DQ34">
        <f>IF(P34=0,0,COUNTIF('Transect 4_imgsummary'!E34:I34,"CHRYOBRN")*100/P34)</f>
        <v>0</v>
      </c>
      <c r="DS34">
        <f>IF(P34=0,0,COUNTIF('Transect 4_imgsummary'!E34:I34,"TURF")*100/P34)</f>
        <v>0</v>
      </c>
      <c r="DU34">
        <f>COUNTIF('Transect 4_imgsummary'!E34:I34,"Shadow")*100/5</f>
        <v>0</v>
      </c>
      <c r="DV34">
        <f>COUNTIF('Transect 4_imgsummary'!E34:I34,"Tape")*100/5</f>
        <v>0</v>
      </c>
      <c r="DW34">
        <f>COUNTIF('Transect 4_imgsummary'!E34:I34,"Wand")*100/5</f>
        <v>0</v>
      </c>
      <c r="DY34">
        <f>IF(P34=0,0,COUNTIF('Transect 4_imgsummary'!O34:S34,"BC")*100/P34)</f>
        <v>0</v>
      </c>
    </row>
    <row r="35" spans="1:129">
      <c r="A35">
        <v>33</v>
      </c>
      <c r="B35" t="s">
        <v>578</v>
      </c>
      <c r="F35" s="29">
        <f>IF(P35=0,0,COUNTIF('Transect 4_imgsummary'!J35:N35,"C")*100/P35)</f>
        <v>60</v>
      </c>
      <c r="G35">
        <f>IF(P35=0,0,COUNTIF('Transect 4_imgsummary'!J35:N35,"OI")*100/P35)</f>
        <v>0</v>
      </c>
      <c r="H35">
        <f>IF(P35=0,0,COUNTIF('Transect 4_imgsummary'!J35:N35,"MA")*100/P35)</f>
        <v>0</v>
      </c>
      <c r="I35">
        <f>IF(P35=0,0,COUNTIF('Transect 4_imgsummary'!J35:N35,"BCA")*100/P35)</f>
        <v>0</v>
      </c>
      <c r="J35" s="29">
        <f>IF(P35=0,0,COUNTIF('Transect 4_imgsummary'!J35:N35,"CCA")*100/P35)</f>
        <v>20</v>
      </c>
      <c r="K35">
        <f>IF(P35=0,0,COUNTIF('Transect 4_imgsummary'!J35:N35,"SD")*100/P35)</f>
        <v>0</v>
      </c>
      <c r="L35">
        <f>IF(P35=0,0,COUNTIF('Transect 4_imgsummary'!J35:N35,"FCA")*100/P35)</f>
        <v>0</v>
      </c>
      <c r="M35">
        <f>IF(P35=0,0,COUNTIF('Transect 4_imgsummary'!J35:N35,"CHRYS")*100/P35)</f>
        <v>0</v>
      </c>
      <c r="N35" s="29">
        <f>IF(P35=0,0,COUNTIF('Transect 4_imgsummary'!J35:N35,"T")*100/P35)</f>
        <v>20</v>
      </c>
      <c r="O35">
        <f>IF(P35=0,0,COUNTIF('Transect 4_imgsummary'!J35:N35,"TWS")*100/P35)</f>
        <v>0</v>
      </c>
      <c r="P35">
        <f>5-COUNTIF('Transect 4_imgsummary'!J35:N35,"TWS")</f>
        <v>5</v>
      </c>
      <c r="S35">
        <f>IF(P35=0,0,COUNTIF('Transect 4_imgsummary'!E35:I35,"ACAN")*100/P35)</f>
        <v>0</v>
      </c>
      <c r="T35">
        <f>IF(P35=0,0,COUNTIF('Transect 4_imgsummary'!E35:I35,"ACROP")*100/P35)</f>
        <v>0</v>
      </c>
      <c r="U35">
        <f>IF(P35=0,0,COUNTIF('Transect 4_imgsummary'!E35:I35,"ACROPARB")*100/P35)</f>
        <v>0</v>
      </c>
      <c r="V35">
        <f>IF(P35=0,0,COUNTIF('Transect 4_imgsummary'!E35:I35,"ACROST")*100/P35)</f>
        <v>0</v>
      </c>
      <c r="W35" s="29">
        <f>IF(P35=0,0,COUNTIF('Transect 4_imgsummary'!E35:I35,"ACROTBL")*100/P35)</f>
        <v>60</v>
      </c>
      <c r="X35">
        <f>IF(P35=0,0,COUNTIF('Transect 4_imgsummary'!E35:I35,"ASTRP")*100/P35)</f>
        <v>0</v>
      </c>
      <c r="Y35">
        <f>IF(P35=0,0,COUNTIF('Transect 4_imgsummary'!E35:I35,"CAUL")*100/P35)</f>
        <v>0</v>
      </c>
      <c r="Z35">
        <f>IF(P35=0,0,COUNTIF('Transect 4_imgsummary'!E35:I35,"COSC")*100/P35)</f>
        <v>0</v>
      </c>
      <c r="AA35">
        <f>IF(P35=0,0,COUNTIF('Transect 4_imgsummary'!E35:I35,"CTEN")*100/P35)</f>
        <v>0</v>
      </c>
      <c r="AB35">
        <f>IF(P35=0,0,COUNTIF('Transect 4_imgsummary'!E35:I35,"CYPH")*100/P35)</f>
        <v>0</v>
      </c>
      <c r="AC35">
        <f>IF(P35=0,0,COUNTIF('Transect 4_imgsummary'!E35:I35,"DIPLO")*100/P35)</f>
        <v>0</v>
      </c>
      <c r="AD35">
        <f>IF(P35=0,0,COUNTIF('Transect 4_imgsummary'!E35:I35,"ECHPO")*100/P35)</f>
        <v>0</v>
      </c>
      <c r="AE35">
        <f>IF(P35=0,0,COUNTIF('Transect 4_imgsummary'!E35:I35,"ECHPHY")*100/P35)</f>
        <v>0</v>
      </c>
      <c r="AF35">
        <f>IF(P35=0,0,COUNTIF('Transect 4_imgsummary'!E35:I35,"EUPH")*100/P35)</f>
        <v>0</v>
      </c>
      <c r="AG35">
        <f>IF(P35=0,0,COUNTIF('Transect 4_imgsummary'!E35:I35,"FAV")*100/P35)</f>
        <v>0</v>
      </c>
      <c r="AH35">
        <f>IF(P35=0,0,COUNTIF('Transect 4_imgsummary'!E35:I35,"FAVT")*100/P35)</f>
        <v>0</v>
      </c>
      <c r="AI35">
        <f>IF(P35=0,0,COUNTIF('Transect 4_imgsummary'!E35:I35,"FUNG")*100/P35)</f>
        <v>0</v>
      </c>
      <c r="AJ35">
        <f>IF(P35=0,0,COUNTIF('Transect 4_imgsummary'!E35:I35,"GAL")*100/P35)</f>
        <v>0</v>
      </c>
      <c r="AK35">
        <f>IF(P35=0,0,COUNTIF('Transect 4_imgsummary'!E35:I35,"GARD")*100/P35)</f>
        <v>0</v>
      </c>
      <c r="AL35">
        <f>IF(P35=0,0,COUNTIF('Transect 4_imgsummary'!E35:I35,"GON")*100/P35)</f>
        <v>0</v>
      </c>
      <c r="AM35">
        <f>IF(P35=0,0,COUNTIF('Transect 4_imgsummary'!E35:I35,"GONIO")*100/P35)</f>
        <v>0</v>
      </c>
      <c r="AN35">
        <f>IF(P35=0,0,COUNTIF('Transect 4_imgsummary'!E35:I35,"HELIO")*100/P35)</f>
        <v>0</v>
      </c>
      <c r="AO35">
        <f>IF(P35=0,0,COUNTIF('Transect 4_imgsummary'!E35:I35,"HERP")*100/P35)</f>
        <v>0</v>
      </c>
      <c r="AP35">
        <f>IF(P35=0,0,COUNTIF('Transect 4_imgsummary'!E35:I35,"HYD")*100/P35)</f>
        <v>0</v>
      </c>
      <c r="AQ35">
        <f>IF(P35=0,0,COUNTIF('Transect 4_imgsummary'!E35:I35,"ISOP")*100/P35)</f>
        <v>0</v>
      </c>
      <c r="AR35">
        <f>IF(P35=0,0,COUNTIF('Transect 4_imgsummary'!E35:I35,"LEPT")*100/P35)</f>
        <v>0</v>
      </c>
      <c r="AS35">
        <f>IF(P35=0,0,COUNTIF('Transect 4_imgsummary'!E35:I35,"LEPTOR")*100/P35)</f>
        <v>0</v>
      </c>
      <c r="AT35">
        <f>IF(P35=0,0,COUNTIF('Transect 4_imgsummary'!E35:I35,"LEPTOS")*100/P35)</f>
        <v>0</v>
      </c>
      <c r="AU35">
        <f>IF(P35=0,0,COUNTIF('Transect 4_imgsummary'!E35:I35,"LOBOPH")*100/P35)</f>
        <v>0</v>
      </c>
      <c r="AV35">
        <f>IF(P35=0,0,COUNTIF('Transect 4_imgsummary'!E35:I35,"MERU")*100/P35)</f>
        <v>0</v>
      </c>
      <c r="AW35">
        <f>IF(P35=0,0,COUNTIF('Transect 4_imgsummary'!E35:I35,"MILL")*100/P35)</f>
        <v>0</v>
      </c>
      <c r="AX35">
        <f>IF(P35=0,0,COUNTIF('Transect 4_imgsummary'!E35:I35,"MONT")*100/P35)</f>
        <v>0</v>
      </c>
      <c r="AY35">
        <f>IF(P35=0,0,COUNTIF('Transect 4_imgsummary'!E35:I35,"MONTI")*100/P35)</f>
        <v>0</v>
      </c>
      <c r="AZ35">
        <f>IF(P35=0,0,COUNTIF('Transect 4_imgsummary'!E35:I35,"MYCED")*100/P35)</f>
        <v>0</v>
      </c>
      <c r="BA35">
        <f>IF(P35=0,0,COUNTIF('Transect 4_imgsummary'!E35:I35,"OULO")*100/P35)</f>
        <v>0</v>
      </c>
      <c r="BB35">
        <f>IF(P35=0,0,COUNTIF('Transect 4_imgsummary'!E35:I35,"OXYP")*100/P35)</f>
        <v>0</v>
      </c>
      <c r="BC35">
        <f>IF(P35=0,0,COUNTIF('Transect 4_imgsummary'!E35:I35,"PLSIA")*100/P35)</f>
        <v>0</v>
      </c>
      <c r="BD35">
        <f>IF(P35=0,0,COUNTIF('Transect 4_imgsummary'!E35:I35,"PACHY")*100/P35)</f>
        <v>0</v>
      </c>
      <c r="BE35">
        <f>IF(P35=0,0,COUNTIF('Transect 4_imgsummary'!E35:I35,"PAV")*100/P35)</f>
        <v>0</v>
      </c>
      <c r="BF35">
        <f>IF(P35=0,0,COUNTIF('Transect 4_imgsummary'!E35:I35,"PECT")*100/P35)</f>
        <v>0</v>
      </c>
      <c r="BG35">
        <f>IF(P35=0,0,COUNTIF('Transect 4_imgsummary'!E35:I35,"PHYSO")*100/P35)</f>
        <v>0</v>
      </c>
      <c r="BH35">
        <f>IF(P35=0,0,COUNTIF('Transect 4_imgsummary'!E35:I35,"PLAT")*100/P35)</f>
        <v>0</v>
      </c>
      <c r="BI35">
        <f>IF(P35=0,0,COUNTIF('Transect 4_imgsummary'!E35:I35,"PLERO")*100/P35)</f>
        <v>0</v>
      </c>
      <c r="BJ35">
        <f>IF(P35=0,0,COUNTIF('Transect 4_imgsummary'!E35:I35,"POC")*100/P35)</f>
        <v>0</v>
      </c>
      <c r="BK35">
        <f>IF(P35=0,0,COUNTIF('Transect 4_imgsummary'!E35:I35,"POR")*100/P35)</f>
        <v>0</v>
      </c>
      <c r="BL35">
        <f>IF(P35=0,0,COUNTIF('Transect 4_imgsummary'!E35:I35,"PORCYL")*100/P35)</f>
        <v>0</v>
      </c>
      <c r="BM35">
        <f>IF(P35=0,0,COUNTIF('Transect 4_imgsummary'!E35:I35,"PORMAS")*100/P35)</f>
        <v>0</v>
      </c>
      <c r="BN35">
        <f>IF(P35=0,0,COUNTIF('Transect 4_imgsummary'!E35:I35,"PORRUS")*100/P35)</f>
        <v>0</v>
      </c>
      <c r="BO35">
        <f>IF(P35=0,0,COUNTIF('Transect 4_imgsummary'!E35:I35,"PSAM")*100/P35)</f>
        <v>0</v>
      </c>
      <c r="BP35">
        <f>IF(P35=0,0,COUNTIF('Transect 4_imgsummary'!E35:I35,"SANDO")*100/P35)</f>
        <v>0</v>
      </c>
      <c r="BQ35">
        <f>IF(P35=0,0,COUNTIF('Transect 4_imgsummary'!E35:I35,"SCAP")*100/P35)</f>
        <v>0</v>
      </c>
      <c r="BR35">
        <f>IF(P35=0,0,COUNTIF('Transect 4_imgsummary'!E35:I35,"SERIA")*100/P35)</f>
        <v>0</v>
      </c>
      <c r="BS35">
        <f>IF(P35=0,0,COUNTIF('Transect 4_imgsummary'!E35:I35,"STYLC")*100/P35)</f>
        <v>0</v>
      </c>
      <c r="BT35">
        <f>IF(P35=0,0,COUNTIF('Transect 4_imgsummary'!E35:I35,"STYLO")*100/P35)</f>
        <v>0</v>
      </c>
      <c r="BU35">
        <f>IF(P35=0,0,COUNTIF('Transect 4_imgsummary'!E35:I35,"SYMP")*100/P35)</f>
        <v>0</v>
      </c>
      <c r="BV35">
        <f>IF(P35=0,0,COUNTIF('Transect 4_imgsummary'!E35:I35,"TURBIN")*100/P35)</f>
        <v>0</v>
      </c>
      <c r="BX35">
        <f>IF(P35=0,0,COUNTIF('Transect 4_imgsummary'!E35:I35,"ANEM")*100/P35)</f>
        <v>0</v>
      </c>
      <c r="BY35">
        <f>IF(P35=0,0,COUNTIF('Transect 4_imgsummary'!E35:I35,"ASC")*100/P35)</f>
        <v>0</v>
      </c>
      <c r="BZ35">
        <f>IF(P35=0,0,COUNTIF('Transect 4_imgsummary'!E35:I35,"CUPS")*100/P35)</f>
        <v>0</v>
      </c>
      <c r="CA35">
        <f>IF(P35=0,0,COUNTIF('Transect 4_imgsummary'!E35:I35,"DISCO")*100/P35)</f>
        <v>0</v>
      </c>
      <c r="CB35">
        <f>IF(P35=0,0,COUNTIF('Transect 4_imgsummary'!E35:I35,"DYS")*100/P35)</f>
        <v>0</v>
      </c>
      <c r="CC35">
        <f>IF(P35=0,0,COUNTIF('Transect 4_imgsummary'!E35:I35,"G")*100/P35)</f>
        <v>0</v>
      </c>
      <c r="CD35">
        <f>IF(P35=0,0,COUNTIF('Transect 4_imgsummary'!E35:I35,"NoIDINV")*100/P35)</f>
        <v>0</v>
      </c>
      <c r="CE35">
        <f>IF(P35=0,0,COUNTIF('Transect 4_imgsummary'!E35:I35,"OLV")*100/P35)</f>
        <v>0</v>
      </c>
      <c r="CF35">
        <f>IF(P35=0,0,COUNTIF('Transect 4_imgsummary'!E35:I35,"SC")*100/P35)</f>
        <v>0</v>
      </c>
      <c r="CG35">
        <f>IF(P35=0,0,COUNTIF('Transect 4_imgsummary'!E35:I35,"S")*100/P35)</f>
        <v>0</v>
      </c>
      <c r="CH35">
        <f>IF(P35=0,0,COUNTIF('Transect 4_imgsummary'!E35:I35,"TERPS")*100/P35)</f>
        <v>0</v>
      </c>
      <c r="CI35">
        <f>IF(P35=0,0,COUNTIF('Transect 4_imgsummary'!E35:I35,"Z")*100/P35)</f>
        <v>0</v>
      </c>
      <c r="CK35">
        <f>IF(P35=0,0,COUNTIF('Transect 4_imgsummary'!E35:I35,"ASP")*100/P35)</f>
        <v>0</v>
      </c>
      <c r="CL35">
        <f>IF(P35=0,0,COUNTIF('Transect 4_imgsummary'!E35:I35,"BG")*100/P35)</f>
        <v>0</v>
      </c>
      <c r="CM35">
        <f>IF(P35=0,0,COUNTIF('Transect 4_imgsummary'!E35:I35,"Bood")*100/P35)</f>
        <v>0</v>
      </c>
      <c r="CN35">
        <f>IF(P35=0,0,COUNTIF('Transect 4_imgsummary'!E35:I35,"BRYP")*100/P35)</f>
        <v>0</v>
      </c>
      <c r="CO35">
        <f>IF(P35=0,0,COUNTIF('Transect 4_imgsummary'!E35:I35,"CLP")*100/P35)</f>
        <v>0</v>
      </c>
      <c r="CP35">
        <f>IF(P35=0,0,COUNTIF('Transect 4_imgsummary'!E35:I35,"CHLDES")*100/P35)</f>
        <v>0</v>
      </c>
      <c r="CQ35">
        <f>IF(P35=0,0,COUNTIF('Transect 4_imgsummary'!E35:I35,"DYCTY")*100/P35)</f>
        <v>0</v>
      </c>
      <c r="CR35">
        <f>IF(P35=0,0,COUNTIF('Transect 4_imgsummary'!E35:I35,"DICT")*100/P35)</f>
        <v>0</v>
      </c>
      <c r="CS35">
        <f>IF(P35=0,0,COUNTIF('Transect 4_imgsummary'!E35:I35,"GLXU")*100/P35)</f>
        <v>0</v>
      </c>
      <c r="CT35">
        <f>IF(P35=0,0,COUNTIF('Transect 4_imgsummary'!E35:I35,"HALI")*100/P35)</f>
        <v>0</v>
      </c>
      <c r="CU35">
        <f>IF(P35=0,0,COUNTIF('Transect 4_imgsummary'!E35:I35,"LIAG")*100/P35)</f>
        <v>0</v>
      </c>
      <c r="CV35">
        <f>IF(P35=0,0,COUNTIF('Transect 4_imgsummary'!E35:I35,"LOBO")*100/P35)</f>
        <v>0</v>
      </c>
      <c r="CW35">
        <f>IF(P35=0,0,COUNTIF('Transect 4_imgsummary'!E35:I35,"MAST")*100/P35)</f>
        <v>0</v>
      </c>
      <c r="CX35">
        <f>IF(P35=0,0,COUNTIF('Transect 4_imgsummary'!E35:I35,"MICDTY")*100/P35)</f>
        <v>0</v>
      </c>
      <c r="CY35">
        <f>IF(P35=0,0,COUNTIF('Transect 4_imgsummary'!E35:I35,"NEOM")*100/P35)</f>
        <v>0</v>
      </c>
      <c r="CZ35">
        <f>IF(P35=0,0,COUNTIF('Transect 4_imgsummary'!E35:I35,"NOIDMAC")*100/P35)</f>
        <v>0</v>
      </c>
      <c r="DA35">
        <f>IF(P35=0,0,COUNTIF('Transect 4_imgsummary'!E35:I35,"PAD")*100/P35)</f>
        <v>0</v>
      </c>
      <c r="DB35">
        <f>IF(P35=0,0,COUNTIF('Transect 4_imgsummary'!E35:I35,"SARG")*100/P35)</f>
        <v>0</v>
      </c>
      <c r="DC35">
        <f>IF(P35=0,0,COUNTIF('Transect 4_imgsummary'!E35:I35,"SCHIZ")*100/P35)</f>
        <v>0</v>
      </c>
      <c r="DD35">
        <f>IF(P35=0,0,COUNTIF('Transect 4_imgsummary'!E35:I35,"TURB")*100/P35)</f>
        <v>0</v>
      </c>
      <c r="DE35">
        <f>IF(P35=0,0,COUNTIF('Transect 4_imgsummary'!E35:I35,"TYDM")*100/P35)</f>
        <v>0</v>
      </c>
      <c r="DG35">
        <f>IF(P35=0,0,COUNTIF('Transect 4_imgsummary'!E35:I35,"AMP")*100/P35)</f>
        <v>0</v>
      </c>
      <c r="DH35">
        <f>IF(P35=0,0,COUNTIF('Transect 4_imgsummary'!E35:I35,"BCA1")*100/P35)</f>
        <v>0</v>
      </c>
      <c r="DI35">
        <f>IF(P35=0,0,COUNTIF('Transect 4_imgsummary'!E35:I35,"JAN")*100/P35)</f>
        <v>0</v>
      </c>
      <c r="DK35" s="29">
        <f>IF(P35=0,0,COUNTIF('Transect 4_imgsummary'!E35:I35,"CCA1")*100/P35)</f>
        <v>20</v>
      </c>
      <c r="DM35">
        <f>IF(P35=0,0,COUNTIF('Transect 4_imgsummary'!E35:I35,"Sand")*100/P35)</f>
        <v>0</v>
      </c>
      <c r="DO35">
        <f>IF(P35=0,0,COUNTIF('Transect 4_imgsummary'!E35:I35,"FCA1")*100/P35)</f>
        <v>0</v>
      </c>
      <c r="DQ35">
        <f>IF(P35=0,0,COUNTIF('Transect 4_imgsummary'!E35:I35,"CHRYOBRN")*100/P35)</f>
        <v>0</v>
      </c>
      <c r="DS35" s="29">
        <f>IF(P35=0,0,COUNTIF('Transect 4_imgsummary'!E35:I35,"TURF")*100/P35)</f>
        <v>20</v>
      </c>
      <c r="DU35">
        <f>COUNTIF('Transect 4_imgsummary'!E35:I35,"Shadow")*100/5</f>
        <v>0</v>
      </c>
      <c r="DV35">
        <f>COUNTIF('Transect 4_imgsummary'!E35:I35,"Tape")*100/5</f>
        <v>0</v>
      </c>
      <c r="DW35">
        <f>COUNTIF('Transect 4_imgsummary'!E35:I35,"Wand")*100/5</f>
        <v>0</v>
      </c>
      <c r="DY35">
        <f>IF(P35=0,0,COUNTIF('Transect 4_imgsummary'!O35:S35,"BC")*100/P35)</f>
        <v>0</v>
      </c>
    </row>
    <row r="36" spans="1:129">
      <c r="A36">
        <v>34</v>
      </c>
      <c r="B36" t="s">
        <v>579</v>
      </c>
      <c r="F36" s="29">
        <f>IF(P36=0,0,COUNTIF('Transect 4_imgsummary'!J36:N36,"C")*100/P36)</f>
        <v>80</v>
      </c>
      <c r="G36">
        <f>IF(P36=0,0,COUNTIF('Transect 4_imgsummary'!J36:N36,"OI")*100/P36)</f>
        <v>0</v>
      </c>
      <c r="H36">
        <f>IF(P36=0,0,COUNTIF('Transect 4_imgsummary'!J36:N36,"MA")*100/P36)</f>
        <v>0</v>
      </c>
      <c r="I36">
        <f>IF(P36=0,0,COUNTIF('Transect 4_imgsummary'!J36:N36,"BCA")*100/P36)</f>
        <v>0</v>
      </c>
      <c r="J36">
        <f>IF(P36=0,0,COUNTIF('Transect 4_imgsummary'!J36:N36,"CCA")*100/P36)</f>
        <v>0</v>
      </c>
      <c r="K36">
        <f>IF(P36=0,0,COUNTIF('Transect 4_imgsummary'!J36:N36,"SD")*100/P36)</f>
        <v>0</v>
      </c>
      <c r="L36">
        <f>IF(P36=0,0,COUNTIF('Transect 4_imgsummary'!J36:N36,"FCA")*100/P36)</f>
        <v>0</v>
      </c>
      <c r="M36">
        <f>IF(P36=0,0,COUNTIF('Transect 4_imgsummary'!J36:N36,"CHRYS")*100/P36)</f>
        <v>0</v>
      </c>
      <c r="N36" s="29">
        <f>IF(P36=0,0,COUNTIF('Transect 4_imgsummary'!J36:N36,"T")*100/P36)</f>
        <v>20</v>
      </c>
      <c r="O36">
        <f>IF(P36=0,0,COUNTIF('Transect 4_imgsummary'!J36:N36,"TWS")*100/P36)</f>
        <v>0</v>
      </c>
      <c r="P36">
        <f>5-COUNTIF('Transect 4_imgsummary'!J36:N36,"TWS")</f>
        <v>5</v>
      </c>
      <c r="S36">
        <f>IF(P36=0,0,COUNTIF('Transect 4_imgsummary'!E36:I36,"ACAN")*100/P36)</f>
        <v>0</v>
      </c>
      <c r="T36">
        <f>IF(P36=0,0,COUNTIF('Transect 4_imgsummary'!E36:I36,"ACROP")*100/P36)</f>
        <v>0</v>
      </c>
      <c r="U36">
        <f>IF(P36=0,0,COUNTIF('Transect 4_imgsummary'!E36:I36,"ACROPARB")*100/P36)</f>
        <v>0</v>
      </c>
      <c r="V36">
        <f>IF(P36=0,0,COUNTIF('Transect 4_imgsummary'!E36:I36,"ACROST")*100/P36)</f>
        <v>0</v>
      </c>
      <c r="W36" s="29">
        <f>IF(P36=0,0,COUNTIF('Transect 4_imgsummary'!E36:I36,"ACROTBL")*100/P36)</f>
        <v>20</v>
      </c>
      <c r="X36">
        <f>IF(P36=0,0,COUNTIF('Transect 4_imgsummary'!E36:I36,"ASTRP")*100/P36)</f>
        <v>0</v>
      </c>
      <c r="Y36">
        <f>IF(P36=0,0,COUNTIF('Transect 4_imgsummary'!E36:I36,"CAUL")*100/P36)</f>
        <v>0</v>
      </c>
      <c r="Z36">
        <f>IF(P36=0,0,COUNTIF('Transect 4_imgsummary'!E36:I36,"COSC")*100/P36)</f>
        <v>0</v>
      </c>
      <c r="AA36">
        <f>IF(P36=0,0,COUNTIF('Transect 4_imgsummary'!E36:I36,"CTEN")*100/P36)</f>
        <v>0</v>
      </c>
      <c r="AB36">
        <f>IF(P36=0,0,COUNTIF('Transect 4_imgsummary'!E36:I36,"CYPH")*100/P36)</f>
        <v>0</v>
      </c>
      <c r="AC36">
        <f>IF(P36=0,0,COUNTIF('Transect 4_imgsummary'!E36:I36,"DIPLO")*100/P36)</f>
        <v>0</v>
      </c>
      <c r="AD36">
        <f>IF(P36=0,0,COUNTIF('Transect 4_imgsummary'!E36:I36,"ECHPO")*100/P36)</f>
        <v>0</v>
      </c>
      <c r="AE36">
        <f>IF(P36=0,0,COUNTIF('Transect 4_imgsummary'!E36:I36,"ECHPHY")*100/P36)</f>
        <v>0</v>
      </c>
      <c r="AF36">
        <f>IF(P36=0,0,COUNTIF('Transect 4_imgsummary'!E36:I36,"EUPH")*100/P36)</f>
        <v>0</v>
      </c>
      <c r="AG36">
        <f>IF(P36=0,0,COUNTIF('Transect 4_imgsummary'!E36:I36,"FAV")*100/P36)</f>
        <v>0</v>
      </c>
      <c r="AH36">
        <f>IF(P36=0,0,COUNTIF('Transect 4_imgsummary'!E36:I36,"FAVT")*100/P36)</f>
        <v>0</v>
      </c>
      <c r="AI36">
        <f>IF(P36=0,0,COUNTIF('Transect 4_imgsummary'!E36:I36,"FUNG")*100/P36)</f>
        <v>0</v>
      </c>
      <c r="AJ36">
        <f>IF(P36=0,0,COUNTIF('Transect 4_imgsummary'!E36:I36,"GAL")*100/P36)</f>
        <v>0</v>
      </c>
      <c r="AK36">
        <f>IF(P36=0,0,COUNTIF('Transect 4_imgsummary'!E36:I36,"GARD")*100/P36)</f>
        <v>0</v>
      </c>
      <c r="AL36">
        <f>IF(P36=0,0,COUNTIF('Transect 4_imgsummary'!E36:I36,"GON")*100/P36)</f>
        <v>0</v>
      </c>
      <c r="AM36" s="29">
        <f>IF(P36=0,0,COUNTIF('Transect 4_imgsummary'!E36:I36,"GONIO")*100/P36)</f>
        <v>20</v>
      </c>
      <c r="AN36">
        <f>IF(P36=0,0,COUNTIF('Transect 4_imgsummary'!E36:I36,"HELIO")*100/P36)</f>
        <v>0</v>
      </c>
      <c r="AO36">
        <f>IF(P36=0,0,COUNTIF('Transect 4_imgsummary'!E36:I36,"HERP")*100/P36)</f>
        <v>0</v>
      </c>
      <c r="AP36" s="29">
        <f>IF(P36=0,0,COUNTIF('Transect 4_imgsummary'!E36:I36,"HYD")*100/P36)</f>
        <v>40</v>
      </c>
      <c r="AQ36">
        <f>IF(P36=0,0,COUNTIF('Transect 4_imgsummary'!E36:I36,"ISOP")*100/P36)</f>
        <v>0</v>
      </c>
      <c r="AR36">
        <f>IF(P36=0,0,COUNTIF('Transect 4_imgsummary'!E36:I36,"LEPT")*100/P36)</f>
        <v>0</v>
      </c>
      <c r="AS36">
        <f>IF(P36=0,0,COUNTIF('Transect 4_imgsummary'!E36:I36,"LEPTOR")*100/P36)</f>
        <v>0</v>
      </c>
      <c r="AT36">
        <f>IF(P36=0,0,COUNTIF('Transect 4_imgsummary'!E36:I36,"LEPTOS")*100/P36)</f>
        <v>0</v>
      </c>
      <c r="AU36">
        <f>IF(P36=0,0,COUNTIF('Transect 4_imgsummary'!E36:I36,"LOBOPH")*100/P36)</f>
        <v>0</v>
      </c>
      <c r="AV36">
        <f>IF(P36=0,0,COUNTIF('Transect 4_imgsummary'!E36:I36,"MERU")*100/P36)</f>
        <v>0</v>
      </c>
      <c r="AW36">
        <f>IF(P36=0,0,COUNTIF('Transect 4_imgsummary'!E36:I36,"MILL")*100/P36)</f>
        <v>0</v>
      </c>
      <c r="AX36">
        <f>IF(P36=0,0,COUNTIF('Transect 4_imgsummary'!E36:I36,"MONT")*100/P36)</f>
        <v>0</v>
      </c>
      <c r="AY36">
        <f>IF(P36=0,0,COUNTIF('Transect 4_imgsummary'!E36:I36,"MONTI")*100/P36)</f>
        <v>0</v>
      </c>
      <c r="AZ36">
        <f>IF(P36=0,0,COUNTIF('Transect 4_imgsummary'!E36:I36,"MYCED")*100/P36)</f>
        <v>0</v>
      </c>
      <c r="BA36">
        <f>IF(P36=0,0,COUNTIF('Transect 4_imgsummary'!E36:I36,"OULO")*100/P36)</f>
        <v>0</v>
      </c>
      <c r="BB36">
        <f>IF(P36=0,0,COUNTIF('Transect 4_imgsummary'!E36:I36,"OXYP")*100/P36)</f>
        <v>0</v>
      </c>
      <c r="BC36">
        <f>IF(P36=0,0,COUNTIF('Transect 4_imgsummary'!E36:I36,"PLSIA")*100/P36)</f>
        <v>0</v>
      </c>
      <c r="BD36">
        <f>IF(P36=0,0,COUNTIF('Transect 4_imgsummary'!E36:I36,"PACHY")*100/P36)</f>
        <v>0</v>
      </c>
      <c r="BE36">
        <f>IF(P36=0,0,COUNTIF('Transect 4_imgsummary'!E36:I36,"PAV")*100/P36)</f>
        <v>0</v>
      </c>
      <c r="BF36">
        <f>IF(P36=0,0,COUNTIF('Transect 4_imgsummary'!E36:I36,"PECT")*100/P36)</f>
        <v>0</v>
      </c>
      <c r="BG36">
        <f>IF(P36=0,0,COUNTIF('Transect 4_imgsummary'!E36:I36,"PHYSO")*100/P36)</f>
        <v>0</v>
      </c>
      <c r="BH36">
        <f>IF(P36=0,0,COUNTIF('Transect 4_imgsummary'!E36:I36,"PLAT")*100/P36)</f>
        <v>0</v>
      </c>
      <c r="BI36">
        <f>IF(P36=0,0,COUNTIF('Transect 4_imgsummary'!E36:I36,"PLERO")*100/P36)</f>
        <v>0</v>
      </c>
      <c r="BJ36">
        <f>IF(P36=0,0,COUNTIF('Transect 4_imgsummary'!E36:I36,"POC")*100/P36)</f>
        <v>0</v>
      </c>
      <c r="BK36">
        <f>IF(P36=0,0,COUNTIF('Transect 4_imgsummary'!E36:I36,"POR")*100/P36)</f>
        <v>0</v>
      </c>
      <c r="BL36">
        <f>IF(P36=0,0,COUNTIF('Transect 4_imgsummary'!E36:I36,"PORCYL")*100/P36)</f>
        <v>0</v>
      </c>
      <c r="BM36">
        <f>IF(P36=0,0,COUNTIF('Transect 4_imgsummary'!E36:I36,"PORMAS")*100/P36)</f>
        <v>0</v>
      </c>
      <c r="BN36">
        <f>IF(P36=0,0,COUNTIF('Transect 4_imgsummary'!E36:I36,"PORRUS")*100/P36)</f>
        <v>0</v>
      </c>
      <c r="BO36">
        <f>IF(P36=0,0,COUNTIF('Transect 4_imgsummary'!E36:I36,"PSAM")*100/P36)</f>
        <v>0</v>
      </c>
      <c r="BP36">
        <f>IF(P36=0,0,COUNTIF('Transect 4_imgsummary'!E36:I36,"SANDO")*100/P36)</f>
        <v>0</v>
      </c>
      <c r="BQ36">
        <f>IF(P36=0,0,COUNTIF('Transect 4_imgsummary'!E36:I36,"SCAP")*100/P36)</f>
        <v>0</v>
      </c>
      <c r="BR36">
        <f>IF(P36=0,0,COUNTIF('Transect 4_imgsummary'!E36:I36,"SERIA")*100/P36)</f>
        <v>0</v>
      </c>
      <c r="BS36">
        <f>IF(P36=0,0,COUNTIF('Transect 4_imgsummary'!E36:I36,"STYLC")*100/P36)</f>
        <v>0</v>
      </c>
      <c r="BT36">
        <f>IF(P36=0,0,COUNTIF('Transect 4_imgsummary'!E36:I36,"STYLO")*100/P36)</f>
        <v>0</v>
      </c>
      <c r="BU36">
        <f>IF(P36=0,0,COUNTIF('Transect 4_imgsummary'!E36:I36,"SYMP")*100/P36)</f>
        <v>0</v>
      </c>
      <c r="BV36">
        <f>IF(P36=0,0,COUNTIF('Transect 4_imgsummary'!E36:I36,"TURBIN")*100/P36)</f>
        <v>0</v>
      </c>
      <c r="BX36">
        <f>IF(P36=0,0,COUNTIF('Transect 4_imgsummary'!E36:I36,"ANEM")*100/P36)</f>
        <v>0</v>
      </c>
      <c r="BY36">
        <f>IF(P36=0,0,COUNTIF('Transect 4_imgsummary'!E36:I36,"ASC")*100/P36)</f>
        <v>0</v>
      </c>
      <c r="BZ36">
        <f>IF(P36=0,0,COUNTIF('Transect 4_imgsummary'!E36:I36,"CUPS")*100/P36)</f>
        <v>0</v>
      </c>
      <c r="CA36">
        <f>IF(P36=0,0,COUNTIF('Transect 4_imgsummary'!E36:I36,"DISCO")*100/P36)</f>
        <v>0</v>
      </c>
      <c r="CB36">
        <f>IF(P36=0,0,COUNTIF('Transect 4_imgsummary'!E36:I36,"DYS")*100/P36)</f>
        <v>0</v>
      </c>
      <c r="CC36">
        <f>IF(P36=0,0,COUNTIF('Transect 4_imgsummary'!E36:I36,"G")*100/P36)</f>
        <v>0</v>
      </c>
      <c r="CD36">
        <f>IF(P36=0,0,COUNTIF('Transect 4_imgsummary'!E36:I36,"NoIDINV")*100/P36)</f>
        <v>0</v>
      </c>
      <c r="CE36">
        <f>IF(P36=0,0,COUNTIF('Transect 4_imgsummary'!E36:I36,"OLV")*100/P36)</f>
        <v>0</v>
      </c>
      <c r="CF36">
        <f>IF(P36=0,0,COUNTIF('Transect 4_imgsummary'!E36:I36,"SC")*100/P36)</f>
        <v>0</v>
      </c>
      <c r="CG36">
        <f>IF(P36=0,0,COUNTIF('Transect 4_imgsummary'!E36:I36,"S")*100/P36)</f>
        <v>0</v>
      </c>
      <c r="CH36">
        <f>IF(P36=0,0,COUNTIF('Transect 4_imgsummary'!E36:I36,"TERPS")*100/P36)</f>
        <v>0</v>
      </c>
      <c r="CI36">
        <f>IF(P36=0,0,COUNTIF('Transect 4_imgsummary'!E36:I36,"Z")*100/P36)</f>
        <v>0</v>
      </c>
      <c r="CK36">
        <f>IF(P36=0,0,COUNTIF('Transect 4_imgsummary'!E36:I36,"ASP")*100/P36)</f>
        <v>0</v>
      </c>
      <c r="CL36">
        <f>IF(P36=0,0,COUNTIF('Transect 4_imgsummary'!E36:I36,"BG")*100/P36)</f>
        <v>0</v>
      </c>
      <c r="CM36">
        <f>IF(P36=0,0,COUNTIF('Transect 4_imgsummary'!E36:I36,"Bood")*100/P36)</f>
        <v>0</v>
      </c>
      <c r="CN36">
        <f>IF(P36=0,0,COUNTIF('Transect 4_imgsummary'!E36:I36,"BRYP")*100/P36)</f>
        <v>0</v>
      </c>
      <c r="CO36">
        <f>IF(P36=0,0,COUNTIF('Transect 4_imgsummary'!E36:I36,"CLP")*100/P36)</f>
        <v>0</v>
      </c>
      <c r="CP36">
        <f>IF(P36=0,0,COUNTIF('Transect 4_imgsummary'!E36:I36,"CHLDES")*100/P36)</f>
        <v>0</v>
      </c>
      <c r="CQ36">
        <f>IF(P36=0,0,COUNTIF('Transect 4_imgsummary'!E36:I36,"DYCTY")*100/P36)</f>
        <v>0</v>
      </c>
      <c r="CR36">
        <f>IF(P36=0,0,COUNTIF('Transect 4_imgsummary'!E36:I36,"DICT")*100/P36)</f>
        <v>0</v>
      </c>
      <c r="CS36">
        <f>IF(P36=0,0,COUNTIF('Transect 4_imgsummary'!E36:I36,"GLXU")*100/P36)</f>
        <v>0</v>
      </c>
      <c r="CT36">
        <f>IF(P36=0,0,COUNTIF('Transect 4_imgsummary'!E36:I36,"HALI")*100/P36)</f>
        <v>0</v>
      </c>
      <c r="CU36">
        <f>IF(P36=0,0,COUNTIF('Transect 4_imgsummary'!E36:I36,"LIAG")*100/P36)</f>
        <v>0</v>
      </c>
      <c r="CV36">
        <f>IF(P36=0,0,COUNTIF('Transect 4_imgsummary'!E36:I36,"LOBO")*100/P36)</f>
        <v>0</v>
      </c>
      <c r="CW36">
        <f>IF(P36=0,0,COUNTIF('Transect 4_imgsummary'!E36:I36,"MAST")*100/P36)</f>
        <v>0</v>
      </c>
      <c r="CX36">
        <f>IF(P36=0,0,COUNTIF('Transect 4_imgsummary'!E36:I36,"MICDTY")*100/P36)</f>
        <v>0</v>
      </c>
      <c r="CY36">
        <f>IF(P36=0,0,COUNTIF('Transect 4_imgsummary'!E36:I36,"NEOM")*100/P36)</f>
        <v>0</v>
      </c>
      <c r="CZ36">
        <f>IF(P36=0,0,COUNTIF('Transect 4_imgsummary'!E36:I36,"NOIDMAC")*100/P36)</f>
        <v>0</v>
      </c>
      <c r="DA36">
        <f>IF(P36=0,0,COUNTIF('Transect 4_imgsummary'!E36:I36,"PAD")*100/P36)</f>
        <v>0</v>
      </c>
      <c r="DB36">
        <f>IF(P36=0,0,COUNTIF('Transect 4_imgsummary'!E36:I36,"SARG")*100/P36)</f>
        <v>0</v>
      </c>
      <c r="DC36">
        <f>IF(P36=0,0,COUNTIF('Transect 4_imgsummary'!E36:I36,"SCHIZ")*100/P36)</f>
        <v>0</v>
      </c>
      <c r="DD36">
        <f>IF(P36=0,0,COUNTIF('Transect 4_imgsummary'!E36:I36,"TURB")*100/P36)</f>
        <v>0</v>
      </c>
      <c r="DE36">
        <f>IF(P36=0,0,COUNTIF('Transect 4_imgsummary'!E36:I36,"TYDM")*100/P36)</f>
        <v>0</v>
      </c>
      <c r="DG36">
        <f>IF(P36=0,0,COUNTIF('Transect 4_imgsummary'!E36:I36,"AMP")*100/P36)</f>
        <v>0</v>
      </c>
      <c r="DH36">
        <f>IF(P36=0,0,COUNTIF('Transect 4_imgsummary'!E36:I36,"BCA1")*100/P36)</f>
        <v>0</v>
      </c>
      <c r="DI36">
        <f>IF(P36=0,0,COUNTIF('Transect 4_imgsummary'!E36:I36,"JAN")*100/P36)</f>
        <v>0</v>
      </c>
      <c r="DK36">
        <f>IF(P36=0,0,COUNTIF('Transect 4_imgsummary'!E36:I36,"CCA1")*100/P36)</f>
        <v>0</v>
      </c>
      <c r="DM36">
        <f>IF(P36=0,0,COUNTIF('Transect 4_imgsummary'!E36:I36,"Sand")*100/P36)</f>
        <v>0</v>
      </c>
      <c r="DO36">
        <f>IF(P36=0,0,COUNTIF('Transect 4_imgsummary'!E36:I36,"FCA1")*100/P36)</f>
        <v>0</v>
      </c>
      <c r="DQ36">
        <f>IF(P36=0,0,COUNTIF('Transect 4_imgsummary'!E36:I36,"CHRYOBRN")*100/P36)</f>
        <v>0</v>
      </c>
      <c r="DS36" s="29">
        <f>IF(P36=0,0,COUNTIF('Transect 4_imgsummary'!E36:I36,"TURF")*100/P36)</f>
        <v>20</v>
      </c>
      <c r="DU36">
        <f>COUNTIF('Transect 4_imgsummary'!E36:I36,"Shadow")*100/5</f>
        <v>0</v>
      </c>
      <c r="DV36">
        <f>COUNTIF('Transect 4_imgsummary'!E36:I36,"Tape")*100/5</f>
        <v>0</v>
      </c>
      <c r="DW36">
        <f>COUNTIF('Transect 4_imgsummary'!E36:I36,"Wand")*100/5</f>
        <v>0</v>
      </c>
      <c r="DY36">
        <f>IF(P36=0,0,COUNTIF('Transect 4_imgsummary'!O36:S36,"BC")*100/P36)</f>
        <v>0</v>
      </c>
    </row>
    <row r="37" spans="1:129">
      <c r="A37">
        <v>35</v>
      </c>
      <c r="B37" t="s">
        <v>580</v>
      </c>
      <c r="F37" s="29">
        <f>IF(P37=0,0,COUNTIF('Transect 4_imgsummary'!J37:N37,"C")*100/P37)</f>
        <v>80</v>
      </c>
      <c r="G37">
        <f>IF(P37=0,0,COUNTIF('Transect 4_imgsummary'!J37:N37,"OI")*100/P37)</f>
        <v>0</v>
      </c>
      <c r="H37">
        <f>IF(P37=0,0,COUNTIF('Transect 4_imgsummary'!J37:N37,"MA")*100/P37)</f>
        <v>0</v>
      </c>
      <c r="I37">
        <f>IF(P37=0,0,COUNTIF('Transect 4_imgsummary'!J37:N37,"BCA")*100/P37)</f>
        <v>0</v>
      </c>
      <c r="J37">
        <f>IF(P37=0,0,COUNTIF('Transect 4_imgsummary'!J37:N37,"CCA")*100/P37)</f>
        <v>0</v>
      </c>
      <c r="K37">
        <f>IF(P37=0,0,COUNTIF('Transect 4_imgsummary'!J37:N37,"SD")*100/P37)</f>
        <v>0</v>
      </c>
      <c r="L37" s="29">
        <f>IF(P37=0,0,COUNTIF('Transect 4_imgsummary'!J37:N37,"FCA")*100/P37)</f>
        <v>20</v>
      </c>
      <c r="M37">
        <f>IF(P37=0,0,COUNTIF('Transect 4_imgsummary'!J37:N37,"CHRYS")*100/P37)</f>
        <v>0</v>
      </c>
      <c r="N37">
        <f>IF(P37=0,0,COUNTIF('Transect 4_imgsummary'!J37:N37,"T")*100/P37)</f>
        <v>0</v>
      </c>
      <c r="O37">
        <f>IF(P37=0,0,COUNTIF('Transect 4_imgsummary'!J37:N37,"TWS")*100/P37)</f>
        <v>0</v>
      </c>
      <c r="P37">
        <f>5-COUNTIF('Transect 4_imgsummary'!J37:N37,"TWS")</f>
        <v>5</v>
      </c>
      <c r="S37">
        <f>IF(P37=0,0,COUNTIF('Transect 4_imgsummary'!E37:I37,"ACAN")*100/P37)</f>
        <v>0</v>
      </c>
      <c r="T37">
        <f>IF(P37=0,0,COUNTIF('Transect 4_imgsummary'!E37:I37,"ACROP")*100/P37)</f>
        <v>0</v>
      </c>
      <c r="U37">
        <f>IF(P37=0,0,COUNTIF('Transect 4_imgsummary'!E37:I37,"ACROPARB")*100/P37)</f>
        <v>0</v>
      </c>
      <c r="V37">
        <f>IF(P37=0,0,COUNTIF('Transect 4_imgsummary'!E37:I37,"ACROST")*100/P37)</f>
        <v>0</v>
      </c>
      <c r="W37" s="29">
        <f>IF(P37=0,0,COUNTIF('Transect 4_imgsummary'!E37:I37,"ACROTBL")*100/P37)</f>
        <v>80</v>
      </c>
      <c r="X37">
        <f>IF(P37=0,0,COUNTIF('Transect 4_imgsummary'!E37:I37,"ASTRP")*100/P37)</f>
        <v>0</v>
      </c>
      <c r="Y37">
        <f>IF(P37=0,0,COUNTIF('Transect 4_imgsummary'!E37:I37,"CAUL")*100/P37)</f>
        <v>0</v>
      </c>
      <c r="Z37">
        <f>IF(P37=0,0,COUNTIF('Transect 4_imgsummary'!E37:I37,"COSC")*100/P37)</f>
        <v>0</v>
      </c>
      <c r="AA37">
        <f>IF(P37=0,0,COUNTIF('Transect 4_imgsummary'!E37:I37,"CTEN")*100/P37)</f>
        <v>0</v>
      </c>
      <c r="AB37">
        <f>IF(P37=0,0,COUNTIF('Transect 4_imgsummary'!E37:I37,"CYPH")*100/P37)</f>
        <v>0</v>
      </c>
      <c r="AC37">
        <f>IF(P37=0,0,COUNTIF('Transect 4_imgsummary'!E37:I37,"DIPLO")*100/P37)</f>
        <v>0</v>
      </c>
      <c r="AD37">
        <f>IF(P37=0,0,COUNTIF('Transect 4_imgsummary'!E37:I37,"ECHPO")*100/P37)</f>
        <v>0</v>
      </c>
      <c r="AE37">
        <f>IF(P37=0,0,COUNTIF('Transect 4_imgsummary'!E37:I37,"ECHPHY")*100/P37)</f>
        <v>0</v>
      </c>
      <c r="AF37">
        <f>IF(P37=0,0,COUNTIF('Transect 4_imgsummary'!E37:I37,"EUPH")*100/P37)</f>
        <v>0</v>
      </c>
      <c r="AG37">
        <f>IF(P37=0,0,COUNTIF('Transect 4_imgsummary'!E37:I37,"FAV")*100/P37)</f>
        <v>0</v>
      </c>
      <c r="AH37">
        <f>IF(P37=0,0,COUNTIF('Transect 4_imgsummary'!E37:I37,"FAVT")*100/P37)</f>
        <v>0</v>
      </c>
      <c r="AI37">
        <f>IF(P37=0,0,COUNTIF('Transect 4_imgsummary'!E37:I37,"FUNG")*100/P37)</f>
        <v>0</v>
      </c>
      <c r="AJ37">
        <f>IF(P37=0,0,COUNTIF('Transect 4_imgsummary'!E37:I37,"GAL")*100/P37)</f>
        <v>0</v>
      </c>
      <c r="AK37">
        <f>IF(P37=0,0,COUNTIF('Transect 4_imgsummary'!E37:I37,"GARD")*100/P37)</f>
        <v>0</v>
      </c>
      <c r="AL37">
        <f>IF(P37=0,0,COUNTIF('Transect 4_imgsummary'!E37:I37,"GON")*100/P37)</f>
        <v>0</v>
      </c>
      <c r="AM37">
        <f>IF(P37=0,0,COUNTIF('Transect 4_imgsummary'!E37:I37,"GONIO")*100/P37)</f>
        <v>0</v>
      </c>
      <c r="AN37">
        <f>IF(P37=0,0,COUNTIF('Transect 4_imgsummary'!E37:I37,"HELIO")*100/P37)</f>
        <v>0</v>
      </c>
      <c r="AO37">
        <f>IF(P37=0,0,COUNTIF('Transect 4_imgsummary'!E37:I37,"HERP")*100/P37)</f>
        <v>0</v>
      </c>
      <c r="AP37">
        <f>IF(P37=0,0,COUNTIF('Transect 4_imgsummary'!E37:I37,"HYD")*100/P37)</f>
        <v>0</v>
      </c>
      <c r="AQ37">
        <f>IF(P37=0,0,COUNTIF('Transect 4_imgsummary'!E37:I37,"ISOP")*100/P37)</f>
        <v>0</v>
      </c>
      <c r="AR37">
        <f>IF(P37=0,0,COUNTIF('Transect 4_imgsummary'!E37:I37,"LEPT")*100/P37)</f>
        <v>0</v>
      </c>
      <c r="AS37">
        <f>IF(P37=0,0,COUNTIF('Transect 4_imgsummary'!E37:I37,"LEPTOR")*100/P37)</f>
        <v>0</v>
      </c>
      <c r="AT37">
        <f>IF(P37=0,0,COUNTIF('Transect 4_imgsummary'!E37:I37,"LEPTOS")*100/P37)</f>
        <v>0</v>
      </c>
      <c r="AU37">
        <f>IF(P37=0,0,COUNTIF('Transect 4_imgsummary'!E37:I37,"LOBOPH")*100/P37)</f>
        <v>0</v>
      </c>
      <c r="AV37">
        <f>IF(P37=0,0,COUNTIF('Transect 4_imgsummary'!E37:I37,"MERU")*100/P37)</f>
        <v>0</v>
      </c>
      <c r="AW37">
        <f>IF(P37=0,0,COUNTIF('Transect 4_imgsummary'!E37:I37,"MILL")*100/P37)</f>
        <v>0</v>
      </c>
      <c r="AX37">
        <f>IF(P37=0,0,COUNTIF('Transect 4_imgsummary'!E37:I37,"MONT")*100/P37)</f>
        <v>0</v>
      </c>
      <c r="AY37">
        <f>IF(P37=0,0,COUNTIF('Transect 4_imgsummary'!E37:I37,"MONTI")*100/P37)</f>
        <v>0</v>
      </c>
      <c r="AZ37">
        <f>IF(P37=0,0,COUNTIF('Transect 4_imgsummary'!E37:I37,"MYCED")*100/P37)</f>
        <v>0</v>
      </c>
      <c r="BA37">
        <f>IF(P37=0,0,COUNTIF('Transect 4_imgsummary'!E37:I37,"OULO")*100/P37)</f>
        <v>0</v>
      </c>
      <c r="BB37">
        <f>IF(P37=0,0,COUNTIF('Transect 4_imgsummary'!E37:I37,"OXYP")*100/P37)</f>
        <v>0</v>
      </c>
      <c r="BC37">
        <f>IF(P37=0,0,COUNTIF('Transect 4_imgsummary'!E37:I37,"PLSIA")*100/P37)</f>
        <v>0</v>
      </c>
      <c r="BD37">
        <f>IF(P37=0,0,COUNTIF('Transect 4_imgsummary'!E37:I37,"PACHY")*100/P37)</f>
        <v>0</v>
      </c>
      <c r="BE37">
        <f>IF(P37=0,0,COUNTIF('Transect 4_imgsummary'!E37:I37,"PAV")*100/P37)</f>
        <v>0</v>
      </c>
      <c r="BF37">
        <f>IF(P37=0,0,COUNTIF('Transect 4_imgsummary'!E37:I37,"PECT")*100/P37)</f>
        <v>0</v>
      </c>
      <c r="BG37">
        <f>IF(P37=0,0,COUNTIF('Transect 4_imgsummary'!E37:I37,"PHYSO")*100/P37)</f>
        <v>0</v>
      </c>
      <c r="BH37">
        <f>IF(P37=0,0,COUNTIF('Transect 4_imgsummary'!E37:I37,"PLAT")*100/P37)</f>
        <v>0</v>
      </c>
      <c r="BI37">
        <f>IF(P37=0,0,COUNTIF('Transect 4_imgsummary'!E37:I37,"PLERO")*100/P37)</f>
        <v>0</v>
      </c>
      <c r="BJ37">
        <f>IF(P37=0,0,COUNTIF('Transect 4_imgsummary'!E37:I37,"POC")*100/P37)</f>
        <v>0</v>
      </c>
      <c r="BK37">
        <f>IF(P37=0,0,COUNTIF('Transect 4_imgsummary'!E37:I37,"POR")*100/P37)</f>
        <v>0</v>
      </c>
      <c r="BL37">
        <f>IF(P37=0,0,COUNTIF('Transect 4_imgsummary'!E37:I37,"PORCYL")*100/P37)</f>
        <v>0</v>
      </c>
      <c r="BM37">
        <f>IF(P37=0,0,COUNTIF('Transect 4_imgsummary'!E37:I37,"PORMAS")*100/P37)</f>
        <v>0</v>
      </c>
      <c r="BN37">
        <f>IF(P37=0,0,COUNTIF('Transect 4_imgsummary'!E37:I37,"PORRUS")*100/P37)</f>
        <v>0</v>
      </c>
      <c r="BO37">
        <f>IF(P37=0,0,COUNTIF('Transect 4_imgsummary'!E37:I37,"PSAM")*100/P37)</f>
        <v>0</v>
      </c>
      <c r="BP37">
        <f>IF(P37=0,0,COUNTIF('Transect 4_imgsummary'!E37:I37,"SANDO")*100/P37)</f>
        <v>0</v>
      </c>
      <c r="BQ37">
        <f>IF(P37=0,0,COUNTIF('Transect 4_imgsummary'!E37:I37,"SCAP")*100/P37)</f>
        <v>0</v>
      </c>
      <c r="BR37">
        <f>IF(P37=0,0,COUNTIF('Transect 4_imgsummary'!E37:I37,"SERIA")*100/P37)</f>
        <v>0</v>
      </c>
      <c r="BS37">
        <f>IF(P37=0,0,COUNTIF('Transect 4_imgsummary'!E37:I37,"STYLC")*100/P37)</f>
        <v>0</v>
      </c>
      <c r="BT37">
        <f>IF(P37=0,0,COUNTIF('Transect 4_imgsummary'!E37:I37,"STYLO")*100/P37)</f>
        <v>0</v>
      </c>
      <c r="BU37">
        <f>IF(P37=0,0,COUNTIF('Transect 4_imgsummary'!E37:I37,"SYMP")*100/P37)</f>
        <v>0</v>
      </c>
      <c r="BV37">
        <f>IF(P37=0,0,COUNTIF('Transect 4_imgsummary'!E37:I37,"TURBIN")*100/P37)</f>
        <v>0</v>
      </c>
      <c r="BX37">
        <f>IF(P37=0,0,COUNTIF('Transect 4_imgsummary'!E37:I37,"ANEM")*100/P37)</f>
        <v>0</v>
      </c>
      <c r="BY37">
        <f>IF(P37=0,0,COUNTIF('Transect 4_imgsummary'!E37:I37,"ASC")*100/P37)</f>
        <v>0</v>
      </c>
      <c r="BZ37">
        <f>IF(P37=0,0,COUNTIF('Transect 4_imgsummary'!E37:I37,"CUPS")*100/P37)</f>
        <v>0</v>
      </c>
      <c r="CA37">
        <f>IF(P37=0,0,COUNTIF('Transect 4_imgsummary'!E37:I37,"DISCO")*100/P37)</f>
        <v>0</v>
      </c>
      <c r="CB37">
        <f>IF(P37=0,0,COUNTIF('Transect 4_imgsummary'!E37:I37,"DYS")*100/P37)</f>
        <v>0</v>
      </c>
      <c r="CC37">
        <f>IF(P37=0,0,COUNTIF('Transect 4_imgsummary'!E37:I37,"G")*100/P37)</f>
        <v>0</v>
      </c>
      <c r="CD37">
        <f>IF(P37=0,0,COUNTIF('Transect 4_imgsummary'!E37:I37,"NoIDINV")*100/P37)</f>
        <v>0</v>
      </c>
      <c r="CE37">
        <f>IF(P37=0,0,COUNTIF('Transect 4_imgsummary'!E37:I37,"OLV")*100/P37)</f>
        <v>0</v>
      </c>
      <c r="CF37">
        <f>IF(P37=0,0,COUNTIF('Transect 4_imgsummary'!E37:I37,"SC")*100/P37)</f>
        <v>0</v>
      </c>
      <c r="CG37">
        <f>IF(P37=0,0,COUNTIF('Transect 4_imgsummary'!E37:I37,"S")*100/P37)</f>
        <v>0</v>
      </c>
      <c r="CH37">
        <f>IF(P37=0,0,COUNTIF('Transect 4_imgsummary'!E37:I37,"TERPS")*100/P37)</f>
        <v>0</v>
      </c>
      <c r="CI37">
        <f>IF(P37=0,0,COUNTIF('Transect 4_imgsummary'!E37:I37,"Z")*100/P37)</f>
        <v>0</v>
      </c>
      <c r="CK37">
        <f>IF(P37=0,0,COUNTIF('Transect 4_imgsummary'!E37:I37,"ASP")*100/P37)</f>
        <v>0</v>
      </c>
      <c r="CL37">
        <f>IF(P37=0,0,COUNTIF('Transect 4_imgsummary'!E37:I37,"BG")*100/P37)</f>
        <v>0</v>
      </c>
      <c r="CM37">
        <f>IF(P37=0,0,COUNTIF('Transect 4_imgsummary'!E37:I37,"Bood")*100/P37)</f>
        <v>0</v>
      </c>
      <c r="CN37">
        <f>IF(P37=0,0,COUNTIF('Transect 4_imgsummary'!E37:I37,"BRYP")*100/P37)</f>
        <v>0</v>
      </c>
      <c r="CO37">
        <f>IF(P37=0,0,COUNTIF('Transect 4_imgsummary'!E37:I37,"CLP")*100/P37)</f>
        <v>0</v>
      </c>
      <c r="CP37">
        <f>IF(P37=0,0,COUNTIF('Transect 4_imgsummary'!E37:I37,"CHLDES")*100/P37)</f>
        <v>0</v>
      </c>
      <c r="CQ37">
        <f>IF(P37=0,0,COUNTIF('Transect 4_imgsummary'!E37:I37,"DYCTY")*100/P37)</f>
        <v>0</v>
      </c>
      <c r="CR37">
        <f>IF(P37=0,0,COUNTIF('Transect 4_imgsummary'!E37:I37,"DICT")*100/P37)</f>
        <v>0</v>
      </c>
      <c r="CS37">
        <f>IF(P37=0,0,COUNTIF('Transect 4_imgsummary'!E37:I37,"GLXU")*100/P37)</f>
        <v>0</v>
      </c>
      <c r="CT37">
        <f>IF(P37=0,0,COUNTIF('Transect 4_imgsummary'!E37:I37,"HALI")*100/P37)</f>
        <v>0</v>
      </c>
      <c r="CU37">
        <f>IF(P37=0,0,COUNTIF('Transect 4_imgsummary'!E37:I37,"LIAG")*100/P37)</f>
        <v>0</v>
      </c>
      <c r="CV37">
        <f>IF(P37=0,0,COUNTIF('Transect 4_imgsummary'!E37:I37,"LOBO")*100/P37)</f>
        <v>0</v>
      </c>
      <c r="CW37">
        <f>IF(P37=0,0,COUNTIF('Transect 4_imgsummary'!E37:I37,"MAST")*100/P37)</f>
        <v>0</v>
      </c>
      <c r="CX37">
        <f>IF(P37=0,0,COUNTIF('Transect 4_imgsummary'!E37:I37,"MICDTY")*100/P37)</f>
        <v>0</v>
      </c>
      <c r="CY37">
        <f>IF(P37=0,0,COUNTIF('Transect 4_imgsummary'!E37:I37,"NEOM")*100/P37)</f>
        <v>0</v>
      </c>
      <c r="CZ37">
        <f>IF(P37=0,0,COUNTIF('Transect 4_imgsummary'!E37:I37,"NOIDMAC")*100/P37)</f>
        <v>0</v>
      </c>
      <c r="DA37">
        <f>IF(P37=0,0,COUNTIF('Transect 4_imgsummary'!E37:I37,"PAD")*100/P37)</f>
        <v>0</v>
      </c>
      <c r="DB37">
        <f>IF(P37=0,0,COUNTIF('Transect 4_imgsummary'!E37:I37,"SARG")*100/P37)</f>
        <v>0</v>
      </c>
      <c r="DC37">
        <f>IF(P37=0,0,COUNTIF('Transect 4_imgsummary'!E37:I37,"SCHIZ")*100/P37)</f>
        <v>0</v>
      </c>
      <c r="DD37">
        <f>IF(P37=0,0,COUNTIF('Transect 4_imgsummary'!E37:I37,"TURB")*100/P37)</f>
        <v>0</v>
      </c>
      <c r="DE37">
        <f>IF(P37=0,0,COUNTIF('Transect 4_imgsummary'!E37:I37,"TYDM")*100/P37)</f>
        <v>0</v>
      </c>
      <c r="DG37">
        <f>IF(P37=0,0,COUNTIF('Transect 4_imgsummary'!E37:I37,"AMP")*100/P37)</f>
        <v>0</v>
      </c>
      <c r="DH37">
        <f>IF(P37=0,0,COUNTIF('Transect 4_imgsummary'!E37:I37,"BCA1")*100/P37)</f>
        <v>0</v>
      </c>
      <c r="DI37">
        <f>IF(P37=0,0,COUNTIF('Transect 4_imgsummary'!E37:I37,"JAN")*100/P37)</f>
        <v>0</v>
      </c>
      <c r="DK37">
        <f>IF(P37=0,0,COUNTIF('Transect 4_imgsummary'!E37:I37,"CCA1")*100/P37)</f>
        <v>0</v>
      </c>
      <c r="DM37">
        <f>IF(P37=0,0,COUNTIF('Transect 4_imgsummary'!E37:I37,"Sand")*100/P37)</f>
        <v>0</v>
      </c>
      <c r="DO37" s="29">
        <f>IF(P37=0,0,COUNTIF('Transect 4_imgsummary'!E37:I37,"FCA1")*100/P37)</f>
        <v>20</v>
      </c>
      <c r="DQ37">
        <f>IF(P37=0,0,COUNTIF('Transect 4_imgsummary'!E37:I37,"CHRYOBRN")*100/P37)</f>
        <v>0</v>
      </c>
      <c r="DS37">
        <f>IF(P37=0,0,COUNTIF('Transect 4_imgsummary'!E37:I37,"TURF")*100/P37)</f>
        <v>0</v>
      </c>
      <c r="DU37">
        <f>COUNTIF('Transect 4_imgsummary'!E37:I37,"Shadow")*100/5</f>
        <v>0</v>
      </c>
      <c r="DV37">
        <f>COUNTIF('Transect 4_imgsummary'!E37:I37,"Tape")*100/5</f>
        <v>0</v>
      </c>
      <c r="DW37">
        <f>COUNTIF('Transect 4_imgsummary'!E37:I37,"Wand")*100/5</f>
        <v>0</v>
      </c>
      <c r="DY37">
        <f>IF(P37=0,0,COUNTIF('Transect 4_imgsummary'!O37:S37,"BC")*100/P37)</f>
        <v>0</v>
      </c>
    </row>
    <row r="38" spans="1:129">
      <c r="A38">
        <v>36</v>
      </c>
      <c r="B38" t="s">
        <v>581</v>
      </c>
      <c r="F38" s="29">
        <f>IF(P38=0,0,COUNTIF('Transect 4_imgsummary'!J38:N38,"C")*100/P38)</f>
        <v>100</v>
      </c>
      <c r="G38">
        <f>IF(P38=0,0,COUNTIF('Transect 4_imgsummary'!J38:N38,"OI")*100/P38)</f>
        <v>0</v>
      </c>
      <c r="H38">
        <f>IF(P38=0,0,COUNTIF('Transect 4_imgsummary'!J38:N38,"MA")*100/P38)</f>
        <v>0</v>
      </c>
      <c r="I38">
        <f>IF(P38=0,0,COUNTIF('Transect 4_imgsummary'!J38:N38,"BCA")*100/P38)</f>
        <v>0</v>
      </c>
      <c r="J38">
        <f>IF(P38=0,0,COUNTIF('Transect 4_imgsummary'!J38:N38,"CCA")*100/P38)</f>
        <v>0</v>
      </c>
      <c r="K38">
        <f>IF(P38=0,0,COUNTIF('Transect 4_imgsummary'!J38:N38,"SD")*100/P38)</f>
        <v>0</v>
      </c>
      <c r="L38">
        <f>IF(P38=0,0,COUNTIF('Transect 4_imgsummary'!J38:N38,"FCA")*100/P38)</f>
        <v>0</v>
      </c>
      <c r="M38">
        <f>IF(P38=0,0,COUNTIF('Transect 4_imgsummary'!J38:N38,"CHRYS")*100/P38)</f>
        <v>0</v>
      </c>
      <c r="N38">
        <f>IF(P38=0,0,COUNTIF('Transect 4_imgsummary'!J38:N38,"T")*100/P38)</f>
        <v>0</v>
      </c>
      <c r="O38">
        <f>IF(P38=0,0,COUNTIF('Transect 4_imgsummary'!J38:N38,"TWS")*100/P38)</f>
        <v>0</v>
      </c>
      <c r="P38">
        <f>5-COUNTIF('Transect 4_imgsummary'!J38:N38,"TWS")</f>
        <v>5</v>
      </c>
      <c r="S38">
        <f>IF(P38=0,0,COUNTIF('Transect 4_imgsummary'!E38:I38,"ACAN")*100/P38)</f>
        <v>0</v>
      </c>
      <c r="T38">
        <f>IF(P38=0,0,COUNTIF('Transect 4_imgsummary'!E38:I38,"ACROP")*100/P38)</f>
        <v>0</v>
      </c>
      <c r="U38">
        <f>IF(P38=0,0,COUNTIF('Transect 4_imgsummary'!E38:I38,"ACROPARB")*100/P38)</f>
        <v>0</v>
      </c>
      <c r="V38">
        <f>IF(P38=0,0,COUNTIF('Transect 4_imgsummary'!E38:I38,"ACROST")*100/P38)</f>
        <v>0</v>
      </c>
      <c r="W38" s="29">
        <f>IF(P38=0,0,COUNTIF('Transect 4_imgsummary'!E38:I38,"ACROTBL")*100/P38)</f>
        <v>60</v>
      </c>
      <c r="X38">
        <f>IF(P38=0,0,COUNTIF('Transect 4_imgsummary'!E38:I38,"ASTRP")*100/P38)</f>
        <v>0</v>
      </c>
      <c r="Y38">
        <f>IF(P38=0,0,COUNTIF('Transect 4_imgsummary'!E38:I38,"CAUL")*100/P38)</f>
        <v>0</v>
      </c>
      <c r="Z38">
        <f>IF(P38=0,0,COUNTIF('Transect 4_imgsummary'!E38:I38,"COSC")*100/P38)</f>
        <v>0</v>
      </c>
      <c r="AA38">
        <f>IF(P38=0,0,COUNTIF('Transect 4_imgsummary'!E38:I38,"CTEN")*100/P38)</f>
        <v>0</v>
      </c>
      <c r="AB38">
        <f>IF(P38=0,0,COUNTIF('Transect 4_imgsummary'!E38:I38,"CYPH")*100/P38)</f>
        <v>0</v>
      </c>
      <c r="AC38">
        <f>IF(P38=0,0,COUNTIF('Transect 4_imgsummary'!E38:I38,"DIPLO")*100/P38)</f>
        <v>0</v>
      </c>
      <c r="AD38" s="29">
        <f>IF(P38=0,0,COUNTIF('Transect 4_imgsummary'!E38:I38,"ECHPO")*100/P38)</f>
        <v>20</v>
      </c>
      <c r="AE38">
        <f>IF(P38=0,0,COUNTIF('Transect 4_imgsummary'!E38:I38,"ECHPHY")*100/P38)</f>
        <v>0</v>
      </c>
      <c r="AF38">
        <f>IF(P38=0,0,COUNTIF('Transect 4_imgsummary'!E38:I38,"EUPH")*100/P38)</f>
        <v>0</v>
      </c>
      <c r="AG38" s="29">
        <f>IF(P38=0,0,COUNTIF('Transect 4_imgsummary'!E38:I38,"FAV")*100/P38)</f>
        <v>20</v>
      </c>
      <c r="AH38">
        <f>IF(P38=0,0,COUNTIF('Transect 4_imgsummary'!E38:I38,"FAVT")*100/P38)</f>
        <v>0</v>
      </c>
      <c r="AI38">
        <f>IF(P38=0,0,COUNTIF('Transect 4_imgsummary'!E38:I38,"FUNG")*100/P38)</f>
        <v>0</v>
      </c>
      <c r="AJ38">
        <f>IF(P38=0,0,COUNTIF('Transect 4_imgsummary'!E38:I38,"GAL")*100/P38)</f>
        <v>0</v>
      </c>
      <c r="AK38">
        <f>IF(P38=0,0,COUNTIF('Transect 4_imgsummary'!E38:I38,"GARD")*100/P38)</f>
        <v>0</v>
      </c>
      <c r="AL38">
        <f>IF(P38=0,0,COUNTIF('Transect 4_imgsummary'!E38:I38,"GON")*100/P38)</f>
        <v>0</v>
      </c>
      <c r="AM38">
        <f>IF(P38=0,0,COUNTIF('Transect 4_imgsummary'!E38:I38,"GONIO")*100/P38)</f>
        <v>0</v>
      </c>
      <c r="AN38">
        <f>IF(P38=0,0,COUNTIF('Transect 4_imgsummary'!E38:I38,"HELIO")*100/P38)</f>
        <v>0</v>
      </c>
      <c r="AO38">
        <f>IF(P38=0,0,COUNTIF('Transect 4_imgsummary'!E38:I38,"HERP")*100/P38)</f>
        <v>0</v>
      </c>
      <c r="AP38">
        <f>IF(P38=0,0,COUNTIF('Transect 4_imgsummary'!E38:I38,"HYD")*100/P38)</f>
        <v>0</v>
      </c>
      <c r="AQ38">
        <f>IF(P38=0,0,COUNTIF('Transect 4_imgsummary'!E38:I38,"ISOP")*100/P38)</f>
        <v>0</v>
      </c>
      <c r="AR38">
        <f>IF(P38=0,0,COUNTIF('Transect 4_imgsummary'!E38:I38,"LEPT")*100/P38)</f>
        <v>0</v>
      </c>
      <c r="AS38">
        <f>IF(P38=0,0,COUNTIF('Transect 4_imgsummary'!E38:I38,"LEPTOR")*100/P38)</f>
        <v>0</v>
      </c>
      <c r="AT38">
        <f>IF(P38=0,0,COUNTIF('Transect 4_imgsummary'!E38:I38,"LEPTOS")*100/P38)</f>
        <v>0</v>
      </c>
      <c r="AU38">
        <f>IF(P38=0,0,COUNTIF('Transect 4_imgsummary'!E38:I38,"LOBOPH")*100/P38)</f>
        <v>0</v>
      </c>
      <c r="AV38">
        <f>IF(P38=0,0,COUNTIF('Transect 4_imgsummary'!E38:I38,"MERU")*100/P38)</f>
        <v>0</v>
      </c>
      <c r="AW38">
        <f>IF(P38=0,0,COUNTIF('Transect 4_imgsummary'!E38:I38,"MILL")*100/P38)</f>
        <v>0</v>
      </c>
      <c r="AX38">
        <f>IF(P38=0,0,COUNTIF('Transect 4_imgsummary'!E38:I38,"MONT")*100/P38)</f>
        <v>0</v>
      </c>
      <c r="AY38">
        <f>IF(P38=0,0,COUNTIF('Transect 4_imgsummary'!E38:I38,"MONTI")*100/P38)</f>
        <v>0</v>
      </c>
      <c r="AZ38">
        <f>IF(P38=0,0,COUNTIF('Transect 4_imgsummary'!E38:I38,"MYCED")*100/P38)</f>
        <v>0</v>
      </c>
      <c r="BA38">
        <f>IF(P38=0,0,COUNTIF('Transect 4_imgsummary'!E38:I38,"OULO")*100/P38)</f>
        <v>0</v>
      </c>
      <c r="BB38">
        <f>IF(P38=0,0,COUNTIF('Transect 4_imgsummary'!E38:I38,"OXYP")*100/P38)</f>
        <v>0</v>
      </c>
      <c r="BC38">
        <f>IF(P38=0,0,COUNTIF('Transect 4_imgsummary'!E38:I38,"PLSIA")*100/P38)</f>
        <v>0</v>
      </c>
      <c r="BD38">
        <f>IF(P38=0,0,COUNTIF('Transect 4_imgsummary'!E38:I38,"PACHY")*100/P38)</f>
        <v>0</v>
      </c>
      <c r="BE38">
        <f>IF(P38=0,0,COUNTIF('Transect 4_imgsummary'!E38:I38,"PAV")*100/P38)</f>
        <v>0</v>
      </c>
      <c r="BF38">
        <f>IF(P38=0,0,COUNTIF('Transect 4_imgsummary'!E38:I38,"PECT")*100/P38)</f>
        <v>0</v>
      </c>
      <c r="BG38">
        <f>IF(P38=0,0,COUNTIF('Transect 4_imgsummary'!E38:I38,"PHYSO")*100/P38)</f>
        <v>0</v>
      </c>
      <c r="BH38">
        <f>IF(P38=0,0,COUNTIF('Transect 4_imgsummary'!E38:I38,"PLAT")*100/P38)</f>
        <v>0</v>
      </c>
      <c r="BI38">
        <f>IF(P38=0,0,COUNTIF('Transect 4_imgsummary'!E38:I38,"PLERO")*100/P38)</f>
        <v>0</v>
      </c>
      <c r="BJ38">
        <f>IF(P38=0,0,COUNTIF('Transect 4_imgsummary'!E38:I38,"POC")*100/P38)</f>
        <v>0</v>
      </c>
      <c r="BK38">
        <f>IF(P38=0,0,COUNTIF('Transect 4_imgsummary'!E38:I38,"POR")*100/P38)</f>
        <v>0</v>
      </c>
      <c r="BL38">
        <f>IF(P38=0,0,COUNTIF('Transect 4_imgsummary'!E38:I38,"PORCYL")*100/P38)</f>
        <v>0</v>
      </c>
      <c r="BM38">
        <f>IF(P38=0,0,COUNTIF('Transect 4_imgsummary'!E38:I38,"PORMAS")*100/P38)</f>
        <v>0</v>
      </c>
      <c r="BN38">
        <f>IF(P38=0,0,COUNTIF('Transect 4_imgsummary'!E38:I38,"PORRUS")*100/P38)</f>
        <v>0</v>
      </c>
      <c r="BO38">
        <f>IF(P38=0,0,COUNTIF('Transect 4_imgsummary'!E38:I38,"PSAM")*100/P38)</f>
        <v>0</v>
      </c>
      <c r="BP38">
        <f>IF(P38=0,0,COUNTIF('Transect 4_imgsummary'!E38:I38,"SANDO")*100/P38)</f>
        <v>0</v>
      </c>
      <c r="BQ38">
        <f>IF(P38=0,0,COUNTIF('Transect 4_imgsummary'!E38:I38,"SCAP")*100/P38)</f>
        <v>0</v>
      </c>
      <c r="BR38">
        <f>IF(P38=0,0,COUNTIF('Transect 4_imgsummary'!E38:I38,"SERIA")*100/P38)</f>
        <v>0</v>
      </c>
      <c r="BS38">
        <f>IF(P38=0,0,COUNTIF('Transect 4_imgsummary'!E38:I38,"STYLC")*100/P38)</f>
        <v>0</v>
      </c>
      <c r="BT38">
        <f>IF(P38=0,0,COUNTIF('Transect 4_imgsummary'!E38:I38,"STYLO")*100/P38)</f>
        <v>0</v>
      </c>
      <c r="BU38">
        <f>IF(P38=0,0,COUNTIF('Transect 4_imgsummary'!E38:I38,"SYMP")*100/P38)</f>
        <v>0</v>
      </c>
      <c r="BV38">
        <f>IF(P38=0,0,COUNTIF('Transect 4_imgsummary'!E38:I38,"TURBIN")*100/P38)</f>
        <v>0</v>
      </c>
      <c r="BX38">
        <f>IF(P38=0,0,COUNTIF('Transect 4_imgsummary'!E38:I38,"ANEM")*100/P38)</f>
        <v>0</v>
      </c>
      <c r="BY38">
        <f>IF(P38=0,0,COUNTIF('Transect 4_imgsummary'!E38:I38,"ASC")*100/P38)</f>
        <v>0</v>
      </c>
      <c r="BZ38">
        <f>IF(P38=0,0,COUNTIF('Transect 4_imgsummary'!E38:I38,"CUPS")*100/P38)</f>
        <v>0</v>
      </c>
      <c r="CA38">
        <f>IF(P38=0,0,COUNTIF('Transect 4_imgsummary'!E38:I38,"DISCO")*100/P38)</f>
        <v>0</v>
      </c>
      <c r="CB38">
        <f>IF(P38=0,0,COUNTIF('Transect 4_imgsummary'!E38:I38,"DYS")*100/P38)</f>
        <v>0</v>
      </c>
      <c r="CC38">
        <f>IF(P38=0,0,COUNTIF('Transect 4_imgsummary'!E38:I38,"G")*100/P38)</f>
        <v>0</v>
      </c>
      <c r="CD38">
        <f>IF(P38=0,0,COUNTIF('Transect 4_imgsummary'!E38:I38,"NoIDINV")*100/P38)</f>
        <v>0</v>
      </c>
      <c r="CE38">
        <f>IF(P38=0,0,COUNTIF('Transect 4_imgsummary'!E38:I38,"OLV")*100/P38)</f>
        <v>0</v>
      </c>
      <c r="CF38">
        <f>IF(P38=0,0,COUNTIF('Transect 4_imgsummary'!E38:I38,"SC")*100/P38)</f>
        <v>0</v>
      </c>
      <c r="CG38">
        <f>IF(P38=0,0,COUNTIF('Transect 4_imgsummary'!E38:I38,"S")*100/P38)</f>
        <v>0</v>
      </c>
      <c r="CH38">
        <f>IF(P38=0,0,COUNTIF('Transect 4_imgsummary'!E38:I38,"TERPS")*100/P38)</f>
        <v>0</v>
      </c>
      <c r="CI38">
        <f>IF(P38=0,0,COUNTIF('Transect 4_imgsummary'!E38:I38,"Z")*100/P38)</f>
        <v>0</v>
      </c>
      <c r="CK38">
        <f>IF(P38=0,0,COUNTIF('Transect 4_imgsummary'!E38:I38,"ASP")*100/P38)</f>
        <v>0</v>
      </c>
      <c r="CL38">
        <f>IF(P38=0,0,COUNTIF('Transect 4_imgsummary'!E38:I38,"BG")*100/P38)</f>
        <v>0</v>
      </c>
      <c r="CM38">
        <f>IF(P38=0,0,COUNTIF('Transect 4_imgsummary'!E38:I38,"Bood")*100/P38)</f>
        <v>0</v>
      </c>
      <c r="CN38">
        <f>IF(P38=0,0,COUNTIF('Transect 4_imgsummary'!E38:I38,"BRYP")*100/P38)</f>
        <v>0</v>
      </c>
      <c r="CO38">
        <f>IF(P38=0,0,COUNTIF('Transect 4_imgsummary'!E38:I38,"CLP")*100/P38)</f>
        <v>0</v>
      </c>
      <c r="CP38">
        <f>IF(P38=0,0,COUNTIF('Transect 4_imgsummary'!E38:I38,"CHLDES")*100/P38)</f>
        <v>0</v>
      </c>
      <c r="CQ38">
        <f>IF(P38=0,0,COUNTIF('Transect 4_imgsummary'!E38:I38,"DYCTY")*100/P38)</f>
        <v>0</v>
      </c>
      <c r="CR38">
        <f>IF(P38=0,0,COUNTIF('Transect 4_imgsummary'!E38:I38,"DICT")*100/P38)</f>
        <v>0</v>
      </c>
      <c r="CS38">
        <f>IF(P38=0,0,COUNTIF('Transect 4_imgsummary'!E38:I38,"GLXU")*100/P38)</f>
        <v>0</v>
      </c>
      <c r="CT38">
        <f>IF(P38=0,0,COUNTIF('Transect 4_imgsummary'!E38:I38,"HALI")*100/P38)</f>
        <v>0</v>
      </c>
      <c r="CU38">
        <f>IF(P38=0,0,COUNTIF('Transect 4_imgsummary'!E38:I38,"LIAG")*100/P38)</f>
        <v>0</v>
      </c>
      <c r="CV38">
        <f>IF(P38=0,0,COUNTIF('Transect 4_imgsummary'!E38:I38,"LOBO")*100/P38)</f>
        <v>0</v>
      </c>
      <c r="CW38">
        <f>IF(P38=0,0,COUNTIF('Transect 4_imgsummary'!E38:I38,"MAST")*100/P38)</f>
        <v>0</v>
      </c>
      <c r="CX38">
        <f>IF(P38=0,0,COUNTIF('Transect 4_imgsummary'!E38:I38,"MICDTY")*100/P38)</f>
        <v>0</v>
      </c>
      <c r="CY38">
        <f>IF(P38=0,0,COUNTIF('Transect 4_imgsummary'!E38:I38,"NEOM")*100/P38)</f>
        <v>0</v>
      </c>
      <c r="CZ38">
        <f>IF(P38=0,0,COUNTIF('Transect 4_imgsummary'!E38:I38,"NOIDMAC")*100/P38)</f>
        <v>0</v>
      </c>
      <c r="DA38">
        <f>IF(P38=0,0,COUNTIF('Transect 4_imgsummary'!E38:I38,"PAD")*100/P38)</f>
        <v>0</v>
      </c>
      <c r="DB38">
        <f>IF(P38=0,0,COUNTIF('Transect 4_imgsummary'!E38:I38,"SARG")*100/P38)</f>
        <v>0</v>
      </c>
      <c r="DC38">
        <f>IF(P38=0,0,COUNTIF('Transect 4_imgsummary'!E38:I38,"SCHIZ")*100/P38)</f>
        <v>0</v>
      </c>
      <c r="DD38">
        <f>IF(P38=0,0,COUNTIF('Transect 4_imgsummary'!E38:I38,"TURB")*100/P38)</f>
        <v>0</v>
      </c>
      <c r="DE38">
        <f>IF(P38=0,0,COUNTIF('Transect 4_imgsummary'!E38:I38,"TYDM")*100/P38)</f>
        <v>0</v>
      </c>
      <c r="DG38">
        <f>IF(P38=0,0,COUNTIF('Transect 4_imgsummary'!E38:I38,"AMP")*100/P38)</f>
        <v>0</v>
      </c>
      <c r="DH38">
        <f>IF(P38=0,0,COUNTIF('Transect 4_imgsummary'!E38:I38,"BCA1")*100/P38)</f>
        <v>0</v>
      </c>
      <c r="DI38">
        <f>IF(P38=0,0,COUNTIF('Transect 4_imgsummary'!E38:I38,"JAN")*100/P38)</f>
        <v>0</v>
      </c>
      <c r="DK38">
        <f>IF(P38=0,0,COUNTIF('Transect 4_imgsummary'!E38:I38,"CCA1")*100/P38)</f>
        <v>0</v>
      </c>
      <c r="DM38">
        <f>IF(P38=0,0,COUNTIF('Transect 4_imgsummary'!E38:I38,"Sand")*100/P38)</f>
        <v>0</v>
      </c>
      <c r="DO38">
        <f>IF(P38=0,0,COUNTIF('Transect 4_imgsummary'!E38:I38,"FCA1")*100/P38)</f>
        <v>0</v>
      </c>
      <c r="DQ38">
        <f>IF(P38=0,0,COUNTIF('Transect 4_imgsummary'!E38:I38,"CHRYOBRN")*100/P38)</f>
        <v>0</v>
      </c>
      <c r="DS38">
        <f>IF(P38=0,0,COUNTIF('Transect 4_imgsummary'!E38:I38,"TURF")*100/P38)</f>
        <v>0</v>
      </c>
      <c r="DU38">
        <f>COUNTIF('Transect 4_imgsummary'!E38:I38,"Shadow")*100/5</f>
        <v>0</v>
      </c>
      <c r="DV38">
        <f>COUNTIF('Transect 4_imgsummary'!E38:I38,"Tape")*100/5</f>
        <v>0</v>
      </c>
      <c r="DW38">
        <f>COUNTIF('Transect 4_imgsummary'!E38:I38,"Wand")*100/5</f>
        <v>0</v>
      </c>
      <c r="DY38">
        <f>IF(P38=0,0,COUNTIF('Transect 4_imgsummary'!O38:S38,"BC")*100/P38)</f>
        <v>0</v>
      </c>
    </row>
    <row r="39" spans="1:129">
      <c r="A39">
        <v>37</v>
      </c>
      <c r="B39" t="s">
        <v>582</v>
      </c>
      <c r="F39" s="29">
        <f>IF(P39=0,0,COUNTIF('Transect 4_imgsummary'!J39:N39,"C")*100/P39)</f>
        <v>40</v>
      </c>
      <c r="G39">
        <f>IF(P39=0,0,COUNTIF('Transect 4_imgsummary'!J39:N39,"OI")*100/P39)</f>
        <v>0</v>
      </c>
      <c r="H39">
        <f>IF(P39=0,0,COUNTIF('Transect 4_imgsummary'!J39:N39,"MA")*100/P39)</f>
        <v>0</v>
      </c>
      <c r="I39" s="29">
        <f>IF(P39=0,0,COUNTIF('Transect 4_imgsummary'!J39:N39,"BCA")*100/P39)</f>
        <v>20</v>
      </c>
      <c r="J39" s="29">
        <f>IF(P39=0,0,COUNTIF('Transect 4_imgsummary'!J39:N39,"CCA")*100/P39)</f>
        <v>40</v>
      </c>
      <c r="K39">
        <f>IF(P39=0,0,COUNTIF('Transect 4_imgsummary'!J39:N39,"SD")*100/P39)</f>
        <v>0</v>
      </c>
      <c r="L39">
        <f>IF(P39=0,0,COUNTIF('Transect 4_imgsummary'!J39:N39,"FCA")*100/P39)</f>
        <v>0</v>
      </c>
      <c r="M39">
        <f>IF(P39=0,0,COUNTIF('Transect 4_imgsummary'!J39:N39,"CHRYS")*100/P39)</f>
        <v>0</v>
      </c>
      <c r="N39">
        <f>IF(P39=0,0,COUNTIF('Transect 4_imgsummary'!J39:N39,"T")*100/P39)</f>
        <v>0</v>
      </c>
      <c r="O39">
        <f>IF(P39=0,0,COUNTIF('Transect 4_imgsummary'!J39:N39,"TWS")*100/P39)</f>
        <v>0</v>
      </c>
      <c r="P39">
        <f>5-COUNTIF('Transect 4_imgsummary'!J39:N39,"TWS")</f>
        <v>5</v>
      </c>
      <c r="S39">
        <f>IF(P39=0,0,COUNTIF('Transect 4_imgsummary'!E39:I39,"ACAN")*100/P39)</f>
        <v>0</v>
      </c>
      <c r="T39">
        <f>IF(P39=0,0,COUNTIF('Transect 4_imgsummary'!E39:I39,"ACROP")*100/P39)</f>
        <v>0</v>
      </c>
      <c r="U39">
        <f>IF(P39=0,0,COUNTIF('Transect 4_imgsummary'!E39:I39,"ACROPARB")*100/P39)</f>
        <v>0</v>
      </c>
      <c r="V39">
        <f>IF(P39=0,0,COUNTIF('Transect 4_imgsummary'!E39:I39,"ACROST")*100/P39)</f>
        <v>0</v>
      </c>
      <c r="W39">
        <f>IF(P39=0,0,COUNTIF('Transect 4_imgsummary'!E39:I39,"ACROTBL")*100/P39)</f>
        <v>0</v>
      </c>
      <c r="X39">
        <f>IF(P39=0,0,COUNTIF('Transect 4_imgsummary'!E39:I39,"ASTRP")*100/P39)</f>
        <v>0</v>
      </c>
      <c r="Y39">
        <f>IF(P39=0,0,COUNTIF('Transect 4_imgsummary'!E39:I39,"CAUL")*100/P39)</f>
        <v>0</v>
      </c>
      <c r="Z39">
        <f>IF(P39=0,0,COUNTIF('Transect 4_imgsummary'!E39:I39,"COSC")*100/P39)</f>
        <v>0</v>
      </c>
      <c r="AA39">
        <f>IF(P39=0,0,COUNTIF('Transect 4_imgsummary'!E39:I39,"CTEN")*100/P39)</f>
        <v>0</v>
      </c>
      <c r="AB39">
        <f>IF(P39=0,0,COUNTIF('Transect 4_imgsummary'!E39:I39,"CYPH")*100/P39)</f>
        <v>0</v>
      </c>
      <c r="AC39">
        <f>IF(P39=0,0,COUNTIF('Transect 4_imgsummary'!E39:I39,"DIPLO")*100/P39)</f>
        <v>0</v>
      </c>
      <c r="AD39">
        <f>IF(P39=0,0,COUNTIF('Transect 4_imgsummary'!E39:I39,"ECHPO")*100/P39)</f>
        <v>0</v>
      </c>
      <c r="AE39">
        <f>IF(P39=0,0,COUNTIF('Transect 4_imgsummary'!E39:I39,"ECHPHY")*100/P39)</f>
        <v>0</v>
      </c>
      <c r="AF39">
        <f>IF(P39=0,0,COUNTIF('Transect 4_imgsummary'!E39:I39,"EUPH")*100/P39)</f>
        <v>0</v>
      </c>
      <c r="AG39">
        <f>IF(P39=0,0,COUNTIF('Transect 4_imgsummary'!E39:I39,"FAV")*100/P39)</f>
        <v>0</v>
      </c>
      <c r="AH39">
        <f>IF(P39=0,0,COUNTIF('Transect 4_imgsummary'!E39:I39,"FAVT")*100/P39)</f>
        <v>0</v>
      </c>
      <c r="AI39">
        <f>IF(P39=0,0,COUNTIF('Transect 4_imgsummary'!E39:I39,"FUNG")*100/P39)</f>
        <v>0</v>
      </c>
      <c r="AJ39">
        <f>IF(P39=0,0,COUNTIF('Transect 4_imgsummary'!E39:I39,"GAL")*100/P39)</f>
        <v>0</v>
      </c>
      <c r="AK39">
        <f>IF(P39=0,0,COUNTIF('Transect 4_imgsummary'!E39:I39,"GARD")*100/P39)</f>
        <v>0</v>
      </c>
      <c r="AL39">
        <f>IF(P39=0,0,COUNTIF('Transect 4_imgsummary'!E39:I39,"GON")*100/P39)</f>
        <v>0</v>
      </c>
      <c r="AM39">
        <f>IF(P39=0,0,COUNTIF('Transect 4_imgsummary'!E39:I39,"GONIO")*100/P39)</f>
        <v>0</v>
      </c>
      <c r="AN39">
        <f>IF(P39=0,0,COUNTIF('Transect 4_imgsummary'!E39:I39,"HELIO")*100/P39)</f>
        <v>0</v>
      </c>
      <c r="AO39">
        <f>IF(P39=0,0,COUNTIF('Transect 4_imgsummary'!E39:I39,"HERP")*100/P39)</f>
        <v>0</v>
      </c>
      <c r="AP39">
        <f>IF(P39=0,0,COUNTIF('Transect 4_imgsummary'!E39:I39,"HYD")*100/P39)</f>
        <v>0</v>
      </c>
      <c r="AQ39">
        <f>IF(P39=0,0,COUNTIF('Transect 4_imgsummary'!E39:I39,"ISOP")*100/P39)</f>
        <v>0</v>
      </c>
      <c r="AR39">
        <f>IF(P39=0,0,COUNTIF('Transect 4_imgsummary'!E39:I39,"LEPT")*100/P39)</f>
        <v>0</v>
      </c>
      <c r="AS39">
        <f>IF(P39=0,0,COUNTIF('Transect 4_imgsummary'!E39:I39,"LEPTOR")*100/P39)</f>
        <v>0</v>
      </c>
      <c r="AT39">
        <f>IF(P39=0,0,COUNTIF('Transect 4_imgsummary'!E39:I39,"LEPTOS")*100/P39)</f>
        <v>0</v>
      </c>
      <c r="AU39">
        <f>IF(P39=0,0,COUNTIF('Transect 4_imgsummary'!E39:I39,"LOBOPH")*100/P39)</f>
        <v>0</v>
      </c>
      <c r="AV39">
        <f>IF(P39=0,0,COUNTIF('Transect 4_imgsummary'!E39:I39,"MERU")*100/P39)</f>
        <v>0</v>
      </c>
      <c r="AW39">
        <f>IF(P39=0,0,COUNTIF('Transect 4_imgsummary'!E39:I39,"MILL")*100/P39)</f>
        <v>0</v>
      </c>
      <c r="AX39">
        <f>IF(P39=0,0,COUNTIF('Transect 4_imgsummary'!E39:I39,"MONT")*100/P39)</f>
        <v>0</v>
      </c>
      <c r="AY39">
        <f>IF(P39=0,0,COUNTIF('Transect 4_imgsummary'!E39:I39,"MONTI")*100/P39)</f>
        <v>0</v>
      </c>
      <c r="AZ39">
        <f>IF(P39=0,0,COUNTIF('Transect 4_imgsummary'!E39:I39,"MYCED")*100/P39)</f>
        <v>0</v>
      </c>
      <c r="BA39">
        <f>IF(P39=0,0,COUNTIF('Transect 4_imgsummary'!E39:I39,"OULO")*100/P39)</f>
        <v>0</v>
      </c>
      <c r="BB39">
        <f>IF(P39=0,0,COUNTIF('Transect 4_imgsummary'!E39:I39,"OXYP")*100/P39)</f>
        <v>0</v>
      </c>
      <c r="BC39">
        <f>IF(P39=0,0,COUNTIF('Transect 4_imgsummary'!E39:I39,"PLSIA")*100/P39)</f>
        <v>0</v>
      </c>
      <c r="BD39">
        <f>IF(P39=0,0,COUNTIF('Transect 4_imgsummary'!E39:I39,"PACHY")*100/P39)</f>
        <v>0</v>
      </c>
      <c r="BE39">
        <f>IF(P39=0,0,COUNTIF('Transect 4_imgsummary'!E39:I39,"PAV")*100/P39)</f>
        <v>0</v>
      </c>
      <c r="BF39">
        <f>IF(P39=0,0,COUNTIF('Transect 4_imgsummary'!E39:I39,"PECT")*100/P39)</f>
        <v>0</v>
      </c>
      <c r="BG39">
        <f>IF(P39=0,0,COUNTIF('Transect 4_imgsummary'!E39:I39,"PHYSO")*100/P39)</f>
        <v>0</v>
      </c>
      <c r="BH39" s="29">
        <f>IF(P39=0,0,COUNTIF('Transect 4_imgsummary'!E39:I39,"PLAT")*100/P39)</f>
        <v>20</v>
      </c>
      <c r="BI39">
        <f>IF(P39=0,0,COUNTIF('Transect 4_imgsummary'!E39:I39,"PLERO")*100/P39)</f>
        <v>0</v>
      </c>
      <c r="BJ39">
        <f>IF(P39=0,0,COUNTIF('Transect 4_imgsummary'!E39:I39,"POC")*100/P39)</f>
        <v>0</v>
      </c>
      <c r="BK39">
        <f>IF(P39=0,0,COUNTIF('Transect 4_imgsummary'!E39:I39,"POR")*100/P39)</f>
        <v>0</v>
      </c>
      <c r="BL39">
        <f>IF(P39=0,0,COUNTIF('Transect 4_imgsummary'!E39:I39,"PORCYL")*100/P39)</f>
        <v>0</v>
      </c>
      <c r="BM39">
        <f>IF(P39=0,0,COUNTIF('Transect 4_imgsummary'!E39:I39,"PORMAS")*100/P39)</f>
        <v>0</v>
      </c>
      <c r="BN39">
        <f>IF(P39=0,0,COUNTIF('Transect 4_imgsummary'!E39:I39,"PORRUS")*100/P39)</f>
        <v>0</v>
      </c>
      <c r="BO39">
        <f>IF(P39=0,0,COUNTIF('Transect 4_imgsummary'!E39:I39,"PSAM")*100/P39)</f>
        <v>0</v>
      </c>
      <c r="BP39">
        <f>IF(P39=0,0,COUNTIF('Transect 4_imgsummary'!E39:I39,"SANDO")*100/P39)</f>
        <v>0</v>
      </c>
      <c r="BQ39">
        <f>IF(P39=0,0,COUNTIF('Transect 4_imgsummary'!E39:I39,"SCAP")*100/P39)</f>
        <v>0</v>
      </c>
      <c r="BR39">
        <f>IF(P39=0,0,COUNTIF('Transect 4_imgsummary'!E39:I39,"SERIA")*100/P39)</f>
        <v>0</v>
      </c>
      <c r="BS39">
        <f>IF(P39=0,0,COUNTIF('Transect 4_imgsummary'!E39:I39,"STYLC")*100/P39)</f>
        <v>0</v>
      </c>
      <c r="BT39" s="29">
        <f>IF(P39=0,0,COUNTIF('Transect 4_imgsummary'!E39:I39,"STYLO")*100/P39)</f>
        <v>20</v>
      </c>
      <c r="BU39">
        <f>IF(P39=0,0,COUNTIF('Transect 4_imgsummary'!E39:I39,"SYMP")*100/P39)</f>
        <v>0</v>
      </c>
      <c r="BV39">
        <f>IF(P39=0,0,COUNTIF('Transect 4_imgsummary'!E39:I39,"TURBIN")*100/P39)</f>
        <v>0</v>
      </c>
      <c r="BX39">
        <f>IF(P39=0,0,COUNTIF('Transect 4_imgsummary'!E39:I39,"ANEM")*100/P39)</f>
        <v>0</v>
      </c>
      <c r="BY39">
        <f>IF(P39=0,0,COUNTIF('Transect 4_imgsummary'!E39:I39,"ASC")*100/P39)</f>
        <v>0</v>
      </c>
      <c r="BZ39">
        <f>IF(P39=0,0,COUNTIF('Transect 4_imgsummary'!E39:I39,"CUPS")*100/P39)</f>
        <v>0</v>
      </c>
      <c r="CA39">
        <f>IF(P39=0,0,COUNTIF('Transect 4_imgsummary'!E39:I39,"DISCO")*100/P39)</f>
        <v>0</v>
      </c>
      <c r="CB39">
        <f>IF(P39=0,0,COUNTIF('Transect 4_imgsummary'!E39:I39,"DYS")*100/P39)</f>
        <v>0</v>
      </c>
      <c r="CC39">
        <f>IF(P39=0,0,COUNTIF('Transect 4_imgsummary'!E39:I39,"G")*100/P39)</f>
        <v>0</v>
      </c>
      <c r="CD39">
        <f>IF(P39=0,0,COUNTIF('Transect 4_imgsummary'!E39:I39,"NoIDINV")*100/P39)</f>
        <v>0</v>
      </c>
      <c r="CE39">
        <f>IF(P39=0,0,COUNTIF('Transect 4_imgsummary'!E39:I39,"OLV")*100/P39)</f>
        <v>0</v>
      </c>
      <c r="CF39">
        <f>IF(P39=0,0,COUNTIF('Transect 4_imgsummary'!E39:I39,"SC")*100/P39)</f>
        <v>0</v>
      </c>
      <c r="CG39">
        <f>IF(P39=0,0,COUNTIF('Transect 4_imgsummary'!E39:I39,"S")*100/P39)</f>
        <v>0</v>
      </c>
      <c r="CH39">
        <f>IF(P39=0,0,COUNTIF('Transect 4_imgsummary'!E39:I39,"TERPS")*100/P39)</f>
        <v>0</v>
      </c>
      <c r="CI39">
        <f>IF(P39=0,0,COUNTIF('Transect 4_imgsummary'!E39:I39,"Z")*100/P39)</f>
        <v>0</v>
      </c>
      <c r="CK39">
        <f>IF(P39=0,0,COUNTIF('Transect 4_imgsummary'!E39:I39,"ASP")*100/P39)</f>
        <v>0</v>
      </c>
      <c r="CL39">
        <f>IF(P39=0,0,COUNTIF('Transect 4_imgsummary'!E39:I39,"BG")*100/P39)</f>
        <v>0</v>
      </c>
      <c r="CM39">
        <f>IF(P39=0,0,COUNTIF('Transect 4_imgsummary'!E39:I39,"Bood")*100/P39)</f>
        <v>0</v>
      </c>
      <c r="CN39">
        <f>IF(P39=0,0,COUNTIF('Transect 4_imgsummary'!E39:I39,"BRYP")*100/P39)</f>
        <v>0</v>
      </c>
      <c r="CO39">
        <f>IF(P39=0,0,COUNTIF('Transect 4_imgsummary'!E39:I39,"CLP")*100/P39)</f>
        <v>0</v>
      </c>
      <c r="CP39">
        <f>IF(P39=0,0,COUNTIF('Transect 4_imgsummary'!E39:I39,"CHLDES")*100/P39)</f>
        <v>0</v>
      </c>
      <c r="CQ39">
        <f>IF(P39=0,0,COUNTIF('Transect 4_imgsummary'!E39:I39,"DYCTY")*100/P39)</f>
        <v>0</v>
      </c>
      <c r="CR39">
        <f>IF(P39=0,0,COUNTIF('Transect 4_imgsummary'!E39:I39,"DICT")*100/P39)</f>
        <v>0</v>
      </c>
      <c r="CS39">
        <f>IF(P39=0,0,COUNTIF('Transect 4_imgsummary'!E39:I39,"GLXU")*100/P39)</f>
        <v>0</v>
      </c>
      <c r="CT39">
        <f>IF(P39=0,0,COUNTIF('Transect 4_imgsummary'!E39:I39,"HALI")*100/P39)</f>
        <v>0</v>
      </c>
      <c r="CU39">
        <f>IF(P39=0,0,COUNTIF('Transect 4_imgsummary'!E39:I39,"LIAG")*100/P39)</f>
        <v>0</v>
      </c>
      <c r="CV39">
        <f>IF(P39=0,0,COUNTIF('Transect 4_imgsummary'!E39:I39,"LOBO")*100/P39)</f>
        <v>0</v>
      </c>
      <c r="CW39">
        <f>IF(P39=0,0,COUNTIF('Transect 4_imgsummary'!E39:I39,"MAST")*100/P39)</f>
        <v>0</v>
      </c>
      <c r="CX39">
        <f>IF(P39=0,0,COUNTIF('Transect 4_imgsummary'!E39:I39,"MICDTY")*100/P39)</f>
        <v>0</v>
      </c>
      <c r="CY39">
        <f>IF(P39=0,0,COUNTIF('Transect 4_imgsummary'!E39:I39,"NEOM")*100/P39)</f>
        <v>0</v>
      </c>
      <c r="CZ39">
        <f>IF(P39=0,0,COUNTIF('Transect 4_imgsummary'!E39:I39,"NOIDMAC")*100/P39)</f>
        <v>0</v>
      </c>
      <c r="DA39">
        <f>IF(P39=0,0,COUNTIF('Transect 4_imgsummary'!E39:I39,"PAD")*100/P39)</f>
        <v>0</v>
      </c>
      <c r="DB39">
        <f>IF(P39=0,0,COUNTIF('Transect 4_imgsummary'!E39:I39,"SARG")*100/P39)</f>
        <v>0</v>
      </c>
      <c r="DC39">
        <f>IF(P39=0,0,COUNTIF('Transect 4_imgsummary'!E39:I39,"SCHIZ")*100/P39)</f>
        <v>0</v>
      </c>
      <c r="DD39">
        <f>IF(P39=0,0,COUNTIF('Transect 4_imgsummary'!E39:I39,"TURB")*100/P39)</f>
        <v>0</v>
      </c>
      <c r="DE39">
        <f>IF(P39=0,0,COUNTIF('Transect 4_imgsummary'!E39:I39,"TYDM")*100/P39)</f>
        <v>0</v>
      </c>
      <c r="DG39">
        <f>IF(P39=0,0,COUNTIF('Transect 4_imgsummary'!E39:I39,"AMP")*100/P39)</f>
        <v>0</v>
      </c>
      <c r="DH39" s="29">
        <f>IF(P39=0,0,COUNTIF('Transect 4_imgsummary'!E39:I39,"BCA1")*100/P39)</f>
        <v>20</v>
      </c>
      <c r="DI39">
        <f>IF(P39=0,0,COUNTIF('Transect 4_imgsummary'!E39:I39,"JAN")*100/P39)</f>
        <v>0</v>
      </c>
      <c r="DK39" s="29">
        <f>IF(P39=0,0,COUNTIF('Transect 4_imgsummary'!E39:I39,"CCA1")*100/P39)</f>
        <v>40</v>
      </c>
      <c r="DM39">
        <f>IF(P39=0,0,COUNTIF('Transect 4_imgsummary'!E39:I39,"Sand")*100/P39)</f>
        <v>0</v>
      </c>
      <c r="DO39">
        <f>IF(P39=0,0,COUNTIF('Transect 4_imgsummary'!E39:I39,"FCA1")*100/P39)</f>
        <v>0</v>
      </c>
      <c r="DQ39">
        <f>IF(P39=0,0,COUNTIF('Transect 4_imgsummary'!E39:I39,"CHRYOBRN")*100/P39)</f>
        <v>0</v>
      </c>
      <c r="DS39">
        <f>IF(P39=0,0,COUNTIF('Transect 4_imgsummary'!E39:I39,"TURF")*100/P39)</f>
        <v>0</v>
      </c>
      <c r="DU39">
        <f>COUNTIF('Transect 4_imgsummary'!E39:I39,"Shadow")*100/5</f>
        <v>0</v>
      </c>
      <c r="DV39">
        <f>COUNTIF('Transect 4_imgsummary'!E39:I39,"Tape")*100/5</f>
        <v>0</v>
      </c>
      <c r="DW39">
        <f>COUNTIF('Transect 4_imgsummary'!E39:I39,"Wand")*100/5</f>
        <v>0</v>
      </c>
      <c r="DY39">
        <f>IF(P39=0,0,COUNTIF('Transect 4_imgsummary'!O39:S39,"BC")*100/P39)</f>
        <v>0</v>
      </c>
    </row>
    <row r="40" spans="1:129">
      <c r="A40">
        <v>38</v>
      </c>
      <c r="B40" t="s">
        <v>583</v>
      </c>
      <c r="F40" s="29">
        <f>IF(P40=0,0,COUNTIF('Transect 4_imgsummary'!J40:N40,"C")*100/P40)</f>
        <v>80</v>
      </c>
      <c r="G40">
        <f>IF(P40=0,0,COUNTIF('Transect 4_imgsummary'!J40:N40,"OI")*100/P40)</f>
        <v>0</v>
      </c>
      <c r="H40">
        <f>IF(P40=0,0,COUNTIF('Transect 4_imgsummary'!J40:N40,"MA")*100/P40)</f>
        <v>0</v>
      </c>
      <c r="I40">
        <f>IF(P40=0,0,COUNTIF('Transect 4_imgsummary'!J40:N40,"BCA")*100/P40)</f>
        <v>0</v>
      </c>
      <c r="J40" s="29">
        <f>IF(P40=0,0,COUNTIF('Transect 4_imgsummary'!J40:N40,"CCA")*100/P40)</f>
        <v>20</v>
      </c>
      <c r="K40">
        <f>IF(P40=0,0,COUNTIF('Transect 4_imgsummary'!J40:N40,"SD")*100/P40)</f>
        <v>0</v>
      </c>
      <c r="L40">
        <f>IF(P40=0,0,COUNTIF('Transect 4_imgsummary'!J40:N40,"FCA")*100/P40)</f>
        <v>0</v>
      </c>
      <c r="M40">
        <f>IF(P40=0,0,COUNTIF('Transect 4_imgsummary'!J40:N40,"CHRYS")*100/P40)</f>
        <v>0</v>
      </c>
      <c r="N40">
        <f>IF(P40=0,0,COUNTIF('Transect 4_imgsummary'!J40:N40,"T")*100/P40)</f>
        <v>0</v>
      </c>
      <c r="O40">
        <f>IF(P40=0,0,COUNTIF('Transect 4_imgsummary'!J40:N40,"TWS")*100/P40)</f>
        <v>0</v>
      </c>
      <c r="P40">
        <f>5-COUNTIF('Transect 4_imgsummary'!J40:N40,"TWS")</f>
        <v>5</v>
      </c>
      <c r="S40">
        <f>IF(P40=0,0,COUNTIF('Transect 4_imgsummary'!E40:I40,"ACAN")*100/P40)</f>
        <v>0</v>
      </c>
      <c r="T40">
        <f>IF(P40=0,0,COUNTIF('Transect 4_imgsummary'!E40:I40,"ACROP")*100/P40)</f>
        <v>0</v>
      </c>
      <c r="U40">
        <f>IF(P40=0,0,COUNTIF('Transect 4_imgsummary'!E40:I40,"ACROPARB")*100/P40)</f>
        <v>0</v>
      </c>
      <c r="V40">
        <f>IF(P40=0,0,COUNTIF('Transect 4_imgsummary'!E40:I40,"ACROST")*100/P40)</f>
        <v>0</v>
      </c>
      <c r="W40">
        <f>IF(P40=0,0,COUNTIF('Transect 4_imgsummary'!E40:I40,"ACROTBL")*100/P40)</f>
        <v>0</v>
      </c>
      <c r="X40">
        <f>IF(P40=0,0,COUNTIF('Transect 4_imgsummary'!E40:I40,"ASTRP")*100/P40)</f>
        <v>0</v>
      </c>
      <c r="Y40">
        <f>IF(P40=0,0,COUNTIF('Transect 4_imgsummary'!E40:I40,"CAUL")*100/P40)</f>
        <v>0</v>
      </c>
      <c r="Z40">
        <f>IF(P40=0,0,COUNTIF('Transect 4_imgsummary'!E40:I40,"COSC")*100/P40)</f>
        <v>0</v>
      </c>
      <c r="AA40">
        <f>IF(P40=0,0,COUNTIF('Transect 4_imgsummary'!E40:I40,"CTEN")*100/P40)</f>
        <v>0</v>
      </c>
      <c r="AB40">
        <f>IF(P40=0,0,COUNTIF('Transect 4_imgsummary'!E40:I40,"CYPH")*100/P40)</f>
        <v>0</v>
      </c>
      <c r="AC40">
        <f>IF(P40=0,0,COUNTIF('Transect 4_imgsummary'!E40:I40,"DIPLO")*100/P40)</f>
        <v>0</v>
      </c>
      <c r="AD40">
        <f>IF(P40=0,0,COUNTIF('Transect 4_imgsummary'!E40:I40,"ECHPO")*100/P40)</f>
        <v>0</v>
      </c>
      <c r="AE40">
        <f>IF(P40=0,0,COUNTIF('Transect 4_imgsummary'!E40:I40,"ECHPHY")*100/P40)</f>
        <v>0</v>
      </c>
      <c r="AF40">
        <f>IF(P40=0,0,COUNTIF('Transect 4_imgsummary'!E40:I40,"EUPH")*100/P40)</f>
        <v>0</v>
      </c>
      <c r="AG40">
        <f>IF(P40=0,0,COUNTIF('Transect 4_imgsummary'!E40:I40,"FAV")*100/P40)</f>
        <v>0</v>
      </c>
      <c r="AH40">
        <f>IF(P40=0,0,COUNTIF('Transect 4_imgsummary'!E40:I40,"FAVT")*100/P40)</f>
        <v>0</v>
      </c>
      <c r="AI40">
        <f>IF(P40=0,0,COUNTIF('Transect 4_imgsummary'!E40:I40,"FUNG")*100/P40)</f>
        <v>0</v>
      </c>
      <c r="AJ40">
        <f>IF(P40=0,0,COUNTIF('Transect 4_imgsummary'!E40:I40,"GAL")*100/P40)</f>
        <v>0</v>
      </c>
      <c r="AK40">
        <f>IF(P40=0,0,COUNTIF('Transect 4_imgsummary'!E40:I40,"GARD")*100/P40)</f>
        <v>0</v>
      </c>
      <c r="AL40">
        <f>IF(P40=0,0,COUNTIF('Transect 4_imgsummary'!E40:I40,"GON")*100/P40)</f>
        <v>0</v>
      </c>
      <c r="AM40">
        <f>IF(P40=0,0,COUNTIF('Transect 4_imgsummary'!E40:I40,"GONIO")*100/P40)</f>
        <v>0</v>
      </c>
      <c r="AN40">
        <f>IF(P40=0,0,COUNTIF('Transect 4_imgsummary'!E40:I40,"HELIO")*100/P40)</f>
        <v>0</v>
      </c>
      <c r="AO40">
        <f>IF(P40=0,0,COUNTIF('Transect 4_imgsummary'!E40:I40,"HERP")*100/P40)</f>
        <v>0</v>
      </c>
      <c r="AP40">
        <f>IF(P40=0,0,COUNTIF('Transect 4_imgsummary'!E40:I40,"HYD")*100/P40)</f>
        <v>0</v>
      </c>
      <c r="AQ40">
        <f>IF(P40=0,0,COUNTIF('Transect 4_imgsummary'!E40:I40,"ISOP")*100/P40)</f>
        <v>0</v>
      </c>
      <c r="AR40">
        <f>IF(P40=0,0,COUNTIF('Transect 4_imgsummary'!E40:I40,"LEPT")*100/P40)</f>
        <v>0</v>
      </c>
      <c r="AS40" s="29">
        <f>IF(P40=0,0,COUNTIF('Transect 4_imgsummary'!E40:I40,"LEPTOR")*100/P40)</f>
        <v>20</v>
      </c>
      <c r="AT40">
        <f>IF(P40=0,0,COUNTIF('Transect 4_imgsummary'!E40:I40,"LEPTOS")*100/P40)</f>
        <v>0</v>
      </c>
      <c r="AU40">
        <f>IF(P40=0,0,COUNTIF('Transect 4_imgsummary'!E40:I40,"LOBOPH")*100/P40)</f>
        <v>0</v>
      </c>
      <c r="AV40">
        <f>IF(P40=0,0,COUNTIF('Transect 4_imgsummary'!E40:I40,"MERU")*100/P40)</f>
        <v>0</v>
      </c>
      <c r="AW40">
        <f>IF(P40=0,0,COUNTIF('Transect 4_imgsummary'!E40:I40,"MILL")*100/P40)</f>
        <v>0</v>
      </c>
      <c r="AX40">
        <f>IF(P40=0,0,COUNTIF('Transect 4_imgsummary'!E40:I40,"MONT")*100/P40)</f>
        <v>0</v>
      </c>
      <c r="AY40">
        <f>IF(P40=0,0,COUNTIF('Transect 4_imgsummary'!E40:I40,"MONTI")*100/P40)</f>
        <v>0</v>
      </c>
      <c r="AZ40">
        <f>IF(P40=0,0,COUNTIF('Transect 4_imgsummary'!E40:I40,"MYCED")*100/P40)</f>
        <v>0</v>
      </c>
      <c r="BA40">
        <f>IF(P40=0,0,COUNTIF('Transect 4_imgsummary'!E40:I40,"OULO")*100/P40)</f>
        <v>0</v>
      </c>
      <c r="BB40">
        <f>IF(P40=0,0,COUNTIF('Transect 4_imgsummary'!E40:I40,"OXYP")*100/P40)</f>
        <v>0</v>
      </c>
      <c r="BC40">
        <f>IF(P40=0,0,COUNTIF('Transect 4_imgsummary'!E40:I40,"PLSIA")*100/P40)</f>
        <v>0</v>
      </c>
      <c r="BD40">
        <f>IF(P40=0,0,COUNTIF('Transect 4_imgsummary'!E40:I40,"PACHY")*100/P40)</f>
        <v>0</v>
      </c>
      <c r="BE40">
        <f>IF(P40=0,0,COUNTIF('Transect 4_imgsummary'!E40:I40,"PAV")*100/P40)</f>
        <v>0</v>
      </c>
      <c r="BF40">
        <f>IF(P40=0,0,COUNTIF('Transect 4_imgsummary'!E40:I40,"PECT")*100/P40)</f>
        <v>0</v>
      </c>
      <c r="BG40">
        <f>IF(P40=0,0,COUNTIF('Transect 4_imgsummary'!E40:I40,"PHYSO")*100/P40)</f>
        <v>0</v>
      </c>
      <c r="BH40">
        <f>IF(P40=0,0,COUNTIF('Transect 4_imgsummary'!E40:I40,"PLAT")*100/P40)</f>
        <v>0</v>
      </c>
      <c r="BI40">
        <f>IF(P40=0,0,COUNTIF('Transect 4_imgsummary'!E40:I40,"PLERO")*100/P40)</f>
        <v>0</v>
      </c>
      <c r="BJ40">
        <f>IF(P40=0,0,COUNTIF('Transect 4_imgsummary'!E40:I40,"POC")*100/P40)</f>
        <v>0</v>
      </c>
      <c r="BK40">
        <f>IF(P40=0,0,COUNTIF('Transect 4_imgsummary'!E40:I40,"POR")*100/P40)</f>
        <v>0</v>
      </c>
      <c r="BL40">
        <f>IF(P40=0,0,COUNTIF('Transect 4_imgsummary'!E40:I40,"PORCYL")*100/P40)</f>
        <v>0</v>
      </c>
      <c r="BM40">
        <f>IF(P40=0,0,COUNTIF('Transect 4_imgsummary'!E40:I40,"PORMAS")*100/P40)</f>
        <v>0</v>
      </c>
      <c r="BN40">
        <f>IF(P40=0,0,COUNTIF('Transect 4_imgsummary'!E40:I40,"PORRUS")*100/P40)</f>
        <v>0</v>
      </c>
      <c r="BO40">
        <f>IF(P40=0,0,COUNTIF('Transect 4_imgsummary'!E40:I40,"PSAM")*100/P40)</f>
        <v>0</v>
      </c>
      <c r="BP40">
        <f>IF(P40=0,0,COUNTIF('Transect 4_imgsummary'!E40:I40,"SANDO")*100/P40)</f>
        <v>0</v>
      </c>
      <c r="BQ40">
        <f>IF(P40=0,0,COUNTIF('Transect 4_imgsummary'!E40:I40,"SCAP")*100/P40)</f>
        <v>0</v>
      </c>
      <c r="BR40">
        <f>IF(P40=0,0,COUNTIF('Transect 4_imgsummary'!E40:I40,"SERIA")*100/P40)</f>
        <v>0</v>
      </c>
      <c r="BS40">
        <f>IF(P40=0,0,COUNTIF('Transect 4_imgsummary'!E40:I40,"STYLC")*100/P40)</f>
        <v>0</v>
      </c>
      <c r="BT40" s="29">
        <f>IF(P40=0,0,COUNTIF('Transect 4_imgsummary'!E40:I40,"STYLO")*100/P40)</f>
        <v>60</v>
      </c>
      <c r="BU40">
        <f>IF(P40=0,0,COUNTIF('Transect 4_imgsummary'!E40:I40,"SYMP")*100/P40)</f>
        <v>0</v>
      </c>
      <c r="BV40">
        <f>IF(P40=0,0,COUNTIF('Transect 4_imgsummary'!E40:I40,"TURBIN")*100/P40)</f>
        <v>0</v>
      </c>
      <c r="BX40">
        <f>IF(P40=0,0,COUNTIF('Transect 4_imgsummary'!E40:I40,"ANEM")*100/P40)</f>
        <v>0</v>
      </c>
      <c r="BY40">
        <f>IF(P40=0,0,COUNTIF('Transect 4_imgsummary'!E40:I40,"ASC")*100/P40)</f>
        <v>0</v>
      </c>
      <c r="BZ40">
        <f>IF(P40=0,0,COUNTIF('Transect 4_imgsummary'!E40:I40,"CUPS")*100/P40)</f>
        <v>0</v>
      </c>
      <c r="CA40">
        <f>IF(P40=0,0,COUNTIF('Transect 4_imgsummary'!E40:I40,"DISCO")*100/P40)</f>
        <v>0</v>
      </c>
      <c r="CB40">
        <f>IF(P40=0,0,COUNTIF('Transect 4_imgsummary'!E40:I40,"DYS")*100/P40)</f>
        <v>0</v>
      </c>
      <c r="CC40">
        <f>IF(P40=0,0,COUNTIF('Transect 4_imgsummary'!E40:I40,"G")*100/P40)</f>
        <v>0</v>
      </c>
      <c r="CD40">
        <f>IF(P40=0,0,COUNTIF('Transect 4_imgsummary'!E40:I40,"NoIDINV")*100/P40)</f>
        <v>0</v>
      </c>
      <c r="CE40">
        <f>IF(P40=0,0,COUNTIF('Transect 4_imgsummary'!E40:I40,"OLV")*100/P40)</f>
        <v>0</v>
      </c>
      <c r="CF40">
        <f>IF(P40=0,0,COUNTIF('Transect 4_imgsummary'!E40:I40,"SC")*100/P40)</f>
        <v>0</v>
      </c>
      <c r="CG40">
        <f>IF(P40=0,0,COUNTIF('Transect 4_imgsummary'!E40:I40,"S")*100/P40)</f>
        <v>0</v>
      </c>
      <c r="CH40">
        <f>IF(P40=0,0,COUNTIF('Transect 4_imgsummary'!E40:I40,"TERPS")*100/P40)</f>
        <v>0</v>
      </c>
      <c r="CI40">
        <f>IF(P40=0,0,COUNTIF('Transect 4_imgsummary'!E40:I40,"Z")*100/P40)</f>
        <v>0</v>
      </c>
      <c r="CK40">
        <f>IF(P40=0,0,COUNTIF('Transect 4_imgsummary'!E40:I40,"ASP")*100/P40)</f>
        <v>0</v>
      </c>
      <c r="CL40">
        <f>IF(P40=0,0,COUNTIF('Transect 4_imgsummary'!E40:I40,"BG")*100/P40)</f>
        <v>0</v>
      </c>
      <c r="CM40">
        <f>IF(P40=0,0,COUNTIF('Transect 4_imgsummary'!E40:I40,"Bood")*100/P40)</f>
        <v>0</v>
      </c>
      <c r="CN40">
        <f>IF(P40=0,0,COUNTIF('Transect 4_imgsummary'!E40:I40,"BRYP")*100/P40)</f>
        <v>0</v>
      </c>
      <c r="CO40">
        <f>IF(P40=0,0,COUNTIF('Transect 4_imgsummary'!E40:I40,"CLP")*100/P40)</f>
        <v>0</v>
      </c>
      <c r="CP40">
        <f>IF(P40=0,0,COUNTIF('Transect 4_imgsummary'!E40:I40,"CHLDES")*100/P40)</f>
        <v>0</v>
      </c>
      <c r="CQ40">
        <f>IF(P40=0,0,COUNTIF('Transect 4_imgsummary'!E40:I40,"DYCTY")*100/P40)</f>
        <v>0</v>
      </c>
      <c r="CR40">
        <f>IF(P40=0,0,COUNTIF('Transect 4_imgsummary'!E40:I40,"DICT")*100/P40)</f>
        <v>0</v>
      </c>
      <c r="CS40">
        <f>IF(P40=0,0,COUNTIF('Transect 4_imgsummary'!E40:I40,"GLXU")*100/P40)</f>
        <v>0</v>
      </c>
      <c r="CT40">
        <f>IF(P40=0,0,COUNTIF('Transect 4_imgsummary'!E40:I40,"HALI")*100/P40)</f>
        <v>0</v>
      </c>
      <c r="CU40">
        <f>IF(P40=0,0,COUNTIF('Transect 4_imgsummary'!E40:I40,"LIAG")*100/P40)</f>
        <v>0</v>
      </c>
      <c r="CV40">
        <f>IF(P40=0,0,COUNTIF('Transect 4_imgsummary'!E40:I40,"LOBO")*100/P40)</f>
        <v>0</v>
      </c>
      <c r="CW40">
        <f>IF(P40=0,0,COUNTIF('Transect 4_imgsummary'!E40:I40,"MAST")*100/P40)</f>
        <v>0</v>
      </c>
      <c r="CX40">
        <f>IF(P40=0,0,COUNTIF('Transect 4_imgsummary'!E40:I40,"MICDTY")*100/P40)</f>
        <v>0</v>
      </c>
      <c r="CY40">
        <f>IF(P40=0,0,COUNTIF('Transect 4_imgsummary'!E40:I40,"NEOM")*100/P40)</f>
        <v>0</v>
      </c>
      <c r="CZ40">
        <f>IF(P40=0,0,COUNTIF('Transect 4_imgsummary'!E40:I40,"NOIDMAC")*100/P40)</f>
        <v>0</v>
      </c>
      <c r="DA40">
        <f>IF(P40=0,0,COUNTIF('Transect 4_imgsummary'!E40:I40,"PAD")*100/P40)</f>
        <v>0</v>
      </c>
      <c r="DB40">
        <f>IF(P40=0,0,COUNTIF('Transect 4_imgsummary'!E40:I40,"SARG")*100/P40)</f>
        <v>0</v>
      </c>
      <c r="DC40">
        <f>IF(P40=0,0,COUNTIF('Transect 4_imgsummary'!E40:I40,"SCHIZ")*100/P40)</f>
        <v>0</v>
      </c>
      <c r="DD40">
        <f>IF(P40=0,0,COUNTIF('Transect 4_imgsummary'!E40:I40,"TURB")*100/P40)</f>
        <v>0</v>
      </c>
      <c r="DE40">
        <f>IF(P40=0,0,COUNTIF('Transect 4_imgsummary'!E40:I40,"TYDM")*100/P40)</f>
        <v>0</v>
      </c>
      <c r="DG40">
        <f>IF(P40=0,0,COUNTIF('Transect 4_imgsummary'!E40:I40,"AMP")*100/P40)</f>
        <v>0</v>
      </c>
      <c r="DH40">
        <f>IF(P40=0,0,COUNTIF('Transect 4_imgsummary'!E40:I40,"BCA1")*100/P40)</f>
        <v>0</v>
      </c>
      <c r="DI40">
        <f>IF(P40=0,0,COUNTIF('Transect 4_imgsummary'!E40:I40,"JAN")*100/P40)</f>
        <v>0</v>
      </c>
      <c r="DK40" s="29">
        <f>IF(P40=0,0,COUNTIF('Transect 4_imgsummary'!E40:I40,"CCA1")*100/P40)</f>
        <v>20</v>
      </c>
      <c r="DM40">
        <f>IF(P40=0,0,COUNTIF('Transect 4_imgsummary'!E40:I40,"Sand")*100/P40)</f>
        <v>0</v>
      </c>
      <c r="DO40">
        <f>IF(P40=0,0,COUNTIF('Transect 4_imgsummary'!E40:I40,"FCA1")*100/P40)</f>
        <v>0</v>
      </c>
      <c r="DQ40">
        <f>IF(P40=0,0,COUNTIF('Transect 4_imgsummary'!E40:I40,"CHRYOBRN")*100/P40)</f>
        <v>0</v>
      </c>
      <c r="DS40">
        <f>IF(P40=0,0,COUNTIF('Transect 4_imgsummary'!E40:I40,"TURF")*100/P40)</f>
        <v>0</v>
      </c>
      <c r="DU40">
        <f>COUNTIF('Transect 4_imgsummary'!E40:I40,"Shadow")*100/5</f>
        <v>0</v>
      </c>
      <c r="DV40">
        <f>COUNTIF('Transect 4_imgsummary'!E40:I40,"Tape")*100/5</f>
        <v>0</v>
      </c>
      <c r="DW40">
        <f>COUNTIF('Transect 4_imgsummary'!E40:I40,"Wand")*100/5</f>
        <v>0</v>
      </c>
      <c r="DY40">
        <f>IF(P40=0,0,COUNTIF('Transect 4_imgsummary'!O40:S40,"BC")*100/P40)</f>
        <v>0</v>
      </c>
    </row>
    <row r="41" spans="1:129">
      <c r="A41">
        <v>39</v>
      </c>
      <c r="B41" t="s">
        <v>584</v>
      </c>
      <c r="F41" s="29">
        <f>IF(P41=0,0,COUNTIF('Transect 4_imgsummary'!J41:N41,"C")*100/P41)</f>
        <v>60</v>
      </c>
      <c r="G41">
        <f>IF(P41=0,0,COUNTIF('Transect 4_imgsummary'!J41:N41,"OI")*100/P41)</f>
        <v>0</v>
      </c>
      <c r="H41">
        <f>IF(P41=0,0,COUNTIF('Transect 4_imgsummary'!J41:N41,"MA")*100/P41)</f>
        <v>0</v>
      </c>
      <c r="I41">
        <f>IF(P41=0,0,COUNTIF('Transect 4_imgsummary'!J41:N41,"BCA")*100/P41)</f>
        <v>0</v>
      </c>
      <c r="J41" s="29">
        <f>IF(P41=0,0,COUNTIF('Transect 4_imgsummary'!J41:N41,"CCA")*100/P41)</f>
        <v>20</v>
      </c>
      <c r="K41">
        <f>IF(P41=0,0,COUNTIF('Transect 4_imgsummary'!J41:N41,"SD")*100/P41)</f>
        <v>0</v>
      </c>
      <c r="L41">
        <f>IF(P41=0,0,COUNTIF('Transect 4_imgsummary'!J41:N41,"FCA")*100/P41)</f>
        <v>0</v>
      </c>
      <c r="M41">
        <f>IF(P41=0,0,COUNTIF('Transect 4_imgsummary'!J41:N41,"CHRYS")*100/P41)</f>
        <v>0</v>
      </c>
      <c r="N41" s="29">
        <f>IF(P41=0,0,COUNTIF('Transect 4_imgsummary'!J41:N41,"T")*100/P41)</f>
        <v>20</v>
      </c>
      <c r="O41">
        <f>IF(P41=0,0,COUNTIF('Transect 4_imgsummary'!J41:N41,"TWS")*100/P41)</f>
        <v>0</v>
      </c>
      <c r="P41">
        <f>5-COUNTIF('Transect 4_imgsummary'!J41:N41,"TWS")</f>
        <v>5</v>
      </c>
      <c r="S41">
        <f>IF(P41=0,0,COUNTIF('Transect 4_imgsummary'!E41:I41,"ACAN")*100/P41)</f>
        <v>0</v>
      </c>
      <c r="T41">
        <f>IF(P41=0,0,COUNTIF('Transect 4_imgsummary'!E41:I41,"ACROP")*100/P41)</f>
        <v>0</v>
      </c>
      <c r="U41">
        <f>IF(P41=0,0,COUNTIF('Transect 4_imgsummary'!E41:I41,"ACROPARB")*100/P41)</f>
        <v>0</v>
      </c>
      <c r="V41">
        <f>IF(P41=0,0,COUNTIF('Transect 4_imgsummary'!E41:I41,"ACROST")*100/P41)</f>
        <v>0</v>
      </c>
      <c r="W41">
        <f>IF(P41=0,0,COUNTIF('Transect 4_imgsummary'!E41:I41,"ACROTBL")*100/P41)</f>
        <v>0</v>
      </c>
      <c r="X41">
        <f>IF(P41=0,0,COUNTIF('Transect 4_imgsummary'!E41:I41,"ASTRP")*100/P41)</f>
        <v>0</v>
      </c>
      <c r="Y41">
        <f>IF(P41=0,0,COUNTIF('Transect 4_imgsummary'!E41:I41,"CAUL")*100/P41)</f>
        <v>0</v>
      </c>
      <c r="Z41">
        <f>IF(P41=0,0,COUNTIF('Transect 4_imgsummary'!E41:I41,"COSC")*100/P41)</f>
        <v>0</v>
      </c>
      <c r="AA41">
        <f>IF(P41=0,0,COUNTIF('Transect 4_imgsummary'!E41:I41,"CTEN")*100/P41)</f>
        <v>0</v>
      </c>
      <c r="AB41">
        <f>IF(P41=0,0,COUNTIF('Transect 4_imgsummary'!E41:I41,"CYPH")*100/P41)</f>
        <v>0</v>
      </c>
      <c r="AC41">
        <f>IF(P41=0,0,COUNTIF('Transect 4_imgsummary'!E41:I41,"DIPLO")*100/P41)</f>
        <v>0</v>
      </c>
      <c r="AD41" s="29">
        <f>IF(P41=0,0,COUNTIF('Transect 4_imgsummary'!E41:I41,"ECHPO")*100/P41)</f>
        <v>20</v>
      </c>
      <c r="AE41">
        <f>IF(P41=0,0,COUNTIF('Transect 4_imgsummary'!E41:I41,"ECHPHY")*100/P41)</f>
        <v>0</v>
      </c>
      <c r="AF41">
        <f>IF(P41=0,0,COUNTIF('Transect 4_imgsummary'!E41:I41,"EUPH")*100/P41)</f>
        <v>0</v>
      </c>
      <c r="AG41">
        <f>IF(P41=0,0,COUNTIF('Transect 4_imgsummary'!E41:I41,"FAV")*100/P41)</f>
        <v>0</v>
      </c>
      <c r="AH41" s="29">
        <f>IF(P41=0,0,COUNTIF('Transect 4_imgsummary'!E41:I41,"FAVT")*100/P41)</f>
        <v>20</v>
      </c>
      <c r="AI41">
        <f>IF(P41=0,0,COUNTIF('Transect 4_imgsummary'!E41:I41,"FUNG")*100/P41)</f>
        <v>0</v>
      </c>
      <c r="AJ41">
        <f>IF(P41=0,0,COUNTIF('Transect 4_imgsummary'!E41:I41,"GAL")*100/P41)</f>
        <v>0</v>
      </c>
      <c r="AK41">
        <f>IF(P41=0,0,COUNTIF('Transect 4_imgsummary'!E41:I41,"GARD")*100/P41)</f>
        <v>0</v>
      </c>
      <c r="AL41">
        <f>IF(P41=0,0,COUNTIF('Transect 4_imgsummary'!E41:I41,"GON")*100/P41)</f>
        <v>0</v>
      </c>
      <c r="AM41">
        <f>IF(P41=0,0,COUNTIF('Transect 4_imgsummary'!E41:I41,"GONIO")*100/P41)</f>
        <v>0</v>
      </c>
      <c r="AN41">
        <f>IF(P41=0,0,COUNTIF('Transect 4_imgsummary'!E41:I41,"HELIO")*100/P41)</f>
        <v>0</v>
      </c>
      <c r="AO41">
        <f>IF(P41=0,0,COUNTIF('Transect 4_imgsummary'!E41:I41,"HERP")*100/P41)</f>
        <v>0</v>
      </c>
      <c r="AP41">
        <f>IF(P41=0,0,COUNTIF('Transect 4_imgsummary'!E41:I41,"HYD")*100/P41)</f>
        <v>0</v>
      </c>
      <c r="AQ41">
        <f>IF(P41=0,0,COUNTIF('Transect 4_imgsummary'!E41:I41,"ISOP")*100/P41)</f>
        <v>0</v>
      </c>
      <c r="AR41">
        <f>IF(P41=0,0,COUNTIF('Transect 4_imgsummary'!E41:I41,"LEPT")*100/P41)</f>
        <v>0</v>
      </c>
      <c r="AS41">
        <f>IF(P41=0,0,COUNTIF('Transect 4_imgsummary'!E41:I41,"LEPTOR")*100/P41)</f>
        <v>0</v>
      </c>
      <c r="AT41">
        <f>IF(P41=0,0,COUNTIF('Transect 4_imgsummary'!E41:I41,"LEPTOS")*100/P41)</f>
        <v>0</v>
      </c>
      <c r="AU41">
        <f>IF(P41=0,0,COUNTIF('Transect 4_imgsummary'!E41:I41,"LOBOPH")*100/P41)</f>
        <v>0</v>
      </c>
      <c r="AV41">
        <f>IF(P41=0,0,COUNTIF('Transect 4_imgsummary'!E41:I41,"MERU")*100/P41)</f>
        <v>0</v>
      </c>
      <c r="AW41">
        <f>IF(P41=0,0,COUNTIF('Transect 4_imgsummary'!E41:I41,"MILL")*100/P41)</f>
        <v>0</v>
      </c>
      <c r="AX41">
        <f>IF(P41=0,0,COUNTIF('Transect 4_imgsummary'!E41:I41,"MONT")*100/P41)</f>
        <v>0</v>
      </c>
      <c r="AY41">
        <f>IF(P41=0,0,COUNTIF('Transect 4_imgsummary'!E41:I41,"MONTI")*100/P41)</f>
        <v>0</v>
      </c>
      <c r="AZ41">
        <f>IF(P41=0,0,COUNTIF('Transect 4_imgsummary'!E41:I41,"MYCED")*100/P41)</f>
        <v>0</v>
      </c>
      <c r="BA41">
        <f>IF(P41=0,0,COUNTIF('Transect 4_imgsummary'!E41:I41,"OULO")*100/P41)</f>
        <v>0</v>
      </c>
      <c r="BB41">
        <f>IF(P41=0,0,COUNTIF('Transect 4_imgsummary'!E41:I41,"OXYP")*100/P41)</f>
        <v>0</v>
      </c>
      <c r="BC41">
        <f>IF(P41=0,0,COUNTIF('Transect 4_imgsummary'!E41:I41,"PLSIA")*100/P41)</f>
        <v>0</v>
      </c>
      <c r="BD41">
        <f>IF(P41=0,0,COUNTIF('Transect 4_imgsummary'!E41:I41,"PACHY")*100/P41)</f>
        <v>0</v>
      </c>
      <c r="BE41">
        <f>IF(P41=0,0,COUNTIF('Transect 4_imgsummary'!E41:I41,"PAV")*100/P41)</f>
        <v>0</v>
      </c>
      <c r="BF41">
        <f>IF(P41=0,0,COUNTIF('Transect 4_imgsummary'!E41:I41,"PECT")*100/P41)</f>
        <v>0</v>
      </c>
      <c r="BG41">
        <f>IF(P41=0,0,COUNTIF('Transect 4_imgsummary'!E41:I41,"PHYSO")*100/P41)</f>
        <v>0</v>
      </c>
      <c r="BH41">
        <f>IF(P41=0,0,COUNTIF('Transect 4_imgsummary'!E41:I41,"PLAT")*100/P41)</f>
        <v>0</v>
      </c>
      <c r="BI41">
        <f>IF(P41=0,0,COUNTIF('Transect 4_imgsummary'!E41:I41,"PLERO")*100/P41)</f>
        <v>0</v>
      </c>
      <c r="BJ41">
        <f>IF(P41=0,0,COUNTIF('Transect 4_imgsummary'!E41:I41,"POC")*100/P41)</f>
        <v>0</v>
      </c>
      <c r="BK41">
        <f>IF(P41=0,0,COUNTIF('Transect 4_imgsummary'!E41:I41,"POR")*100/P41)</f>
        <v>0</v>
      </c>
      <c r="BL41">
        <f>IF(P41=0,0,COUNTIF('Transect 4_imgsummary'!E41:I41,"PORCYL")*100/P41)</f>
        <v>0</v>
      </c>
      <c r="BM41">
        <f>IF(P41=0,0,COUNTIF('Transect 4_imgsummary'!E41:I41,"PORMAS")*100/P41)</f>
        <v>0</v>
      </c>
      <c r="BN41">
        <f>IF(P41=0,0,COUNTIF('Transect 4_imgsummary'!E41:I41,"PORRUS")*100/P41)</f>
        <v>0</v>
      </c>
      <c r="BO41">
        <f>IF(P41=0,0,COUNTIF('Transect 4_imgsummary'!E41:I41,"PSAM")*100/P41)</f>
        <v>0</v>
      </c>
      <c r="BP41">
        <f>IF(P41=0,0,COUNTIF('Transect 4_imgsummary'!E41:I41,"SANDO")*100/P41)</f>
        <v>0</v>
      </c>
      <c r="BQ41">
        <f>IF(P41=0,0,COUNTIF('Transect 4_imgsummary'!E41:I41,"SCAP")*100/P41)</f>
        <v>0</v>
      </c>
      <c r="BR41">
        <f>IF(P41=0,0,COUNTIF('Transect 4_imgsummary'!E41:I41,"SERIA")*100/P41)</f>
        <v>0</v>
      </c>
      <c r="BS41">
        <f>IF(P41=0,0,COUNTIF('Transect 4_imgsummary'!E41:I41,"STYLC")*100/P41)</f>
        <v>0</v>
      </c>
      <c r="BT41" s="29">
        <f>IF(P41=0,0,COUNTIF('Transect 4_imgsummary'!E41:I41,"STYLO")*100/P41)</f>
        <v>20</v>
      </c>
      <c r="BU41">
        <f>IF(P41=0,0,COUNTIF('Transect 4_imgsummary'!E41:I41,"SYMP")*100/P41)</f>
        <v>0</v>
      </c>
      <c r="BV41">
        <f>IF(P41=0,0,COUNTIF('Transect 4_imgsummary'!E41:I41,"TURBIN")*100/P41)</f>
        <v>0</v>
      </c>
      <c r="BX41">
        <f>IF(P41=0,0,COUNTIF('Transect 4_imgsummary'!E41:I41,"ANEM")*100/P41)</f>
        <v>0</v>
      </c>
      <c r="BY41">
        <f>IF(P41=0,0,COUNTIF('Transect 4_imgsummary'!E41:I41,"ASC")*100/P41)</f>
        <v>0</v>
      </c>
      <c r="BZ41">
        <f>IF(P41=0,0,COUNTIF('Transect 4_imgsummary'!E41:I41,"CUPS")*100/P41)</f>
        <v>0</v>
      </c>
      <c r="CA41">
        <f>IF(P41=0,0,COUNTIF('Transect 4_imgsummary'!E41:I41,"DISCO")*100/P41)</f>
        <v>0</v>
      </c>
      <c r="CB41">
        <f>IF(P41=0,0,COUNTIF('Transect 4_imgsummary'!E41:I41,"DYS")*100/P41)</f>
        <v>0</v>
      </c>
      <c r="CC41">
        <f>IF(P41=0,0,COUNTIF('Transect 4_imgsummary'!E41:I41,"G")*100/P41)</f>
        <v>0</v>
      </c>
      <c r="CD41">
        <f>IF(P41=0,0,COUNTIF('Transect 4_imgsummary'!E41:I41,"NoIDINV")*100/P41)</f>
        <v>0</v>
      </c>
      <c r="CE41">
        <f>IF(P41=0,0,COUNTIF('Transect 4_imgsummary'!E41:I41,"OLV")*100/P41)</f>
        <v>0</v>
      </c>
      <c r="CF41">
        <f>IF(P41=0,0,COUNTIF('Transect 4_imgsummary'!E41:I41,"SC")*100/P41)</f>
        <v>0</v>
      </c>
      <c r="CG41">
        <f>IF(P41=0,0,COUNTIF('Transect 4_imgsummary'!E41:I41,"S")*100/P41)</f>
        <v>0</v>
      </c>
      <c r="CH41">
        <f>IF(P41=0,0,COUNTIF('Transect 4_imgsummary'!E41:I41,"TERPS")*100/P41)</f>
        <v>0</v>
      </c>
      <c r="CI41">
        <f>IF(P41=0,0,COUNTIF('Transect 4_imgsummary'!E41:I41,"Z")*100/P41)</f>
        <v>0</v>
      </c>
      <c r="CK41">
        <f>IF(P41=0,0,COUNTIF('Transect 4_imgsummary'!E41:I41,"ASP")*100/P41)</f>
        <v>0</v>
      </c>
      <c r="CL41">
        <f>IF(P41=0,0,COUNTIF('Transect 4_imgsummary'!E41:I41,"BG")*100/P41)</f>
        <v>0</v>
      </c>
      <c r="CM41">
        <f>IF(P41=0,0,COUNTIF('Transect 4_imgsummary'!E41:I41,"Bood")*100/P41)</f>
        <v>0</v>
      </c>
      <c r="CN41">
        <f>IF(P41=0,0,COUNTIF('Transect 4_imgsummary'!E41:I41,"BRYP")*100/P41)</f>
        <v>0</v>
      </c>
      <c r="CO41">
        <f>IF(P41=0,0,COUNTIF('Transect 4_imgsummary'!E41:I41,"CLP")*100/P41)</f>
        <v>0</v>
      </c>
      <c r="CP41">
        <f>IF(P41=0,0,COUNTIF('Transect 4_imgsummary'!E41:I41,"CHLDES")*100/P41)</f>
        <v>0</v>
      </c>
      <c r="CQ41">
        <f>IF(P41=0,0,COUNTIF('Transect 4_imgsummary'!E41:I41,"DYCTY")*100/P41)</f>
        <v>0</v>
      </c>
      <c r="CR41">
        <f>IF(P41=0,0,COUNTIF('Transect 4_imgsummary'!E41:I41,"DICT")*100/P41)</f>
        <v>0</v>
      </c>
      <c r="CS41">
        <f>IF(P41=0,0,COUNTIF('Transect 4_imgsummary'!E41:I41,"GLXU")*100/P41)</f>
        <v>0</v>
      </c>
      <c r="CT41">
        <f>IF(P41=0,0,COUNTIF('Transect 4_imgsummary'!E41:I41,"HALI")*100/P41)</f>
        <v>0</v>
      </c>
      <c r="CU41">
        <f>IF(P41=0,0,COUNTIF('Transect 4_imgsummary'!E41:I41,"LIAG")*100/P41)</f>
        <v>0</v>
      </c>
      <c r="CV41">
        <f>IF(P41=0,0,COUNTIF('Transect 4_imgsummary'!E41:I41,"LOBO")*100/P41)</f>
        <v>0</v>
      </c>
      <c r="CW41">
        <f>IF(P41=0,0,COUNTIF('Transect 4_imgsummary'!E41:I41,"MAST")*100/P41)</f>
        <v>0</v>
      </c>
      <c r="CX41">
        <f>IF(P41=0,0,COUNTIF('Transect 4_imgsummary'!E41:I41,"MICDTY")*100/P41)</f>
        <v>0</v>
      </c>
      <c r="CY41">
        <f>IF(P41=0,0,COUNTIF('Transect 4_imgsummary'!E41:I41,"NEOM")*100/P41)</f>
        <v>0</v>
      </c>
      <c r="CZ41">
        <f>IF(P41=0,0,COUNTIF('Transect 4_imgsummary'!E41:I41,"NOIDMAC")*100/P41)</f>
        <v>0</v>
      </c>
      <c r="DA41">
        <f>IF(P41=0,0,COUNTIF('Transect 4_imgsummary'!E41:I41,"PAD")*100/P41)</f>
        <v>0</v>
      </c>
      <c r="DB41">
        <f>IF(P41=0,0,COUNTIF('Transect 4_imgsummary'!E41:I41,"SARG")*100/P41)</f>
        <v>0</v>
      </c>
      <c r="DC41">
        <f>IF(P41=0,0,COUNTIF('Transect 4_imgsummary'!E41:I41,"SCHIZ")*100/P41)</f>
        <v>0</v>
      </c>
      <c r="DD41">
        <f>IF(P41=0,0,COUNTIF('Transect 4_imgsummary'!E41:I41,"TURB")*100/P41)</f>
        <v>0</v>
      </c>
      <c r="DE41">
        <f>IF(P41=0,0,COUNTIF('Transect 4_imgsummary'!E41:I41,"TYDM")*100/P41)</f>
        <v>0</v>
      </c>
      <c r="DG41">
        <f>IF(P41=0,0,COUNTIF('Transect 4_imgsummary'!E41:I41,"AMP")*100/P41)</f>
        <v>0</v>
      </c>
      <c r="DH41">
        <f>IF(P41=0,0,COUNTIF('Transect 4_imgsummary'!E41:I41,"BCA1")*100/P41)</f>
        <v>0</v>
      </c>
      <c r="DI41">
        <f>IF(P41=0,0,COUNTIF('Transect 4_imgsummary'!E41:I41,"JAN")*100/P41)</f>
        <v>0</v>
      </c>
      <c r="DK41" s="29">
        <f>IF(P41=0,0,COUNTIF('Transect 4_imgsummary'!E41:I41,"CCA1")*100/P41)</f>
        <v>20</v>
      </c>
      <c r="DM41">
        <f>IF(P41=0,0,COUNTIF('Transect 4_imgsummary'!E41:I41,"Sand")*100/P41)</f>
        <v>0</v>
      </c>
      <c r="DO41">
        <f>IF(P41=0,0,COUNTIF('Transect 4_imgsummary'!E41:I41,"FCA1")*100/P41)</f>
        <v>0</v>
      </c>
      <c r="DQ41">
        <f>IF(P41=0,0,COUNTIF('Transect 4_imgsummary'!E41:I41,"CHRYOBRN")*100/P41)</f>
        <v>0</v>
      </c>
      <c r="DS41" s="29">
        <f>IF(P41=0,0,COUNTIF('Transect 4_imgsummary'!E41:I41,"TURF")*100/P41)</f>
        <v>20</v>
      </c>
      <c r="DU41">
        <f>COUNTIF('Transect 4_imgsummary'!E41:I41,"Shadow")*100/5</f>
        <v>0</v>
      </c>
      <c r="DV41">
        <f>COUNTIF('Transect 4_imgsummary'!E41:I41,"Tape")*100/5</f>
        <v>0</v>
      </c>
      <c r="DW41">
        <f>COUNTIF('Transect 4_imgsummary'!E41:I41,"Wand")*100/5</f>
        <v>0</v>
      </c>
      <c r="DY41">
        <f>IF(P41=0,0,COUNTIF('Transect 4_imgsummary'!O41:S41,"BC")*100/P41)</f>
        <v>0</v>
      </c>
    </row>
    <row r="42" spans="1:129">
      <c r="A42">
        <v>40</v>
      </c>
      <c r="B42" t="s">
        <v>585</v>
      </c>
      <c r="F42" s="29">
        <f>IF(P42=0,0,COUNTIF('Transect 4_imgsummary'!J42:N42,"C")*100/P42)</f>
        <v>100</v>
      </c>
      <c r="G42">
        <f>IF(P42=0,0,COUNTIF('Transect 4_imgsummary'!J42:N42,"OI")*100/P42)</f>
        <v>0</v>
      </c>
      <c r="H42">
        <f>IF(P42=0,0,COUNTIF('Transect 4_imgsummary'!J42:N42,"MA")*100/P42)</f>
        <v>0</v>
      </c>
      <c r="I42">
        <f>IF(P42=0,0,COUNTIF('Transect 4_imgsummary'!J42:N42,"BCA")*100/P42)</f>
        <v>0</v>
      </c>
      <c r="J42">
        <f>IF(P42=0,0,COUNTIF('Transect 4_imgsummary'!J42:N42,"CCA")*100/P42)</f>
        <v>0</v>
      </c>
      <c r="K42">
        <f>IF(P42=0,0,COUNTIF('Transect 4_imgsummary'!J42:N42,"SD")*100/P42)</f>
        <v>0</v>
      </c>
      <c r="L42">
        <f>IF(P42=0,0,COUNTIF('Transect 4_imgsummary'!J42:N42,"FCA")*100/P42)</f>
        <v>0</v>
      </c>
      <c r="M42">
        <f>IF(P42=0,0,COUNTIF('Transect 4_imgsummary'!J42:N42,"CHRYS")*100/P42)</f>
        <v>0</v>
      </c>
      <c r="N42">
        <f>IF(P42=0,0,COUNTIF('Transect 4_imgsummary'!J42:N42,"T")*100/P42)</f>
        <v>0</v>
      </c>
      <c r="O42">
        <f>IF(P42=0,0,COUNTIF('Transect 4_imgsummary'!J42:N42,"TWS")*100/P42)</f>
        <v>0</v>
      </c>
      <c r="P42">
        <f>5-COUNTIF('Transect 4_imgsummary'!J42:N42,"TWS")</f>
        <v>5</v>
      </c>
      <c r="S42">
        <f>IF(P42=0,0,COUNTIF('Transect 4_imgsummary'!E42:I42,"ACAN")*100/P42)</f>
        <v>0</v>
      </c>
      <c r="T42">
        <f>IF(P42=0,0,COUNTIF('Transect 4_imgsummary'!E42:I42,"ACROP")*100/P42)</f>
        <v>0</v>
      </c>
      <c r="U42">
        <f>IF(P42=0,0,COUNTIF('Transect 4_imgsummary'!E42:I42,"ACROPARB")*100/P42)</f>
        <v>0</v>
      </c>
      <c r="V42">
        <f>IF(P42=0,0,COUNTIF('Transect 4_imgsummary'!E42:I42,"ACROST")*100/P42)</f>
        <v>0</v>
      </c>
      <c r="W42" s="29">
        <f>IF(P42=0,0,COUNTIF('Transect 4_imgsummary'!E42:I42,"ACROTBL")*100/P42)</f>
        <v>20</v>
      </c>
      <c r="X42">
        <f>IF(P42=0,0,COUNTIF('Transect 4_imgsummary'!E42:I42,"ASTRP")*100/P42)</f>
        <v>0</v>
      </c>
      <c r="Y42">
        <f>IF(P42=0,0,COUNTIF('Transect 4_imgsummary'!E42:I42,"CAUL")*100/P42)</f>
        <v>0</v>
      </c>
      <c r="Z42">
        <f>IF(P42=0,0,COUNTIF('Transect 4_imgsummary'!E42:I42,"COSC")*100/P42)</f>
        <v>0</v>
      </c>
      <c r="AA42">
        <f>IF(P42=0,0,COUNTIF('Transect 4_imgsummary'!E42:I42,"CTEN")*100/P42)</f>
        <v>0</v>
      </c>
      <c r="AB42">
        <f>IF(P42=0,0,COUNTIF('Transect 4_imgsummary'!E42:I42,"CYPH")*100/P42)</f>
        <v>0</v>
      </c>
      <c r="AC42">
        <f>IF(P42=0,0,COUNTIF('Transect 4_imgsummary'!E42:I42,"DIPLO")*100/P42)</f>
        <v>0</v>
      </c>
      <c r="AD42">
        <f>IF(P42=0,0,COUNTIF('Transect 4_imgsummary'!E42:I42,"ECHPO")*100/P42)</f>
        <v>0</v>
      </c>
      <c r="AE42">
        <f>IF(P42=0,0,COUNTIF('Transect 4_imgsummary'!E42:I42,"ECHPHY")*100/P42)</f>
        <v>0</v>
      </c>
      <c r="AF42">
        <f>IF(P42=0,0,COUNTIF('Transect 4_imgsummary'!E42:I42,"EUPH")*100/P42)</f>
        <v>0</v>
      </c>
      <c r="AG42">
        <f>IF(P42=0,0,COUNTIF('Transect 4_imgsummary'!E42:I42,"FAV")*100/P42)</f>
        <v>0</v>
      </c>
      <c r="AH42">
        <f>IF(P42=0,0,COUNTIF('Transect 4_imgsummary'!E42:I42,"FAVT")*100/P42)</f>
        <v>0</v>
      </c>
      <c r="AI42">
        <f>IF(P42=0,0,COUNTIF('Transect 4_imgsummary'!E42:I42,"FUNG")*100/P42)</f>
        <v>0</v>
      </c>
      <c r="AJ42">
        <f>IF(P42=0,0,COUNTIF('Transect 4_imgsummary'!E42:I42,"GAL")*100/P42)</f>
        <v>0</v>
      </c>
      <c r="AK42">
        <f>IF(P42=0,0,COUNTIF('Transect 4_imgsummary'!E42:I42,"GARD")*100/P42)</f>
        <v>0</v>
      </c>
      <c r="AL42">
        <f>IF(P42=0,0,COUNTIF('Transect 4_imgsummary'!E42:I42,"GON")*100/P42)</f>
        <v>0</v>
      </c>
      <c r="AM42">
        <f>IF(P42=0,0,COUNTIF('Transect 4_imgsummary'!E42:I42,"GONIO")*100/P42)</f>
        <v>0</v>
      </c>
      <c r="AN42">
        <f>IF(P42=0,0,COUNTIF('Transect 4_imgsummary'!E42:I42,"HELIO")*100/P42)</f>
        <v>0</v>
      </c>
      <c r="AO42">
        <f>IF(P42=0,0,COUNTIF('Transect 4_imgsummary'!E42:I42,"HERP")*100/P42)</f>
        <v>0</v>
      </c>
      <c r="AP42">
        <f>IF(P42=0,0,COUNTIF('Transect 4_imgsummary'!E42:I42,"HYD")*100/P42)</f>
        <v>0</v>
      </c>
      <c r="AQ42">
        <f>IF(P42=0,0,COUNTIF('Transect 4_imgsummary'!E42:I42,"ISOP")*100/P42)</f>
        <v>0</v>
      </c>
      <c r="AR42">
        <f>IF(P42=0,0,COUNTIF('Transect 4_imgsummary'!E42:I42,"LEPT")*100/P42)</f>
        <v>0</v>
      </c>
      <c r="AS42" s="29">
        <f>IF(P42=0,0,COUNTIF('Transect 4_imgsummary'!E42:I42,"LEPTOR")*100/P42)</f>
        <v>20</v>
      </c>
      <c r="AT42">
        <f>IF(P42=0,0,COUNTIF('Transect 4_imgsummary'!E42:I42,"LEPTOS")*100/P42)</f>
        <v>0</v>
      </c>
      <c r="AU42">
        <f>IF(P42=0,0,COUNTIF('Transect 4_imgsummary'!E42:I42,"LOBOPH")*100/P42)</f>
        <v>0</v>
      </c>
      <c r="AV42">
        <f>IF(P42=0,0,COUNTIF('Transect 4_imgsummary'!E42:I42,"MERU")*100/P42)</f>
        <v>0</v>
      </c>
      <c r="AW42">
        <f>IF(P42=0,0,COUNTIF('Transect 4_imgsummary'!E42:I42,"MILL")*100/P42)</f>
        <v>0</v>
      </c>
      <c r="AX42">
        <f>IF(P42=0,0,COUNTIF('Transect 4_imgsummary'!E42:I42,"MONT")*100/P42)</f>
        <v>0</v>
      </c>
      <c r="AY42">
        <f>IF(P42=0,0,COUNTIF('Transect 4_imgsummary'!E42:I42,"MONTI")*100/P42)</f>
        <v>0</v>
      </c>
      <c r="AZ42">
        <f>IF(P42=0,0,COUNTIF('Transect 4_imgsummary'!E42:I42,"MYCED")*100/P42)</f>
        <v>0</v>
      </c>
      <c r="BA42">
        <f>IF(P42=0,0,COUNTIF('Transect 4_imgsummary'!E42:I42,"OULO")*100/P42)</f>
        <v>0</v>
      </c>
      <c r="BB42">
        <f>IF(P42=0,0,COUNTIF('Transect 4_imgsummary'!E42:I42,"OXYP")*100/P42)</f>
        <v>0</v>
      </c>
      <c r="BC42">
        <f>IF(P42=0,0,COUNTIF('Transect 4_imgsummary'!E42:I42,"PLSIA")*100/P42)</f>
        <v>0</v>
      </c>
      <c r="BD42">
        <f>IF(P42=0,0,COUNTIF('Transect 4_imgsummary'!E42:I42,"PACHY")*100/P42)</f>
        <v>0</v>
      </c>
      <c r="BE42">
        <f>IF(P42=0,0,COUNTIF('Transect 4_imgsummary'!E42:I42,"PAV")*100/P42)</f>
        <v>0</v>
      </c>
      <c r="BF42">
        <f>IF(P42=0,0,COUNTIF('Transect 4_imgsummary'!E42:I42,"PECT")*100/P42)</f>
        <v>0</v>
      </c>
      <c r="BG42">
        <f>IF(P42=0,0,COUNTIF('Transect 4_imgsummary'!E42:I42,"PHYSO")*100/P42)</f>
        <v>0</v>
      </c>
      <c r="BH42">
        <f>IF(P42=0,0,COUNTIF('Transect 4_imgsummary'!E42:I42,"PLAT")*100/P42)</f>
        <v>0</v>
      </c>
      <c r="BI42">
        <f>IF(P42=0,0,COUNTIF('Transect 4_imgsummary'!E42:I42,"PLERO")*100/P42)</f>
        <v>0</v>
      </c>
      <c r="BJ42">
        <f>IF(P42=0,0,COUNTIF('Transect 4_imgsummary'!E42:I42,"POC")*100/P42)</f>
        <v>0</v>
      </c>
      <c r="BK42">
        <f>IF(P42=0,0,COUNTIF('Transect 4_imgsummary'!E42:I42,"POR")*100/P42)</f>
        <v>0</v>
      </c>
      <c r="BL42">
        <f>IF(P42=0,0,COUNTIF('Transect 4_imgsummary'!E42:I42,"PORCYL")*100/P42)</f>
        <v>0</v>
      </c>
      <c r="BM42">
        <f>IF(P42=0,0,COUNTIF('Transect 4_imgsummary'!E42:I42,"PORMAS")*100/P42)</f>
        <v>0</v>
      </c>
      <c r="BN42">
        <f>IF(P42=0,0,COUNTIF('Transect 4_imgsummary'!E42:I42,"PORRUS")*100/P42)</f>
        <v>0</v>
      </c>
      <c r="BO42">
        <f>IF(P42=0,0,COUNTIF('Transect 4_imgsummary'!E42:I42,"PSAM")*100/P42)</f>
        <v>0</v>
      </c>
      <c r="BP42">
        <f>IF(P42=0,0,COUNTIF('Transect 4_imgsummary'!E42:I42,"SANDO")*100/P42)</f>
        <v>0</v>
      </c>
      <c r="BQ42">
        <f>IF(P42=0,0,COUNTIF('Transect 4_imgsummary'!E42:I42,"SCAP")*100/P42)</f>
        <v>0</v>
      </c>
      <c r="BR42">
        <f>IF(P42=0,0,COUNTIF('Transect 4_imgsummary'!E42:I42,"SERIA")*100/P42)</f>
        <v>0</v>
      </c>
      <c r="BS42">
        <f>IF(P42=0,0,COUNTIF('Transect 4_imgsummary'!E42:I42,"STYLC")*100/P42)</f>
        <v>0</v>
      </c>
      <c r="BT42">
        <f>IF(P42=0,0,COUNTIF('Transect 4_imgsummary'!E42:I42,"STYLO")*100/P42)</f>
        <v>0</v>
      </c>
      <c r="BU42" s="29">
        <f>IF(P42=0,0,COUNTIF('Transect 4_imgsummary'!E42:I42,"SYMP")*100/P42)</f>
        <v>60</v>
      </c>
      <c r="BV42">
        <f>IF(P42=0,0,COUNTIF('Transect 4_imgsummary'!E42:I42,"TURBIN")*100/P42)</f>
        <v>0</v>
      </c>
      <c r="BX42">
        <f>IF(P42=0,0,COUNTIF('Transect 4_imgsummary'!E42:I42,"ANEM")*100/P42)</f>
        <v>0</v>
      </c>
      <c r="BY42">
        <f>IF(P42=0,0,COUNTIF('Transect 4_imgsummary'!E42:I42,"ASC")*100/P42)</f>
        <v>0</v>
      </c>
      <c r="BZ42">
        <f>IF(P42=0,0,COUNTIF('Transect 4_imgsummary'!E42:I42,"CUPS")*100/P42)</f>
        <v>0</v>
      </c>
      <c r="CA42">
        <f>IF(P42=0,0,COUNTIF('Transect 4_imgsummary'!E42:I42,"DISCO")*100/P42)</f>
        <v>0</v>
      </c>
      <c r="CB42">
        <f>IF(P42=0,0,COUNTIF('Transect 4_imgsummary'!E42:I42,"DYS")*100/P42)</f>
        <v>0</v>
      </c>
      <c r="CC42">
        <f>IF(P42=0,0,COUNTIF('Transect 4_imgsummary'!E42:I42,"G")*100/P42)</f>
        <v>0</v>
      </c>
      <c r="CD42">
        <f>IF(P42=0,0,COUNTIF('Transect 4_imgsummary'!E42:I42,"NoIDINV")*100/P42)</f>
        <v>0</v>
      </c>
      <c r="CE42">
        <f>IF(P42=0,0,COUNTIF('Transect 4_imgsummary'!E42:I42,"OLV")*100/P42)</f>
        <v>0</v>
      </c>
      <c r="CF42">
        <f>IF(P42=0,0,COUNTIF('Transect 4_imgsummary'!E42:I42,"SC")*100/P42)</f>
        <v>0</v>
      </c>
      <c r="CG42">
        <f>IF(P42=0,0,COUNTIF('Transect 4_imgsummary'!E42:I42,"S")*100/P42)</f>
        <v>0</v>
      </c>
      <c r="CH42">
        <f>IF(P42=0,0,COUNTIF('Transect 4_imgsummary'!E42:I42,"TERPS")*100/P42)</f>
        <v>0</v>
      </c>
      <c r="CI42">
        <f>IF(P42=0,0,COUNTIF('Transect 4_imgsummary'!E42:I42,"Z")*100/P42)</f>
        <v>0</v>
      </c>
      <c r="CK42">
        <f>IF(P42=0,0,COUNTIF('Transect 4_imgsummary'!E42:I42,"ASP")*100/P42)</f>
        <v>0</v>
      </c>
      <c r="CL42">
        <f>IF(P42=0,0,COUNTIF('Transect 4_imgsummary'!E42:I42,"BG")*100/P42)</f>
        <v>0</v>
      </c>
      <c r="CM42">
        <f>IF(P42=0,0,COUNTIF('Transect 4_imgsummary'!E42:I42,"Bood")*100/P42)</f>
        <v>0</v>
      </c>
      <c r="CN42">
        <f>IF(P42=0,0,COUNTIF('Transect 4_imgsummary'!E42:I42,"BRYP")*100/P42)</f>
        <v>0</v>
      </c>
      <c r="CO42">
        <f>IF(P42=0,0,COUNTIF('Transect 4_imgsummary'!E42:I42,"CLP")*100/P42)</f>
        <v>0</v>
      </c>
      <c r="CP42">
        <f>IF(P42=0,0,COUNTIF('Transect 4_imgsummary'!E42:I42,"CHLDES")*100/P42)</f>
        <v>0</v>
      </c>
      <c r="CQ42">
        <f>IF(P42=0,0,COUNTIF('Transect 4_imgsummary'!E42:I42,"DYCTY")*100/P42)</f>
        <v>0</v>
      </c>
      <c r="CR42">
        <f>IF(P42=0,0,COUNTIF('Transect 4_imgsummary'!E42:I42,"DICT")*100/P42)</f>
        <v>0</v>
      </c>
      <c r="CS42">
        <f>IF(P42=0,0,COUNTIF('Transect 4_imgsummary'!E42:I42,"GLXU")*100/P42)</f>
        <v>0</v>
      </c>
      <c r="CT42">
        <f>IF(P42=0,0,COUNTIF('Transect 4_imgsummary'!E42:I42,"HALI")*100/P42)</f>
        <v>0</v>
      </c>
      <c r="CU42">
        <f>IF(P42=0,0,COUNTIF('Transect 4_imgsummary'!E42:I42,"LIAG")*100/P42)</f>
        <v>0</v>
      </c>
      <c r="CV42">
        <f>IF(P42=0,0,COUNTIF('Transect 4_imgsummary'!E42:I42,"LOBO")*100/P42)</f>
        <v>0</v>
      </c>
      <c r="CW42">
        <f>IF(P42=0,0,COUNTIF('Transect 4_imgsummary'!E42:I42,"MAST")*100/P42)</f>
        <v>0</v>
      </c>
      <c r="CX42">
        <f>IF(P42=0,0,COUNTIF('Transect 4_imgsummary'!E42:I42,"MICDTY")*100/P42)</f>
        <v>0</v>
      </c>
      <c r="CY42">
        <f>IF(P42=0,0,COUNTIF('Transect 4_imgsummary'!E42:I42,"NEOM")*100/P42)</f>
        <v>0</v>
      </c>
      <c r="CZ42">
        <f>IF(P42=0,0,COUNTIF('Transect 4_imgsummary'!E42:I42,"NOIDMAC")*100/P42)</f>
        <v>0</v>
      </c>
      <c r="DA42">
        <f>IF(P42=0,0,COUNTIF('Transect 4_imgsummary'!E42:I42,"PAD")*100/P42)</f>
        <v>0</v>
      </c>
      <c r="DB42">
        <f>IF(P42=0,0,COUNTIF('Transect 4_imgsummary'!E42:I42,"SARG")*100/P42)</f>
        <v>0</v>
      </c>
      <c r="DC42">
        <f>IF(P42=0,0,COUNTIF('Transect 4_imgsummary'!E42:I42,"SCHIZ")*100/P42)</f>
        <v>0</v>
      </c>
      <c r="DD42">
        <f>IF(P42=0,0,COUNTIF('Transect 4_imgsummary'!E42:I42,"TURB")*100/P42)</f>
        <v>0</v>
      </c>
      <c r="DE42">
        <f>IF(P42=0,0,COUNTIF('Transect 4_imgsummary'!E42:I42,"TYDM")*100/P42)</f>
        <v>0</v>
      </c>
      <c r="DG42">
        <f>IF(P42=0,0,COUNTIF('Transect 4_imgsummary'!E42:I42,"AMP")*100/P42)</f>
        <v>0</v>
      </c>
      <c r="DH42">
        <f>IF(P42=0,0,COUNTIF('Transect 4_imgsummary'!E42:I42,"BCA1")*100/P42)</f>
        <v>0</v>
      </c>
      <c r="DI42">
        <f>IF(P42=0,0,COUNTIF('Transect 4_imgsummary'!E42:I42,"JAN")*100/P42)</f>
        <v>0</v>
      </c>
      <c r="DK42">
        <f>IF(P42=0,0,COUNTIF('Transect 4_imgsummary'!E42:I42,"CCA1")*100/P42)</f>
        <v>0</v>
      </c>
      <c r="DM42">
        <f>IF(P42=0,0,COUNTIF('Transect 4_imgsummary'!E42:I42,"Sand")*100/P42)</f>
        <v>0</v>
      </c>
      <c r="DO42">
        <f>IF(P42=0,0,COUNTIF('Transect 4_imgsummary'!E42:I42,"FCA1")*100/P42)</f>
        <v>0</v>
      </c>
      <c r="DQ42">
        <f>IF(P42=0,0,COUNTIF('Transect 4_imgsummary'!E42:I42,"CHRYOBRN")*100/P42)</f>
        <v>0</v>
      </c>
      <c r="DS42">
        <f>IF(P42=0,0,COUNTIF('Transect 4_imgsummary'!E42:I42,"TURF")*100/P42)</f>
        <v>0</v>
      </c>
      <c r="DU42">
        <f>COUNTIF('Transect 4_imgsummary'!E42:I42,"Shadow")*100/5</f>
        <v>0</v>
      </c>
      <c r="DV42">
        <f>COUNTIF('Transect 4_imgsummary'!E42:I42,"Tape")*100/5</f>
        <v>0</v>
      </c>
      <c r="DW42">
        <f>COUNTIF('Transect 4_imgsummary'!E42:I42,"Wand")*100/5</f>
        <v>0</v>
      </c>
      <c r="DY42">
        <f>IF(P42=0,0,COUNTIF('Transect 4_imgsummary'!O42:S42,"BC")*100/P42)</f>
        <v>0</v>
      </c>
    </row>
    <row r="43" spans="1:129">
      <c r="A43">
        <v>41</v>
      </c>
      <c r="B43" t="s">
        <v>586</v>
      </c>
      <c r="F43" s="29">
        <f>IF(P43=0,0,COUNTIF('Transect 4_imgsummary'!J43:N43,"C")*100/P43)</f>
        <v>100</v>
      </c>
      <c r="G43">
        <f>IF(P43=0,0,COUNTIF('Transect 4_imgsummary'!J43:N43,"OI")*100/P43)</f>
        <v>0</v>
      </c>
      <c r="H43">
        <f>IF(P43=0,0,COUNTIF('Transect 4_imgsummary'!J43:N43,"MA")*100/P43)</f>
        <v>0</v>
      </c>
      <c r="I43">
        <f>IF(P43=0,0,COUNTIF('Transect 4_imgsummary'!J43:N43,"BCA")*100/P43)</f>
        <v>0</v>
      </c>
      <c r="J43">
        <f>IF(P43=0,0,COUNTIF('Transect 4_imgsummary'!J43:N43,"CCA")*100/P43)</f>
        <v>0</v>
      </c>
      <c r="K43">
        <f>IF(P43=0,0,COUNTIF('Transect 4_imgsummary'!J43:N43,"SD")*100/P43)</f>
        <v>0</v>
      </c>
      <c r="L43">
        <f>IF(P43=0,0,COUNTIF('Transect 4_imgsummary'!J43:N43,"FCA")*100/P43)</f>
        <v>0</v>
      </c>
      <c r="M43">
        <f>IF(P43=0,0,COUNTIF('Transect 4_imgsummary'!J43:N43,"CHRYS")*100/P43)</f>
        <v>0</v>
      </c>
      <c r="N43">
        <f>IF(P43=0,0,COUNTIF('Transect 4_imgsummary'!J43:N43,"T")*100/P43)</f>
        <v>0</v>
      </c>
      <c r="O43">
        <f>IF(P43=0,0,COUNTIF('Transect 4_imgsummary'!J43:N43,"TWS")*100/P43)</f>
        <v>0</v>
      </c>
      <c r="P43">
        <f>5-COUNTIF('Transect 4_imgsummary'!J43:N43,"TWS")</f>
        <v>5</v>
      </c>
      <c r="S43">
        <f>IF(P43=0,0,COUNTIF('Transect 4_imgsummary'!E43:I43,"ACAN")*100/P43)</f>
        <v>0</v>
      </c>
      <c r="T43">
        <f>IF(P43=0,0,COUNTIF('Transect 4_imgsummary'!E43:I43,"ACROP")*100/P43)</f>
        <v>0</v>
      </c>
      <c r="U43">
        <f>IF(P43=0,0,COUNTIF('Transect 4_imgsummary'!E43:I43,"ACROPARB")*100/P43)</f>
        <v>0</v>
      </c>
      <c r="V43">
        <f>IF(P43=0,0,COUNTIF('Transect 4_imgsummary'!E43:I43,"ACROST")*100/P43)</f>
        <v>0</v>
      </c>
      <c r="W43" s="29">
        <f>IF(P43=0,0,COUNTIF('Transect 4_imgsummary'!E43:I43,"ACROTBL")*100/P43)</f>
        <v>100</v>
      </c>
      <c r="X43">
        <f>IF(P43=0,0,COUNTIF('Transect 4_imgsummary'!E43:I43,"ASTRP")*100/P43)</f>
        <v>0</v>
      </c>
      <c r="Y43">
        <f>IF(P43=0,0,COUNTIF('Transect 4_imgsummary'!E43:I43,"CAUL")*100/P43)</f>
        <v>0</v>
      </c>
      <c r="Z43">
        <f>IF(P43=0,0,COUNTIF('Transect 4_imgsummary'!E43:I43,"COSC")*100/P43)</f>
        <v>0</v>
      </c>
      <c r="AA43">
        <f>IF(P43=0,0,COUNTIF('Transect 4_imgsummary'!E43:I43,"CTEN")*100/P43)</f>
        <v>0</v>
      </c>
      <c r="AB43">
        <f>IF(P43=0,0,COUNTIF('Transect 4_imgsummary'!E43:I43,"CYPH")*100/P43)</f>
        <v>0</v>
      </c>
      <c r="AC43">
        <f>IF(P43=0,0,COUNTIF('Transect 4_imgsummary'!E43:I43,"DIPLO")*100/P43)</f>
        <v>0</v>
      </c>
      <c r="AD43">
        <f>IF(P43=0,0,COUNTIF('Transect 4_imgsummary'!E43:I43,"ECHPO")*100/P43)</f>
        <v>0</v>
      </c>
      <c r="AE43">
        <f>IF(P43=0,0,COUNTIF('Transect 4_imgsummary'!E43:I43,"ECHPHY")*100/P43)</f>
        <v>0</v>
      </c>
      <c r="AF43">
        <f>IF(P43=0,0,COUNTIF('Transect 4_imgsummary'!E43:I43,"EUPH")*100/P43)</f>
        <v>0</v>
      </c>
      <c r="AG43">
        <f>IF(P43=0,0,COUNTIF('Transect 4_imgsummary'!E43:I43,"FAV")*100/P43)</f>
        <v>0</v>
      </c>
      <c r="AH43">
        <f>IF(P43=0,0,COUNTIF('Transect 4_imgsummary'!E43:I43,"FAVT")*100/P43)</f>
        <v>0</v>
      </c>
      <c r="AI43">
        <f>IF(P43=0,0,COUNTIF('Transect 4_imgsummary'!E43:I43,"FUNG")*100/P43)</f>
        <v>0</v>
      </c>
      <c r="AJ43">
        <f>IF(P43=0,0,COUNTIF('Transect 4_imgsummary'!E43:I43,"GAL")*100/P43)</f>
        <v>0</v>
      </c>
      <c r="AK43">
        <f>IF(P43=0,0,COUNTIF('Transect 4_imgsummary'!E43:I43,"GARD")*100/P43)</f>
        <v>0</v>
      </c>
      <c r="AL43">
        <f>IF(P43=0,0,COUNTIF('Transect 4_imgsummary'!E43:I43,"GON")*100/P43)</f>
        <v>0</v>
      </c>
      <c r="AM43">
        <f>IF(P43=0,0,COUNTIF('Transect 4_imgsummary'!E43:I43,"GONIO")*100/P43)</f>
        <v>0</v>
      </c>
      <c r="AN43">
        <f>IF(P43=0,0,COUNTIF('Transect 4_imgsummary'!E43:I43,"HELIO")*100/P43)</f>
        <v>0</v>
      </c>
      <c r="AO43">
        <f>IF(P43=0,0,COUNTIF('Transect 4_imgsummary'!E43:I43,"HERP")*100/P43)</f>
        <v>0</v>
      </c>
      <c r="AP43">
        <f>IF(P43=0,0,COUNTIF('Transect 4_imgsummary'!E43:I43,"HYD")*100/P43)</f>
        <v>0</v>
      </c>
      <c r="AQ43">
        <f>IF(P43=0,0,COUNTIF('Transect 4_imgsummary'!E43:I43,"ISOP")*100/P43)</f>
        <v>0</v>
      </c>
      <c r="AR43">
        <f>IF(P43=0,0,COUNTIF('Transect 4_imgsummary'!E43:I43,"LEPT")*100/P43)</f>
        <v>0</v>
      </c>
      <c r="AS43">
        <f>IF(P43=0,0,COUNTIF('Transect 4_imgsummary'!E43:I43,"LEPTOR")*100/P43)</f>
        <v>0</v>
      </c>
      <c r="AT43">
        <f>IF(P43=0,0,COUNTIF('Transect 4_imgsummary'!E43:I43,"LEPTOS")*100/P43)</f>
        <v>0</v>
      </c>
      <c r="AU43">
        <f>IF(P43=0,0,COUNTIF('Transect 4_imgsummary'!E43:I43,"LOBOPH")*100/P43)</f>
        <v>0</v>
      </c>
      <c r="AV43">
        <f>IF(P43=0,0,COUNTIF('Transect 4_imgsummary'!E43:I43,"MERU")*100/P43)</f>
        <v>0</v>
      </c>
      <c r="AW43">
        <f>IF(P43=0,0,COUNTIF('Transect 4_imgsummary'!E43:I43,"MILL")*100/P43)</f>
        <v>0</v>
      </c>
      <c r="AX43">
        <f>IF(P43=0,0,COUNTIF('Transect 4_imgsummary'!E43:I43,"MONT")*100/P43)</f>
        <v>0</v>
      </c>
      <c r="AY43">
        <f>IF(P43=0,0,COUNTIF('Transect 4_imgsummary'!E43:I43,"MONTI")*100/P43)</f>
        <v>0</v>
      </c>
      <c r="AZ43">
        <f>IF(P43=0,0,COUNTIF('Transect 4_imgsummary'!E43:I43,"MYCED")*100/P43)</f>
        <v>0</v>
      </c>
      <c r="BA43">
        <f>IF(P43=0,0,COUNTIF('Transect 4_imgsummary'!E43:I43,"OULO")*100/P43)</f>
        <v>0</v>
      </c>
      <c r="BB43">
        <f>IF(P43=0,0,COUNTIF('Transect 4_imgsummary'!E43:I43,"OXYP")*100/P43)</f>
        <v>0</v>
      </c>
      <c r="BC43">
        <f>IF(P43=0,0,COUNTIF('Transect 4_imgsummary'!E43:I43,"PLSIA")*100/P43)</f>
        <v>0</v>
      </c>
      <c r="BD43">
        <f>IF(P43=0,0,COUNTIF('Transect 4_imgsummary'!E43:I43,"PACHY")*100/P43)</f>
        <v>0</v>
      </c>
      <c r="BE43">
        <f>IF(P43=0,0,COUNTIF('Transect 4_imgsummary'!E43:I43,"PAV")*100/P43)</f>
        <v>0</v>
      </c>
      <c r="BF43">
        <f>IF(P43=0,0,COUNTIF('Transect 4_imgsummary'!E43:I43,"PECT")*100/P43)</f>
        <v>0</v>
      </c>
      <c r="BG43">
        <f>IF(P43=0,0,COUNTIF('Transect 4_imgsummary'!E43:I43,"PHYSO")*100/P43)</f>
        <v>0</v>
      </c>
      <c r="BH43">
        <f>IF(P43=0,0,COUNTIF('Transect 4_imgsummary'!E43:I43,"PLAT")*100/P43)</f>
        <v>0</v>
      </c>
      <c r="BI43">
        <f>IF(P43=0,0,COUNTIF('Transect 4_imgsummary'!E43:I43,"PLERO")*100/P43)</f>
        <v>0</v>
      </c>
      <c r="BJ43">
        <f>IF(P43=0,0,COUNTIF('Transect 4_imgsummary'!E43:I43,"POC")*100/P43)</f>
        <v>0</v>
      </c>
      <c r="BK43">
        <f>IF(P43=0,0,COUNTIF('Transect 4_imgsummary'!E43:I43,"POR")*100/P43)</f>
        <v>0</v>
      </c>
      <c r="BL43">
        <f>IF(P43=0,0,COUNTIF('Transect 4_imgsummary'!E43:I43,"PORCYL")*100/P43)</f>
        <v>0</v>
      </c>
      <c r="BM43">
        <f>IF(P43=0,0,COUNTIF('Transect 4_imgsummary'!E43:I43,"PORMAS")*100/P43)</f>
        <v>0</v>
      </c>
      <c r="BN43">
        <f>IF(P43=0,0,COUNTIF('Transect 4_imgsummary'!E43:I43,"PORRUS")*100/P43)</f>
        <v>0</v>
      </c>
      <c r="BO43">
        <f>IF(P43=0,0,COUNTIF('Transect 4_imgsummary'!E43:I43,"PSAM")*100/P43)</f>
        <v>0</v>
      </c>
      <c r="BP43">
        <f>IF(P43=0,0,COUNTIF('Transect 4_imgsummary'!E43:I43,"SANDO")*100/P43)</f>
        <v>0</v>
      </c>
      <c r="BQ43">
        <f>IF(P43=0,0,COUNTIF('Transect 4_imgsummary'!E43:I43,"SCAP")*100/P43)</f>
        <v>0</v>
      </c>
      <c r="BR43">
        <f>IF(P43=0,0,COUNTIF('Transect 4_imgsummary'!E43:I43,"SERIA")*100/P43)</f>
        <v>0</v>
      </c>
      <c r="BS43">
        <f>IF(P43=0,0,COUNTIF('Transect 4_imgsummary'!E43:I43,"STYLC")*100/P43)</f>
        <v>0</v>
      </c>
      <c r="BT43">
        <f>IF(P43=0,0,COUNTIF('Transect 4_imgsummary'!E43:I43,"STYLO")*100/P43)</f>
        <v>0</v>
      </c>
      <c r="BU43">
        <f>IF(P43=0,0,COUNTIF('Transect 4_imgsummary'!E43:I43,"SYMP")*100/P43)</f>
        <v>0</v>
      </c>
      <c r="BV43">
        <f>IF(P43=0,0,COUNTIF('Transect 4_imgsummary'!E43:I43,"TURBIN")*100/P43)</f>
        <v>0</v>
      </c>
      <c r="BX43">
        <f>IF(P43=0,0,COUNTIF('Transect 4_imgsummary'!E43:I43,"ANEM")*100/P43)</f>
        <v>0</v>
      </c>
      <c r="BY43">
        <f>IF(P43=0,0,COUNTIF('Transect 4_imgsummary'!E43:I43,"ASC")*100/P43)</f>
        <v>0</v>
      </c>
      <c r="BZ43">
        <f>IF(P43=0,0,COUNTIF('Transect 4_imgsummary'!E43:I43,"CUPS")*100/P43)</f>
        <v>0</v>
      </c>
      <c r="CA43">
        <f>IF(P43=0,0,COUNTIF('Transect 4_imgsummary'!E43:I43,"DISCO")*100/P43)</f>
        <v>0</v>
      </c>
      <c r="CB43">
        <f>IF(P43=0,0,COUNTIF('Transect 4_imgsummary'!E43:I43,"DYS")*100/P43)</f>
        <v>0</v>
      </c>
      <c r="CC43">
        <f>IF(P43=0,0,COUNTIF('Transect 4_imgsummary'!E43:I43,"G")*100/P43)</f>
        <v>0</v>
      </c>
      <c r="CD43">
        <f>IF(P43=0,0,COUNTIF('Transect 4_imgsummary'!E43:I43,"NoIDINV")*100/P43)</f>
        <v>0</v>
      </c>
      <c r="CE43">
        <f>IF(P43=0,0,COUNTIF('Transect 4_imgsummary'!E43:I43,"OLV")*100/P43)</f>
        <v>0</v>
      </c>
      <c r="CF43">
        <f>IF(P43=0,0,COUNTIF('Transect 4_imgsummary'!E43:I43,"SC")*100/P43)</f>
        <v>0</v>
      </c>
      <c r="CG43">
        <f>IF(P43=0,0,COUNTIF('Transect 4_imgsummary'!E43:I43,"S")*100/P43)</f>
        <v>0</v>
      </c>
      <c r="CH43">
        <f>IF(P43=0,0,COUNTIF('Transect 4_imgsummary'!E43:I43,"TERPS")*100/P43)</f>
        <v>0</v>
      </c>
      <c r="CI43">
        <f>IF(P43=0,0,COUNTIF('Transect 4_imgsummary'!E43:I43,"Z")*100/P43)</f>
        <v>0</v>
      </c>
      <c r="CK43">
        <f>IF(P43=0,0,COUNTIF('Transect 4_imgsummary'!E43:I43,"ASP")*100/P43)</f>
        <v>0</v>
      </c>
      <c r="CL43">
        <f>IF(P43=0,0,COUNTIF('Transect 4_imgsummary'!E43:I43,"BG")*100/P43)</f>
        <v>0</v>
      </c>
      <c r="CM43">
        <f>IF(P43=0,0,COUNTIF('Transect 4_imgsummary'!E43:I43,"Bood")*100/P43)</f>
        <v>0</v>
      </c>
      <c r="CN43">
        <f>IF(P43=0,0,COUNTIF('Transect 4_imgsummary'!E43:I43,"BRYP")*100/P43)</f>
        <v>0</v>
      </c>
      <c r="CO43">
        <f>IF(P43=0,0,COUNTIF('Transect 4_imgsummary'!E43:I43,"CLP")*100/P43)</f>
        <v>0</v>
      </c>
      <c r="CP43">
        <f>IF(P43=0,0,COUNTIF('Transect 4_imgsummary'!E43:I43,"CHLDES")*100/P43)</f>
        <v>0</v>
      </c>
      <c r="CQ43">
        <f>IF(P43=0,0,COUNTIF('Transect 4_imgsummary'!E43:I43,"DYCTY")*100/P43)</f>
        <v>0</v>
      </c>
      <c r="CR43">
        <f>IF(P43=0,0,COUNTIF('Transect 4_imgsummary'!E43:I43,"DICT")*100/P43)</f>
        <v>0</v>
      </c>
      <c r="CS43">
        <f>IF(P43=0,0,COUNTIF('Transect 4_imgsummary'!E43:I43,"GLXU")*100/P43)</f>
        <v>0</v>
      </c>
      <c r="CT43">
        <f>IF(P43=0,0,COUNTIF('Transect 4_imgsummary'!E43:I43,"HALI")*100/P43)</f>
        <v>0</v>
      </c>
      <c r="CU43">
        <f>IF(P43=0,0,COUNTIF('Transect 4_imgsummary'!E43:I43,"LIAG")*100/P43)</f>
        <v>0</v>
      </c>
      <c r="CV43">
        <f>IF(P43=0,0,COUNTIF('Transect 4_imgsummary'!E43:I43,"LOBO")*100/P43)</f>
        <v>0</v>
      </c>
      <c r="CW43">
        <f>IF(P43=0,0,COUNTIF('Transect 4_imgsummary'!E43:I43,"MAST")*100/P43)</f>
        <v>0</v>
      </c>
      <c r="CX43">
        <f>IF(P43=0,0,COUNTIF('Transect 4_imgsummary'!E43:I43,"MICDTY")*100/P43)</f>
        <v>0</v>
      </c>
      <c r="CY43">
        <f>IF(P43=0,0,COUNTIF('Transect 4_imgsummary'!E43:I43,"NEOM")*100/P43)</f>
        <v>0</v>
      </c>
      <c r="CZ43">
        <f>IF(P43=0,0,COUNTIF('Transect 4_imgsummary'!E43:I43,"NOIDMAC")*100/P43)</f>
        <v>0</v>
      </c>
      <c r="DA43">
        <f>IF(P43=0,0,COUNTIF('Transect 4_imgsummary'!E43:I43,"PAD")*100/P43)</f>
        <v>0</v>
      </c>
      <c r="DB43">
        <f>IF(P43=0,0,COUNTIF('Transect 4_imgsummary'!E43:I43,"SARG")*100/P43)</f>
        <v>0</v>
      </c>
      <c r="DC43">
        <f>IF(P43=0,0,COUNTIF('Transect 4_imgsummary'!E43:I43,"SCHIZ")*100/P43)</f>
        <v>0</v>
      </c>
      <c r="DD43">
        <f>IF(P43=0,0,COUNTIF('Transect 4_imgsummary'!E43:I43,"TURB")*100/P43)</f>
        <v>0</v>
      </c>
      <c r="DE43">
        <f>IF(P43=0,0,COUNTIF('Transect 4_imgsummary'!E43:I43,"TYDM")*100/P43)</f>
        <v>0</v>
      </c>
      <c r="DG43">
        <f>IF(P43=0,0,COUNTIF('Transect 4_imgsummary'!E43:I43,"AMP")*100/P43)</f>
        <v>0</v>
      </c>
      <c r="DH43">
        <f>IF(P43=0,0,COUNTIF('Transect 4_imgsummary'!E43:I43,"BCA1")*100/P43)</f>
        <v>0</v>
      </c>
      <c r="DI43">
        <f>IF(P43=0,0,COUNTIF('Transect 4_imgsummary'!E43:I43,"JAN")*100/P43)</f>
        <v>0</v>
      </c>
      <c r="DK43">
        <f>IF(P43=0,0,COUNTIF('Transect 4_imgsummary'!E43:I43,"CCA1")*100/P43)</f>
        <v>0</v>
      </c>
      <c r="DM43">
        <f>IF(P43=0,0,COUNTIF('Transect 4_imgsummary'!E43:I43,"Sand")*100/P43)</f>
        <v>0</v>
      </c>
      <c r="DO43">
        <f>IF(P43=0,0,COUNTIF('Transect 4_imgsummary'!E43:I43,"FCA1")*100/P43)</f>
        <v>0</v>
      </c>
      <c r="DQ43">
        <f>IF(P43=0,0,COUNTIF('Transect 4_imgsummary'!E43:I43,"CHRYOBRN")*100/P43)</f>
        <v>0</v>
      </c>
      <c r="DS43">
        <f>IF(P43=0,0,COUNTIF('Transect 4_imgsummary'!E43:I43,"TURF")*100/P43)</f>
        <v>0</v>
      </c>
      <c r="DU43">
        <f>COUNTIF('Transect 4_imgsummary'!E43:I43,"Shadow")*100/5</f>
        <v>0</v>
      </c>
      <c r="DV43">
        <f>COUNTIF('Transect 4_imgsummary'!E43:I43,"Tape")*100/5</f>
        <v>0</v>
      </c>
      <c r="DW43">
        <f>COUNTIF('Transect 4_imgsummary'!E43:I43,"Wand")*100/5</f>
        <v>0</v>
      </c>
      <c r="DY43">
        <f>IF(P43=0,0,COUNTIF('Transect 4_imgsummary'!O43:S43,"BC")*100/P43)</f>
        <v>0</v>
      </c>
    </row>
    <row r="44" spans="1:129">
      <c r="A44">
        <v>42</v>
      </c>
      <c r="B44" t="s">
        <v>587</v>
      </c>
      <c r="F44" s="29">
        <f>IF(P44=0,0,COUNTIF('Transect 4_imgsummary'!J44:N44,"C")*100/P44)</f>
        <v>20</v>
      </c>
      <c r="G44">
        <f>IF(P44=0,0,COUNTIF('Transect 4_imgsummary'!J44:N44,"OI")*100/P44)</f>
        <v>0</v>
      </c>
      <c r="H44">
        <f>IF(P44=0,0,COUNTIF('Transect 4_imgsummary'!J44:N44,"MA")*100/P44)</f>
        <v>0</v>
      </c>
      <c r="I44">
        <f>IF(P44=0,0,COUNTIF('Transect 4_imgsummary'!J44:N44,"BCA")*100/P44)</f>
        <v>0</v>
      </c>
      <c r="J44" s="29">
        <f>IF(P44=0,0,COUNTIF('Transect 4_imgsummary'!J44:N44,"CCA")*100/P44)</f>
        <v>20</v>
      </c>
      <c r="K44">
        <f>IF(P44=0,0,COUNTIF('Transect 4_imgsummary'!J44:N44,"SD")*100/P44)</f>
        <v>0</v>
      </c>
      <c r="L44">
        <f>IF(P44=0,0,COUNTIF('Transect 4_imgsummary'!J44:N44,"FCA")*100/P44)</f>
        <v>0</v>
      </c>
      <c r="M44">
        <f>IF(P44=0,0,COUNTIF('Transect 4_imgsummary'!J44:N44,"CHRYS")*100/P44)</f>
        <v>0</v>
      </c>
      <c r="N44" s="29">
        <f>IF(P44=0,0,COUNTIF('Transect 4_imgsummary'!J44:N44,"T")*100/P44)</f>
        <v>60</v>
      </c>
      <c r="O44">
        <f>IF(P44=0,0,COUNTIF('Transect 4_imgsummary'!J44:N44,"TWS")*100/P44)</f>
        <v>0</v>
      </c>
      <c r="P44">
        <f>5-COUNTIF('Transect 4_imgsummary'!J44:N44,"TWS")</f>
        <v>5</v>
      </c>
      <c r="S44">
        <f>IF(P44=0,0,COUNTIF('Transect 4_imgsummary'!E44:I44,"ACAN")*100/P44)</f>
        <v>0</v>
      </c>
      <c r="T44">
        <f>IF(P44=0,0,COUNTIF('Transect 4_imgsummary'!E44:I44,"ACROP")*100/P44)</f>
        <v>0</v>
      </c>
      <c r="U44">
        <f>IF(P44=0,0,COUNTIF('Transect 4_imgsummary'!E44:I44,"ACROPARB")*100/P44)</f>
        <v>0</v>
      </c>
      <c r="V44">
        <f>IF(P44=0,0,COUNTIF('Transect 4_imgsummary'!E44:I44,"ACROST")*100/P44)</f>
        <v>0</v>
      </c>
      <c r="W44" s="29">
        <f>IF(P44=0,0,COUNTIF('Transect 4_imgsummary'!E44:I44,"ACROTBL")*100/P44)</f>
        <v>20</v>
      </c>
      <c r="X44">
        <f>IF(P44=0,0,COUNTIF('Transect 4_imgsummary'!E44:I44,"ASTRP")*100/P44)</f>
        <v>0</v>
      </c>
      <c r="Y44">
        <f>IF(P44=0,0,COUNTIF('Transect 4_imgsummary'!E44:I44,"CAUL")*100/P44)</f>
        <v>0</v>
      </c>
      <c r="Z44">
        <f>IF(P44=0,0,COUNTIF('Transect 4_imgsummary'!E44:I44,"COSC")*100/P44)</f>
        <v>0</v>
      </c>
      <c r="AA44">
        <f>IF(P44=0,0,COUNTIF('Transect 4_imgsummary'!E44:I44,"CTEN")*100/P44)</f>
        <v>0</v>
      </c>
      <c r="AB44">
        <f>IF(P44=0,0,COUNTIF('Transect 4_imgsummary'!E44:I44,"CYPH")*100/P44)</f>
        <v>0</v>
      </c>
      <c r="AC44">
        <f>IF(P44=0,0,COUNTIF('Transect 4_imgsummary'!E44:I44,"DIPLO")*100/P44)</f>
        <v>0</v>
      </c>
      <c r="AD44">
        <f>IF(P44=0,0,COUNTIF('Transect 4_imgsummary'!E44:I44,"ECHPO")*100/P44)</f>
        <v>0</v>
      </c>
      <c r="AE44">
        <f>IF(P44=0,0,COUNTIF('Transect 4_imgsummary'!E44:I44,"ECHPHY")*100/P44)</f>
        <v>0</v>
      </c>
      <c r="AF44">
        <f>IF(P44=0,0,COUNTIF('Transect 4_imgsummary'!E44:I44,"EUPH")*100/P44)</f>
        <v>0</v>
      </c>
      <c r="AG44">
        <f>IF(P44=0,0,COUNTIF('Transect 4_imgsummary'!E44:I44,"FAV")*100/P44)</f>
        <v>0</v>
      </c>
      <c r="AH44">
        <f>IF(P44=0,0,COUNTIF('Transect 4_imgsummary'!E44:I44,"FAVT")*100/P44)</f>
        <v>0</v>
      </c>
      <c r="AI44">
        <f>IF(P44=0,0,COUNTIF('Transect 4_imgsummary'!E44:I44,"FUNG")*100/P44)</f>
        <v>0</v>
      </c>
      <c r="AJ44">
        <f>IF(P44=0,0,COUNTIF('Transect 4_imgsummary'!E44:I44,"GAL")*100/P44)</f>
        <v>0</v>
      </c>
      <c r="AK44">
        <f>IF(P44=0,0,COUNTIF('Transect 4_imgsummary'!E44:I44,"GARD")*100/P44)</f>
        <v>0</v>
      </c>
      <c r="AL44">
        <f>IF(P44=0,0,COUNTIF('Transect 4_imgsummary'!E44:I44,"GON")*100/P44)</f>
        <v>0</v>
      </c>
      <c r="AM44">
        <f>IF(P44=0,0,COUNTIF('Transect 4_imgsummary'!E44:I44,"GONIO")*100/P44)</f>
        <v>0</v>
      </c>
      <c r="AN44">
        <f>IF(P44=0,0,COUNTIF('Transect 4_imgsummary'!E44:I44,"HELIO")*100/P44)</f>
        <v>0</v>
      </c>
      <c r="AO44">
        <f>IF(P44=0,0,COUNTIF('Transect 4_imgsummary'!E44:I44,"HERP")*100/P44)</f>
        <v>0</v>
      </c>
      <c r="AP44">
        <f>IF(P44=0,0,COUNTIF('Transect 4_imgsummary'!E44:I44,"HYD")*100/P44)</f>
        <v>0</v>
      </c>
      <c r="AQ44">
        <f>IF(P44=0,0,COUNTIF('Transect 4_imgsummary'!E44:I44,"ISOP")*100/P44)</f>
        <v>0</v>
      </c>
      <c r="AR44">
        <f>IF(P44=0,0,COUNTIF('Transect 4_imgsummary'!E44:I44,"LEPT")*100/P44)</f>
        <v>0</v>
      </c>
      <c r="AS44">
        <f>IF(P44=0,0,COUNTIF('Transect 4_imgsummary'!E44:I44,"LEPTOR")*100/P44)</f>
        <v>0</v>
      </c>
      <c r="AT44">
        <f>IF(P44=0,0,COUNTIF('Transect 4_imgsummary'!E44:I44,"LEPTOS")*100/P44)</f>
        <v>0</v>
      </c>
      <c r="AU44">
        <f>IF(P44=0,0,COUNTIF('Transect 4_imgsummary'!E44:I44,"LOBOPH")*100/P44)</f>
        <v>0</v>
      </c>
      <c r="AV44">
        <f>IF(P44=0,0,COUNTIF('Transect 4_imgsummary'!E44:I44,"MERU")*100/P44)</f>
        <v>0</v>
      </c>
      <c r="AW44">
        <f>IF(P44=0,0,COUNTIF('Transect 4_imgsummary'!E44:I44,"MILL")*100/P44)</f>
        <v>0</v>
      </c>
      <c r="AX44">
        <f>IF(P44=0,0,COUNTIF('Transect 4_imgsummary'!E44:I44,"MONT")*100/P44)</f>
        <v>0</v>
      </c>
      <c r="AY44">
        <f>IF(P44=0,0,COUNTIF('Transect 4_imgsummary'!E44:I44,"MONTI")*100/P44)</f>
        <v>0</v>
      </c>
      <c r="AZ44">
        <f>IF(P44=0,0,COUNTIF('Transect 4_imgsummary'!E44:I44,"MYCED")*100/P44)</f>
        <v>0</v>
      </c>
      <c r="BA44">
        <f>IF(P44=0,0,COUNTIF('Transect 4_imgsummary'!E44:I44,"OULO")*100/P44)</f>
        <v>0</v>
      </c>
      <c r="BB44">
        <f>IF(P44=0,0,COUNTIF('Transect 4_imgsummary'!E44:I44,"OXYP")*100/P44)</f>
        <v>0</v>
      </c>
      <c r="BC44">
        <f>IF(P44=0,0,COUNTIF('Transect 4_imgsummary'!E44:I44,"PLSIA")*100/P44)</f>
        <v>0</v>
      </c>
      <c r="BD44">
        <f>IF(P44=0,0,COUNTIF('Transect 4_imgsummary'!E44:I44,"PACHY")*100/P44)</f>
        <v>0</v>
      </c>
      <c r="BE44">
        <f>IF(P44=0,0,COUNTIF('Transect 4_imgsummary'!E44:I44,"PAV")*100/P44)</f>
        <v>0</v>
      </c>
      <c r="BF44">
        <f>IF(P44=0,0,COUNTIF('Transect 4_imgsummary'!E44:I44,"PECT")*100/P44)</f>
        <v>0</v>
      </c>
      <c r="BG44">
        <f>IF(P44=0,0,COUNTIF('Transect 4_imgsummary'!E44:I44,"PHYSO")*100/P44)</f>
        <v>0</v>
      </c>
      <c r="BH44">
        <f>IF(P44=0,0,COUNTIF('Transect 4_imgsummary'!E44:I44,"PLAT")*100/P44)</f>
        <v>0</v>
      </c>
      <c r="BI44">
        <f>IF(P44=0,0,COUNTIF('Transect 4_imgsummary'!E44:I44,"PLERO")*100/P44)</f>
        <v>0</v>
      </c>
      <c r="BJ44">
        <f>IF(P44=0,0,COUNTIF('Transect 4_imgsummary'!E44:I44,"POC")*100/P44)</f>
        <v>0</v>
      </c>
      <c r="BK44">
        <f>IF(P44=0,0,COUNTIF('Transect 4_imgsummary'!E44:I44,"POR")*100/P44)</f>
        <v>0</v>
      </c>
      <c r="BL44">
        <f>IF(P44=0,0,COUNTIF('Transect 4_imgsummary'!E44:I44,"PORCYL")*100/P44)</f>
        <v>0</v>
      </c>
      <c r="BM44">
        <f>IF(P44=0,0,COUNTIF('Transect 4_imgsummary'!E44:I44,"PORMAS")*100/P44)</f>
        <v>0</v>
      </c>
      <c r="BN44">
        <f>IF(P44=0,0,COUNTIF('Transect 4_imgsummary'!E44:I44,"PORRUS")*100/P44)</f>
        <v>0</v>
      </c>
      <c r="BO44">
        <f>IF(P44=0,0,COUNTIF('Transect 4_imgsummary'!E44:I44,"PSAM")*100/P44)</f>
        <v>0</v>
      </c>
      <c r="BP44">
        <f>IF(P44=0,0,COUNTIF('Transect 4_imgsummary'!E44:I44,"SANDO")*100/P44)</f>
        <v>0</v>
      </c>
      <c r="BQ44">
        <f>IF(P44=0,0,COUNTIF('Transect 4_imgsummary'!E44:I44,"SCAP")*100/P44)</f>
        <v>0</v>
      </c>
      <c r="BR44">
        <f>IF(P44=0,0,COUNTIF('Transect 4_imgsummary'!E44:I44,"SERIA")*100/P44)</f>
        <v>0</v>
      </c>
      <c r="BS44">
        <f>IF(P44=0,0,COUNTIF('Transect 4_imgsummary'!E44:I44,"STYLC")*100/P44)</f>
        <v>0</v>
      </c>
      <c r="BT44">
        <f>IF(P44=0,0,COUNTIF('Transect 4_imgsummary'!E44:I44,"STYLO")*100/P44)</f>
        <v>0</v>
      </c>
      <c r="BU44">
        <f>IF(P44=0,0,COUNTIF('Transect 4_imgsummary'!E44:I44,"SYMP")*100/P44)</f>
        <v>0</v>
      </c>
      <c r="BV44">
        <f>IF(P44=0,0,COUNTIF('Transect 4_imgsummary'!E44:I44,"TURBIN")*100/P44)</f>
        <v>0</v>
      </c>
      <c r="BX44">
        <f>IF(P44=0,0,COUNTIF('Transect 4_imgsummary'!E44:I44,"ANEM")*100/P44)</f>
        <v>0</v>
      </c>
      <c r="BY44">
        <f>IF(P44=0,0,COUNTIF('Transect 4_imgsummary'!E44:I44,"ASC")*100/P44)</f>
        <v>0</v>
      </c>
      <c r="BZ44">
        <f>IF(P44=0,0,COUNTIF('Transect 4_imgsummary'!E44:I44,"CUPS")*100/P44)</f>
        <v>0</v>
      </c>
      <c r="CA44">
        <f>IF(P44=0,0,COUNTIF('Transect 4_imgsummary'!E44:I44,"DISCO")*100/P44)</f>
        <v>0</v>
      </c>
      <c r="CB44">
        <f>IF(P44=0,0,COUNTIF('Transect 4_imgsummary'!E44:I44,"DYS")*100/P44)</f>
        <v>0</v>
      </c>
      <c r="CC44">
        <f>IF(P44=0,0,COUNTIF('Transect 4_imgsummary'!E44:I44,"G")*100/P44)</f>
        <v>0</v>
      </c>
      <c r="CD44">
        <f>IF(P44=0,0,COUNTIF('Transect 4_imgsummary'!E44:I44,"NoIDINV")*100/P44)</f>
        <v>0</v>
      </c>
      <c r="CE44">
        <f>IF(P44=0,0,COUNTIF('Transect 4_imgsummary'!E44:I44,"OLV")*100/P44)</f>
        <v>0</v>
      </c>
      <c r="CF44">
        <f>IF(P44=0,0,COUNTIF('Transect 4_imgsummary'!E44:I44,"SC")*100/P44)</f>
        <v>0</v>
      </c>
      <c r="CG44">
        <f>IF(P44=0,0,COUNTIF('Transect 4_imgsummary'!E44:I44,"S")*100/P44)</f>
        <v>0</v>
      </c>
      <c r="CH44">
        <f>IF(P44=0,0,COUNTIF('Transect 4_imgsummary'!E44:I44,"TERPS")*100/P44)</f>
        <v>0</v>
      </c>
      <c r="CI44">
        <f>IF(P44=0,0,COUNTIF('Transect 4_imgsummary'!E44:I44,"Z")*100/P44)</f>
        <v>0</v>
      </c>
      <c r="CK44">
        <f>IF(P44=0,0,COUNTIF('Transect 4_imgsummary'!E44:I44,"ASP")*100/P44)</f>
        <v>0</v>
      </c>
      <c r="CL44">
        <f>IF(P44=0,0,COUNTIF('Transect 4_imgsummary'!E44:I44,"BG")*100/P44)</f>
        <v>0</v>
      </c>
      <c r="CM44">
        <f>IF(P44=0,0,COUNTIF('Transect 4_imgsummary'!E44:I44,"Bood")*100/P44)</f>
        <v>0</v>
      </c>
      <c r="CN44">
        <f>IF(P44=0,0,COUNTIF('Transect 4_imgsummary'!E44:I44,"BRYP")*100/P44)</f>
        <v>0</v>
      </c>
      <c r="CO44">
        <f>IF(P44=0,0,COUNTIF('Transect 4_imgsummary'!E44:I44,"CLP")*100/P44)</f>
        <v>0</v>
      </c>
      <c r="CP44">
        <f>IF(P44=0,0,COUNTIF('Transect 4_imgsummary'!E44:I44,"CHLDES")*100/P44)</f>
        <v>0</v>
      </c>
      <c r="CQ44">
        <f>IF(P44=0,0,COUNTIF('Transect 4_imgsummary'!E44:I44,"DYCTY")*100/P44)</f>
        <v>0</v>
      </c>
      <c r="CR44">
        <f>IF(P44=0,0,COUNTIF('Transect 4_imgsummary'!E44:I44,"DICT")*100/P44)</f>
        <v>0</v>
      </c>
      <c r="CS44">
        <f>IF(P44=0,0,COUNTIF('Transect 4_imgsummary'!E44:I44,"GLXU")*100/P44)</f>
        <v>0</v>
      </c>
      <c r="CT44">
        <f>IF(P44=0,0,COUNTIF('Transect 4_imgsummary'!E44:I44,"HALI")*100/P44)</f>
        <v>0</v>
      </c>
      <c r="CU44">
        <f>IF(P44=0,0,COUNTIF('Transect 4_imgsummary'!E44:I44,"LIAG")*100/P44)</f>
        <v>0</v>
      </c>
      <c r="CV44">
        <f>IF(P44=0,0,COUNTIF('Transect 4_imgsummary'!E44:I44,"LOBO")*100/P44)</f>
        <v>0</v>
      </c>
      <c r="CW44">
        <f>IF(P44=0,0,COUNTIF('Transect 4_imgsummary'!E44:I44,"MAST")*100/P44)</f>
        <v>0</v>
      </c>
      <c r="CX44">
        <f>IF(P44=0,0,COUNTIF('Transect 4_imgsummary'!E44:I44,"MICDTY")*100/P44)</f>
        <v>0</v>
      </c>
      <c r="CY44">
        <f>IF(P44=0,0,COUNTIF('Transect 4_imgsummary'!E44:I44,"NEOM")*100/P44)</f>
        <v>0</v>
      </c>
      <c r="CZ44">
        <f>IF(P44=0,0,COUNTIF('Transect 4_imgsummary'!E44:I44,"NOIDMAC")*100/P44)</f>
        <v>0</v>
      </c>
      <c r="DA44">
        <f>IF(P44=0,0,COUNTIF('Transect 4_imgsummary'!E44:I44,"PAD")*100/P44)</f>
        <v>0</v>
      </c>
      <c r="DB44">
        <f>IF(P44=0,0,COUNTIF('Transect 4_imgsummary'!E44:I44,"SARG")*100/P44)</f>
        <v>0</v>
      </c>
      <c r="DC44">
        <f>IF(P44=0,0,COUNTIF('Transect 4_imgsummary'!E44:I44,"SCHIZ")*100/P44)</f>
        <v>0</v>
      </c>
      <c r="DD44">
        <f>IF(P44=0,0,COUNTIF('Transect 4_imgsummary'!E44:I44,"TURB")*100/P44)</f>
        <v>0</v>
      </c>
      <c r="DE44">
        <f>IF(P44=0,0,COUNTIF('Transect 4_imgsummary'!E44:I44,"TYDM")*100/P44)</f>
        <v>0</v>
      </c>
      <c r="DG44">
        <f>IF(P44=0,0,COUNTIF('Transect 4_imgsummary'!E44:I44,"AMP")*100/P44)</f>
        <v>0</v>
      </c>
      <c r="DH44">
        <f>IF(P44=0,0,COUNTIF('Transect 4_imgsummary'!E44:I44,"BCA1")*100/P44)</f>
        <v>0</v>
      </c>
      <c r="DI44">
        <f>IF(P44=0,0,COUNTIF('Transect 4_imgsummary'!E44:I44,"JAN")*100/P44)</f>
        <v>0</v>
      </c>
      <c r="DK44" s="29">
        <f>IF(P44=0,0,COUNTIF('Transect 4_imgsummary'!E44:I44,"CCA1")*100/P44)</f>
        <v>20</v>
      </c>
      <c r="DM44">
        <f>IF(P44=0,0,COUNTIF('Transect 4_imgsummary'!E44:I44,"Sand")*100/P44)</f>
        <v>0</v>
      </c>
      <c r="DO44">
        <f>IF(P44=0,0,COUNTIF('Transect 4_imgsummary'!E44:I44,"FCA1")*100/P44)</f>
        <v>0</v>
      </c>
      <c r="DQ44">
        <f>IF(P44=0,0,COUNTIF('Transect 4_imgsummary'!E44:I44,"CHRYOBRN")*100/P44)</f>
        <v>0</v>
      </c>
      <c r="DS44" s="29">
        <f>IF(P44=0,0,COUNTIF('Transect 4_imgsummary'!E44:I44,"TURF")*100/P44)</f>
        <v>60</v>
      </c>
      <c r="DU44">
        <f>COUNTIF('Transect 4_imgsummary'!E44:I44,"Shadow")*100/5</f>
        <v>0</v>
      </c>
      <c r="DV44">
        <f>COUNTIF('Transect 4_imgsummary'!E44:I44,"Tape")*100/5</f>
        <v>0</v>
      </c>
      <c r="DW44">
        <f>COUNTIF('Transect 4_imgsummary'!E44:I44,"Wand")*100/5</f>
        <v>0</v>
      </c>
      <c r="DY44">
        <f>IF(P44=0,0,COUNTIF('Transect 4_imgsummary'!O44:S44,"BC")*100/P44)</f>
        <v>0</v>
      </c>
    </row>
    <row r="45" spans="1:129">
      <c r="A45">
        <v>43</v>
      </c>
      <c r="B45" t="s">
        <v>588</v>
      </c>
      <c r="F45" s="29">
        <f>IF(P45=0,0,COUNTIF('Transect 4_imgsummary'!J45:N45,"C")*100/P45)</f>
        <v>80</v>
      </c>
      <c r="G45">
        <f>IF(P45=0,0,COUNTIF('Transect 4_imgsummary'!J45:N45,"OI")*100/P45)</f>
        <v>0</v>
      </c>
      <c r="H45">
        <f>IF(P45=0,0,COUNTIF('Transect 4_imgsummary'!J45:N45,"MA")*100/P45)</f>
        <v>0</v>
      </c>
      <c r="I45">
        <f>IF(P45=0,0,COUNTIF('Transect 4_imgsummary'!J45:N45,"BCA")*100/P45)</f>
        <v>0</v>
      </c>
      <c r="J45">
        <f>IF(P45=0,0,COUNTIF('Transect 4_imgsummary'!J45:N45,"CCA")*100/P45)</f>
        <v>0</v>
      </c>
      <c r="K45">
        <f>IF(P45=0,0,COUNTIF('Transect 4_imgsummary'!J45:N45,"SD")*100/P45)</f>
        <v>0</v>
      </c>
      <c r="L45">
        <f>IF(P45=0,0,COUNTIF('Transect 4_imgsummary'!J45:N45,"FCA")*100/P45)</f>
        <v>0</v>
      </c>
      <c r="M45">
        <f>IF(P45=0,0,COUNTIF('Transect 4_imgsummary'!J45:N45,"CHRYS")*100/P45)</f>
        <v>0</v>
      </c>
      <c r="N45" s="29">
        <f>IF(P45=0,0,COUNTIF('Transect 4_imgsummary'!J45:N45,"T")*100/P45)</f>
        <v>20</v>
      </c>
      <c r="O45">
        <f>IF(P45=0,0,COUNTIF('Transect 4_imgsummary'!J45:N45,"TWS")*100/P45)</f>
        <v>0</v>
      </c>
      <c r="P45">
        <f>5-COUNTIF('Transect 4_imgsummary'!J45:N45,"TWS")</f>
        <v>5</v>
      </c>
      <c r="S45">
        <f>IF(P45=0,0,COUNTIF('Transect 4_imgsummary'!E45:I45,"ACAN")*100/P45)</f>
        <v>0</v>
      </c>
      <c r="T45">
        <f>IF(P45=0,0,COUNTIF('Transect 4_imgsummary'!E45:I45,"ACROP")*100/P45)</f>
        <v>0</v>
      </c>
      <c r="U45">
        <f>IF(P45=0,0,COUNTIF('Transect 4_imgsummary'!E45:I45,"ACROPARB")*100/P45)</f>
        <v>0</v>
      </c>
      <c r="V45">
        <f>IF(P45=0,0,COUNTIF('Transect 4_imgsummary'!E45:I45,"ACROST")*100/P45)</f>
        <v>0</v>
      </c>
      <c r="W45" s="29">
        <f>IF(P45=0,0,COUNTIF('Transect 4_imgsummary'!E45:I45,"ACROTBL")*100/P45)</f>
        <v>40</v>
      </c>
      <c r="X45">
        <f>IF(P45=0,0,COUNTIF('Transect 4_imgsummary'!E45:I45,"ASTRP")*100/P45)</f>
        <v>0</v>
      </c>
      <c r="Y45">
        <f>IF(P45=0,0,COUNTIF('Transect 4_imgsummary'!E45:I45,"CAUL")*100/P45)</f>
        <v>0</v>
      </c>
      <c r="Z45">
        <f>IF(P45=0,0,COUNTIF('Transect 4_imgsummary'!E45:I45,"COSC")*100/P45)</f>
        <v>0</v>
      </c>
      <c r="AA45">
        <f>IF(P45=0,0,COUNTIF('Transect 4_imgsummary'!E45:I45,"CTEN")*100/P45)</f>
        <v>0</v>
      </c>
      <c r="AB45">
        <f>IF(P45=0,0,COUNTIF('Transect 4_imgsummary'!E45:I45,"CYPH")*100/P45)</f>
        <v>0</v>
      </c>
      <c r="AC45">
        <f>IF(P45=0,0,COUNTIF('Transect 4_imgsummary'!E45:I45,"DIPLO")*100/P45)</f>
        <v>0</v>
      </c>
      <c r="AD45">
        <f>IF(P45=0,0,COUNTIF('Transect 4_imgsummary'!E45:I45,"ECHPO")*100/P45)</f>
        <v>0</v>
      </c>
      <c r="AE45">
        <f>IF(P45=0,0,COUNTIF('Transect 4_imgsummary'!E45:I45,"ECHPHY")*100/P45)</f>
        <v>0</v>
      </c>
      <c r="AF45">
        <f>IF(P45=0,0,COUNTIF('Transect 4_imgsummary'!E45:I45,"EUPH")*100/P45)</f>
        <v>0</v>
      </c>
      <c r="AG45">
        <f>IF(P45=0,0,COUNTIF('Transect 4_imgsummary'!E45:I45,"FAV")*100/P45)</f>
        <v>0</v>
      </c>
      <c r="AH45">
        <f>IF(P45=0,0,COUNTIF('Transect 4_imgsummary'!E45:I45,"FAVT")*100/P45)</f>
        <v>0</v>
      </c>
      <c r="AI45">
        <f>IF(P45=0,0,COUNTIF('Transect 4_imgsummary'!E45:I45,"FUNG")*100/P45)</f>
        <v>0</v>
      </c>
      <c r="AJ45">
        <f>IF(P45=0,0,COUNTIF('Transect 4_imgsummary'!E45:I45,"GAL")*100/P45)</f>
        <v>0</v>
      </c>
      <c r="AK45">
        <f>IF(P45=0,0,COUNTIF('Transect 4_imgsummary'!E45:I45,"GARD")*100/P45)</f>
        <v>0</v>
      </c>
      <c r="AL45">
        <f>IF(P45=0,0,COUNTIF('Transect 4_imgsummary'!E45:I45,"GON")*100/P45)</f>
        <v>0</v>
      </c>
      <c r="AM45">
        <f>IF(P45=0,0,COUNTIF('Transect 4_imgsummary'!E45:I45,"GONIO")*100/P45)</f>
        <v>0</v>
      </c>
      <c r="AN45">
        <f>IF(P45=0,0,COUNTIF('Transect 4_imgsummary'!E45:I45,"HELIO")*100/P45)</f>
        <v>0</v>
      </c>
      <c r="AO45">
        <f>IF(P45=0,0,COUNTIF('Transect 4_imgsummary'!E45:I45,"HERP")*100/P45)</f>
        <v>0</v>
      </c>
      <c r="AP45">
        <f>IF(P45=0,0,COUNTIF('Transect 4_imgsummary'!E45:I45,"HYD")*100/P45)</f>
        <v>0</v>
      </c>
      <c r="AQ45">
        <f>IF(P45=0,0,COUNTIF('Transect 4_imgsummary'!E45:I45,"ISOP")*100/P45)</f>
        <v>0</v>
      </c>
      <c r="AR45">
        <f>IF(P45=0,0,COUNTIF('Transect 4_imgsummary'!E45:I45,"LEPT")*100/P45)</f>
        <v>0</v>
      </c>
      <c r="AS45" s="29">
        <f>IF(P45=0,0,COUNTIF('Transect 4_imgsummary'!E45:I45,"LEPTOR")*100/P45)</f>
        <v>20</v>
      </c>
      <c r="AT45">
        <f>IF(P45=0,0,COUNTIF('Transect 4_imgsummary'!E45:I45,"LEPTOS")*100/P45)</f>
        <v>0</v>
      </c>
      <c r="AU45">
        <f>IF(P45=0,0,COUNTIF('Transect 4_imgsummary'!E45:I45,"LOBOPH")*100/P45)</f>
        <v>0</v>
      </c>
      <c r="AV45">
        <f>IF(P45=0,0,COUNTIF('Transect 4_imgsummary'!E45:I45,"MERU")*100/P45)</f>
        <v>0</v>
      </c>
      <c r="AW45">
        <f>IF(P45=0,0,COUNTIF('Transect 4_imgsummary'!E45:I45,"MILL")*100/P45)</f>
        <v>0</v>
      </c>
      <c r="AX45">
        <f>IF(P45=0,0,COUNTIF('Transect 4_imgsummary'!E45:I45,"MONT")*100/P45)</f>
        <v>0</v>
      </c>
      <c r="AY45">
        <f>IF(P45=0,0,COUNTIF('Transect 4_imgsummary'!E45:I45,"MONTI")*100/P45)</f>
        <v>0</v>
      </c>
      <c r="AZ45">
        <f>IF(P45=0,0,COUNTIF('Transect 4_imgsummary'!E45:I45,"MYCED")*100/P45)</f>
        <v>0</v>
      </c>
      <c r="BA45">
        <f>IF(P45=0,0,COUNTIF('Transect 4_imgsummary'!E45:I45,"OULO")*100/P45)</f>
        <v>0</v>
      </c>
      <c r="BB45">
        <f>IF(P45=0,0,COUNTIF('Transect 4_imgsummary'!E45:I45,"OXYP")*100/P45)</f>
        <v>0</v>
      </c>
      <c r="BC45">
        <f>IF(P45=0,0,COUNTIF('Transect 4_imgsummary'!E45:I45,"PLSIA")*100/P45)</f>
        <v>0</v>
      </c>
      <c r="BD45">
        <f>IF(P45=0,0,COUNTIF('Transect 4_imgsummary'!E45:I45,"PACHY")*100/P45)</f>
        <v>0</v>
      </c>
      <c r="BE45">
        <f>IF(P45=0,0,COUNTIF('Transect 4_imgsummary'!E45:I45,"PAV")*100/P45)</f>
        <v>0</v>
      </c>
      <c r="BF45">
        <f>IF(P45=0,0,COUNTIF('Transect 4_imgsummary'!E45:I45,"PECT")*100/P45)</f>
        <v>0</v>
      </c>
      <c r="BG45">
        <f>IF(P45=0,0,COUNTIF('Transect 4_imgsummary'!E45:I45,"PHYSO")*100/P45)</f>
        <v>0</v>
      </c>
      <c r="BH45">
        <f>IF(P45=0,0,COUNTIF('Transect 4_imgsummary'!E45:I45,"PLAT")*100/P45)</f>
        <v>0</v>
      </c>
      <c r="BI45">
        <f>IF(P45=0,0,COUNTIF('Transect 4_imgsummary'!E45:I45,"PLERO")*100/P45)</f>
        <v>0</v>
      </c>
      <c r="BJ45">
        <f>IF(P45=0,0,COUNTIF('Transect 4_imgsummary'!E45:I45,"POC")*100/P45)</f>
        <v>0</v>
      </c>
      <c r="BK45">
        <f>IF(P45=0,0,COUNTIF('Transect 4_imgsummary'!E45:I45,"POR")*100/P45)</f>
        <v>0</v>
      </c>
      <c r="BL45">
        <f>IF(P45=0,0,COUNTIF('Transect 4_imgsummary'!E45:I45,"PORCYL")*100/P45)</f>
        <v>0</v>
      </c>
      <c r="BM45">
        <f>IF(P45=0,0,COUNTIF('Transect 4_imgsummary'!E45:I45,"PORMAS")*100/P45)</f>
        <v>0</v>
      </c>
      <c r="BN45">
        <f>IF(P45=0,0,COUNTIF('Transect 4_imgsummary'!E45:I45,"PORRUS")*100/P45)</f>
        <v>0</v>
      </c>
      <c r="BO45">
        <f>IF(P45=0,0,COUNTIF('Transect 4_imgsummary'!E45:I45,"PSAM")*100/P45)</f>
        <v>0</v>
      </c>
      <c r="BP45">
        <f>IF(P45=0,0,COUNTIF('Transect 4_imgsummary'!E45:I45,"SANDO")*100/P45)</f>
        <v>0</v>
      </c>
      <c r="BQ45">
        <f>IF(P45=0,0,COUNTIF('Transect 4_imgsummary'!E45:I45,"SCAP")*100/P45)</f>
        <v>0</v>
      </c>
      <c r="BR45">
        <f>IF(P45=0,0,COUNTIF('Transect 4_imgsummary'!E45:I45,"SERIA")*100/P45)</f>
        <v>0</v>
      </c>
      <c r="BS45">
        <f>IF(P45=0,0,COUNTIF('Transect 4_imgsummary'!E45:I45,"STYLC")*100/P45)</f>
        <v>0</v>
      </c>
      <c r="BT45" s="29">
        <f>IF(P45=0,0,COUNTIF('Transect 4_imgsummary'!E45:I45,"STYLO")*100/P45)</f>
        <v>20</v>
      </c>
      <c r="BU45">
        <f>IF(P45=0,0,COUNTIF('Transect 4_imgsummary'!E45:I45,"SYMP")*100/P45)</f>
        <v>0</v>
      </c>
      <c r="BV45">
        <f>IF(P45=0,0,COUNTIF('Transect 4_imgsummary'!E45:I45,"TURBIN")*100/P45)</f>
        <v>0</v>
      </c>
      <c r="BX45">
        <f>IF(P45=0,0,COUNTIF('Transect 4_imgsummary'!E45:I45,"ANEM")*100/P45)</f>
        <v>0</v>
      </c>
      <c r="BY45">
        <f>IF(P45=0,0,COUNTIF('Transect 4_imgsummary'!E45:I45,"ASC")*100/P45)</f>
        <v>0</v>
      </c>
      <c r="BZ45">
        <f>IF(P45=0,0,COUNTIF('Transect 4_imgsummary'!E45:I45,"CUPS")*100/P45)</f>
        <v>0</v>
      </c>
      <c r="CA45">
        <f>IF(P45=0,0,COUNTIF('Transect 4_imgsummary'!E45:I45,"DISCO")*100/P45)</f>
        <v>0</v>
      </c>
      <c r="CB45">
        <f>IF(P45=0,0,COUNTIF('Transect 4_imgsummary'!E45:I45,"DYS")*100/P45)</f>
        <v>0</v>
      </c>
      <c r="CC45">
        <f>IF(P45=0,0,COUNTIF('Transect 4_imgsummary'!E45:I45,"G")*100/P45)</f>
        <v>0</v>
      </c>
      <c r="CD45">
        <f>IF(P45=0,0,COUNTIF('Transect 4_imgsummary'!E45:I45,"NoIDINV")*100/P45)</f>
        <v>0</v>
      </c>
      <c r="CE45">
        <f>IF(P45=0,0,COUNTIF('Transect 4_imgsummary'!E45:I45,"OLV")*100/P45)</f>
        <v>0</v>
      </c>
      <c r="CF45">
        <f>IF(P45=0,0,COUNTIF('Transect 4_imgsummary'!E45:I45,"SC")*100/P45)</f>
        <v>0</v>
      </c>
      <c r="CG45">
        <f>IF(P45=0,0,COUNTIF('Transect 4_imgsummary'!E45:I45,"S")*100/P45)</f>
        <v>0</v>
      </c>
      <c r="CH45">
        <f>IF(P45=0,0,COUNTIF('Transect 4_imgsummary'!E45:I45,"TERPS")*100/P45)</f>
        <v>0</v>
      </c>
      <c r="CI45">
        <f>IF(P45=0,0,COUNTIF('Transect 4_imgsummary'!E45:I45,"Z")*100/P45)</f>
        <v>0</v>
      </c>
      <c r="CK45">
        <f>IF(P45=0,0,COUNTIF('Transect 4_imgsummary'!E45:I45,"ASP")*100/P45)</f>
        <v>0</v>
      </c>
      <c r="CL45">
        <f>IF(P45=0,0,COUNTIF('Transect 4_imgsummary'!E45:I45,"BG")*100/P45)</f>
        <v>0</v>
      </c>
      <c r="CM45">
        <f>IF(P45=0,0,COUNTIF('Transect 4_imgsummary'!E45:I45,"Bood")*100/P45)</f>
        <v>0</v>
      </c>
      <c r="CN45">
        <f>IF(P45=0,0,COUNTIF('Transect 4_imgsummary'!E45:I45,"BRYP")*100/P45)</f>
        <v>0</v>
      </c>
      <c r="CO45">
        <f>IF(P45=0,0,COUNTIF('Transect 4_imgsummary'!E45:I45,"CLP")*100/P45)</f>
        <v>0</v>
      </c>
      <c r="CP45">
        <f>IF(P45=0,0,COUNTIF('Transect 4_imgsummary'!E45:I45,"CHLDES")*100/P45)</f>
        <v>0</v>
      </c>
      <c r="CQ45">
        <f>IF(P45=0,0,COUNTIF('Transect 4_imgsummary'!E45:I45,"DYCTY")*100/P45)</f>
        <v>0</v>
      </c>
      <c r="CR45">
        <f>IF(P45=0,0,COUNTIF('Transect 4_imgsummary'!E45:I45,"DICT")*100/P45)</f>
        <v>0</v>
      </c>
      <c r="CS45">
        <f>IF(P45=0,0,COUNTIF('Transect 4_imgsummary'!E45:I45,"GLXU")*100/P45)</f>
        <v>0</v>
      </c>
      <c r="CT45">
        <f>IF(P45=0,0,COUNTIF('Transect 4_imgsummary'!E45:I45,"HALI")*100/P45)</f>
        <v>0</v>
      </c>
      <c r="CU45">
        <f>IF(P45=0,0,COUNTIF('Transect 4_imgsummary'!E45:I45,"LIAG")*100/P45)</f>
        <v>0</v>
      </c>
      <c r="CV45">
        <f>IF(P45=0,0,COUNTIF('Transect 4_imgsummary'!E45:I45,"LOBO")*100/P45)</f>
        <v>0</v>
      </c>
      <c r="CW45">
        <f>IF(P45=0,0,COUNTIF('Transect 4_imgsummary'!E45:I45,"MAST")*100/P45)</f>
        <v>0</v>
      </c>
      <c r="CX45">
        <f>IF(P45=0,0,COUNTIF('Transect 4_imgsummary'!E45:I45,"MICDTY")*100/P45)</f>
        <v>0</v>
      </c>
      <c r="CY45">
        <f>IF(P45=0,0,COUNTIF('Transect 4_imgsummary'!E45:I45,"NEOM")*100/P45)</f>
        <v>0</v>
      </c>
      <c r="CZ45">
        <f>IF(P45=0,0,COUNTIF('Transect 4_imgsummary'!E45:I45,"NOIDMAC")*100/P45)</f>
        <v>0</v>
      </c>
      <c r="DA45">
        <f>IF(P45=0,0,COUNTIF('Transect 4_imgsummary'!E45:I45,"PAD")*100/P45)</f>
        <v>0</v>
      </c>
      <c r="DB45">
        <f>IF(P45=0,0,COUNTIF('Transect 4_imgsummary'!E45:I45,"SARG")*100/P45)</f>
        <v>0</v>
      </c>
      <c r="DC45">
        <f>IF(P45=0,0,COUNTIF('Transect 4_imgsummary'!E45:I45,"SCHIZ")*100/P45)</f>
        <v>0</v>
      </c>
      <c r="DD45">
        <f>IF(P45=0,0,COUNTIF('Transect 4_imgsummary'!E45:I45,"TURB")*100/P45)</f>
        <v>0</v>
      </c>
      <c r="DE45">
        <f>IF(P45=0,0,COUNTIF('Transect 4_imgsummary'!E45:I45,"TYDM")*100/P45)</f>
        <v>0</v>
      </c>
      <c r="DG45">
        <f>IF(P45=0,0,COUNTIF('Transect 4_imgsummary'!E45:I45,"AMP")*100/P45)</f>
        <v>0</v>
      </c>
      <c r="DH45">
        <f>IF(P45=0,0,COUNTIF('Transect 4_imgsummary'!E45:I45,"BCA1")*100/P45)</f>
        <v>0</v>
      </c>
      <c r="DI45">
        <f>IF(P45=0,0,COUNTIF('Transect 4_imgsummary'!E45:I45,"JAN")*100/P45)</f>
        <v>0</v>
      </c>
      <c r="DK45">
        <f>IF(P45=0,0,COUNTIF('Transect 4_imgsummary'!E45:I45,"CCA1")*100/P45)</f>
        <v>0</v>
      </c>
      <c r="DM45">
        <f>IF(P45=0,0,COUNTIF('Transect 4_imgsummary'!E45:I45,"Sand")*100/P45)</f>
        <v>0</v>
      </c>
      <c r="DO45">
        <f>IF(P45=0,0,COUNTIF('Transect 4_imgsummary'!E45:I45,"FCA1")*100/P45)</f>
        <v>0</v>
      </c>
      <c r="DQ45">
        <f>IF(P45=0,0,COUNTIF('Transect 4_imgsummary'!E45:I45,"CHRYOBRN")*100/P45)</f>
        <v>0</v>
      </c>
      <c r="DS45" s="29">
        <f>IF(P45=0,0,COUNTIF('Transect 4_imgsummary'!E45:I45,"TURF")*100/P45)</f>
        <v>20</v>
      </c>
      <c r="DU45">
        <f>COUNTIF('Transect 4_imgsummary'!E45:I45,"Shadow")*100/5</f>
        <v>0</v>
      </c>
      <c r="DV45">
        <f>COUNTIF('Transect 4_imgsummary'!E45:I45,"Tape")*100/5</f>
        <v>0</v>
      </c>
      <c r="DW45">
        <f>COUNTIF('Transect 4_imgsummary'!E45:I45,"Wand")*100/5</f>
        <v>0</v>
      </c>
      <c r="DY45">
        <f>IF(P45=0,0,COUNTIF('Transect 4_imgsummary'!O45:S45,"BC")*100/P45)</f>
        <v>0</v>
      </c>
    </row>
    <row r="46" spans="1:129">
      <c r="A46">
        <v>44</v>
      </c>
      <c r="B46" t="s">
        <v>589</v>
      </c>
      <c r="F46" s="29">
        <f>IF(P46=0,0,COUNTIF('Transect 4_imgsummary'!J46:N46,"C")*100/P46)</f>
        <v>80</v>
      </c>
      <c r="G46">
        <f>IF(P46=0,0,COUNTIF('Transect 4_imgsummary'!J46:N46,"OI")*100/P46)</f>
        <v>0</v>
      </c>
      <c r="H46">
        <f>IF(P46=0,0,COUNTIF('Transect 4_imgsummary'!J46:N46,"MA")*100/P46)</f>
        <v>0</v>
      </c>
      <c r="I46">
        <f>IF(P46=0,0,COUNTIF('Transect 4_imgsummary'!J46:N46,"BCA")*100/P46)</f>
        <v>0</v>
      </c>
      <c r="J46">
        <f>IF(P46=0,0,COUNTIF('Transect 4_imgsummary'!J46:N46,"CCA")*100/P46)</f>
        <v>0</v>
      </c>
      <c r="K46">
        <f>IF(P46=0,0,COUNTIF('Transect 4_imgsummary'!J46:N46,"SD")*100/P46)</f>
        <v>0</v>
      </c>
      <c r="L46">
        <f>IF(P46=0,0,COUNTIF('Transect 4_imgsummary'!J46:N46,"FCA")*100/P46)</f>
        <v>0</v>
      </c>
      <c r="M46">
        <f>IF(P46=0,0,COUNTIF('Transect 4_imgsummary'!J46:N46,"CHRYS")*100/P46)</f>
        <v>0</v>
      </c>
      <c r="N46" s="29">
        <f>IF(P46=0,0,COUNTIF('Transect 4_imgsummary'!J46:N46,"T")*100/P46)</f>
        <v>20</v>
      </c>
      <c r="O46">
        <f>IF(P46=0,0,COUNTIF('Transect 4_imgsummary'!J46:N46,"TWS")*100/P46)</f>
        <v>0</v>
      </c>
      <c r="P46">
        <f>5-COUNTIF('Transect 4_imgsummary'!J46:N46,"TWS")</f>
        <v>5</v>
      </c>
      <c r="S46">
        <f>IF(P46=0,0,COUNTIF('Transect 4_imgsummary'!E46:I46,"ACAN")*100/P46)</f>
        <v>0</v>
      </c>
      <c r="T46">
        <f>IF(P46=0,0,COUNTIF('Transect 4_imgsummary'!E46:I46,"ACROP")*100/P46)</f>
        <v>0</v>
      </c>
      <c r="U46">
        <f>IF(P46=0,0,COUNTIF('Transect 4_imgsummary'!E46:I46,"ACROPARB")*100/P46)</f>
        <v>0</v>
      </c>
      <c r="V46">
        <f>IF(P46=0,0,COUNTIF('Transect 4_imgsummary'!E46:I46,"ACROST")*100/P46)</f>
        <v>0</v>
      </c>
      <c r="W46" s="29">
        <f>IF(P46=0,0,COUNTIF('Transect 4_imgsummary'!E46:I46,"ACROTBL")*100/P46)</f>
        <v>60</v>
      </c>
      <c r="X46">
        <f>IF(P46=0,0,COUNTIF('Transect 4_imgsummary'!E46:I46,"ASTRP")*100/P46)</f>
        <v>0</v>
      </c>
      <c r="Y46">
        <f>IF(P46=0,0,COUNTIF('Transect 4_imgsummary'!E46:I46,"CAUL")*100/P46)</f>
        <v>0</v>
      </c>
      <c r="Z46">
        <f>IF(P46=0,0,COUNTIF('Transect 4_imgsummary'!E46:I46,"COSC")*100/P46)</f>
        <v>0</v>
      </c>
      <c r="AA46">
        <f>IF(P46=0,0,COUNTIF('Transect 4_imgsummary'!E46:I46,"CTEN")*100/P46)</f>
        <v>0</v>
      </c>
      <c r="AB46">
        <f>IF(P46=0,0,COUNTIF('Transect 4_imgsummary'!E46:I46,"CYPH")*100/P46)</f>
        <v>0</v>
      </c>
      <c r="AC46">
        <f>IF(P46=0,0,COUNTIF('Transect 4_imgsummary'!E46:I46,"DIPLO")*100/P46)</f>
        <v>0</v>
      </c>
      <c r="AD46" s="29">
        <f>IF(P46=0,0,COUNTIF('Transect 4_imgsummary'!E46:I46,"ECHPO")*100/P46)</f>
        <v>20</v>
      </c>
      <c r="AE46">
        <f>IF(P46=0,0,COUNTIF('Transect 4_imgsummary'!E46:I46,"ECHPHY")*100/P46)</f>
        <v>0</v>
      </c>
      <c r="AF46">
        <f>IF(P46=0,0,COUNTIF('Transect 4_imgsummary'!E46:I46,"EUPH")*100/P46)</f>
        <v>0</v>
      </c>
      <c r="AG46">
        <f>IF(P46=0,0,COUNTIF('Transect 4_imgsummary'!E46:I46,"FAV")*100/P46)</f>
        <v>0</v>
      </c>
      <c r="AH46">
        <f>IF(P46=0,0,COUNTIF('Transect 4_imgsummary'!E46:I46,"FAVT")*100/P46)</f>
        <v>0</v>
      </c>
      <c r="AI46">
        <f>IF(P46=0,0,COUNTIF('Transect 4_imgsummary'!E46:I46,"FUNG")*100/P46)</f>
        <v>0</v>
      </c>
      <c r="AJ46">
        <f>IF(P46=0,0,COUNTIF('Transect 4_imgsummary'!E46:I46,"GAL")*100/P46)</f>
        <v>0</v>
      </c>
      <c r="AK46">
        <f>IF(P46=0,0,COUNTIF('Transect 4_imgsummary'!E46:I46,"GARD")*100/P46)</f>
        <v>0</v>
      </c>
      <c r="AL46">
        <f>IF(P46=0,0,COUNTIF('Transect 4_imgsummary'!E46:I46,"GON")*100/P46)</f>
        <v>0</v>
      </c>
      <c r="AM46">
        <f>IF(P46=0,0,COUNTIF('Transect 4_imgsummary'!E46:I46,"GONIO")*100/P46)</f>
        <v>0</v>
      </c>
      <c r="AN46">
        <f>IF(P46=0,0,COUNTIF('Transect 4_imgsummary'!E46:I46,"HELIO")*100/P46)</f>
        <v>0</v>
      </c>
      <c r="AO46">
        <f>IF(P46=0,0,COUNTIF('Transect 4_imgsummary'!E46:I46,"HERP")*100/P46)</f>
        <v>0</v>
      </c>
      <c r="AP46">
        <f>IF(P46=0,0,COUNTIF('Transect 4_imgsummary'!E46:I46,"HYD")*100/P46)</f>
        <v>0</v>
      </c>
      <c r="AQ46">
        <f>IF(P46=0,0,COUNTIF('Transect 4_imgsummary'!E46:I46,"ISOP")*100/P46)</f>
        <v>0</v>
      </c>
      <c r="AR46">
        <f>IF(P46=0,0,COUNTIF('Transect 4_imgsummary'!E46:I46,"LEPT")*100/P46)</f>
        <v>0</v>
      </c>
      <c r="AS46">
        <f>IF(P46=0,0,COUNTIF('Transect 4_imgsummary'!E46:I46,"LEPTOR")*100/P46)</f>
        <v>0</v>
      </c>
      <c r="AT46">
        <f>IF(P46=0,0,COUNTIF('Transect 4_imgsummary'!E46:I46,"LEPTOS")*100/P46)</f>
        <v>0</v>
      </c>
      <c r="AU46">
        <f>IF(P46=0,0,COUNTIF('Transect 4_imgsummary'!E46:I46,"LOBOPH")*100/P46)</f>
        <v>0</v>
      </c>
      <c r="AV46">
        <f>IF(P46=0,0,COUNTIF('Transect 4_imgsummary'!E46:I46,"MERU")*100/P46)</f>
        <v>0</v>
      </c>
      <c r="AW46">
        <f>IF(P46=0,0,COUNTIF('Transect 4_imgsummary'!E46:I46,"MILL")*100/P46)</f>
        <v>0</v>
      </c>
      <c r="AX46">
        <f>IF(P46=0,0,COUNTIF('Transect 4_imgsummary'!E46:I46,"MONT")*100/P46)</f>
        <v>0</v>
      </c>
      <c r="AY46">
        <f>IF(P46=0,0,COUNTIF('Transect 4_imgsummary'!E46:I46,"MONTI")*100/P46)</f>
        <v>0</v>
      </c>
      <c r="AZ46">
        <f>IF(P46=0,0,COUNTIF('Transect 4_imgsummary'!E46:I46,"MYCED")*100/P46)</f>
        <v>0</v>
      </c>
      <c r="BA46">
        <f>IF(P46=0,0,COUNTIF('Transect 4_imgsummary'!E46:I46,"OULO")*100/P46)</f>
        <v>0</v>
      </c>
      <c r="BB46">
        <f>IF(P46=0,0,COUNTIF('Transect 4_imgsummary'!E46:I46,"OXYP")*100/P46)</f>
        <v>0</v>
      </c>
      <c r="BC46">
        <f>IF(P46=0,0,COUNTIF('Transect 4_imgsummary'!E46:I46,"PLSIA")*100/P46)</f>
        <v>0</v>
      </c>
      <c r="BD46">
        <f>IF(P46=0,0,COUNTIF('Transect 4_imgsummary'!E46:I46,"PACHY")*100/P46)</f>
        <v>0</v>
      </c>
      <c r="BE46">
        <f>IF(P46=0,0,COUNTIF('Transect 4_imgsummary'!E46:I46,"PAV")*100/P46)</f>
        <v>0</v>
      </c>
      <c r="BF46">
        <f>IF(P46=0,0,COUNTIF('Transect 4_imgsummary'!E46:I46,"PECT")*100/P46)</f>
        <v>0</v>
      </c>
      <c r="BG46">
        <f>IF(P46=0,0,COUNTIF('Transect 4_imgsummary'!E46:I46,"PHYSO")*100/P46)</f>
        <v>0</v>
      </c>
      <c r="BH46">
        <f>IF(P46=0,0,COUNTIF('Transect 4_imgsummary'!E46:I46,"PLAT")*100/P46)</f>
        <v>0</v>
      </c>
      <c r="BI46">
        <f>IF(P46=0,0,COUNTIF('Transect 4_imgsummary'!E46:I46,"PLERO")*100/P46)</f>
        <v>0</v>
      </c>
      <c r="BJ46">
        <f>IF(P46=0,0,COUNTIF('Transect 4_imgsummary'!E46:I46,"POC")*100/P46)</f>
        <v>0</v>
      </c>
      <c r="BK46">
        <f>IF(P46=0,0,COUNTIF('Transect 4_imgsummary'!E46:I46,"POR")*100/P46)</f>
        <v>0</v>
      </c>
      <c r="BL46">
        <f>IF(P46=0,0,COUNTIF('Transect 4_imgsummary'!E46:I46,"PORCYL")*100/P46)</f>
        <v>0</v>
      </c>
      <c r="BM46">
        <f>IF(P46=0,0,COUNTIF('Transect 4_imgsummary'!E46:I46,"PORMAS")*100/P46)</f>
        <v>0</v>
      </c>
      <c r="BN46">
        <f>IF(P46=0,0,COUNTIF('Transect 4_imgsummary'!E46:I46,"PORRUS")*100/P46)</f>
        <v>0</v>
      </c>
      <c r="BO46">
        <f>IF(P46=0,0,COUNTIF('Transect 4_imgsummary'!E46:I46,"PSAM")*100/P46)</f>
        <v>0</v>
      </c>
      <c r="BP46">
        <f>IF(P46=0,0,COUNTIF('Transect 4_imgsummary'!E46:I46,"SANDO")*100/P46)</f>
        <v>0</v>
      </c>
      <c r="BQ46">
        <f>IF(P46=0,0,COUNTIF('Transect 4_imgsummary'!E46:I46,"SCAP")*100/P46)</f>
        <v>0</v>
      </c>
      <c r="BR46">
        <f>IF(P46=0,0,COUNTIF('Transect 4_imgsummary'!E46:I46,"SERIA")*100/P46)</f>
        <v>0</v>
      </c>
      <c r="BS46">
        <f>IF(P46=0,0,COUNTIF('Transect 4_imgsummary'!E46:I46,"STYLC")*100/P46)</f>
        <v>0</v>
      </c>
      <c r="BT46">
        <f>IF(P46=0,0,COUNTIF('Transect 4_imgsummary'!E46:I46,"STYLO")*100/P46)</f>
        <v>0</v>
      </c>
      <c r="BU46">
        <f>IF(P46=0,0,COUNTIF('Transect 4_imgsummary'!E46:I46,"SYMP")*100/P46)</f>
        <v>0</v>
      </c>
      <c r="BV46">
        <f>IF(P46=0,0,COUNTIF('Transect 4_imgsummary'!E46:I46,"TURBIN")*100/P46)</f>
        <v>0</v>
      </c>
      <c r="BX46">
        <f>IF(P46=0,0,COUNTIF('Transect 4_imgsummary'!E46:I46,"ANEM")*100/P46)</f>
        <v>0</v>
      </c>
      <c r="BY46">
        <f>IF(P46=0,0,COUNTIF('Transect 4_imgsummary'!E46:I46,"ASC")*100/P46)</f>
        <v>0</v>
      </c>
      <c r="BZ46">
        <f>IF(P46=0,0,COUNTIF('Transect 4_imgsummary'!E46:I46,"CUPS")*100/P46)</f>
        <v>0</v>
      </c>
      <c r="CA46">
        <f>IF(P46=0,0,COUNTIF('Transect 4_imgsummary'!E46:I46,"DISCO")*100/P46)</f>
        <v>0</v>
      </c>
      <c r="CB46">
        <f>IF(P46=0,0,COUNTIF('Transect 4_imgsummary'!E46:I46,"DYS")*100/P46)</f>
        <v>0</v>
      </c>
      <c r="CC46">
        <f>IF(P46=0,0,COUNTIF('Transect 4_imgsummary'!E46:I46,"G")*100/P46)</f>
        <v>0</v>
      </c>
      <c r="CD46">
        <f>IF(P46=0,0,COUNTIF('Transect 4_imgsummary'!E46:I46,"NoIDINV")*100/P46)</f>
        <v>0</v>
      </c>
      <c r="CE46">
        <f>IF(P46=0,0,COUNTIF('Transect 4_imgsummary'!E46:I46,"OLV")*100/P46)</f>
        <v>0</v>
      </c>
      <c r="CF46">
        <f>IF(P46=0,0,COUNTIF('Transect 4_imgsummary'!E46:I46,"SC")*100/P46)</f>
        <v>0</v>
      </c>
      <c r="CG46">
        <f>IF(P46=0,0,COUNTIF('Transect 4_imgsummary'!E46:I46,"S")*100/P46)</f>
        <v>0</v>
      </c>
      <c r="CH46">
        <f>IF(P46=0,0,COUNTIF('Transect 4_imgsummary'!E46:I46,"TERPS")*100/P46)</f>
        <v>0</v>
      </c>
      <c r="CI46">
        <f>IF(P46=0,0,COUNTIF('Transect 4_imgsummary'!E46:I46,"Z")*100/P46)</f>
        <v>0</v>
      </c>
      <c r="CK46">
        <f>IF(P46=0,0,COUNTIF('Transect 4_imgsummary'!E46:I46,"ASP")*100/P46)</f>
        <v>0</v>
      </c>
      <c r="CL46">
        <f>IF(P46=0,0,COUNTIF('Transect 4_imgsummary'!E46:I46,"BG")*100/P46)</f>
        <v>0</v>
      </c>
      <c r="CM46">
        <f>IF(P46=0,0,COUNTIF('Transect 4_imgsummary'!E46:I46,"Bood")*100/P46)</f>
        <v>0</v>
      </c>
      <c r="CN46">
        <f>IF(P46=0,0,COUNTIF('Transect 4_imgsummary'!E46:I46,"BRYP")*100/P46)</f>
        <v>0</v>
      </c>
      <c r="CO46">
        <f>IF(P46=0,0,COUNTIF('Transect 4_imgsummary'!E46:I46,"CLP")*100/P46)</f>
        <v>0</v>
      </c>
      <c r="CP46">
        <f>IF(P46=0,0,COUNTIF('Transect 4_imgsummary'!E46:I46,"CHLDES")*100/P46)</f>
        <v>0</v>
      </c>
      <c r="CQ46">
        <f>IF(P46=0,0,COUNTIF('Transect 4_imgsummary'!E46:I46,"DYCTY")*100/P46)</f>
        <v>0</v>
      </c>
      <c r="CR46">
        <f>IF(P46=0,0,COUNTIF('Transect 4_imgsummary'!E46:I46,"DICT")*100/P46)</f>
        <v>0</v>
      </c>
      <c r="CS46">
        <f>IF(P46=0,0,COUNTIF('Transect 4_imgsummary'!E46:I46,"GLXU")*100/P46)</f>
        <v>0</v>
      </c>
      <c r="CT46">
        <f>IF(P46=0,0,COUNTIF('Transect 4_imgsummary'!E46:I46,"HALI")*100/P46)</f>
        <v>0</v>
      </c>
      <c r="CU46">
        <f>IF(P46=0,0,COUNTIF('Transect 4_imgsummary'!E46:I46,"LIAG")*100/P46)</f>
        <v>0</v>
      </c>
      <c r="CV46">
        <f>IF(P46=0,0,COUNTIF('Transect 4_imgsummary'!E46:I46,"LOBO")*100/P46)</f>
        <v>0</v>
      </c>
      <c r="CW46">
        <f>IF(P46=0,0,COUNTIF('Transect 4_imgsummary'!E46:I46,"MAST")*100/P46)</f>
        <v>0</v>
      </c>
      <c r="CX46">
        <f>IF(P46=0,0,COUNTIF('Transect 4_imgsummary'!E46:I46,"MICDTY")*100/P46)</f>
        <v>0</v>
      </c>
      <c r="CY46">
        <f>IF(P46=0,0,COUNTIF('Transect 4_imgsummary'!E46:I46,"NEOM")*100/P46)</f>
        <v>0</v>
      </c>
      <c r="CZ46">
        <f>IF(P46=0,0,COUNTIF('Transect 4_imgsummary'!E46:I46,"NOIDMAC")*100/P46)</f>
        <v>0</v>
      </c>
      <c r="DA46">
        <f>IF(P46=0,0,COUNTIF('Transect 4_imgsummary'!E46:I46,"PAD")*100/P46)</f>
        <v>0</v>
      </c>
      <c r="DB46">
        <f>IF(P46=0,0,COUNTIF('Transect 4_imgsummary'!E46:I46,"SARG")*100/P46)</f>
        <v>0</v>
      </c>
      <c r="DC46">
        <f>IF(P46=0,0,COUNTIF('Transect 4_imgsummary'!E46:I46,"SCHIZ")*100/P46)</f>
        <v>0</v>
      </c>
      <c r="DD46">
        <f>IF(P46=0,0,COUNTIF('Transect 4_imgsummary'!E46:I46,"TURB")*100/P46)</f>
        <v>0</v>
      </c>
      <c r="DE46">
        <f>IF(P46=0,0,COUNTIF('Transect 4_imgsummary'!E46:I46,"TYDM")*100/P46)</f>
        <v>0</v>
      </c>
      <c r="DG46">
        <f>IF(P46=0,0,COUNTIF('Transect 4_imgsummary'!E46:I46,"AMP")*100/P46)</f>
        <v>0</v>
      </c>
      <c r="DH46">
        <f>IF(P46=0,0,COUNTIF('Transect 4_imgsummary'!E46:I46,"BCA1")*100/P46)</f>
        <v>0</v>
      </c>
      <c r="DI46">
        <f>IF(P46=0,0,COUNTIF('Transect 4_imgsummary'!E46:I46,"JAN")*100/P46)</f>
        <v>0</v>
      </c>
      <c r="DK46">
        <f>IF(P46=0,0,COUNTIF('Transect 4_imgsummary'!E46:I46,"CCA1")*100/P46)</f>
        <v>0</v>
      </c>
      <c r="DM46">
        <f>IF(P46=0,0,COUNTIF('Transect 4_imgsummary'!E46:I46,"Sand")*100/P46)</f>
        <v>0</v>
      </c>
      <c r="DO46">
        <f>IF(P46=0,0,COUNTIF('Transect 4_imgsummary'!E46:I46,"FCA1")*100/P46)</f>
        <v>0</v>
      </c>
      <c r="DQ46">
        <f>IF(P46=0,0,COUNTIF('Transect 4_imgsummary'!E46:I46,"CHRYOBRN")*100/P46)</f>
        <v>0</v>
      </c>
      <c r="DS46" s="29">
        <f>IF(P46=0,0,COUNTIF('Transect 4_imgsummary'!E46:I46,"TURF")*100/P46)</f>
        <v>20</v>
      </c>
      <c r="DU46">
        <f>COUNTIF('Transect 4_imgsummary'!E46:I46,"Shadow")*100/5</f>
        <v>0</v>
      </c>
      <c r="DV46">
        <f>COUNTIF('Transect 4_imgsummary'!E46:I46,"Tape")*100/5</f>
        <v>0</v>
      </c>
      <c r="DW46">
        <f>COUNTIF('Transect 4_imgsummary'!E46:I46,"Wand")*100/5</f>
        <v>0</v>
      </c>
      <c r="DY46">
        <f>IF(P46=0,0,COUNTIF('Transect 4_imgsummary'!O46:S46,"BC")*100/P46)</f>
        <v>0</v>
      </c>
    </row>
    <row r="47" spans="1:129">
      <c r="A47">
        <v>45</v>
      </c>
      <c r="B47" t="s">
        <v>590</v>
      </c>
      <c r="F47" s="29">
        <f>IF(P47=0,0,COUNTIF('Transect 4_imgsummary'!J47:N47,"C")*100/P47)</f>
        <v>80</v>
      </c>
      <c r="G47">
        <f>IF(P47=0,0,COUNTIF('Transect 4_imgsummary'!J47:N47,"OI")*100/P47)</f>
        <v>0</v>
      </c>
      <c r="H47">
        <f>IF(P47=0,0,COUNTIF('Transect 4_imgsummary'!J47:N47,"MA")*100/P47)</f>
        <v>0</v>
      </c>
      <c r="I47">
        <f>IF(P47=0,0,COUNTIF('Transect 4_imgsummary'!J47:N47,"BCA")*100/P47)</f>
        <v>0</v>
      </c>
      <c r="J47">
        <f>IF(P47=0,0,COUNTIF('Transect 4_imgsummary'!J47:N47,"CCA")*100/P47)</f>
        <v>0</v>
      </c>
      <c r="K47">
        <f>IF(P47=0,0,COUNTIF('Transect 4_imgsummary'!J47:N47,"SD")*100/P47)</f>
        <v>0</v>
      </c>
      <c r="L47">
        <f>IF(P47=0,0,COUNTIF('Transect 4_imgsummary'!J47:N47,"FCA")*100/P47)</f>
        <v>0</v>
      </c>
      <c r="M47">
        <f>IF(P47=0,0,COUNTIF('Transect 4_imgsummary'!J47:N47,"CHRYS")*100/P47)</f>
        <v>0</v>
      </c>
      <c r="N47" s="29">
        <f>IF(P47=0,0,COUNTIF('Transect 4_imgsummary'!J47:N47,"T")*100/P47)</f>
        <v>20</v>
      </c>
      <c r="O47">
        <f>IF(P47=0,0,COUNTIF('Transect 4_imgsummary'!J47:N47,"TWS")*100/P47)</f>
        <v>0</v>
      </c>
      <c r="P47">
        <f>5-COUNTIF('Transect 4_imgsummary'!J47:N47,"TWS")</f>
        <v>5</v>
      </c>
      <c r="S47">
        <f>IF(P47=0,0,COUNTIF('Transect 4_imgsummary'!E47:I47,"ACAN")*100/P47)</f>
        <v>0</v>
      </c>
      <c r="T47">
        <f>IF(P47=0,0,COUNTIF('Transect 4_imgsummary'!E47:I47,"ACROP")*100/P47)</f>
        <v>0</v>
      </c>
      <c r="U47">
        <f>IF(P47=0,0,COUNTIF('Transect 4_imgsummary'!E47:I47,"ACROPARB")*100/P47)</f>
        <v>0</v>
      </c>
      <c r="V47">
        <f>IF(P47=0,0,COUNTIF('Transect 4_imgsummary'!E47:I47,"ACROST")*100/P47)</f>
        <v>0</v>
      </c>
      <c r="W47">
        <f>IF(P47=0,0,COUNTIF('Transect 4_imgsummary'!E47:I47,"ACROTBL")*100/P47)</f>
        <v>0</v>
      </c>
      <c r="X47">
        <f>IF(P47=0,0,COUNTIF('Transect 4_imgsummary'!E47:I47,"ASTRP")*100/P47)</f>
        <v>0</v>
      </c>
      <c r="Y47">
        <f>IF(P47=0,0,COUNTIF('Transect 4_imgsummary'!E47:I47,"CAUL")*100/P47)</f>
        <v>0</v>
      </c>
      <c r="Z47">
        <f>IF(P47=0,0,COUNTIF('Transect 4_imgsummary'!E47:I47,"COSC")*100/P47)</f>
        <v>0</v>
      </c>
      <c r="AA47">
        <f>IF(P47=0,0,COUNTIF('Transect 4_imgsummary'!E47:I47,"CTEN")*100/P47)</f>
        <v>0</v>
      </c>
      <c r="AB47">
        <f>IF(P47=0,0,COUNTIF('Transect 4_imgsummary'!E47:I47,"CYPH")*100/P47)</f>
        <v>0</v>
      </c>
      <c r="AC47">
        <f>IF(P47=0,0,COUNTIF('Transect 4_imgsummary'!E47:I47,"DIPLO")*100/P47)</f>
        <v>0</v>
      </c>
      <c r="AD47" s="29">
        <f>IF(P47=0,0,COUNTIF('Transect 4_imgsummary'!E47:I47,"ECHPO")*100/P47)</f>
        <v>80</v>
      </c>
      <c r="AE47">
        <f>IF(P47=0,0,COUNTIF('Transect 4_imgsummary'!E47:I47,"ECHPHY")*100/P47)</f>
        <v>0</v>
      </c>
      <c r="AF47">
        <f>IF(P47=0,0,COUNTIF('Transect 4_imgsummary'!E47:I47,"EUPH")*100/P47)</f>
        <v>0</v>
      </c>
      <c r="AG47">
        <f>IF(P47=0,0,COUNTIF('Transect 4_imgsummary'!E47:I47,"FAV")*100/P47)</f>
        <v>0</v>
      </c>
      <c r="AH47">
        <f>IF(P47=0,0,COUNTIF('Transect 4_imgsummary'!E47:I47,"FAVT")*100/P47)</f>
        <v>0</v>
      </c>
      <c r="AI47">
        <f>IF(P47=0,0,COUNTIF('Transect 4_imgsummary'!E47:I47,"FUNG")*100/P47)</f>
        <v>0</v>
      </c>
      <c r="AJ47">
        <f>IF(P47=0,0,COUNTIF('Transect 4_imgsummary'!E47:I47,"GAL")*100/P47)</f>
        <v>0</v>
      </c>
      <c r="AK47">
        <f>IF(P47=0,0,COUNTIF('Transect 4_imgsummary'!E47:I47,"GARD")*100/P47)</f>
        <v>0</v>
      </c>
      <c r="AL47">
        <f>IF(P47=0,0,COUNTIF('Transect 4_imgsummary'!E47:I47,"GON")*100/P47)</f>
        <v>0</v>
      </c>
      <c r="AM47">
        <f>IF(P47=0,0,COUNTIF('Transect 4_imgsummary'!E47:I47,"GONIO")*100/P47)</f>
        <v>0</v>
      </c>
      <c r="AN47">
        <f>IF(P47=0,0,COUNTIF('Transect 4_imgsummary'!E47:I47,"HELIO")*100/P47)</f>
        <v>0</v>
      </c>
      <c r="AO47">
        <f>IF(P47=0,0,COUNTIF('Transect 4_imgsummary'!E47:I47,"HERP")*100/P47)</f>
        <v>0</v>
      </c>
      <c r="AP47">
        <f>IF(P47=0,0,COUNTIF('Transect 4_imgsummary'!E47:I47,"HYD")*100/P47)</f>
        <v>0</v>
      </c>
      <c r="AQ47">
        <f>IF(P47=0,0,COUNTIF('Transect 4_imgsummary'!E47:I47,"ISOP")*100/P47)</f>
        <v>0</v>
      </c>
      <c r="AR47">
        <f>IF(P47=0,0,COUNTIF('Transect 4_imgsummary'!E47:I47,"LEPT")*100/P47)</f>
        <v>0</v>
      </c>
      <c r="AS47">
        <f>IF(P47=0,0,COUNTIF('Transect 4_imgsummary'!E47:I47,"LEPTOR")*100/P47)</f>
        <v>0</v>
      </c>
      <c r="AT47">
        <f>IF(P47=0,0,COUNTIF('Transect 4_imgsummary'!E47:I47,"LEPTOS")*100/P47)</f>
        <v>0</v>
      </c>
      <c r="AU47">
        <f>IF(P47=0,0,COUNTIF('Transect 4_imgsummary'!E47:I47,"LOBOPH")*100/P47)</f>
        <v>0</v>
      </c>
      <c r="AV47">
        <f>IF(P47=0,0,COUNTIF('Transect 4_imgsummary'!E47:I47,"MERU")*100/P47)</f>
        <v>0</v>
      </c>
      <c r="AW47">
        <f>IF(P47=0,0,COUNTIF('Transect 4_imgsummary'!E47:I47,"MILL")*100/P47)</f>
        <v>0</v>
      </c>
      <c r="AX47">
        <f>IF(P47=0,0,COUNTIF('Transect 4_imgsummary'!E47:I47,"MONT")*100/P47)</f>
        <v>0</v>
      </c>
      <c r="AY47">
        <f>IF(P47=0,0,COUNTIF('Transect 4_imgsummary'!E47:I47,"MONTI")*100/P47)</f>
        <v>0</v>
      </c>
      <c r="AZ47">
        <f>IF(P47=0,0,COUNTIF('Transect 4_imgsummary'!E47:I47,"MYCED")*100/P47)</f>
        <v>0</v>
      </c>
      <c r="BA47">
        <f>IF(P47=0,0,COUNTIF('Transect 4_imgsummary'!E47:I47,"OULO")*100/P47)</f>
        <v>0</v>
      </c>
      <c r="BB47">
        <f>IF(P47=0,0,COUNTIF('Transect 4_imgsummary'!E47:I47,"OXYP")*100/P47)</f>
        <v>0</v>
      </c>
      <c r="BC47">
        <f>IF(P47=0,0,COUNTIF('Transect 4_imgsummary'!E47:I47,"PLSIA")*100/P47)</f>
        <v>0</v>
      </c>
      <c r="BD47">
        <f>IF(P47=0,0,COUNTIF('Transect 4_imgsummary'!E47:I47,"PACHY")*100/P47)</f>
        <v>0</v>
      </c>
      <c r="BE47">
        <f>IF(P47=0,0,COUNTIF('Transect 4_imgsummary'!E47:I47,"PAV")*100/P47)</f>
        <v>0</v>
      </c>
      <c r="BF47">
        <f>IF(P47=0,0,COUNTIF('Transect 4_imgsummary'!E47:I47,"PECT")*100/P47)</f>
        <v>0</v>
      </c>
      <c r="BG47">
        <f>IF(P47=0,0,COUNTIF('Transect 4_imgsummary'!E47:I47,"PHYSO")*100/P47)</f>
        <v>0</v>
      </c>
      <c r="BH47">
        <f>IF(P47=0,0,COUNTIF('Transect 4_imgsummary'!E47:I47,"PLAT")*100/P47)</f>
        <v>0</v>
      </c>
      <c r="BI47">
        <f>IF(P47=0,0,COUNTIF('Transect 4_imgsummary'!E47:I47,"PLERO")*100/P47)</f>
        <v>0</v>
      </c>
      <c r="BJ47">
        <f>IF(P47=0,0,COUNTIF('Transect 4_imgsummary'!E47:I47,"POC")*100/P47)</f>
        <v>0</v>
      </c>
      <c r="BK47">
        <f>IF(P47=0,0,COUNTIF('Transect 4_imgsummary'!E47:I47,"POR")*100/P47)</f>
        <v>0</v>
      </c>
      <c r="BL47">
        <f>IF(P47=0,0,COUNTIF('Transect 4_imgsummary'!E47:I47,"PORCYL")*100/P47)</f>
        <v>0</v>
      </c>
      <c r="BM47">
        <f>IF(P47=0,0,COUNTIF('Transect 4_imgsummary'!E47:I47,"PORMAS")*100/P47)</f>
        <v>0</v>
      </c>
      <c r="BN47">
        <f>IF(P47=0,0,COUNTIF('Transect 4_imgsummary'!E47:I47,"PORRUS")*100/P47)</f>
        <v>0</v>
      </c>
      <c r="BO47">
        <f>IF(P47=0,0,COUNTIF('Transect 4_imgsummary'!E47:I47,"PSAM")*100/P47)</f>
        <v>0</v>
      </c>
      <c r="BP47">
        <f>IF(P47=0,0,COUNTIF('Transect 4_imgsummary'!E47:I47,"SANDO")*100/P47)</f>
        <v>0</v>
      </c>
      <c r="BQ47">
        <f>IF(P47=0,0,COUNTIF('Transect 4_imgsummary'!E47:I47,"SCAP")*100/P47)</f>
        <v>0</v>
      </c>
      <c r="BR47">
        <f>IF(P47=0,0,COUNTIF('Transect 4_imgsummary'!E47:I47,"SERIA")*100/P47)</f>
        <v>0</v>
      </c>
      <c r="BS47">
        <f>IF(P47=0,0,COUNTIF('Transect 4_imgsummary'!E47:I47,"STYLC")*100/P47)</f>
        <v>0</v>
      </c>
      <c r="BT47">
        <f>IF(P47=0,0,COUNTIF('Transect 4_imgsummary'!E47:I47,"STYLO")*100/P47)</f>
        <v>0</v>
      </c>
      <c r="BU47">
        <f>IF(P47=0,0,COUNTIF('Transect 4_imgsummary'!E47:I47,"SYMP")*100/P47)</f>
        <v>0</v>
      </c>
      <c r="BV47">
        <f>IF(P47=0,0,COUNTIF('Transect 4_imgsummary'!E47:I47,"TURBIN")*100/P47)</f>
        <v>0</v>
      </c>
      <c r="BX47">
        <f>IF(P47=0,0,COUNTIF('Transect 4_imgsummary'!E47:I47,"ANEM")*100/P47)</f>
        <v>0</v>
      </c>
      <c r="BY47">
        <f>IF(P47=0,0,COUNTIF('Transect 4_imgsummary'!E47:I47,"ASC")*100/P47)</f>
        <v>0</v>
      </c>
      <c r="BZ47">
        <f>IF(P47=0,0,COUNTIF('Transect 4_imgsummary'!E47:I47,"CUPS")*100/P47)</f>
        <v>0</v>
      </c>
      <c r="CA47">
        <f>IF(P47=0,0,COUNTIF('Transect 4_imgsummary'!E47:I47,"DISCO")*100/P47)</f>
        <v>0</v>
      </c>
      <c r="CB47">
        <f>IF(P47=0,0,COUNTIF('Transect 4_imgsummary'!E47:I47,"DYS")*100/P47)</f>
        <v>0</v>
      </c>
      <c r="CC47">
        <f>IF(P47=0,0,COUNTIF('Transect 4_imgsummary'!E47:I47,"G")*100/P47)</f>
        <v>0</v>
      </c>
      <c r="CD47">
        <f>IF(P47=0,0,COUNTIF('Transect 4_imgsummary'!E47:I47,"NoIDINV")*100/P47)</f>
        <v>0</v>
      </c>
      <c r="CE47">
        <f>IF(P47=0,0,COUNTIF('Transect 4_imgsummary'!E47:I47,"OLV")*100/P47)</f>
        <v>0</v>
      </c>
      <c r="CF47">
        <f>IF(P47=0,0,COUNTIF('Transect 4_imgsummary'!E47:I47,"SC")*100/P47)</f>
        <v>0</v>
      </c>
      <c r="CG47">
        <f>IF(P47=0,0,COUNTIF('Transect 4_imgsummary'!E47:I47,"S")*100/P47)</f>
        <v>0</v>
      </c>
      <c r="CH47">
        <f>IF(P47=0,0,COUNTIF('Transect 4_imgsummary'!E47:I47,"TERPS")*100/P47)</f>
        <v>0</v>
      </c>
      <c r="CI47">
        <f>IF(P47=0,0,COUNTIF('Transect 4_imgsummary'!E47:I47,"Z")*100/P47)</f>
        <v>0</v>
      </c>
      <c r="CK47">
        <f>IF(P47=0,0,COUNTIF('Transect 4_imgsummary'!E47:I47,"ASP")*100/P47)</f>
        <v>0</v>
      </c>
      <c r="CL47">
        <f>IF(P47=0,0,COUNTIF('Transect 4_imgsummary'!E47:I47,"BG")*100/P47)</f>
        <v>0</v>
      </c>
      <c r="CM47">
        <f>IF(P47=0,0,COUNTIF('Transect 4_imgsummary'!E47:I47,"Bood")*100/P47)</f>
        <v>0</v>
      </c>
      <c r="CN47">
        <f>IF(P47=0,0,COUNTIF('Transect 4_imgsummary'!E47:I47,"BRYP")*100/P47)</f>
        <v>0</v>
      </c>
      <c r="CO47">
        <f>IF(P47=0,0,COUNTIF('Transect 4_imgsummary'!E47:I47,"CLP")*100/P47)</f>
        <v>0</v>
      </c>
      <c r="CP47">
        <f>IF(P47=0,0,COUNTIF('Transect 4_imgsummary'!E47:I47,"CHLDES")*100/P47)</f>
        <v>0</v>
      </c>
      <c r="CQ47">
        <f>IF(P47=0,0,COUNTIF('Transect 4_imgsummary'!E47:I47,"DYCTY")*100/P47)</f>
        <v>0</v>
      </c>
      <c r="CR47">
        <f>IF(P47=0,0,COUNTIF('Transect 4_imgsummary'!E47:I47,"DICT")*100/P47)</f>
        <v>0</v>
      </c>
      <c r="CS47">
        <f>IF(P47=0,0,COUNTIF('Transect 4_imgsummary'!E47:I47,"GLXU")*100/P47)</f>
        <v>0</v>
      </c>
      <c r="CT47">
        <f>IF(P47=0,0,COUNTIF('Transect 4_imgsummary'!E47:I47,"HALI")*100/P47)</f>
        <v>0</v>
      </c>
      <c r="CU47">
        <f>IF(P47=0,0,COUNTIF('Transect 4_imgsummary'!E47:I47,"LIAG")*100/P47)</f>
        <v>0</v>
      </c>
      <c r="CV47">
        <f>IF(P47=0,0,COUNTIF('Transect 4_imgsummary'!E47:I47,"LOBO")*100/P47)</f>
        <v>0</v>
      </c>
      <c r="CW47">
        <f>IF(P47=0,0,COUNTIF('Transect 4_imgsummary'!E47:I47,"MAST")*100/P47)</f>
        <v>0</v>
      </c>
      <c r="CX47">
        <f>IF(P47=0,0,COUNTIF('Transect 4_imgsummary'!E47:I47,"MICDTY")*100/P47)</f>
        <v>0</v>
      </c>
      <c r="CY47">
        <f>IF(P47=0,0,COUNTIF('Transect 4_imgsummary'!E47:I47,"NEOM")*100/P47)</f>
        <v>0</v>
      </c>
      <c r="CZ47">
        <f>IF(P47=0,0,COUNTIF('Transect 4_imgsummary'!E47:I47,"NOIDMAC")*100/P47)</f>
        <v>0</v>
      </c>
      <c r="DA47">
        <f>IF(P47=0,0,COUNTIF('Transect 4_imgsummary'!E47:I47,"PAD")*100/P47)</f>
        <v>0</v>
      </c>
      <c r="DB47">
        <f>IF(P47=0,0,COUNTIF('Transect 4_imgsummary'!E47:I47,"SARG")*100/P47)</f>
        <v>0</v>
      </c>
      <c r="DC47">
        <f>IF(P47=0,0,COUNTIF('Transect 4_imgsummary'!E47:I47,"SCHIZ")*100/P47)</f>
        <v>0</v>
      </c>
      <c r="DD47">
        <f>IF(P47=0,0,COUNTIF('Transect 4_imgsummary'!E47:I47,"TURB")*100/P47)</f>
        <v>0</v>
      </c>
      <c r="DE47">
        <f>IF(P47=0,0,COUNTIF('Transect 4_imgsummary'!E47:I47,"TYDM")*100/P47)</f>
        <v>0</v>
      </c>
      <c r="DG47">
        <f>IF(P47=0,0,COUNTIF('Transect 4_imgsummary'!E47:I47,"AMP")*100/P47)</f>
        <v>0</v>
      </c>
      <c r="DH47">
        <f>IF(P47=0,0,COUNTIF('Transect 4_imgsummary'!E47:I47,"BCA1")*100/P47)</f>
        <v>0</v>
      </c>
      <c r="DI47">
        <f>IF(P47=0,0,COUNTIF('Transect 4_imgsummary'!E47:I47,"JAN")*100/P47)</f>
        <v>0</v>
      </c>
      <c r="DK47">
        <f>IF(P47=0,0,COUNTIF('Transect 4_imgsummary'!E47:I47,"CCA1")*100/P47)</f>
        <v>0</v>
      </c>
      <c r="DM47">
        <f>IF(P47=0,0,COUNTIF('Transect 4_imgsummary'!E47:I47,"Sand")*100/P47)</f>
        <v>0</v>
      </c>
      <c r="DO47">
        <f>IF(P47=0,0,COUNTIF('Transect 4_imgsummary'!E47:I47,"FCA1")*100/P47)</f>
        <v>0</v>
      </c>
      <c r="DQ47">
        <f>IF(P47=0,0,COUNTIF('Transect 4_imgsummary'!E47:I47,"CHRYOBRN")*100/P47)</f>
        <v>0</v>
      </c>
      <c r="DS47" s="29">
        <f>IF(P47=0,0,COUNTIF('Transect 4_imgsummary'!E47:I47,"TURF")*100/P47)</f>
        <v>20</v>
      </c>
      <c r="DU47">
        <f>COUNTIF('Transect 4_imgsummary'!E47:I47,"Shadow")*100/5</f>
        <v>0</v>
      </c>
      <c r="DV47">
        <f>COUNTIF('Transect 4_imgsummary'!E47:I47,"Tape")*100/5</f>
        <v>0</v>
      </c>
      <c r="DW47">
        <f>COUNTIF('Transect 4_imgsummary'!E47:I47,"Wand")*100/5</f>
        <v>0</v>
      </c>
      <c r="DY47">
        <f>IF(P47=0,0,COUNTIF('Transect 4_imgsummary'!O47:S47,"BC")*100/P47)</f>
        <v>0</v>
      </c>
    </row>
    <row r="48" spans="1:129">
      <c r="A48">
        <v>46</v>
      </c>
      <c r="B48" t="s">
        <v>591</v>
      </c>
      <c r="F48" s="29">
        <f>IF(P48=0,0,COUNTIF('Transect 4_imgsummary'!J48:N48,"C")*100/P48)</f>
        <v>60</v>
      </c>
      <c r="G48">
        <f>IF(P48=0,0,COUNTIF('Transect 4_imgsummary'!J48:N48,"OI")*100/P48)</f>
        <v>0</v>
      </c>
      <c r="H48">
        <f>IF(P48=0,0,COUNTIF('Transect 4_imgsummary'!J48:N48,"MA")*100/P48)</f>
        <v>0</v>
      </c>
      <c r="I48">
        <f>IF(P48=0,0,COUNTIF('Transect 4_imgsummary'!J48:N48,"BCA")*100/P48)</f>
        <v>0</v>
      </c>
      <c r="J48" s="29">
        <f>IF(P48=0,0,COUNTIF('Transect 4_imgsummary'!J48:N48,"CCA")*100/P48)</f>
        <v>20</v>
      </c>
      <c r="K48">
        <f>IF(P48=0,0,COUNTIF('Transect 4_imgsummary'!J48:N48,"SD")*100/P48)</f>
        <v>0</v>
      </c>
      <c r="L48" s="29">
        <f>IF(P48=0,0,COUNTIF('Transect 4_imgsummary'!J48:N48,"FCA")*100/P48)</f>
        <v>20</v>
      </c>
      <c r="M48">
        <f>IF(P48=0,0,COUNTIF('Transect 4_imgsummary'!J48:N48,"CHRYS")*100/P48)</f>
        <v>0</v>
      </c>
      <c r="N48">
        <f>IF(P48=0,0,COUNTIF('Transect 4_imgsummary'!J48:N48,"T")*100/P48)</f>
        <v>0</v>
      </c>
      <c r="O48">
        <f>IF(P48=0,0,COUNTIF('Transect 4_imgsummary'!J48:N48,"TWS")*100/P48)</f>
        <v>0</v>
      </c>
      <c r="P48">
        <f>5-COUNTIF('Transect 4_imgsummary'!J48:N48,"TWS")</f>
        <v>5</v>
      </c>
      <c r="S48">
        <f>IF(P48=0,0,COUNTIF('Transect 4_imgsummary'!E48:I48,"ACAN")*100/P48)</f>
        <v>0</v>
      </c>
      <c r="T48">
        <f>IF(P48=0,0,COUNTIF('Transect 4_imgsummary'!E48:I48,"ACROP")*100/P48)</f>
        <v>0</v>
      </c>
      <c r="U48">
        <f>IF(P48=0,0,COUNTIF('Transect 4_imgsummary'!E48:I48,"ACROPARB")*100/P48)</f>
        <v>0</v>
      </c>
      <c r="V48">
        <f>IF(P48=0,0,COUNTIF('Transect 4_imgsummary'!E48:I48,"ACROST")*100/P48)</f>
        <v>0</v>
      </c>
      <c r="W48" s="29">
        <f>IF(P48=0,0,COUNTIF('Transect 4_imgsummary'!E48:I48,"ACROTBL")*100/P48)</f>
        <v>40</v>
      </c>
      <c r="X48">
        <f>IF(P48=0,0,COUNTIF('Transect 4_imgsummary'!E48:I48,"ASTRP")*100/P48)</f>
        <v>0</v>
      </c>
      <c r="Y48">
        <f>IF(P48=0,0,COUNTIF('Transect 4_imgsummary'!E48:I48,"CAUL")*100/P48)</f>
        <v>0</v>
      </c>
      <c r="Z48">
        <f>IF(P48=0,0,COUNTIF('Transect 4_imgsummary'!E48:I48,"COSC")*100/P48)</f>
        <v>0</v>
      </c>
      <c r="AA48">
        <f>IF(P48=0,0,COUNTIF('Transect 4_imgsummary'!E48:I48,"CTEN")*100/P48)</f>
        <v>0</v>
      </c>
      <c r="AB48">
        <f>IF(P48=0,0,COUNTIF('Transect 4_imgsummary'!E48:I48,"CYPH")*100/P48)</f>
        <v>0</v>
      </c>
      <c r="AC48">
        <f>IF(P48=0,0,COUNTIF('Transect 4_imgsummary'!E48:I48,"DIPLO")*100/P48)</f>
        <v>0</v>
      </c>
      <c r="AD48">
        <f>IF(P48=0,0,COUNTIF('Transect 4_imgsummary'!E48:I48,"ECHPO")*100/P48)</f>
        <v>0</v>
      </c>
      <c r="AE48">
        <f>IF(P48=0,0,COUNTIF('Transect 4_imgsummary'!E48:I48,"ECHPHY")*100/P48)</f>
        <v>0</v>
      </c>
      <c r="AF48">
        <f>IF(P48=0,0,COUNTIF('Transect 4_imgsummary'!E48:I48,"EUPH")*100/P48)</f>
        <v>0</v>
      </c>
      <c r="AG48">
        <f>IF(P48=0,0,COUNTIF('Transect 4_imgsummary'!E48:I48,"FAV")*100/P48)</f>
        <v>0</v>
      </c>
      <c r="AH48">
        <f>IF(P48=0,0,COUNTIF('Transect 4_imgsummary'!E48:I48,"FAVT")*100/P48)</f>
        <v>0</v>
      </c>
      <c r="AI48">
        <f>IF(P48=0,0,COUNTIF('Transect 4_imgsummary'!E48:I48,"FUNG")*100/P48)</f>
        <v>0</v>
      </c>
      <c r="AJ48">
        <f>IF(P48=0,0,COUNTIF('Transect 4_imgsummary'!E48:I48,"GAL")*100/P48)</f>
        <v>0</v>
      </c>
      <c r="AK48">
        <f>IF(P48=0,0,COUNTIF('Transect 4_imgsummary'!E48:I48,"GARD")*100/P48)</f>
        <v>0</v>
      </c>
      <c r="AL48">
        <f>IF(P48=0,0,COUNTIF('Transect 4_imgsummary'!E48:I48,"GON")*100/P48)</f>
        <v>0</v>
      </c>
      <c r="AM48">
        <f>IF(P48=0,0,COUNTIF('Transect 4_imgsummary'!E48:I48,"GONIO")*100/P48)</f>
        <v>0</v>
      </c>
      <c r="AN48">
        <f>IF(P48=0,0,COUNTIF('Transect 4_imgsummary'!E48:I48,"HELIO")*100/P48)</f>
        <v>0</v>
      </c>
      <c r="AO48">
        <f>IF(P48=0,0,COUNTIF('Transect 4_imgsummary'!E48:I48,"HERP")*100/P48)</f>
        <v>0</v>
      </c>
      <c r="AP48">
        <f>IF(P48=0,0,COUNTIF('Transect 4_imgsummary'!E48:I48,"HYD")*100/P48)</f>
        <v>0</v>
      </c>
      <c r="AQ48">
        <f>IF(P48=0,0,COUNTIF('Transect 4_imgsummary'!E48:I48,"ISOP")*100/P48)</f>
        <v>0</v>
      </c>
      <c r="AR48">
        <f>IF(P48=0,0,COUNTIF('Transect 4_imgsummary'!E48:I48,"LEPT")*100/P48)</f>
        <v>0</v>
      </c>
      <c r="AS48">
        <f>IF(P48=0,0,COUNTIF('Transect 4_imgsummary'!E48:I48,"LEPTOR")*100/P48)</f>
        <v>0</v>
      </c>
      <c r="AT48">
        <f>IF(P48=0,0,COUNTIF('Transect 4_imgsummary'!E48:I48,"LEPTOS")*100/P48)</f>
        <v>0</v>
      </c>
      <c r="AU48">
        <f>IF(P48=0,0,COUNTIF('Transect 4_imgsummary'!E48:I48,"LOBOPH")*100/P48)</f>
        <v>0</v>
      </c>
      <c r="AV48">
        <f>IF(P48=0,0,COUNTIF('Transect 4_imgsummary'!E48:I48,"MERU")*100/P48)</f>
        <v>0</v>
      </c>
      <c r="AW48">
        <f>IF(P48=0,0,COUNTIF('Transect 4_imgsummary'!E48:I48,"MILL")*100/P48)</f>
        <v>0</v>
      </c>
      <c r="AX48">
        <f>IF(P48=0,0,COUNTIF('Transect 4_imgsummary'!E48:I48,"MONT")*100/P48)</f>
        <v>0</v>
      </c>
      <c r="AY48">
        <f>IF(P48=0,0,COUNTIF('Transect 4_imgsummary'!E48:I48,"MONTI")*100/P48)</f>
        <v>0</v>
      </c>
      <c r="AZ48">
        <f>IF(P48=0,0,COUNTIF('Transect 4_imgsummary'!E48:I48,"MYCED")*100/P48)</f>
        <v>0</v>
      </c>
      <c r="BA48">
        <f>IF(P48=0,0,COUNTIF('Transect 4_imgsummary'!E48:I48,"OULO")*100/P48)</f>
        <v>0</v>
      </c>
      <c r="BB48">
        <f>IF(P48=0,0,COUNTIF('Transect 4_imgsummary'!E48:I48,"OXYP")*100/P48)</f>
        <v>0</v>
      </c>
      <c r="BC48">
        <f>IF(P48=0,0,COUNTIF('Transect 4_imgsummary'!E48:I48,"PLSIA")*100/P48)</f>
        <v>0</v>
      </c>
      <c r="BD48">
        <f>IF(P48=0,0,COUNTIF('Transect 4_imgsummary'!E48:I48,"PACHY")*100/P48)</f>
        <v>0</v>
      </c>
      <c r="BE48">
        <f>IF(P48=0,0,COUNTIF('Transect 4_imgsummary'!E48:I48,"PAV")*100/P48)</f>
        <v>0</v>
      </c>
      <c r="BF48">
        <f>IF(P48=0,0,COUNTIF('Transect 4_imgsummary'!E48:I48,"PECT")*100/P48)</f>
        <v>0</v>
      </c>
      <c r="BG48">
        <f>IF(P48=0,0,COUNTIF('Transect 4_imgsummary'!E48:I48,"PHYSO")*100/P48)</f>
        <v>0</v>
      </c>
      <c r="BH48">
        <f>IF(P48=0,0,COUNTIF('Transect 4_imgsummary'!E48:I48,"PLAT")*100/P48)</f>
        <v>0</v>
      </c>
      <c r="BI48">
        <f>IF(P48=0,0,COUNTIF('Transect 4_imgsummary'!E48:I48,"PLERO")*100/P48)</f>
        <v>0</v>
      </c>
      <c r="BJ48">
        <f>IF(P48=0,0,COUNTIF('Transect 4_imgsummary'!E48:I48,"POC")*100/P48)</f>
        <v>0</v>
      </c>
      <c r="BK48">
        <f>IF(P48=0,0,COUNTIF('Transect 4_imgsummary'!E48:I48,"POR")*100/P48)</f>
        <v>0</v>
      </c>
      <c r="BL48">
        <f>IF(P48=0,0,COUNTIF('Transect 4_imgsummary'!E48:I48,"PORCYL")*100/P48)</f>
        <v>0</v>
      </c>
      <c r="BM48">
        <f>IF(P48=0,0,COUNTIF('Transect 4_imgsummary'!E48:I48,"PORMAS")*100/P48)</f>
        <v>0</v>
      </c>
      <c r="BN48">
        <f>IF(P48=0,0,COUNTIF('Transect 4_imgsummary'!E48:I48,"PORRUS")*100/P48)</f>
        <v>0</v>
      </c>
      <c r="BO48">
        <f>IF(P48=0,0,COUNTIF('Transect 4_imgsummary'!E48:I48,"PSAM")*100/P48)</f>
        <v>0</v>
      </c>
      <c r="BP48">
        <f>IF(P48=0,0,COUNTIF('Transect 4_imgsummary'!E48:I48,"SANDO")*100/P48)</f>
        <v>0</v>
      </c>
      <c r="BQ48">
        <f>IF(P48=0,0,COUNTIF('Transect 4_imgsummary'!E48:I48,"SCAP")*100/P48)</f>
        <v>0</v>
      </c>
      <c r="BR48">
        <f>IF(P48=0,0,COUNTIF('Transect 4_imgsummary'!E48:I48,"SERIA")*100/P48)</f>
        <v>0</v>
      </c>
      <c r="BS48">
        <f>IF(P48=0,0,COUNTIF('Transect 4_imgsummary'!E48:I48,"STYLC")*100/P48)</f>
        <v>0</v>
      </c>
      <c r="BT48" s="29">
        <f>IF(P48=0,0,COUNTIF('Transect 4_imgsummary'!E48:I48,"STYLO")*100/P48)</f>
        <v>20</v>
      </c>
      <c r="BU48">
        <f>IF(P48=0,0,COUNTIF('Transect 4_imgsummary'!E48:I48,"SYMP")*100/P48)</f>
        <v>0</v>
      </c>
      <c r="BV48">
        <f>IF(P48=0,0,COUNTIF('Transect 4_imgsummary'!E48:I48,"TURBIN")*100/P48)</f>
        <v>0</v>
      </c>
      <c r="BX48">
        <f>IF(P48=0,0,COUNTIF('Transect 4_imgsummary'!E48:I48,"ANEM")*100/P48)</f>
        <v>0</v>
      </c>
      <c r="BY48">
        <f>IF(P48=0,0,COUNTIF('Transect 4_imgsummary'!E48:I48,"ASC")*100/P48)</f>
        <v>0</v>
      </c>
      <c r="BZ48">
        <f>IF(P48=0,0,COUNTIF('Transect 4_imgsummary'!E48:I48,"CUPS")*100/P48)</f>
        <v>0</v>
      </c>
      <c r="CA48">
        <f>IF(P48=0,0,COUNTIF('Transect 4_imgsummary'!E48:I48,"DISCO")*100/P48)</f>
        <v>0</v>
      </c>
      <c r="CB48">
        <f>IF(P48=0,0,COUNTIF('Transect 4_imgsummary'!E48:I48,"DYS")*100/P48)</f>
        <v>0</v>
      </c>
      <c r="CC48">
        <f>IF(P48=0,0,COUNTIF('Transect 4_imgsummary'!E48:I48,"G")*100/P48)</f>
        <v>0</v>
      </c>
      <c r="CD48">
        <f>IF(P48=0,0,COUNTIF('Transect 4_imgsummary'!E48:I48,"NoIDINV")*100/P48)</f>
        <v>0</v>
      </c>
      <c r="CE48">
        <f>IF(P48=0,0,COUNTIF('Transect 4_imgsummary'!E48:I48,"OLV")*100/P48)</f>
        <v>0</v>
      </c>
      <c r="CF48">
        <f>IF(P48=0,0,COUNTIF('Transect 4_imgsummary'!E48:I48,"SC")*100/P48)</f>
        <v>0</v>
      </c>
      <c r="CG48">
        <f>IF(P48=0,0,COUNTIF('Transect 4_imgsummary'!E48:I48,"S")*100/P48)</f>
        <v>0</v>
      </c>
      <c r="CH48">
        <f>IF(P48=0,0,COUNTIF('Transect 4_imgsummary'!E48:I48,"TERPS")*100/P48)</f>
        <v>0</v>
      </c>
      <c r="CI48">
        <f>IF(P48=0,0,COUNTIF('Transect 4_imgsummary'!E48:I48,"Z")*100/P48)</f>
        <v>0</v>
      </c>
      <c r="CK48">
        <f>IF(P48=0,0,COUNTIF('Transect 4_imgsummary'!E48:I48,"ASP")*100/P48)</f>
        <v>0</v>
      </c>
      <c r="CL48">
        <f>IF(P48=0,0,COUNTIF('Transect 4_imgsummary'!E48:I48,"BG")*100/P48)</f>
        <v>0</v>
      </c>
      <c r="CM48">
        <f>IF(P48=0,0,COUNTIF('Transect 4_imgsummary'!E48:I48,"Bood")*100/P48)</f>
        <v>0</v>
      </c>
      <c r="CN48">
        <f>IF(P48=0,0,COUNTIF('Transect 4_imgsummary'!E48:I48,"BRYP")*100/P48)</f>
        <v>0</v>
      </c>
      <c r="CO48">
        <f>IF(P48=0,0,COUNTIF('Transect 4_imgsummary'!E48:I48,"CLP")*100/P48)</f>
        <v>0</v>
      </c>
      <c r="CP48">
        <f>IF(P48=0,0,COUNTIF('Transect 4_imgsummary'!E48:I48,"CHLDES")*100/P48)</f>
        <v>0</v>
      </c>
      <c r="CQ48">
        <f>IF(P48=0,0,COUNTIF('Transect 4_imgsummary'!E48:I48,"DYCTY")*100/P48)</f>
        <v>0</v>
      </c>
      <c r="CR48">
        <f>IF(P48=0,0,COUNTIF('Transect 4_imgsummary'!E48:I48,"DICT")*100/P48)</f>
        <v>0</v>
      </c>
      <c r="CS48">
        <f>IF(P48=0,0,COUNTIF('Transect 4_imgsummary'!E48:I48,"GLXU")*100/P48)</f>
        <v>0</v>
      </c>
      <c r="CT48">
        <f>IF(P48=0,0,COUNTIF('Transect 4_imgsummary'!E48:I48,"HALI")*100/P48)</f>
        <v>0</v>
      </c>
      <c r="CU48">
        <f>IF(P48=0,0,COUNTIF('Transect 4_imgsummary'!E48:I48,"LIAG")*100/P48)</f>
        <v>0</v>
      </c>
      <c r="CV48">
        <f>IF(P48=0,0,COUNTIF('Transect 4_imgsummary'!E48:I48,"LOBO")*100/P48)</f>
        <v>0</v>
      </c>
      <c r="CW48">
        <f>IF(P48=0,0,COUNTIF('Transect 4_imgsummary'!E48:I48,"MAST")*100/P48)</f>
        <v>0</v>
      </c>
      <c r="CX48">
        <f>IF(P48=0,0,COUNTIF('Transect 4_imgsummary'!E48:I48,"MICDTY")*100/P48)</f>
        <v>0</v>
      </c>
      <c r="CY48">
        <f>IF(P48=0,0,COUNTIF('Transect 4_imgsummary'!E48:I48,"NEOM")*100/P48)</f>
        <v>0</v>
      </c>
      <c r="CZ48">
        <f>IF(P48=0,0,COUNTIF('Transect 4_imgsummary'!E48:I48,"NOIDMAC")*100/P48)</f>
        <v>0</v>
      </c>
      <c r="DA48">
        <f>IF(P48=0,0,COUNTIF('Transect 4_imgsummary'!E48:I48,"PAD")*100/P48)</f>
        <v>0</v>
      </c>
      <c r="DB48">
        <f>IF(P48=0,0,COUNTIF('Transect 4_imgsummary'!E48:I48,"SARG")*100/P48)</f>
        <v>0</v>
      </c>
      <c r="DC48">
        <f>IF(P48=0,0,COUNTIF('Transect 4_imgsummary'!E48:I48,"SCHIZ")*100/P48)</f>
        <v>0</v>
      </c>
      <c r="DD48">
        <f>IF(P48=0,0,COUNTIF('Transect 4_imgsummary'!E48:I48,"TURB")*100/P48)</f>
        <v>0</v>
      </c>
      <c r="DE48">
        <f>IF(P48=0,0,COUNTIF('Transect 4_imgsummary'!E48:I48,"TYDM")*100/P48)</f>
        <v>0</v>
      </c>
      <c r="DG48">
        <f>IF(P48=0,0,COUNTIF('Transect 4_imgsummary'!E48:I48,"AMP")*100/P48)</f>
        <v>0</v>
      </c>
      <c r="DH48">
        <f>IF(P48=0,0,COUNTIF('Transect 4_imgsummary'!E48:I48,"BCA1")*100/P48)</f>
        <v>0</v>
      </c>
      <c r="DI48">
        <f>IF(P48=0,0,COUNTIF('Transect 4_imgsummary'!E48:I48,"JAN")*100/P48)</f>
        <v>0</v>
      </c>
      <c r="DK48" s="29">
        <f>IF(P48=0,0,COUNTIF('Transect 4_imgsummary'!E48:I48,"CCA1")*100/P48)</f>
        <v>20</v>
      </c>
      <c r="DM48">
        <f>IF(P48=0,0,COUNTIF('Transect 4_imgsummary'!E48:I48,"Sand")*100/P48)</f>
        <v>0</v>
      </c>
      <c r="DO48" s="29">
        <f>IF(P48=0,0,COUNTIF('Transect 4_imgsummary'!E48:I48,"FCA1")*100/P48)</f>
        <v>20</v>
      </c>
      <c r="DQ48">
        <f>IF(P48=0,0,COUNTIF('Transect 4_imgsummary'!E48:I48,"CHRYOBRN")*100/P48)</f>
        <v>0</v>
      </c>
      <c r="DS48">
        <f>IF(P48=0,0,COUNTIF('Transect 4_imgsummary'!E48:I48,"TURF")*100/P48)</f>
        <v>0</v>
      </c>
      <c r="DU48">
        <f>COUNTIF('Transect 4_imgsummary'!E48:I48,"Shadow")*100/5</f>
        <v>0</v>
      </c>
      <c r="DV48">
        <f>COUNTIF('Transect 4_imgsummary'!E48:I48,"Tape")*100/5</f>
        <v>0</v>
      </c>
      <c r="DW48">
        <f>COUNTIF('Transect 4_imgsummary'!E48:I48,"Wand")*100/5</f>
        <v>0</v>
      </c>
      <c r="DY48">
        <f>IF(P48=0,0,COUNTIF('Transect 4_imgsummary'!O48:S48,"BC")*100/P48)</f>
        <v>0</v>
      </c>
    </row>
    <row r="49" spans="1:129">
      <c r="A49">
        <v>47</v>
      </c>
      <c r="B49" t="s">
        <v>592</v>
      </c>
      <c r="F49" s="29">
        <f>IF(P49=0,0,COUNTIF('Transect 4_imgsummary'!J49:N49,"C")*100/P49)</f>
        <v>80</v>
      </c>
      <c r="G49">
        <f>IF(P49=0,0,COUNTIF('Transect 4_imgsummary'!J49:N49,"OI")*100/P49)</f>
        <v>0</v>
      </c>
      <c r="H49">
        <f>IF(P49=0,0,COUNTIF('Transect 4_imgsummary'!J49:N49,"MA")*100/P49)</f>
        <v>0</v>
      </c>
      <c r="I49">
        <f>IF(P49=0,0,COUNTIF('Transect 4_imgsummary'!J49:N49,"BCA")*100/P49)</f>
        <v>0</v>
      </c>
      <c r="J49" s="29">
        <f>IF(P49=0,0,COUNTIF('Transect 4_imgsummary'!J49:N49,"CCA")*100/P49)</f>
        <v>20</v>
      </c>
      <c r="K49">
        <f>IF(P49=0,0,COUNTIF('Transect 4_imgsummary'!J49:N49,"SD")*100/P49)</f>
        <v>0</v>
      </c>
      <c r="L49">
        <f>IF(P49=0,0,COUNTIF('Transect 4_imgsummary'!J49:N49,"FCA")*100/P49)</f>
        <v>0</v>
      </c>
      <c r="M49">
        <f>IF(P49=0,0,COUNTIF('Transect 4_imgsummary'!J49:N49,"CHRYS")*100/P49)</f>
        <v>0</v>
      </c>
      <c r="N49">
        <f>IF(P49=0,0,COUNTIF('Transect 4_imgsummary'!J49:N49,"T")*100/P49)</f>
        <v>0</v>
      </c>
      <c r="O49">
        <f>IF(P49=0,0,COUNTIF('Transect 4_imgsummary'!J49:N49,"TWS")*100/P49)</f>
        <v>0</v>
      </c>
      <c r="P49">
        <f>5-COUNTIF('Transect 4_imgsummary'!J49:N49,"TWS")</f>
        <v>5</v>
      </c>
      <c r="S49">
        <f>IF(P49=0,0,COUNTIF('Transect 4_imgsummary'!E49:I49,"ACAN")*100/P49)</f>
        <v>0</v>
      </c>
      <c r="T49">
        <f>IF(P49=0,0,COUNTIF('Transect 4_imgsummary'!E49:I49,"ACROP")*100/P49)</f>
        <v>0</v>
      </c>
      <c r="U49">
        <f>IF(P49=0,0,COUNTIF('Transect 4_imgsummary'!E49:I49,"ACROPARB")*100/P49)</f>
        <v>0</v>
      </c>
      <c r="V49">
        <f>IF(P49=0,0,COUNTIF('Transect 4_imgsummary'!E49:I49,"ACROST")*100/P49)</f>
        <v>0</v>
      </c>
      <c r="W49" s="29">
        <f>IF(P49=0,0,COUNTIF('Transect 4_imgsummary'!E49:I49,"ACROTBL")*100/P49)</f>
        <v>40</v>
      </c>
      <c r="X49">
        <f>IF(P49=0,0,COUNTIF('Transect 4_imgsummary'!E49:I49,"ASTRP")*100/P49)</f>
        <v>0</v>
      </c>
      <c r="Y49">
        <f>IF(P49=0,0,COUNTIF('Transect 4_imgsummary'!E49:I49,"CAUL")*100/P49)</f>
        <v>0</v>
      </c>
      <c r="Z49">
        <f>IF(P49=0,0,COUNTIF('Transect 4_imgsummary'!E49:I49,"COSC")*100/P49)</f>
        <v>0</v>
      </c>
      <c r="AA49">
        <f>IF(P49=0,0,COUNTIF('Transect 4_imgsummary'!E49:I49,"CTEN")*100/P49)</f>
        <v>0</v>
      </c>
      <c r="AB49">
        <f>IF(P49=0,0,COUNTIF('Transect 4_imgsummary'!E49:I49,"CYPH")*100/P49)</f>
        <v>0</v>
      </c>
      <c r="AC49">
        <f>IF(P49=0,0,COUNTIF('Transect 4_imgsummary'!E49:I49,"DIPLO")*100/P49)</f>
        <v>0</v>
      </c>
      <c r="AD49">
        <f>IF(P49=0,0,COUNTIF('Transect 4_imgsummary'!E49:I49,"ECHPO")*100/P49)</f>
        <v>0</v>
      </c>
      <c r="AE49">
        <f>IF(P49=0,0,COUNTIF('Transect 4_imgsummary'!E49:I49,"ECHPHY")*100/P49)</f>
        <v>0</v>
      </c>
      <c r="AF49">
        <f>IF(P49=0,0,COUNTIF('Transect 4_imgsummary'!E49:I49,"EUPH")*100/P49)</f>
        <v>0</v>
      </c>
      <c r="AG49">
        <f>IF(P49=0,0,COUNTIF('Transect 4_imgsummary'!E49:I49,"FAV")*100/P49)</f>
        <v>0</v>
      </c>
      <c r="AH49">
        <f>IF(P49=0,0,COUNTIF('Transect 4_imgsummary'!E49:I49,"FAVT")*100/P49)</f>
        <v>0</v>
      </c>
      <c r="AI49">
        <f>IF(P49=0,0,COUNTIF('Transect 4_imgsummary'!E49:I49,"FUNG")*100/P49)</f>
        <v>0</v>
      </c>
      <c r="AJ49">
        <f>IF(P49=0,0,COUNTIF('Transect 4_imgsummary'!E49:I49,"GAL")*100/P49)</f>
        <v>0</v>
      </c>
      <c r="AK49">
        <f>IF(P49=0,0,COUNTIF('Transect 4_imgsummary'!E49:I49,"GARD")*100/P49)</f>
        <v>0</v>
      </c>
      <c r="AL49">
        <f>IF(P49=0,0,COUNTIF('Transect 4_imgsummary'!E49:I49,"GON")*100/P49)</f>
        <v>0</v>
      </c>
      <c r="AM49">
        <f>IF(P49=0,0,COUNTIF('Transect 4_imgsummary'!E49:I49,"GONIO")*100/P49)</f>
        <v>0</v>
      </c>
      <c r="AN49">
        <f>IF(P49=0,0,COUNTIF('Transect 4_imgsummary'!E49:I49,"HELIO")*100/P49)</f>
        <v>0</v>
      </c>
      <c r="AO49">
        <f>IF(P49=0,0,COUNTIF('Transect 4_imgsummary'!E49:I49,"HERP")*100/P49)</f>
        <v>0</v>
      </c>
      <c r="AP49">
        <f>IF(P49=0,0,COUNTIF('Transect 4_imgsummary'!E49:I49,"HYD")*100/P49)</f>
        <v>0</v>
      </c>
      <c r="AQ49">
        <f>IF(P49=0,0,COUNTIF('Transect 4_imgsummary'!E49:I49,"ISOP")*100/P49)</f>
        <v>0</v>
      </c>
      <c r="AR49" s="29">
        <f>IF(P49=0,0,COUNTIF('Transect 4_imgsummary'!E49:I49,"LEPT")*100/P49)</f>
        <v>20</v>
      </c>
      <c r="AS49">
        <f>IF(P49=0,0,COUNTIF('Transect 4_imgsummary'!E49:I49,"LEPTOR")*100/P49)</f>
        <v>0</v>
      </c>
      <c r="AT49">
        <f>IF(P49=0,0,COUNTIF('Transect 4_imgsummary'!E49:I49,"LEPTOS")*100/P49)</f>
        <v>0</v>
      </c>
      <c r="AU49">
        <f>IF(P49=0,0,COUNTIF('Transect 4_imgsummary'!E49:I49,"LOBOPH")*100/P49)</f>
        <v>0</v>
      </c>
      <c r="AV49">
        <f>IF(P49=0,0,COUNTIF('Transect 4_imgsummary'!E49:I49,"MERU")*100/P49)</f>
        <v>0</v>
      </c>
      <c r="AW49">
        <f>IF(P49=0,0,COUNTIF('Transect 4_imgsummary'!E49:I49,"MILL")*100/P49)</f>
        <v>0</v>
      </c>
      <c r="AX49">
        <f>IF(P49=0,0,COUNTIF('Transect 4_imgsummary'!E49:I49,"MONT")*100/P49)</f>
        <v>0</v>
      </c>
      <c r="AY49">
        <f>IF(P49=0,0,COUNTIF('Transect 4_imgsummary'!E49:I49,"MONTI")*100/P49)</f>
        <v>0</v>
      </c>
      <c r="AZ49">
        <f>IF(P49=0,0,COUNTIF('Transect 4_imgsummary'!E49:I49,"MYCED")*100/P49)</f>
        <v>0</v>
      </c>
      <c r="BA49">
        <f>IF(P49=0,0,COUNTIF('Transect 4_imgsummary'!E49:I49,"OULO")*100/P49)</f>
        <v>0</v>
      </c>
      <c r="BB49">
        <f>IF(P49=0,0,COUNTIF('Transect 4_imgsummary'!E49:I49,"OXYP")*100/P49)</f>
        <v>0</v>
      </c>
      <c r="BC49">
        <f>IF(P49=0,0,COUNTIF('Transect 4_imgsummary'!E49:I49,"PLSIA")*100/P49)</f>
        <v>0</v>
      </c>
      <c r="BD49">
        <f>IF(P49=0,0,COUNTIF('Transect 4_imgsummary'!E49:I49,"PACHY")*100/P49)</f>
        <v>0</v>
      </c>
      <c r="BE49">
        <f>IF(P49=0,0,COUNTIF('Transect 4_imgsummary'!E49:I49,"PAV")*100/P49)</f>
        <v>0</v>
      </c>
      <c r="BF49">
        <f>IF(P49=0,0,COUNTIF('Transect 4_imgsummary'!E49:I49,"PECT")*100/P49)</f>
        <v>0</v>
      </c>
      <c r="BG49">
        <f>IF(P49=0,0,COUNTIF('Transect 4_imgsummary'!E49:I49,"PHYSO")*100/P49)</f>
        <v>0</v>
      </c>
      <c r="BH49">
        <f>IF(P49=0,0,COUNTIF('Transect 4_imgsummary'!E49:I49,"PLAT")*100/P49)</f>
        <v>0</v>
      </c>
      <c r="BI49">
        <f>IF(P49=0,0,COUNTIF('Transect 4_imgsummary'!E49:I49,"PLERO")*100/P49)</f>
        <v>0</v>
      </c>
      <c r="BJ49">
        <f>IF(P49=0,0,COUNTIF('Transect 4_imgsummary'!E49:I49,"POC")*100/P49)</f>
        <v>0</v>
      </c>
      <c r="BK49">
        <f>IF(P49=0,0,COUNTIF('Transect 4_imgsummary'!E49:I49,"POR")*100/P49)</f>
        <v>0</v>
      </c>
      <c r="BL49">
        <f>IF(P49=0,0,COUNTIF('Transect 4_imgsummary'!E49:I49,"PORCYL")*100/P49)</f>
        <v>0</v>
      </c>
      <c r="BM49">
        <f>IF(P49=0,0,COUNTIF('Transect 4_imgsummary'!E49:I49,"PORMAS")*100/P49)</f>
        <v>0</v>
      </c>
      <c r="BN49">
        <f>IF(P49=0,0,COUNTIF('Transect 4_imgsummary'!E49:I49,"PORRUS")*100/P49)</f>
        <v>0</v>
      </c>
      <c r="BO49">
        <f>IF(P49=0,0,COUNTIF('Transect 4_imgsummary'!E49:I49,"PSAM")*100/P49)</f>
        <v>0</v>
      </c>
      <c r="BP49">
        <f>IF(P49=0,0,COUNTIF('Transect 4_imgsummary'!E49:I49,"SANDO")*100/P49)</f>
        <v>0</v>
      </c>
      <c r="BQ49">
        <f>IF(P49=0,0,COUNTIF('Transect 4_imgsummary'!E49:I49,"SCAP")*100/P49)</f>
        <v>0</v>
      </c>
      <c r="BR49">
        <f>IF(P49=0,0,COUNTIF('Transect 4_imgsummary'!E49:I49,"SERIA")*100/P49)</f>
        <v>0</v>
      </c>
      <c r="BS49">
        <f>IF(P49=0,0,COUNTIF('Transect 4_imgsummary'!E49:I49,"STYLC")*100/P49)</f>
        <v>0</v>
      </c>
      <c r="BT49" s="29">
        <f>IF(P49=0,0,COUNTIF('Transect 4_imgsummary'!E49:I49,"STYLO")*100/P49)</f>
        <v>20</v>
      </c>
      <c r="BU49">
        <f>IF(P49=0,0,COUNTIF('Transect 4_imgsummary'!E49:I49,"SYMP")*100/P49)</f>
        <v>0</v>
      </c>
      <c r="BV49">
        <f>IF(P49=0,0,COUNTIF('Transect 4_imgsummary'!E49:I49,"TURBIN")*100/P49)</f>
        <v>0</v>
      </c>
      <c r="BX49">
        <f>IF(P49=0,0,COUNTIF('Transect 4_imgsummary'!E49:I49,"ANEM")*100/P49)</f>
        <v>0</v>
      </c>
      <c r="BY49">
        <f>IF(P49=0,0,COUNTIF('Transect 4_imgsummary'!E49:I49,"ASC")*100/P49)</f>
        <v>0</v>
      </c>
      <c r="BZ49">
        <f>IF(P49=0,0,COUNTIF('Transect 4_imgsummary'!E49:I49,"CUPS")*100/P49)</f>
        <v>0</v>
      </c>
      <c r="CA49">
        <f>IF(P49=0,0,COUNTIF('Transect 4_imgsummary'!E49:I49,"DISCO")*100/P49)</f>
        <v>0</v>
      </c>
      <c r="CB49">
        <f>IF(P49=0,0,COUNTIF('Transect 4_imgsummary'!E49:I49,"DYS")*100/P49)</f>
        <v>0</v>
      </c>
      <c r="CC49">
        <f>IF(P49=0,0,COUNTIF('Transect 4_imgsummary'!E49:I49,"G")*100/P49)</f>
        <v>0</v>
      </c>
      <c r="CD49">
        <f>IF(P49=0,0,COUNTIF('Transect 4_imgsummary'!E49:I49,"NoIDINV")*100/P49)</f>
        <v>0</v>
      </c>
      <c r="CE49">
        <f>IF(P49=0,0,COUNTIF('Transect 4_imgsummary'!E49:I49,"OLV")*100/P49)</f>
        <v>0</v>
      </c>
      <c r="CF49">
        <f>IF(P49=0,0,COUNTIF('Transect 4_imgsummary'!E49:I49,"SC")*100/P49)</f>
        <v>0</v>
      </c>
      <c r="CG49">
        <f>IF(P49=0,0,COUNTIF('Transect 4_imgsummary'!E49:I49,"S")*100/P49)</f>
        <v>0</v>
      </c>
      <c r="CH49">
        <f>IF(P49=0,0,COUNTIF('Transect 4_imgsummary'!E49:I49,"TERPS")*100/P49)</f>
        <v>0</v>
      </c>
      <c r="CI49">
        <f>IF(P49=0,0,COUNTIF('Transect 4_imgsummary'!E49:I49,"Z")*100/P49)</f>
        <v>0</v>
      </c>
      <c r="CK49">
        <f>IF(P49=0,0,COUNTIF('Transect 4_imgsummary'!E49:I49,"ASP")*100/P49)</f>
        <v>0</v>
      </c>
      <c r="CL49">
        <f>IF(P49=0,0,COUNTIF('Transect 4_imgsummary'!E49:I49,"BG")*100/P49)</f>
        <v>0</v>
      </c>
      <c r="CM49">
        <f>IF(P49=0,0,COUNTIF('Transect 4_imgsummary'!E49:I49,"Bood")*100/P49)</f>
        <v>0</v>
      </c>
      <c r="CN49">
        <f>IF(P49=0,0,COUNTIF('Transect 4_imgsummary'!E49:I49,"BRYP")*100/P49)</f>
        <v>0</v>
      </c>
      <c r="CO49">
        <f>IF(P49=0,0,COUNTIF('Transect 4_imgsummary'!E49:I49,"CLP")*100/P49)</f>
        <v>0</v>
      </c>
      <c r="CP49">
        <f>IF(P49=0,0,COUNTIF('Transect 4_imgsummary'!E49:I49,"CHLDES")*100/P49)</f>
        <v>0</v>
      </c>
      <c r="CQ49">
        <f>IF(P49=0,0,COUNTIF('Transect 4_imgsummary'!E49:I49,"DYCTY")*100/P49)</f>
        <v>0</v>
      </c>
      <c r="CR49">
        <f>IF(P49=0,0,COUNTIF('Transect 4_imgsummary'!E49:I49,"DICT")*100/P49)</f>
        <v>0</v>
      </c>
      <c r="CS49">
        <f>IF(P49=0,0,COUNTIF('Transect 4_imgsummary'!E49:I49,"GLXU")*100/P49)</f>
        <v>0</v>
      </c>
      <c r="CT49">
        <f>IF(P49=0,0,COUNTIF('Transect 4_imgsummary'!E49:I49,"HALI")*100/P49)</f>
        <v>0</v>
      </c>
      <c r="CU49">
        <f>IF(P49=0,0,COUNTIF('Transect 4_imgsummary'!E49:I49,"LIAG")*100/P49)</f>
        <v>0</v>
      </c>
      <c r="CV49">
        <f>IF(P49=0,0,COUNTIF('Transect 4_imgsummary'!E49:I49,"LOBO")*100/P49)</f>
        <v>0</v>
      </c>
      <c r="CW49">
        <f>IF(P49=0,0,COUNTIF('Transect 4_imgsummary'!E49:I49,"MAST")*100/P49)</f>
        <v>0</v>
      </c>
      <c r="CX49">
        <f>IF(P49=0,0,COUNTIF('Transect 4_imgsummary'!E49:I49,"MICDTY")*100/P49)</f>
        <v>0</v>
      </c>
      <c r="CY49">
        <f>IF(P49=0,0,COUNTIF('Transect 4_imgsummary'!E49:I49,"NEOM")*100/P49)</f>
        <v>0</v>
      </c>
      <c r="CZ49">
        <f>IF(P49=0,0,COUNTIF('Transect 4_imgsummary'!E49:I49,"NOIDMAC")*100/P49)</f>
        <v>0</v>
      </c>
      <c r="DA49">
        <f>IF(P49=0,0,COUNTIF('Transect 4_imgsummary'!E49:I49,"PAD")*100/P49)</f>
        <v>0</v>
      </c>
      <c r="DB49">
        <f>IF(P49=0,0,COUNTIF('Transect 4_imgsummary'!E49:I49,"SARG")*100/P49)</f>
        <v>0</v>
      </c>
      <c r="DC49">
        <f>IF(P49=0,0,COUNTIF('Transect 4_imgsummary'!E49:I49,"SCHIZ")*100/P49)</f>
        <v>0</v>
      </c>
      <c r="DD49">
        <f>IF(P49=0,0,COUNTIF('Transect 4_imgsummary'!E49:I49,"TURB")*100/P49)</f>
        <v>0</v>
      </c>
      <c r="DE49">
        <f>IF(P49=0,0,COUNTIF('Transect 4_imgsummary'!E49:I49,"TYDM")*100/P49)</f>
        <v>0</v>
      </c>
      <c r="DG49">
        <f>IF(P49=0,0,COUNTIF('Transect 4_imgsummary'!E49:I49,"AMP")*100/P49)</f>
        <v>0</v>
      </c>
      <c r="DH49">
        <f>IF(P49=0,0,COUNTIF('Transect 4_imgsummary'!E49:I49,"BCA1")*100/P49)</f>
        <v>0</v>
      </c>
      <c r="DI49">
        <f>IF(P49=0,0,COUNTIF('Transect 4_imgsummary'!E49:I49,"JAN")*100/P49)</f>
        <v>0</v>
      </c>
      <c r="DK49" s="29">
        <f>IF(P49=0,0,COUNTIF('Transect 4_imgsummary'!E49:I49,"CCA1")*100/P49)</f>
        <v>20</v>
      </c>
      <c r="DM49">
        <f>IF(P49=0,0,COUNTIF('Transect 4_imgsummary'!E49:I49,"Sand")*100/P49)</f>
        <v>0</v>
      </c>
      <c r="DO49">
        <f>IF(P49=0,0,COUNTIF('Transect 4_imgsummary'!E49:I49,"FCA1")*100/P49)</f>
        <v>0</v>
      </c>
      <c r="DQ49">
        <f>IF(P49=0,0,COUNTIF('Transect 4_imgsummary'!E49:I49,"CHRYOBRN")*100/P49)</f>
        <v>0</v>
      </c>
      <c r="DS49">
        <f>IF(P49=0,0,COUNTIF('Transect 4_imgsummary'!E49:I49,"TURF")*100/P49)</f>
        <v>0</v>
      </c>
      <c r="DU49">
        <f>COUNTIF('Transect 4_imgsummary'!E49:I49,"Shadow")*100/5</f>
        <v>0</v>
      </c>
      <c r="DV49">
        <f>COUNTIF('Transect 4_imgsummary'!E49:I49,"Tape")*100/5</f>
        <v>0</v>
      </c>
      <c r="DW49">
        <f>COUNTIF('Transect 4_imgsummary'!E49:I49,"Wand")*100/5</f>
        <v>0</v>
      </c>
      <c r="DY49">
        <f>IF(P49=0,0,COUNTIF('Transect 4_imgsummary'!O49:S49,"BC")*100/P49)</f>
        <v>0</v>
      </c>
    </row>
    <row r="50" spans="1:129">
      <c r="A50">
        <v>48</v>
      </c>
      <c r="B50" t="s">
        <v>593</v>
      </c>
      <c r="F50" s="29">
        <f>IF(P50=0,0,COUNTIF('Transect 4_imgsummary'!J50:N50,"C")*100/P50)</f>
        <v>80</v>
      </c>
      <c r="G50">
        <f>IF(P50=0,0,COUNTIF('Transect 4_imgsummary'!J50:N50,"OI")*100/P50)</f>
        <v>0</v>
      </c>
      <c r="H50">
        <f>IF(P50=0,0,COUNTIF('Transect 4_imgsummary'!J50:N50,"MA")*100/P50)</f>
        <v>0</v>
      </c>
      <c r="I50">
        <f>IF(P50=0,0,COUNTIF('Transect 4_imgsummary'!J50:N50,"BCA")*100/P50)</f>
        <v>0</v>
      </c>
      <c r="J50">
        <f>IF(P50=0,0,COUNTIF('Transect 4_imgsummary'!J50:N50,"CCA")*100/P50)</f>
        <v>0</v>
      </c>
      <c r="K50">
        <f>IF(P50=0,0,COUNTIF('Transect 4_imgsummary'!J50:N50,"SD")*100/P50)</f>
        <v>0</v>
      </c>
      <c r="L50">
        <f>IF(P50=0,0,COUNTIF('Transect 4_imgsummary'!J50:N50,"FCA")*100/P50)</f>
        <v>0</v>
      </c>
      <c r="M50">
        <f>IF(P50=0,0,COUNTIF('Transect 4_imgsummary'!J50:N50,"CHRYS")*100/P50)</f>
        <v>0</v>
      </c>
      <c r="N50" s="29">
        <f>IF(P50=0,0,COUNTIF('Transect 4_imgsummary'!J50:N50,"T")*100/P50)</f>
        <v>20</v>
      </c>
      <c r="O50">
        <f>IF(P50=0,0,COUNTIF('Transect 4_imgsummary'!J50:N50,"TWS")*100/P50)</f>
        <v>0</v>
      </c>
      <c r="P50">
        <f>5-COUNTIF('Transect 4_imgsummary'!J50:N50,"TWS")</f>
        <v>5</v>
      </c>
      <c r="S50">
        <f>IF(P50=0,0,COUNTIF('Transect 4_imgsummary'!E50:I50,"ACAN")*100/P50)</f>
        <v>0</v>
      </c>
      <c r="T50">
        <f>IF(P50=0,0,COUNTIF('Transect 4_imgsummary'!E50:I50,"ACROP")*100/P50)</f>
        <v>0</v>
      </c>
      <c r="U50">
        <f>IF(P50=0,0,COUNTIF('Transect 4_imgsummary'!E50:I50,"ACROPARB")*100/P50)</f>
        <v>0</v>
      </c>
      <c r="V50">
        <f>IF(P50=0,0,COUNTIF('Transect 4_imgsummary'!E50:I50,"ACROST")*100/P50)</f>
        <v>0</v>
      </c>
      <c r="W50">
        <f>IF(P50=0,0,COUNTIF('Transect 4_imgsummary'!E50:I50,"ACROTBL")*100/P50)</f>
        <v>0</v>
      </c>
      <c r="X50">
        <f>IF(P50=0,0,COUNTIF('Transect 4_imgsummary'!E50:I50,"ASTRP")*100/P50)</f>
        <v>0</v>
      </c>
      <c r="Y50">
        <f>IF(P50=0,0,COUNTIF('Transect 4_imgsummary'!E50:I50,"CAUL")*100/P50)</f>
        <v>0</v>
      </c>
      <c r="Z50">
        <f>IF(P50=0,0,COUNTIF('Transect 4_imgsummary'!E50:I50,"COSC")*100/P50)</f>
        <v>0</v>
      </c>
      <c r="AA50">
        <f>IF(P50=0,0,COUNTIF('Transect 4_imgsummary'!E50:I50,"CTEN")*100/P50)</f>
        <v>0</v>
      </c>
      <c r="AB50">
        <f>IF(P50=0,0,COUNTIF('Transect 4_imgsummary'!E50:I50,"CYPH")*100/P50)</f>
        <v>0</v>
      </c>
      <c r="AC50">
        <f>IF(P50=0,0,COUNTIF('Transect 4_imgsummary'!E50:I50,"DIPLO")*100/P50)</f>
        <v>0</v>
      </c>
      <c r="AD50" s="29">
        <f>IF(P50=0,0,COUNTIF('Transect 4_imgsummary'!E50:I50,"ECHPO")*100/P50)</f>
        <v>60</v>
      </c>
      <c r="AE50">
        <f>IF(P50=0,0,COUNTIF('Transect 4_imgsummary'!E50:I50,"ECHPHY")*100/P50)</f>
        <v>0</v>
      </c>
      <c r="AF50">
        <f>IF(P50=0,0,COUNTIF('Transect 4_imgsummary'!E50:I50,"EUPH")*100/P50)</f>
        <v>0</v>
      </c>
      <c r="AG50">
        <f>IF(P50=0,0,COUNTIF('Transect 4_imgsummary'!E50:I50,"FAV")*100/P50)</f>
        <v>0</v>
      </c>
      <c r="AH50">
        <f>IF(P50=0,0,COUNTIF('Transect 4_imgsummary'!E50:I50,"FAVT")*100/P50)</f>
        <v>0</v>
      </c>
      <c r="AI50">
        <f>IF(P50=0,0,COUNTIF('Transect 4_imgsummary'!E50:I50,"FUNG")*100/P50)</f>
        <v>0</v>
      </c>
      <c r="AJ50">
        <f>IF(P50=0,0,COUNTIF('Transect 4_imgsummary'!E50:I50,"GAL")*100/P50)</f>
        <v>0</v>
      </c>
      <c r="AK50">
        <f>IF(P50=0,0,COUNTIF('Transect 4_imgsummary'!E50:I50,"GARD")*100/P50)</f>
        <v>0</v>
      </c>
      <c r="AL50">
        <f>IF(P50=0,0,COUNTIF('Transect 4_imgsummary'!E50:I50,"GON")*100/P50)</f>
        <v>0</v>
      </c>
      <c r="AM50">
        <f>IF(P50=0,0,COUNTIF('Transect 4_imgsummary'!E50:I50,"GONIO")*100/P50)</f>
        <v>0</v>
      </c>
      <c r="AN50">
        <f>IF(P50=0,0,COUNTIF('Transect 4_imgsummary'!E50:I50,"HELIO")*100/P50)</f>
        <v>0</v>
      </c>
      <c r="AO50">
        <f>IF(P50=0,0,COUNTIF('Transect 4_imgsummary'!E50:I50,"HERP")*100/P50)</f>
        <v>0</v>
      </c>
      <c r="AP50">
        <f>IF(P50=0,0,COUNTIF('Transect 4_imgsummary'!E50:I50,"HYD")*100/P50)</f>
        <v>0</v>
      </c>
      <c r="AQ50">
        <f>IF(P50=0,0,COUNTIF('Transect 4_imgsummary'!E50:I50,"ISOP")*100/P50)</f>
        <v>0</v>
      </c>
      <c r="AR50">
        <f>IF(P50=0,0,COUNTIF('Transect 4_imgsummary'!E50:I50,"LEPT")*100/P50)</f>
        <v>0</v>
      </c>
      <c r="AS50" s="29">
        <f>IF(P50=0,0,COUNTIF('Transect 4_imgsummary'!E50:I50,"LEPTOR")*100/P50)</f>
        <v>20</v>
      </c>
      <c r="AT50">
        <f>IF(P50=0,0,COUNTIF('Transect 4_imgsummary'!E50:I50,"LEPTOS")*100/P50)</f>
        <v>0</v>
      </c>
      <c r="AU50">
        <f>IF(P50=0,0,COUNTIF('Transect 4_imgsummary'!E50:I50,"LOBOPH")*100/P50)</f>
        <v>0</v>
      </c>
      <c r="AV50">
        <f>IF(P50=0,0,COUNTIF('Transect 4_imgsummary'!E50:I50,"MERU")*100/P50)</f>
        <v>0</v>
      </c>
      <c r="AW50">
        <f>IF(P50=0,0,COUNTIF('Transect 4_imgsummary'!E50:I50,"MILL")*100/P50)</f>
        <v>0</v>
      </c>
      <c r="AX50">
        <f>IF(P50=0,0,COUNTIF('Transect 4_imgsummary'!E50:I50,"MONT")*100/P50)</f>
        <v>0</v>
      </c>
      <c r="AY50">
        <f>IF(P50=0,0,COUNTIF('Transect 4_imgsummary'!E50:I50,"MONTI")*100/P50)</f>
        <v>0</v>
      </c>
      <c r="AZ50">
        <f>IF(P50=0,0,COUNTIF('Transect 4_imgsummary'!E50:I50,"MYCED")*100/P50)</f>
        <v>0</v>
      </c>
      <c r="BA50">
        <f>IF(P50=0,0,COUNTIF('Transect 4_imgsummary'!E50:I50,"OULO")*100/P50)</f>
        <v>0</v>
      </c>
      <c r="BB50">
        <f>IF(P50=0,0,COUNTIF('Transect 4_imgsummary'!E50:I50,"OXYP")*100/P50)</f>
        <v>0</v>
      </c>
      <c r="BC50">
        <f>IF(P50=0,0,COUNTIF('Transect 4_imgsummary'!E50:I50,"PLSIA")*100/P50)</f>
        <v>0</v>
      </c>
      <c r="BD50">
        <f>IF(P50=0,0,COUNTIF('Transect 4_imgsummary'!E50:I50,"PACHY")*100/P50)</f>
        <v>0</v>
      </c>
      <c r="BE50">
        <f>IF(P50=0,0,COUNTIF('Transect 4_imgsummary'!E50:I50,"PAV")*100/P50)</f>
        <v>0</v>
      </c>
      <c r="BF50">
        <f>IF(P50=0,0,COUNTIF('Transect 4_imgsummary'!E50:I50,"PECT")*100/P50)</f>
        <v>0</v>
      </c>
      <c r="BG50">
        <f>IF(P50=0,0,COUNTIF('Transect 4_imgsummary'!E50:I50,"PHYSO")*100/P50)</f>
        <v>0</v>
      </c>
      <c r="BH50">
        <f>IF(P50=0,0,COUNTIF('Transect 4_imgsummary'!E50:I50,"PLAT")*100/P50)</f>
        <v>0</v>
      </c>
      <c r="BI50">
        <f>IF(P50=0,0,COUNTIF('Transect 4_imgsummary'!E50:I50,"PLERO")*100/P50)</f>
        <v>0</v>
      </c>
      <c r="BJ50">
        <f>IF(P50=0,0,COUNTIF('Transect 4_imgsummary'!E50:I50,"POC")*100/P50)</f>
        <v>0</v>
      </c>
      <c r="BK50">
        <f>IF(P50=0,0,COUNTIF('Transect 4_imgsummary'!E50:I50,"POR")*100/P50)</f>
        <v>0</v>
      </c>
      <c r="BL50">
        <f>IF(P50=0,0,COUNTIF('Transect 4_imgsummary'!E50:I50,"PORCYL")*100/P50)</f>
        <v>0</v>
      </c>
      <c r="BM50">
        <f>IF(P50=0,0,COUNTIF('Transect 4_imgsummary'!E50:I50,"PORMAS")*100/P50)</f>
        <v>0</v>
      </c>
      <c r="BN50">
        <f>IF(P50=0,0,COUNTIF('Transect 4_imgsummary'!E50:I50,"PORRUS")*100/P50)</f>
        <v>0</v>
      </c>
      <c r="BO50">
        <f>IF(P50=0,0,COUNTIF('Transect 4_imgsummary'!E50:I50,"PSAM")*100/P50)</f>
        <v>0</v>
      </c>
      <c r="BP50">
        <f>IF(P50=0,0,COUNTIF('Transect 4_imgsummary'!E50:I50,"SANDO")*100/P50)</f>
        <v>0</v>
      </c>
      <c r="BQ50">
        <f>IF(P50=0,0,COUNTIF('Transect 4_imgsummary'!E50:I50,"SCAP")*100/P50)</f>
        <v>0</v>
      </c>
      <c r="BR50">
        <f>IF(P50=0,0,COUNTIF('Transect 4_imgsummary'!E50:I50,"SERIA")*100/P50)</f>
        <v>0</v>
      </c>
      <c r="BS50">
        <f>IF(P50=0,0,COUNTIF('Transect 4_imgsummary'!E50:I50,"STYLC")*100/P50)</f>
        <v>0</v>
      </c>
      <c r="BT50">
        <f>IF(P50=0,0,COUNTIF('Transect 4_imgsummary'!E50:I50,"STYLO")*100/P50)</f>
        <v>0</v>
      </c>
      <c r="BU50">
        <f>IF(P50=0,0,COUNTIF('Transect 4_imgsummary'!E50:I50,"SYMP")*100/P50)</f>
        <v>0</v>
      </c>
      <c r="BV50">
        <f>IF(P50=0,0,COUNTIF('Transect 4_imgsummary'!E50:I50,"TURBIN")*100/P50)</f>
        <v>0</v>
      </c>
      <c r="BX50">
        <f>IF(P50=0,0,COUNTIF('Transect 4_imgsummary'!E50:I50,"ANEM")*100/P50)</f>
        <v>0</v>
      </c>
      <c r="BY50">
        <f>IF(P50=0,0,COUNTIF('Transect 4_imgsummary'!E50:I50,"ASC")*100/P50)</f>
        <v>0</v>
      </c>
      <c r="BZ50">
        <f>IF(P50=0,0,COUNTIF('Transect 4_imgsummary'!E50:I50,"CUPS")*100/P50)</f>
        <v>0</v>
      </c>
      <c r="CA50">
        <f>IF(P50=0,0,COUNTIF('Transect 4_imgsummary'!E50:I50,"DISCO")*100/P50)</f>
        <v>0</v>
      </c>
      <c r="CB50">
        <f>IF(P50=0,0,COUNTIF('Transect 4_imgsummary'!E50:I50,"DYS")*100/P50)</f>
        <v>0</v>
      </c>
      <c r="CC50">
        <f>IF(P50=0,0,COUNTIF('Transect 4_imgsummary'!E50:I50,"G")*100/P50)</f>
        <v>0</v>
      </c>
      <c r="CD50">
        <f>IF(P50=0,0,COUNTIF('Transect 4_imgsummary'!E50:I50,"NoIDINV")*100/P50)</f>
        <v>0</v>
      </c>
      <c r="CE50">
        <f>IF(P50=0,0,COUNTIF('Transect 4_imgsummary'!E50:I50,"OLV")*100/P50)</f>
        <v>0</v>
      </c>
      <c r="CF50">
        <f>IF(P50=0,0,COUNTIF('Transect 4_imgsummary'!E50:I50,"SC")*100/P50)</f>
        <v>0</v>
      </c>
      <c r="CG50">
        <f>IF(P50=0,0,COUNTIF('Transect 4_imgsummary'!E50:I50,"S")*100/P50)</f>
        <v>0</v>
      </c>
      <c r="CH50">
        <f>IF(P50=0,0,COUNTIF('Transect 4_imgsummary'!E50:I50,"TERPS")*100/P50)</f>
        <v>0</v>
      </c>
      <c r="CI50">
        <f>IF(P50=0,0,COUNTIF('Transect 4_imgsummary'!E50:I50,"Z")*100/P50)</f>
        <v>0</v>
      </c>
      <c r="CK50">
        <f>IF(P50=0,0,COUNTIF('Transect 4_imgsummary'!E50:I50,"ASP")*100/P50)</f>
        <v>0</v>
      </c>
      <c r="CL50">
        <f>IF(P50=0,0,COUNTIF('Transect 4_imgsummary'!E50:I50,"BG")*100/P50)</f>
        <v>0</v>
      </c>
      <c r="CM50">
        <f>IF(P50=0,0,COUNTIF('Transect 4_imgsummary'!E50:I50,"Bood")*100/P50)</f>
        <v>0</v>
      </c>
      <c r="CN50">
        <f>IF(P50=0,0,COUNTIF('Transect 4_imgsummary'!E50:I50,"BRYP")*100/P50)</f>
        <v>0</v>
      </c>
      <c r="CO50">
        <f>IF(P50=0,0,COUNTIF('Transect 4_imgsummary'!E50:I50,"CLP")*100/P50)</f>
        <v>0</v>
      </c>
      <c r="CP50">
        <f>IF(P50=0,0,COUNTIF('Transect 4_imgsummary'!E50:I50,"CHLDES")*100/P50)</f>
        <v>0</v>
      </c>
      <c r="CQ50">
        <f>IF(P50=0,0,COUNTIF('Transect 4_imgsummary'!E50:I50,"DYCTY")*100/P50)</f>
        <v>0</v>
      </c>
      <c r="CR50">
        <f>IF(P50=0,0,COUNTIF('Transect 4_imgsummary'!E50:I50,"DICT")*100/P50)</f>
        <v>0</v>
      </c>
      <c r="CS50">
        <f>IF(P50=0,0,COUNTIF('Transect 4_imgsummary'!E50:I50,"GLXU")*100/P50)</f>
        <v>0</v>
      </c>
      <c r="CT50">
        <f>IF(P50=0,0,COUNTIF('Transect 4_imgsummary'!E50:I50,"HALI")*100/P50)</f>
        <v>0</v>
      </c>
      <c r="CU50">
        <f>IF(P50=0,0,COUNTIF('Transect 4_imgsummary'!E50:I50,"LIAG")*100/P50)</f>
        <v>0</v>
      </c>
      <c r="CV50">
        <f>IF(P50=0,0,COUNTIF('Transect 4_imgsummary'!E50:I50,"LOBO")*100/P50)</f>
        <v>0</v>
      </c>
      <c r="CW50">
        <f>IF(P50=0,0,COUNTIF('Transect 4_imgsummary'!E50:I50,"MAST")*100/P50)</f>
        <v>0</v>
      </c>
      <c r="CX50">
        <f>IF(P50=0,0,COUNTIF('Transect 4_imgsummary'!E50:I50,"MICDTY")*100/P50)</f>
        <v>0</v>
      </c>
      <c r="CY50">
        <f>IF(P50=0,0,COUNTIF('Transect 4_imgsummary'!E50:I50,"NEOM")*100/P50)</f>
        <v>0</v>
      </c>
      <c r="CZ50">
        <f>IF(P50=0,0,COUNTIF('Transect 4_imgsummary'!E50:I50,"NOIDMAC")*100/P50)</f>
        <v>0</v>
      </c>
      <c r="DA50">
        <f>IF(P50=0,0,COUNTIF('Transect 4_imgsummary'!E50:I50,"PAD")*100/P50)</f>
        <v>0</v>
      </c>
      <c r="DB50">
        <f>IF(P50=0,0,COUNTIF('Transect 4_imgsummary'!E50:I50,"SARG")*100/P50)</f>
        <v>0</v>
      </c>
      <c r="DC50">
        <f>IF(P50=0,0,COUNTIF('Transect 4_imgsummary'!E50:I50,"SCHIZ")*100/P50)</f>
        <v>0</v>
      </c>
      <c r="DD50">
        <f>IF(P50=0,0,COUNTIF('Transect 4_imgsummary'!E50:I50,"TURB")*100/P50)</f>
        <v>0</v>
      </c>
      <c r="DE50">
        <f>IF(P50=0,0,COUNTIF('Transect 4_imgsummary'!E50:I50,"TYDM")*100/P50)</f>
        <v>0</v>
      </c>
      <c r="DG50">
        <f>IF(P50=0,0,COUNTIF('Transect 4_imgsummary'!E50:I50,"AMP")*100/P50)</f>
        <v>0</v>
      </c>
      <c r="DH50">
        <f>IF(P50=0,0,COUNTIF('Transect 4_imgsummary'!E50:I50,"BCA1")*100/P50)</f>
        <v>0</v>
      </c>
      <c r="DI50">
        <f>IF(P50=0,0,COUNTIF('Transect 4_imgsummary'!E50:I50,"JAN")*100/P50)</f>
        <v>0</v>
      </c>
      <c r="DK50">
        <f>IF(P50=0,0,COUNTIF('Transect 4_imgsummary'!E50:I50,"CCA1")*100/P50)</f>
        <v>0</v>
      </c>
      <c r="DM50">
        <f>IF(P50=0,0,COUNTIF('Transect 4_imgsummary'!E50:I50,"Sand")*100/P50)</f>
        <v>0</v>
      </c>
      <c r="DO50">
        <f>IF(P50=0,0,COUNTIF('Transect 4_imgsummary'!E50:I50,"FCA1")*100/P50)</f>
        <v>0</v>
      </c>
      <c r="DQ50">
        <f>IF(P50=0,0,COUNTIF('Transect 4_imgsummary'!E50:I50,"CHRYOBRN")*100/P50)</f>
        <v>0</v>
      </c>
      <c r="DS50" s="29">
        <f>IF(P50=0,0,COUNTIF('Transect 4_imgsummary'!E50:I50,"TURF")*100/P50)</f>
        <v>20</v>
      </c>
      <c r="DU50">
        <f>COUNTIF('Transect 4_imgsummary'!E50:I50,"Shadow")*100/5</f>
        <v>0</v>
      </c>
      <c r="DV50">
        <f>COUNTIF('Transect 4_imgsummary'!E50:I50,"Tape")*100/5</f>
        <v>0</v>
      </c>
      <c r="DW50">
        <f>COUNTIF('Transect 4_imgsummary'!E50:I50,"Wand")*100/5</f>
        <v>0</v>
      </c>
      <c r="DY50">
        <f>IF(P50=0,0,COUNTIF('Transect 4_imgsummary'!O50:S50,"BC")*100/P50)</f>
        <v>0</v>
      </c>
    </row>
    <row r="51" spans="1:129">
      <c r="A51">
        <v>49</v>
      </c>
      <c r="B51" t="s">
        <v>594</v>
      </c>
      <c r="F51" s="29">
        <f>IF(P51=0,0,COUNTIF('Transect 4_imgsummary'!J51:N51,"C")*100/P51)</f>
        <v>40</v>
      </c>
      <c r="G51">
        <f>IF(P51=0,0,COUNTIF('Transect 4_imgsummary'!J51:N51,"OI")*100/P51)</f>
        <v>0</v>
      </c>
      <c r="H51">
        <f>IF(P51=0,0,COUNTIF('Transect 4_imgsummary'!J51:N51,"MA")*100/P51)</f>
        <v>0</v>
      </c>
      <c r="I51">
        <f>IF(P51=0,0,COUNTIF('Transect 4_imgsummary'!J51:N51,"BCA")*100/P51)</f>
        <v>0</v>
      </c>
      <c r="J51" s="29">
        <f>IF(P51=0,0,COUNTIF('Transect 4_imgsummary'!J51:N51,"CCA")*100/P51)</f>
        <v>40</v>
      </c>
      <c r="K51">
        <f>IF(P51=0,0,COUNTIF('Transect 4_imgsummary'!J51:N51,"SD")*100/P51)</f>
        <v>0</v>
      </c>
      <c r="L51">
        <f>IF(P51=0,0,COUNTIF('Transect 4_imgsummary'!J51:N51,"FCA")*100/P51)</f>
        <v>0</v>
      </c>
      <c r="M51">
        <f>IF(P51=0,0,COUNTIF('Transect 4_imgsummary'!J51:N51,"CHRYS")*100/P51)</f>
        <v>0</v>
      </c>
      <c r="N51" s="29">
        <f>IF(P51=0,0,COUNTIF('Transect 4_imgsummary'!J51:N51,"T")*100/P51)</f>
        <v>20</v>
      </c>
      <c r="O51">
        <f>IF(P51=0,0,COUNTIF('Transect 4_imgsummary'!J51:N51,"TWS")*100/P51)</f>
        <v>0</v>
      </c>
      <c r="P51">
        <f>5-COUNTIF('Transect 4_imgsummary'!J51:N51,"TWS")</f>
        <v>5</v>
      </c>
      <c r="S51">
        <f>IF(P51=0,0,COUNTIF('Transect 4_imgsummary'!E51:I51,"ACAN")*100/P51)</f>
        <v>0</v>
      </c>
      <c r="T51">
        <f>IF(P51=0,0,COUNTIF('Transect 4_imgsummary'!E51:I51,"ACROP")*100/P51)</f>
        <v>0</v>
      </c>
      <c r="U51">
        <f>IF(P51=0,0,COUNTIF('Transect 4_imgsummary'!E51:I51,"ACROPARB")*100/P51)</f>
        <v>0</v>
      </c>
      <c r="V51">
        <f>IF(P51=0,0,COUNTIF('Transect 4_imgsummary'!E51:I51,"ACROST")*100/P51)</f>
        <v>0</v>
      </c>
      <c r="W51">
        <f>IF(P51=0,0,COUNTIF('Transect 4_imgsummary'!E51:I51,"ACROTBL")*100/P51)</f>
        <v>0</v>
      </c>
      <c r="X51">
        <f>IF(P51=0,0,COUNTIF('Transect 4_imgsummary'!E51:I51,"ASTRP")*100/P51)</f>
        <v>0</v>
      </c>
      <c r="Y51">
        <f>IF(P51=0,0,COUNTIF('Transect 4_imgsummary'!E51:I51,"CAUL")*100/P51)</f>
        <v>0</v>
      </c>
      <c r="Z51">
        <f>IF(P51=0,0,COUNTIF('Transect 4_imgsummary'!E51:I51,"COSC")*100/P51)</f>
        <v>0</v>
      </c>
      <c r="AA51">
        <f>IF(P51=0,0,COUNTIF('Transect 4_imgsummary'!E51:I51,"CTEN")*100/P51)</f>
        <v>0</v>
      </c>
      <c r="AB51">
        <f>IF(P51=0,0,COUNTIF('Transect 4_imgsummary'!E51:I51,"CYPH")*100/P51)</f>
        <v>0</v>
      </c>
      <c r="AC51">
        <f>IF(P51=0,0,COUNTIF('Transect 4_imgsummary'!E51:I51,"DIPLO")*100/P51)</f>
        <v>0</v>
      </c>
      <c r="AD51" s="29">
        <f>IF(P51=0,0,COUNTIF('Transect 4_imgsummary'!E51:I51,"ECHPO")*100/P51)</f>
        <v>20</v>
      </c>
      <c r="AE51">
        <f>IF(P51=0,0,COUNTIF('Transect 4_imgsummary'!E51:I51,"ECHPHY")*100/P51)</f>
        <v>0</v>
      </c>
      <c r="AF51">
        <f>IF(P51=0,0,COUNTIF('Transect 4_imgsummary'!E51:I51,"EUPH")*100/P51)</f>
        <v>0</v>
      </c>
      <c r="AG51">
        <f>IF(P51=0,0,COUNTIF('Transect 4_imgsummary'!E51:I51,"FAV")*100/P51)</f>
        <v>0</v>
      </c>
      <c r="AH51">
        <f>IF(P51=0,0,COUNTIF('Transect 4_imgsummary'!E51:I51,"FAVT")*100/P51)</f>
        <v>0</v>
      </c>
      <c r="AI51">
        <f>IF(P51=0,0,COUNTIF('Transect 4_imgsummary'!E51:I51,"FUNG")*100/P51)</f>
        <v>0</v>
      </c>
      <c r="AJ51">
        <f>IF(P51=0,0,COUNTIF('Transect 4_imgsummary'!E51:I51,"GAL")*100/P51)</f>
        <v>0</v>
      </c>
      <c r="AK51">
        <f>IF(P51=0,0,COUNTIF('Transect 4_imgsummary'!E51:I51,"GARD")*100/P51)</f>
        <v>0</v>
      </c>
      <c r="AL51">
        <f>IF(P51=0,0,COUNTIF('Transect 4_imgsummary'!E51:I51,"GON")*100/P51)</f>
        <v>0</v>
      </c>
      <c r="AM51">
        <f>IF(P51=0,0,COUNTIF('Transect 4_imgsummary'!E51:I51,"GONIO")*100/P51)</f>
        <v>0</v>
      </c>
      <c r="AN51">
        <f>IF(P51=0,0,COUNTIF('Transect 4_imgsummary'!E51:I51,"HELIO")*100/P51)</f>
        <v>0</v>
      </c>
      <c r="AO51">
        <f>IF(P51=0,0,COUNTIF('Transect 4_imgsummary'!E51:I51,"HERP")*100/P51)</f>
        <v>0</v>
      </c>
      <c r="AP51">
        <f>IF(P51=0,0,COUNTIF('Transect 4_imgsummary'!E51:I51,"HYD")*100/P51)</f>
        <v>0</v>
      </c>
      <c r="AQ51">
        <f>IF(P51=0,0,COUNTIF('Transect 4_imgsummary'!E51:I51,"ISOP")*100/P51)</f>
        <v>0</v>
      </c>
      <c r="AR51">
        <f>IF(P51=0,0,COUNTIF('Transect 4_imgsummary'!E51:I51,"LEPT")*100/P51)</f>
        <v>0</v>
      </c>
      <c r="AS51">
        <f>IF(P51=0,0,COUNTIF('Transect 4_imgsummary'!E51:I51,"LEPTOR")*100/P51)</f>
        <v>0</v>
      </c>
      <c r="AT51">
        <f>IF(P51=0,0,COUNTIF('Transect 4_imgsummary'!E51:I51,"LEPTOS")*100/P51)</f>
        <v>0</v>
      </c>
      <c r="AU51">
        <f>IF(P51=0,0,COUNTIF('Transect 4_imgsummary'!E51:I51,"LOBOPH")*100/P51)</f>
        <v>0</v>
      </c>
      <c r="AV51">
        <f>IF(P51=0,0,COUNTIF('Transect 4_imgsummary'!E51:I51,"MERU")*100/P51)</f>
        <v>0</v>
      </c>
      <c r="AW51">
        <f>IF(P51=0,0,COUNTIF('Transect 4_imgsummary'!E51:I51,"MILL")*100/P51)</f>
        <v>0</v>
      </c>
      <c r="AX51">
        <f>IF(P51=0,0,COUNTIF('Transect 4_imgsummary'!E51:I51,"MONT")*100/P51)</f>
        <v>0</v>
      </c>
      <c r="AY51">
        <f>IF(P51=0,0,COUNTIF('Transect 4_imgsummary'!E51:I51,"MONTI")*100/P51)</f>
        <v>0</v>
      </c>
      <c r="AZ51">
        <f>IF(P51=0,0,COUNTIF('Transect 4_imgsummary'!E51:I51,"MYCED")*100/P51)</f>
        <v>0</v>
      </c>
      <c r="BA51">
        <f>IF(P51=0,0,COUNTIF('Transect 4_imgsummary'!E51:I51,"OULO")*100/P51)</f>
        <v>0</v>
      </c>
      <c r="BB51">
        <f>IF(P51=0,0,COUNTIF('Transect 4_imgsummary'!E51:I51,"OXYP")*100/P51)</f>
        <v>0</v>
      </c>
      <c r="BC51">
        <f>IF(P51=0,0,COUNTIF('Transect 4_imgsummary'!E51:I51,"PLSIA")*100/P51)</f>
        <v>0</v>
      </c>
      <c r="BD51">
        <f>IF(P51=0,0,COUNTIF('Transect 4_imgsummary'!E51:I51,"PACHY")*100/P51)</f>
        <v>0</v>
      </c>
      <c r="BE51">
        <f>IF(P51=0,0,COUNTIF('Transect 4_imgsummary'!E51:I51,"PAV")*100/P51)</f>
        <v>0</v>
      </c>
      <c r="BF51">
        <f>IF(P51=0,0,COUNTIF('Transect 4_imgsummary'!E51:I51,"PECT")*100/P51)</f>
        <v>0</v>
      </c>
      <c r="BG51">
        <f>IF(P51=0,0,COUNTIF('Transect 4_imgsummary'!E51:I51,"PHYSO")*100/P51)</f>
        <v>0</v>
      </c>
      <c r="BH51">
        <f>IF(P51=0,0,COUNTIF('Transect 4_imgsummary'!E51:I51,"PLAT")*100/P51)</f>
        <v>0</v>
      </c>
      <c r="BI51">
        <f>IF(P51=0,0,COUNTIF('Transect 4_imgsummary'!E51:I51,"PLERO")*100/P51)</f>
        <v>0</v>
      </c>
      <c r="BJ51">
        <f>IF(P51=0,0,COUNTIF('Transect 4_imgsummary'!E51:I51,"POC")*100/P51)</f>
        <v>0</v>
      </c>
      <c r="BK51">
        <f>IF(P51=0,0,COUNTIF('Transect 4_imgsummary'!E51:I51,"POR")*100/P51)</f>
        <v>0</v>
      </c>
      <c r="BL51">
        <f>IF(P51=0,0,COUNTIF('Transect 4_imgsummary'!E51:I51,"PORCYL")*100/P51)</f>
        <v>0</v>
      </c>
      <c r="BM51">
        <f>IF(P51=0,0,COUNTIF('Transect 4_imgsummary'!E51:I51,"PORMAS")*100/P51)</f>
        <v>0</v>
      </c>
      <c r="BN51">
        <f>IF(P51=0,0,COUNTIF('Transect 4_imgsummary'!E51:I51,"PORRUS")*100/P51)</f>
        <v>0</v>
      </c>
      <c r="BO51">
        <f>IF(P51=0,0,COUNTIF('Transect 4_imgsummary'!E51:I51,"PSAM")*100/P51)</f>
        <v>0</v>
      </c>
      <c r="BP51">
        <f>IF(P51=0,0,COUNTIF('Transect 4_imgsummary'!E51:I51,"SANDO")*100/P51)</f>
        <v>0</v>
      </c>
      <c r="BQ51">
        <f>IF(P51=0,0,COUNTIF('Transect 4_imgsummary'!E51:I51,"SCAP")*100/P51)</f>
        <v>0</v>
      </c>
      <c r="BR51">
        <f>IF(P51=0,0,COUNTIF('Transect 4_imgsummary'!E51:I51,"SERIA")*100/P51)</f>
        <v>0</v>
      </c>
      <c r="BS51">
        <f>IF(P51=0,0,COUNTIF('Transect 4_imgsummary'!E51:I51,"STYLC")*100/P51)</f>
        <v>0</v>
      </c>
      <c r="BT51" s="29">
        <f>IF(P51=0,0,COUNTIF('Transect 4_imgsummary'!E51:I51,"STYLO")*100/P51)</f>
        <v>20</v>
      </c>
      <c r="BU51">
        <f>IF(P51=0,0,COUNTIF('Transect 4_imgsummary'!E51:I51,"SYMP")*100/P51)</f>
        <v>0</v>
      </c>
      <c r="BV51">
        <f>IF(P51=0,0,COUNTIF('Transect 4_imgsummary'!E51:I51,"TURBIN")*100/P51)</f>
        <v>0</v>
      </c>
      <c r="BX51">
        <f>IF(P51=0,0,COUNTIF('Transect 4_imgsummary'!E51:I51,"ANEM")*100/P51)</f>
        <v>0</v>
      </c>
      <c r="BY51">
        <f>IF(P51=0,0,COUNTIF('Transect 4_imgsummary'!E51:I51,"ASC")*100/P51)</f>
        <v>0</v>
      </c>
      <c r="BZ51">
        <f>IF(P51=0,0,COUNTIF('Transect 4_imgsummary'!E51:I51,"CUPS")*100/P51)</f>
        <v>0</v>
      </c>
      <c r="CA51">
        <f>IF(P51=0,0,COUNTIF('Transect 4_imgsummary'!E51:I51,"DISCO")*100/P51)</f>
        <v>0</v>
      </c>
      <c r="CB51">
        <f>IF(P51=0,0,COUNTIF('Transect 4_imgsummary'!E51:I51,"DYS")*100/P51)</f>
        <v>0</v>
      </c>
      <c r="CC51">
        <f>IF(P51=0,0,COUNTIF('Transect 4_imgsummary'!E51:I51,"G")*100/P51)</f>
        <v>0</v>
      </c>
      <c r="CD51">
        <f>IF(P51=0,0,COUNTIF('Transect 4_imgsummary'!E51:I51,"NoIDINV")*100/P51)</f>
        <v>0</v>
      </c>
      <c r="CE51">
        <f>IF(P51=0,0,COUNTIF('Transect 4_imgsummary'!E51:I51,"OLV")*100/P51)</f>
        <v>0</v>
      </c>
      <c r="CF51">
        <f>IF(P51=0,0,COUNTIF('Transect 4_imgsummary'!E51:I51,"SC")*100/P51)</f>
        <v>0</v>
      </c>
      <c r="CG51">
        <f>IF(P51=0,0,COUNTIF('Transect 4_imgsummary'!E51:I51,"S")*100/P51)</f>
        <v>0</v>
      </c>
      <c r="CH51">
        <f>IF(P51=0,0,COUNTIF('Transect 4_imgsummary'!E51:I51,"TERPS")*100/P51)</f>
        <v>0</v>
      </c>
      <c r="CI51">
        <f>IF(P51=0,0,COUNTIF('Transect 4_imgsummary'!E51:I51,"Z")*100/P51)</f>
        <v>0</v>
      </c>
      <c r="CK51">
        <f>IF(P51=0,0,COUNTIF('Transect 4_imgsummary'!E51:I51,"ASP")*100/P51)</f>
        <v>0</v>
      </c>
      <c r="CL51">
        <f>IF(P51=0,0,COUNTIF('Transect 4_imgsummary'!E51:I51,"BG")*100/P51)</f>
        <v>0</v>
      </c>
      <c r="CM51">
        <f>IF(P51=0,0,COUNTIF('Transect 4_imgsummary'!E51:I51,"Bood")*100/P51)</f>
        <v>0</v>
      </c>
      <c r="CN51">
        <f>IF(P51=0,0,COUNTIF('Transect 4_imgsummary'!E51:I51,"BRYP")*100/P51)</f>
        <v>0</v>
      </c>
      <c r="CO51">
        <f>IF(P51=0,0,COUNTIF('Transect 4_imgsummary'!E51:I51,"CLP")*100/P51)</f>
        <v>0</v>
      </c>
      <c r="CP51">
        <f>IF(P51=0,0,COUNTIF('Transect 4_imgsummary'!E51:I51,"CHLDES")*100/P51)</f>
        <v>0</v>
      </c>
      <c r="CQ51">
        <f>IF(P51=0,0,COUNTIF('Transect 4_imgsummary'!E51:I51,"DYCTY")*100/P51)</f>
        <v>0</v>
      </c>
      <c r="CR51">
        <f>IF(P51=0,0,COUNTIF('Transect 4_imgsummary'!E51:I51,"DICT")*100/P51)</f>
        <v>0</v>
      </c>
      <c r="CS51">
        <f>IF(P51=0,0,COUNTIF('Transect 4_imgsummary'!E51:I51,"GLXU")*100/P51)</f>
        <v>0</v>
      </c>
      <c r="CT51">
        <f>IF(P51=0,0,COUNTIF('Transect 4_imgsummary'!E51:I51,"HALI")*100/P51)</f>
        <v>0</v>
      </c>
      <c r="CU51">
        <f>IF(P51=0,0,COUNTIF('Transect 4_imgsummary'!E51:I51,"LIAG")*100/P51)</f>
        <v>0</v>
      </c>
      <c r="CV51">
        <f>IF(P51=0,0,COUNTIF('Transect 4_imgsummary'!E51:I51,"LOBO")*100/P51)</f>
        <v>0</v>
      </c>
      <c r="CW51">
        <f>IF(P51=0,0,COUNTIF('Transect 4_imgsummary'!E51:I51,"MAST")*100/P51)</f>
        <v>0</v>
      </c>
      <c r="CX51">
        <f>IF(P51=0,0,COUNTIF('Transect 4_imgsummary'!E51:I51,"MICDTY")*100/P51)</f>
        <v>0</v>
      </c>
      <c r="CY51">
        <f>IF(P51=0,0,COUNTIF('Transect 4_imgsummary'!E51:I51,"NEOM")*100/P51)</f>
        <v>0</v>
      </c>
      <c r="CZ51">
        <f>IF(P51=0,0,COUNTIF('Transect 4_imgsummary'!E51:I51,"NOIDMAC")*100/P51)</f>
        <v>0</v>
      </c>
      <c r="DA51">
        <f>IF(P51=0,0,COUNTIF('Transect 4_imgsummary'!E51:I51,"PAD")*100/P51)</f>
        <v>0</v>
      </c>
      <c r="DB51">
        <f>IF(P51=0,0,COUNTIF('Transect 4_imgsummary'!E51:I51,"SARG")*100/P51)</f>
        <v>0</v>
      </c>
      <c r="DC51">
        <f>IF(P51=0,0,COUNTIF('Transect 4_imgsummary'!E51:I51,"SCHIZ")*100/P51)</f>
        <v>0</v>
      </c>
      <c r="DD51">
        <f>IF(P51=0,0,COUNTIF('Transect 4_imgsummary'!E51:I51,"TURB")*100/P51)</f>
        <v>0</v>
      </c>
      <c r="DE51">
        <f>IF(P51=0,0,COUNTIF('Transect 4_imgsummary'!E51:I51,"TYDM")*100/P51)</f>
        <v>0</v>
      </c>
      <c r="DG51">
        <f>IF(P51=0,0,COUNTIF('Transect 4_imgsummary'!E51:I51,"AMP")*100/P51)</f>
        <v>0</v>
      </c>
      <c r="DH51">
        <f>IF(P51=0,0,COUNTIF('Transect 4_imgsummary'!E51:I51,"BCA1")*100/P51)</f>
        <v>0</v>
      </c>
      <c r="DI51">
        <f>IF(P51=0,0,COUNTIF('Transect 4_imgsummary'!E51:I51,"JAN")*100/P51)</f>
        <v>0</v>
      </c>
      <c r="DK51" s="29">
        <f>IF(P51=0,0,COUNTIF('Transect 4_imgsummary'!E51:I51,"CCA1")*100/P51)</f>
        <v>40</v>
      </c>
      <c r="DM51">
        <f>IF(P51=0,0,COUNTIF('Transect 4_imgsummary'!E51:I51,"Sand")*100/P51)</f>
        <v>0</v>
      </c>
      <c r="DO51">
        <f>IF(P51=0,0,COUNTIF('Transect 4_imgsummary'!E51:I51,"FCA1")*100/P51)</f>
        <v>0</v>
      </c>
      <c r="DQ51">
        <f>IF(P51=0,0,COUNTIF('Transect 4_imgsummary'!E51:I51,"CHRYOBRN")*100/P51)</f>
        <v>0</v>
      </c>
      <c r="DS51" s="29">
        <f>IF(P51=0,0,COUNTIF('Transect 4_imgsummary'!E51:I51,"TURF")*100/P51)</f>
        <v>20</v>
      </c>
      <c r="DU51">
        <f>COUNTIF('Transect 4_imgsummary'!E51:I51,"Shadow")*100/5</f>
        <v>0</v>
      </c>
      <c r="DV51">
        <f>COUNTIF('Transect 4_imgsummary'!E51:I51,"Tape")*100/5</f>
        <v>0</v>
      </c>
      <c r="DW51">
        <f>COUNTIF('Transect 4_imgsummary'!E51:I51,"Wand")*100/5</f>
        <v>0</v>
      </c>
      <c r="DY51">
        <f>IF(P51=0,0,COUNTIF('Transect 4_imgsummary'!O51:S51,"BC")*100/P51)</f>
        <v>0</v>
      </c>
    </row>
    <row r="52" spans="1:129">
      <c r="A52">
        <v>50</v>
      </c>
      <c r="B52" t="s">
        <v>595</v>
      </c>
      <c r="F52" s="29">
        <f>IF(P52=0,0,COUNTIF('Transect 4_imgsummary'!J52:N52,"C")*100/P52)</f>
        <v>60</v>
      </c>
      <c r="G52">
        <f>IF(P52=0,0,COUNTIF('Transect 4_imgsummary'!J52:N52,"OI")*100/P52)</f>
        <v>0</v>
      </c>
      <c r="H52">
        <f>IF(P52=0,0,COUNTIF('Transect 4_imgsummary'!J52:N52,"MA")*100/P52)</f>
        <v>0</v>
      </c>
      <c r="I52">
        <f>IF(P52=0,0,COUNTIF('Transect 4_imgsummary'!J52:N52,"BCA")*100/P52)</f>
        <v>0</v>
      </c>
      <c r="J52" s="29">
        <f>IF(P52=0,0,COUNTIF('Transect 4_imgsummary'!J52:N52,"CCA")*100/P52)</f>
        <v>20</v>
      </c>
      <c r="K52">
        <f>IF(P52=0,0,COUNTIF('Transect 4_imgsummary'!J52:N52,"SD")*100/P52)</f>
        <v>0</v>
      </c>
      <c r="L52">
        <f>IF(P52=0,0,COUNTIF('Transect 4_imgsummary'!J52:N52,"FCA")*100/P52)</f>
        <v>0</v>
      </c>
      <c r="M52">
        <f>IF(P52=0,0,COUNTIF('Transect 4_imgsummary'!J52:N52,"CHRYS")*100/P52)</f>
        <v>0</v>
      </c>
      <c r="N52" s="29">
        <f>IF(P52=0,0,COUNTIF('Transect 4_imgsummary'!J52:N52,"T")*100/P52)</f>
        <v>20</v>
      </c>
      <c r="O52">
        <f>IF(P52=0,0,COUNTIF('Transect 4_imgsummary'!J52:N52,"TWS")*100/P52)</f>
        <v>0</v>
      </c>
      <c r="P52">
        <f>5-COUNTIF('Transect 4_imgsummary'!J52:N52,"TWS")</f>
        <v>5</v>
      </c>
      <c r="S52">
        <f>IF(P52=0,0,COUNTIF('Transect 4_imgsummary'!E52:I52,"ACAN")*100/P52)</f>
        <v>0</v>
      </c>
      <c r="T52" s="29">
        <f>IF(P52=0,0,COUNTIF('Transect 4_imgsummary'!E52:I52,"ACROP")*100/P52)</f>
        <v>40</v>
      </c>
      <c r="U52">
        <f>IF(P52=0,0,COUNTIF('Transect 4_imgsummary'!E52:I52,"ACROPARB")*100/P52)</f>
        <v>0</v>
      </c>
      <c r="V52">
        <f>IF(P52=0,0,COUNTIF('Transect 4_imgsummary'!E52:I52,"ACROST")*100/P52)</f>
        <v>0</v>
      </c>
      <c r="W52">
        <f>IF(P52=0,0,COUNTIF('Transect 4_imgsummary'!E52:I52,"ACROTBL")*100/P52)</f>
        <v>0</v>
      </c>
      <c r="X52">
        <f>IF(P52=0,0,COUNTIF('Transect 4_imgsummary'!E52:I52,"ASTRP")*100/P52)</f>
        <v>0</v>
      </c>
      <c r="Y52">
        <f>IF(P52=0,0,COUNTIF('Transect 4_imgsummary'!E52:I52,"CAUL")*100/P52)</f>
        <v>0</v>
      </c>
      <c r="Z52">
        <f>IF(P52=0,0,COUNTIF('Transect 4_imgsummary'!E52:I52,"COSC")*100/P52)</f>
        <v>0</v>
      </c>
      <c r="AA52">
        <f>IF(P52=0,0,COUNTIF('Transect 4_imgsummary'!E52:I52,"CTEN")*100/P52)</f>
        <v>0</v>
      </c>
      <c r="AB52">
        <f>IF(P52=0,0,COUNTIF('Transect 4_imgsummary'!E52:I52,"CYPH")*100/P52)</f>
        <v>0</v>
      </c>
      <c r="AC52">
        <f>IF(P52=0,0,COUNTIF('Transect 4_imgsummary'!E52:I52,"DIPLO")*100/P52)</f>
        <v>0</v>
      </c>
      <c r="AD52" s="29">
        <f>IF(P52=0,0,COUNTIF('Transect 4_imgsummary'!E52:I52,"ECHPO")*100/P52)</f>
        <v>20</v>
      </c>
      <c r="AE52">
        <f>IF(P52=0,0,COUNTIF('Transect 4_imgsummary'!E52:I52,"ECHPHY")*100/P52)</f>
        <v>0</v>
      </c>
      <c r="AF52">
        <f>IF(P52=0,0,COUNTIF('Transect 4_imgsummary'!E52:I52,"EUPH")*100/P52)</f>
        <v>0</v>
      </c>
      <c r="AG52">
        <f>IF(P52=0,0,COUNTIF('Transect 4_imgsummary'!E52:I52,"FAV")*100/P52)</f>
        <v>0</v>
      </c>
      <c r="AH52">
        <f>IF(P52=0,0,COUNTIF('Transect 4_imgsummary'!E52:I52,"FAVT")*100/P52)</f>
        <v>0</v>
      </c>
      <c r="AI52">
        <f>IF(P52=0,0,COUNTIF('Transect 4_imgsummary'!E52:I52,"FUNG")*100/P52)</f>
        <v>0</v>
      </c>
      <c r="AJ52">
        <f>IF(P52=0,0,COUNTIF('Transect 4_imgsummary'!E52:I52,"GAL")*100/P52)</f>
        <v>0</v>
      </c>
      <c r="AK52">
        <f>IF(P52=0,0,COUNTIF('Transect 4_imgsummary'!E52:I52,"GARD")*100/P52)</f>
        <v>0</v>
      </c>
      <c r="AL52">
        <f>IF(P52=0,0,COUNTIF('Transect 4_imgsummary'!E52:I52,"GON")*100/P52)</f>
        <v>0</v>
      </c>
      <c r="AM52">
        <f>IF(P52=0,0,COUNTIF('Transect 4_imgsummary'!E52:I52,"GONIO")*100/P52)</f>
        <v>0</v>
      </c>
      <c r="AN52">
        <f>IF(P52=0,0,COUNTIF('Transect 4_imgsummary'!E52:I52,"HELIO")*100/P52)</f>
        <v>0</v>
      </c>
      <c r="AO52">
        <f>IF(P52=0,0,COUNTIF('Transect 4_imgsummary'!E52:I52,"HERP")*100/P52)</f>
        <v>0</v>
      </c>
      <c r="AP52">
        <f>IF(P52=0,0,COUNTIF('Transect 4_imgsummary'!E52:I52,"HYD")*100/P52)</f>
        <v>0</v>
      </c>
      <c r="AQ52">
        <f>IF(P52=0,0,COUNTIF('Transect 4_imgsummary'!E52:I52,"ISOP")*100/P52)</f>
        <v>0</v>
      </c>
      <c r="AR52">
        <f>IF(P52=0,0,COUNTIF('Transect 4_imgsummary'!E52:I52,"LEPT")*100/P52)</f>
        <v>0</v>
      </c>
      <c r="AS52">
        <f>IF(P52=0,0,COUNTIF('Transect 4_imgsummary'!E52:I52,"LEPTOR")*100/P52)</f>
        <v>0</v>
      </c>
      <c r="AT52">
        <f>IF(P52=0,0,COUNTIF('Transect 4_imgsummary'!E52:I52,"LEPTOS")*100/P52)</f>
        <v>0</v>
      </c>
      <c r="AU52">
        <f>IF(P52=0,0,COUNTIF('Transect 4_imgsummary'!E52:I52,"LOBOPH")*100/P52)</f>
        <v>0</v>
      </c>
      <c r="AV52">
        <f>IF(P52=0,0,COUNTIF('Transect 4_imgsummary'!E52:I52,"MERU")*100/P52)</f>
        <v>0</v>
      </c>
      <c r="AW52">
        <f>IF(P52=0,0,COUNTIF('Transect 4_imgsummary'!E52:I52,"MILL")*100/P52)</f>
        <v>0</v>
      </c>
      <c r="AX52">
        <f>IF(P52=0,0,COUNTIF('Transect 4_imgsummary'!E52:I52,"MONT")*100/P52)</f>
        <v>0</v>
      </c>
      <c r="AY52">
        <f>IF(P52=0,0,COUNTIF('Transect 4_imgsummary'!E52:I52,"MONTI")*100/P52)</f>
        <v>0</v>
      </c>
      <c r="AZ52">
        <f>IF(P52=0,0,COUNTIF('Transect 4_imgsummary'!E52:I52,"MYCED")*100/P52)</f>
        <v>0</v>
      </c>
      <c r="BA52">
        <f>IF(P52=0,0,COUNTIF('Transect 4_imgsummary'!E52:I52,"OULO")*100/P52)</f>
        <v>0</v>
      </c>
      <c r="BB52">
        <f>IF(P52=0,0,COUNTIF('Transect 4_imgsummary'!E52:I52,"OXYP")*100/P52)</f>
        <v>0</v>
      </c>
      <c r="BC52">
        <f>IF(P52=0,0,COUNTIF('Transect 4_imgsummary'!E52:I52,"PLSIA")*100/P52)</f>
        <v>0</v>
      </c>
      <c r="BD52">
        <f>IF(P52=0,0,COUNTIF('Transect 4_imgsummary'!E52:I52,"PACHY")*100/P52)</f>
        <v>0</v>
      </c>
      <c r="BE52">
        <f>IF(P52=0,0,COUNTIF('Transect 4_imgsummary'!E52:I52,"PAV")*100/P52)</f>
        <v>0</v>
      </c>
      <c r="BF52">
        <f>IF(P52=0,0,COUNTIF('Transect 4_imgsummary'!E52:I52,"PECT")*100/P52)</f>
        <v>0</v>
      </c>
      <c r="BG52">
        <f>IF(P52=0,0,COUNTIF('Transect 4_imgsummary'!E52:I52,"PHYSO")*100/P52)</f>
        <v>0</v>
      </c>
      <c r="BH52">
        <f>IF(P52=0,0,COUNTIF('Transect 4_imgsummary'!E52:I52,"PLAT")*100/P52)</f>
        <v>0</v>
      </c>
      <c r="BI52">
        <f>IF(P52=0,0,COUNTIF('Transect 4_imgsummary'!E52:I52,"PLERO")*100/P52)</f>
        <v>0</v>
      </c>
      <c r="BJ52">
        <f>IF(P52=0,0,COUNTIF('Transect 4_imgsummary'!E52:I52,"POC")*100/P52)</f>
        <v>0</v>
      </c>
      <c r="BK52">
        <f>IF(P52=0,0,COUNTIF('Transect 4_imgsummary'!E52:I52,"POR")*100/P52)</f>
        <v>0</v>
      </c>
      <c r="BL52">
        <f>IF(P52=0,0,COUNTIF('Transect 4_imgsummary'!E52:I52,"PORCYL")*100/P52)</f>
        <v>0</v>
      </c>
      <c r="BM52">
        <f>IF(P52=0,0,COUNTIF('Transect 4_imgsummary'!E52:I52,"PORMAS")*100/P52)</f>
        <v>0</v>
      </c>
      <c r="BN52">
        <f>IF(P52=0,0,COUNTIF('Transect 4_imgsummary'!E52:I52,"PORRUS")*100/P52)</f>
        <v>0</v>
      </c>
      <c r="BO52">
        <f>IF(P52=0,0,COUNTIF('Transect 4_imgsummary'!E52:I52,"PSAM")*100/P52)</f>
        <v>0</v>
      </c>
      <c r="BP52">
        <f>IF(P52=0,0,COUNTIF('Transect 4_imgsummary'!E52:I52,"SANDO")*100/P52)</f>
        <v>0</v>
      </c>
      <c r="BQ52">
        <f>IF(P52=0,0,COUNTIF('Transect 4_imgsummary'!E52:I52,"SCAP")*100/P52)</f>
        <v>0</v>
      </c>
      <c r="BR52">
        <f>IF(P52=0,0,COUNTIF('Transect 4_imgsummary'!E52:I52,"SERIA")*100/P52)</f>
        <v>0</v>
      </c>
      <c r="BS52">
        <f>IF(P52=0,0,COUNTIF('Transect 4_imgsummary'!E52:I52,"STYLC")*100/P52)</f>
        <v>0</v>
      </c>
      <c r="BT52">
        <f>IF(P52=0,0,COUNTIF('Transect 4_imgsummary'!E52:I52,"STYLO")*100/P52)</f>
        <v>0</v>
      </c>
      <c r="BU52">
        <f>IF(P52=0,0,COUNTIF('Transect 4_imgsummary'!E52:I52,"SYMP")*100/P52)</f>
        <v>0</v>
      </c>
      <c r="BV52">
        <f>IF(P52=0,0,COUNTIF('Transect 4_imgsummary'!E52:I52,"TURBIN")*100/P52)</f>
        <v>0</v>
      </c>
      <c r="BX52">
        <f>IF(P52=0,0,COUNTIF('Transect 4_imgsummary'!E52:I52,"ANEM")*100/P52)</f>
        <v>0</v>
      </c>
      <c r="BY52">
        <f>IF(P52=0,0,COUNTIF('Transect 4_imgsummary'!E52:I52,"ASC")*100/P52)</f>
        <v>0</v>
      </c>
      <c r="BZ52">
        <f>IF(P52=0,0,COUNTIF('Transect 4_imgsummary'!E52:I52,"CUPS")*100/P52)</f>
        <v>0</v>
      </c>
      <c r="CA52">
        <f>IF(P52=0,0,COUNTIF('Transect 4_imgsummary'!E52:I52,"DISCO")*100/P52)</f>
        <v>0</v>
      </c>
      <c r="CB52">
        <f>IF(P52=0,0,COUNTIF('Transect 4_imgsummary'!E52:I52,"DYS")*100/P52)</f>
        <v>0</v>
      </c>
      <c r="CC52">
        <f>IF(P52=0,0,COUNTIF('Transect 4_imgsummary'!E52:I52,"G")*100/P52)</f>
        <v>0</v>
      </c>
      <c r="CD52">
        <f>IF(P52=0,0,COUNTIF('Transect 4_imgsummary'!E52:I52,"NoIDINV")*100/P52)</f>
        <v>0</v>
      </c>
      <c r="CE52">
        <f>IF(P52=0,0,COUNTIF('Transect 4_imgsummary'!E52:I52,"OLV")*100/P52)</f>
        <v>0</v>
      </c>
      <c r="CF52">
        <f>IF(P52=0,0,COUNTIF('Transect 4_imgsummary'!E52:I52,"SC")*100/P52)</f>
        <v>0</v>
      </c>
      <c r="CG52">
        <f>IF(P52=0,0,COUNTIF('Transect 4_imgsummary'!E52:I52,"S")*100/P52)</f>
        <v>0</v>
      </c>
      <c r="CH52">
        <f>IF(P52=0,0,COUNTIF('Transect 4_imgsummary'!E52:I52,"TERPS")*100/P52)</f>
        <v>0</v>
      </c>
      <c r="CI52">
        <f>IF(P52=0,0,COUNTIF('Transect 4_imgsummary'!E52:I52,"Z")*100/P52)</f>
        <v>0</v>
      </c>
      <c r="CK52">
        <f>IF(P52=0,0,COUNTIF('Transect 4_imgsummary'!E52:I52,"ASP")*100/P52)</f>
        <v>0</v>
      </c>
      <c r="CL52">
        <f>IF(P52=0,0,COUNTIF('Transect 4_imgsummary'!E52:I52,"BG")*100/P52)</f>
        <v>0</v>
      </c>
      <c r="CM52">
        <f>IF(P52=0,0,COUNTIF('Transect 4_imgsummary'!E52:I52,"Bood")*100/P52)</f>
        <v>0</v>
      </c>
      <c r="CN52">
        <f>IF(P52=0,0,COUNTIF('Transect 4_imgsummary'!E52:I52,"BRYP")*100/P52)</f>
        <v>0</v>
      </c>
      <c r="CO52">
        <f>IF(P52=0,0,COUNTIF('Transect 4_imgsummary'!E52:I52,"CLP")*100/P52)</f>
        <v>0</v>
      </c>
      <c r="CP52">
        <f>IF(P52=0,0,COUNTIF('Transect 4_imgsummary'!E52:I52,"CHLDES")*100/P52)</f>
        <v>0</v>
      </c>
      <c r="CQ52">
        <f>IF(P52=0,0,COUNTIF('Transect 4_imgsummary'!E52:I52,"DYCTY")*100/P52)</f>
        <v>0</v>
      </c>
      <c r="CR52">
        <f>IF(P52=0,0,COUNTIF('Transect 4_imgsummary'!E52:I52,"DICT")*100/P52)</f>
        <v>0</v>
      </c>
      <c r="CS52">
        <f>IF(P52=0,0,COUNTIF('Transect 4_imgsummary'!E52:I52,"GLXU")*100/P52)</f>
        <v>0</v>
      </c>
      <c r="CT52">
        <f>IF(P52=0,0,COUNTIF('Transect 4_imgsummary'!E52:I52,"HALI")*100/P52)</f>
        <v>0</v>
      </c>
      <c r="CU52">
        <f>IF(P52=0,0,COUNTIF('Transect 4_imgsummary'!E52:I52,"LIAG")*100/P52)</f>
        <v>0</v>
      </c>
      <c r="CV52">
        <f>IF(P52=0,0,COUNTIF('Transect 4_imgsummary'!E52:I52,"LOBO")*100/P52)</f>
        <v>0</v>
      </c>
      <c r="CW52">
        <f>IF(P52=0,0,COUNTIF('Transect 4_imgsummary'!E52:I52,"MAST")*100/P52)</f>
        <v>0</v>
      </c>
      <c r="CX52">
        <f>IF(P52=0,0,COUNTIF('Transect 4_imgsummary'!E52:I52,"MICDTY")*100/P52)</f>
        <v>0</v>
      </c>
      <c r="CY52">
        <f>IF(P52=0,0,COUNTIF('Transect 4_imgsummary'!E52:I52,"NEOM")*100/P52)</f>
        <v>0</v>
      </c>
      <c r="CZ52">
        <f>IF(P52=0,0,COUNTIF('Transect 4_imgsummary'!E52:I52,"NOIDMAC")*100/P52)</f>
        <v>0</v>
      </c>
      <c r="DA52">
        <f>IF(P52=0,0,COUNTIF('Transect 4_imgsummary'!E52:I52,"PAD")*100/P52)</f>
        <v>0</v>
      </c>
      <c r="DB52">
        <f>IF(P52=0,0,COUNTIF('Transect 4_imgsummary'!E52:I52,"SARG")*100/P52)</f>
        <v>0</v>
      </c>
      <c r="DC52">
        <f>IF(P52=0,0,COUNTIF('Transect 4_imgsummary'!E52:I52,"SCHIZ")*100/P52)</f>
        <v>0</v>
      </c>
      <c r="DD52">
        <f>IF(P52=0,0,COUNTIF('Transect 4_imgsummary'!E52:I52,"TURB")*100/P52)</f>
        <v>0</v>
      </c>
      <c r="DE52">
        <f>IF(P52=0,0,COUNTIF('Transect 4_imgsummary'!E52:I52,"TYDM")*100/P52)</f>
        <v>0</v>
      </c>
      <c r="DG52">
        <f>IF(P52=0,0,COUNTIF('Transect 4_imgsummary'!E52:I52,"AMP")*100/P52)</f>
        <v>0</v>
      </c>
      <c r="DH52">
        <f>IF(P52=0,0,COUNTIF('Transect 4_imgsummary'!E52:I52,"BCA1")*100/P52)</f>
        <v>0</v>
      </c>
      <c r="DI52">
        <f>IF(P52=0,0,COUNTIF('Transect 4_imgsummary'!E52:I52,"JAN")*100/P52)</f>
        <v>0</v>
      </c>
      <c r="DK52" s="29">
        <f>IF(P52=0,0,COUNTIF('Transect 4_imgsummary'!E52:I52,"CCA1")*100/P52)</f>
        <v>20</v>
      </c>
      <c r="DM52">
        <f>IF(P52=0,0,COUNTIF('Transect 4_imgsummary'!E52:I52,"Sand")*100/P52)</f>
        <v>0</v>
      </c>
      <c r="DO52">
        <f>IF(P52=0,0,COUNTIF('Transect 4_imgsummary'!E52:I52,"FCA1")*100/P52)</f>
        <v>0</v>
      </c>
      <c r="DQ52">
        <f>IF(P52=0,0,COUNTIF('Transect 4_imgsummary'!E52:I52,"CHRYOBRN")*100/P52)</f>
        <v>0</v>
      </c>
      <c r="DS52" s="29">
        <f>IF(P52=0,0,COUNTIF('Transect 4_imgsummary'!E52:I52,"TURF")*100/P52)</f>
        <v>20</v>
      </c>
      <c r="DU52">
        <f>COUNTIF('Transect 4_imgsummary'!E52:I52,"Shadow")*100/5</f>
        <v>0</v>
      </c>
      <c r="DV52">
        <f>COUNTIF('Transect 4_imgsummary'!E52:I52,"Tape")*100/5</f>
        <v>0</v>
      </c>
      <c r="DW52">
        <f>COUNTIF('Transect 4_imgsummary'!E52:I52,"Wand")*100/5</f>
        <v>0</v>
      </c>
      <c r="DY52">
        <f>IF(P52=0,0,COUNTIF('Transect 4_imgsummary'!O52:S52,"BC")*100/P52)</f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52"/>
  <sheetViews>
    <sheetView topLeftCell="A12" workbookViewId="0">
      <selection activeCell="B30" sqref="B30"/>
    </sheetView>
  </sheetViews>
  <sheetFormatPr baseColWidth="10" defaultColWidth="8.83203125" defaultRowHeight="14" x14ac:dyDescent="0"/>
  <cols>
    <col min="1" max="1" width="2.83203125" bestFit="1" customWidth="1"/>
    <col min="2" max="2" width="12.83203125" bestFit="1" customWidth="1"/>
    <col min="3" max="4" width="1.83203125" bestFit="1" customWidth="1"/>
    <col min="5" max="5" width="3.33203125" style="17" bestFit="1" customWidth="1"/>
    <col min="6" max="6" width="5.33203125" bestFit="1" customWidth="1"/>
    <col min="7" max="8" width="3.33203125" bestFit="1" customWidth="1"/>
    <col min="9" max="9" width="4.33203125" bestFit="1" customWidth="1"/>
    <col min="10" max="10" width="5.33203125" bestFit="1" customWidth="1"/>
    <col min="11" max="11" width="3.33203125" bestFit="1" customWidth="1"/>
    <col min="12" max="12" width="4.33203125" bestFit="1" customWidth="1"/>
    <col min="13" max="13" width="3.33203125" bestFit="1" customWidth="1"/>
    <col min="14" max="14" width="4.33203125" bestFit="1" customWidth="1"/>
    <col min="15" max="16" width="3.33203125" bestFit="1" customWidth="1"/>
    <col min="17" max="17" width="3.33203125" style="17" bestFit="1" customWidth="1"/>
    <col min="18" max="18" width="3.33203125" style="10" bestFit="1" customWidth="1"/>
    <col min="19" max="19" width="3.33203125" bestFit="1" customWidth="1"/>
    <col min="20" max="20" width="4.33203125" bestFit="1" customWidth="1"/>
    <col min="21" max="21" width="3.33203125" bestFit="1" customWidth="1"/>
    <col min="22" max="22" width="4.33203125" bestFit="1" customWidth="1"/>
    <col min="23" max="23" width="5.33203125" bestFit="1" customWidth="1"/>
    <col min="24" max="29" width="3.33203125" bestFit="1" customWidth="1"/>
    <col min="30" max="30" width="4.33203125" bestFit="1" customWidth="1"/>
    <col min="31" max="34" width="3.33203125" bestFit="1" customWidth="1"/>
    <col min="35" max="35" width="4.33203125" bestFit="1" customWidth="1"/>
    <col min="36" max="37" width="3.33203125" bestFit="1" customWidth="1"/>
    <col min="38" max="39" width="4.33203125" bestFit="1" customWidth="1"/>
    <col min="40" max="41" width="3.33203125" bestFit="1" customWidth="1"/>
    <col min="42" max="45" width="4.33203125" bestFit="1" customWidth="1"/>
    <col min="46" max="47" width="3.33203125" bestFit="1" customWidth="1"/>
    <col min="48" max="48" width="5.33203125" bestFit="1" customWidth="1"/>
    <col min="49" max="49" width="4.33203125" bestFit="1" customWidth="1"/>
    <col min="50" max="59" width="3.33203125" bestFit="1" customWidth="1"/>
    <col min="60" max="60" width="4.33203125" bestFit="1" customWidth="1"/>
    <col min="61" max="62" width="3.33203125" bestFit="1" customWidth="1"/>
    <col min="63" max="63" width="4.33203125" bestFit="1" customWidth="1"/>
    <col min="64" max="71" width="3.33203125" bestFit="1" customWidth="1"/>
    <col min="72" max="72" width="4.33203125" bestFit="1" customWidth="1"/>
    <col min="73" max="74" width="3.33203125" bestFit="1" customWidth="1"/>
    <col min="75" max="75" width="3.33203125" style="10" bestFit="1" customWidth="1"/>
    <col min="76" max="87" width="3.33203125" bestFit="1" customWidth="1"/>
    <col min="88" max="88" width="3.33203125" style="10" bestFit="1" customWidth="1"/>
    <col min="89" max="109" width="3.33203125" bestFit="1" customWidth="1"/>
    <col min="110" max="110" width="3.33203125" style="10" bestFit="1" customWidth="1"/>
    <col min="111" max="111" width="3.33203125" bestFit="1" customWidth="1"/>
    <col min="112" max="112" width="4.33203125" bestFit="1" customWidth="1"/>
    <col min="113" max="113" width="3.33203125" bestFit="1" customWidth="1"/>
    <col min="114" max="114" width="3.33203125" style="10" bestFit="1" customWidth="1"/>
    <col min="115" max="115" width="5.33203125" bestFit="1" customWidth="1"/>
    <col min="116" max="116" width="3.33203125" style="10" bestFit="1" customWidth="1"/>
    <col min="117" max="117" width="3.33203125" bestFit="1" customWidth="1"/>
    <col min="118" max="118" width="3.33203125" style="10" bestFit="1" customWidth="1"/>
    <col min="119" max="119" width="4.33203125" bestFit="1" customWidth="1"/>
    <col min="120" max="120" width="3.33203125" style="10" bestFit="1" customWidth="1"/>
    <col min="121" max="121" width="3.33203125" bestFit="1" customWidth="1"/>
    <col min="122" max="122" width="3.33203125" style="10" bestFit="1" customWidth="1"/>
    <col min="123" max="123" width="4.33203125" bestFit="1" customWidth="1"/>
    <col min="124" max="124" width="3.33203125" style="10" bestFit="1" customWidth="1"/>
    <col min="125" max="127" width="3.33203125" bestFit="1" customWidth="1"/>
    <col min="128" max="128" width="3.33203125" style="17" bestFit="1" customWidth="1"/>
    <col min="129" max="129" width="3.33203125" bestFit="1" customWidth="1"/>
  </cols>
  <sheetData>
    <row r="1" spans="1:129" ht="59">
      <c r="F1" s="15" t="s">
        <v>23</v>
      </c>
      <c r="G1" s="15" t="s">
        <v>99</v>
      </c>
      <c r="H1" s="15" t="s">
        <v>101</v>
      </c>
      <c r="I1" s="15" t="s">
        <v>42</v>
      </c>
      <c r="J1" s="15" t="s">
        <v>30</v>
      </c>
      <c r="K1" s="15" t="s">
        <v>105</v>
      </c>
      <c r="L1" s="15" t="s">
        <v>26</v>
      </c>
      <c r="M1" s="15" t="s">
        <v>108</v>
      </c>
      <c r="N1" s="15" t="s">
        <v>28</v>
      </c>
      <c r="O1" s="15" t="s">
        <v>45</v>
      </c>
      <c r="S1" s="15" t="s">
        <v>114</v>
      </c>
      <c r="T1" s="15" t="s">
        <v>89</v>
      </c>
      <c r="U1" s="15" t="s">
        <v>117</v>
      </c>
      <c r="V1" s="15" t="s">
        <v>119</v>
      </c>
      <c r="W1" s="15" t="s">
        <v>22</v>
      </c>
      <c r="X1" s="15" t="s">
        <v>122</v>
      </c>
      <c r="Y1" s="15" t="s">
        <v>124</v>
      </c>
      <c r="Z1" s="15" t="s">
        <v>126</v>
      </c>
      <c r="AA1" s="15" t="s">
        <v>128</v>
      </c>
      <c r="AB1" s="15" t="s">
        <v>66</v>
      </c>
      <c r="AC1" s="15" t="s">
        <v>131</v>
      </c>
      <c r="AD1" s="15" t="s">
        <v>35</v>
      </c>
      <c r="AE1" s="15" t="s">
        <v>134</v>
      </c>
      <c r="AF1" s="15" t="s">
        <v>136</v>
      </c>
      <c r="AG1" s="15" t="s">
        <v>59</v>
      </c>
      <c r="AH1" s="15" t="s">
        <v>139</v>
      </c>
      <c r="AI1" s="15" t="s">
        <v>141</v>
      </c>
      <c r="AJ1" s="15" t="s">
        <v>37</v>
      </c>
      <c r="AK1" s="15" t="s">
        <v>144</v>
      </c>
      <c r="AL1" s="15" t="s">
        <v>64</v>
      </c>
      <c r="AM1" s="15" t="s">
        <v>147</v>
      </c>
      <c r="AN1" s="15" t="s">
        <v>149</v>
      </c>
      <c r="AO1" s="15" t="s">
        <v>151</v>
      </c>
      <c r="AP1" s="15" t="s">
        <v>153</v>
      </c>
      <c r="AQ1" s="15" t="s">
        <v>155</v>
      </c>
      <c r="AR1" s="15" t="s">
        <v>157</v>
      </c>
      <c r="AS1" s="15" t="s">
        <v>31</v>
      </c>
      <c r="AT1" s="15" t="s">
        <v>160</v>
      </c>
      <c r="AU1" s="15" t="s">
        <v>55</v>
      </c>
      <c r="AV1" s="15" t="s">
        <v>38</v>
      </c>
      <c r="AW1" s="15" t="s">
        <v>164</v>
      </c>
      <c r="AX1" s="15" t="s">
        <v>166</v>
      </c>
      <c r="AY1" s="15" t="s">
        <v>168</v>
      </c>
      <c r="AZ1" s="15" t="s">
        <v>72</v>
      </c>
      <c r="BA1" s="15" t="s">
        <v>171</v>
      </c>
      <c r="BB1" s="15" t="s">
        <v>173</v>
      </c>
      <c r="BC1" s="15" t="s">
        <v>175</v>
      </c>
      <c r="BD1" s="15" t="s">
        <v>33</v>
      </c>
      <c r="BE1" s="15" t="s">
        <v>178</v>
      </c>
      <c r="BF1" s="15" t="s">
        <v>180</v>
      </c>
      <c r="BG1" s="15" t="s">
        <v>182</v>
      </c>
      <c r="BH1" s="15" t="s">
        <v>69</v>
      </c>
      <c r="BI1" s="15" t="s">
        <v>185</v>
      </c>
      <c r="BJ1" s="15" t="s">
        <v>187</v>
      </c>
      <c r="BK1" s="15" t="s">
        <v>189</v>
      </c>
      <c r="BL1" s="15" t="s">
        <v>191</v>
      </c>
      <c r="BM1" s="15" t="s">
        <v>193</v>
      </c>
      <c r="BN1" s="15" t="s">
        <v>95</v>
      </c>
      <c r="BO1" s="15" t="s">
        <v>196</v>
      </c>
      <c r="BP1" s="15" t="s">
        <v>198</v>
      </c>
      <c r="BQ1" s="15" t="s">
        <v>200</v>
      </c>
      <c r="BR1" s="15" t="s">
        <v>202</v>
      </c>
      <c r="BS1" s="15" t="s">
        <v>204</v>
      </c>
      <c r="BT1" s="15" t="s">
        <v>51</v>
      </c>
      <c r="BU1" s="15" t="s">
        <v>207</v>
      </c>
      <c r="BV1" s="15" t="s">
        <v>209</v>
      </c>
      <c r="BX1" s="15" t="s">
        <v>211</v>
      </c>
      <c r="BY1" s="15" t="s">
        <v>213</v>
      </c>
      <c r="BZ1" s="15" t="s">
        <v>215</v>
      </c>
      <c r="CA1" s="15" t="s">
        <v>217</v>
      </c>
      <c r="CB1" s="15" t="s">
        <v>219</v>
      </c>
      <c r="CC1" s="15" t="s">
        <v>221</v>
      </c>
      <c r="CD1" s="15" t="s">
        <v>223</v>
      </c>
      <c r="CE1" s="15" t="s">
        <v>225</v>
      </c>
      <c r="CF1" s="15" t="s">
        <v>227</v>
      </c>
      <c r="CG1" s="15" t="s">
        <v>229</v>
      </c>
      <c r="CH1" s="15" t="s">
        <v>231</v>
      </c>
      <c r="CI1" s="15" t="s">
        <v>233</v>
      </c>
      <c r="CK1" s="15" t="s">
        <v>235</v>
      </c>
      <c r="CL1" s="15" t="s">
        <v>237</v>
      </c>
      <c r="CM1" s="15" t="s">
        <v>239</v>
      </c>
      <c r="CN1" s="15" t="s">
        <v>241</v>
      </c>
      <c r="CO1" s="15" t="s">
        <v>243</v>
      </c>
      <c r="CP1" s="15" t="s">
        <v>245</v>
      </c>
      <c r="CQ1" s="15" t="s">
        <v>247</v>
      </c>
      <c r="CR1" s="15" t="s">
        <v>249</v>
      </c>
      <c r="CS1" s="15" t="s">
        <v>251</v>
      </c>
      <c r="CT1" s="15" t="s">
        <v>253</v>
      </c>
      <c r="CU1" s="15" t="s">
        <v>255</v>
      </c>
      <c r="CV1" s="15" t="s">
        <v>257</v>
      </c>
      <c r="CW1" s="15" t="s">
        <v>259</v>
      </c>
      <c r="CX1" s="15" t="s">
        <v>261</v>
      </c>
      <c r="CY1" s="15" t="s">
        <v>263</v>
      </c>
      <c r="CZ1" s="15" t="s">
        <v>265</v>
      </c>
      <c r="DA1" s="15" t="s">
        <v>267</v>
      </c>
      <c r="DB1" s="15" t="s">
        <v>269</v>
      </c>
      <c r="DC1" s="15" t="s">
        <v>271</v>
      </c>
      <c r="DD1" s="15" t="s">
        <v>273</v>
      </c>
      <c r="DE1" s="15" t="s">
        <v>275</v>
      </c>
      <c r="DG1" s="15" t="s">
        <v>277</v>
      </c>
      <c r="DH1" s="15" t="s">
        <v>41</v>
      </c>
      <c r="DI1" s="15" t="s">
        <v>280</v>
      </c>
      <c r="DK1" s="15" t="s">
        <v>29</v>
      </c>
      <c r="DM1" s="15" t="s">
        <v>104</v>
      </c>
      <c r="DO1" s="15" t="s">
        <v>25</v>
      </c>
      <c r="DQ1" s="15" t="s">
        <v>285</v>
      </c>
      <c r="DS1" s="15" t="s">
        <v>27</v>
      </c>
      <c r="DU1" s="15" t="s">
        <v>288</v>
      </c>
      <c r="DV1" s="15" t="s">
        <v>290</v>
      </c>
      <c r="DW1" s="15" t="s">
        <v>292</v>
      </c>
      <c r="DY1" s="15" t="s">
        <v>295</v>
      </c>
    </row>
    <row r="2" spans="1:129" ht="215">
      <c r="B2" s="1" t="s">
        <v>0</v>
      </c>
      <c r="C2" s="1" t="s">
        <v>1</v>
      </c>
      <c r="D2" s="1" t="s">
        <v>2</v>
      </c>
      <c r="E2" s="16" t="s">
        <v>96</v>
      </c>
      <c r="F2" s="18" t="s">
        <v>97</v>
      </c>
      <c r="G2" s="19" t="s">
        <v>98</v>
      </c>
      <c r="H2" s="20" t="s">
        <v>100</v>
      </c>
      <c r="I2" s="21" t="s">
        <v>102</v>
      </c>
      <c r="J2" s="22" t="s">
        <v>103</v>
      </c>
      <c r="K2" s="23" t="s">
        <v>104</v>
      </c>
      <c r="L2" s="24" t="s">
        <v>106</v>
      </c>
      <c r="M2" s="25" t="s">
        <v>107</v>
      </c>
      <c r="N2" s="26" t="s">
        <v>109</v>
      </c>
      <c r="O2" s="27" t="s">
        <v>110</v>
      </c>
      <c r="P2" s="15" t="s">
        <v>111</v>
      </c>
      <c r="Q2" s="16" t="s">
        <v>112</v>
      </c>
      <c r="R2" s="28" t="s">
        <v>97</v>
      </c>
      <c r="S2" s="15" t="s">
        <v>113</v>
      </c>
      <c r="T2" s="15" t="s">
        <v>115</v>
      </c>
      <c r="U2" s="15" t="s">
        <v>116</v>
      </c>
      <c r="V2" s="15" t="s">
        <v>118</v>
      </c>
      <c r="W2" s="15" t="s">
        <v>120</v>
      </c>
      <c r="X2" s="15" t="s">
        <v>121</v>
      </c>
      <c r="Y2" s="15" t="s">
        <v>123</v>
      </c>
      <c r="Z2" s="15" t="s">
        <v>125</v>
      </c>
      <c r="AA2" s="15" t="s">
        <v>127</v>
      </c>
      <c r="AB2" s="15" t="s">
        <v>129</v>
      </c>
      <c r="AC2" s="15" t="s">
        <v>130</v>
      </c>
      <c r="AD2" s="15" t="s">
        <v>132</v>
      </c>
      <c r="AE2" s="15" t="s">
        <v>133</v>
      </c>
      <c r="AF2" s="15" t="s">
        <v>135</v>
      </c>
      <c r="AG2" s="15" t="s">
        <v>137</v>
      </c>
      <c r="AH2" s="15" t="s">
        <v>138</v>
      </c>
      <c r="AI2" s="15" t="s">
        <v>140</v>
      </c>
      <c r="AJ2" s="15" t="s">
        <v>142</v>
      </c>
      <c r="AK2" s="15" t="s">
        <v>143</v>
      </c>
      <c r="AL2" s="15" t="s">
        <v>145</v>
      </c>
      <c r="AM2" s="15" t="s">
        <v>146</v>
      </c>
      <c r="AN2" s="15" t="s">
        <v>148</v>
      </c>
      <c r="AO2" s="15" t="s">
        <v>150</v>
      </c>
      <c r="AP2" s="15" t="s">
        <v>152</v>
      </c>
      <c r="AQ2" s="15" t="s">
        <v>154</v>
      </c>
      <c r="AR2" s="15" t="s">
        <v>156</v>
      </c>
      <c r="AS2" s="15" t="s">
        <v>158</v>
      </c>
      <c r="AT2" s="15" t="s">
        <v>159</v>
      </c>
      <c r="AU2" s="15" t="s">
        <v>161</v>
      </c>
      <c r="AV2" s="15" t="s">
        <v>162</v>
      </c>
      <c r="AW2" s="15" t="s">
        <v>163</v>
      </c>
      <c r="AX2" s="15" t="s">
        <v>165</v>
      </c>
      <c r="AY2" s="15" t="s">
        <v>167</v>
      </c>
      <c r="AZ2" s="15" t="s">
        <v>169</v>
      </c>
      <c r="BA2" s="15" t="s">
        <v>170</v>
      </c>
      <c r="BB2" s="15" t="s">
        <v>172</v>
      </c>
      <c r="BC2" s="15" t="s">
        <v>174</v>
      </c>
      <c r="BD2" s="15" t="s">
        <v>176</v>
      </c>
      <c r="BE2" s="15" t="s">
        <v>177</v>
      </c>
      <c r="BF2" s="15" t="s">
        <v>179</v>
      </c>
      <c r="BG2" s="15" t="s">
        <v>181</v>
      </c>
      <c r="BH2" s="15" t="s">
        <v>183</v>
      </c>
      <c r="BI2" s="15" t="s">
        <v>184</v>
      </c>
      <c r="BJ2" s="15" t="s">
        <v>186</v>
      </c>
      <c r="BK2" s="15" t="s">
        <v>188</v>
      </c>
      <c r="BL2" s="15" t="s">
        <v>190</v>
      </c>
      <c r="BM2" s="15" t="s">
        <v>192</v>
      </c>
      <c r="BN2" s="15" t="s">
        <v>194</v>
      </c>
      <c r="BO2" s="15" t="s">
        <v>195</v>
      </c>
      <c r="BP2" s="15" t="s">
        <v>197</v>
      </c>
      <c r="BQ2" s="15" t="s">
        <v>199</v>
      </c>
      <c r="BR2" s="15" t="s">
        <v>201</v>
      </c>
      <c r="BS2" s="15" t="s">
        <v>203</v>
      </c>
      <c r="BT2" s="15" t="s">
        <v>205</v>
      </c>
      <c r="BU2" s="15" t="s">
        <v>206</v>
      </c>
      <c r="BV2" s="15" t="s">
        <v>208</v>
      </c>
      <c r="BW2" s="28" t="s">
        <v>98</v>
      </c>
      <c r="BX2" s="15" t="s">
        <v>210</v>
      </c>
      <c r="BY2" s="15" t="s">
        <v>212</v>
      </c>
      <c r="BZ2" s="15" t="s">
        <v>214</v>
      </c>
      <c r="CA2" s="15" t="s">
        <v>216</v>
      </c>
      <c r="CB2" s="15" t="s">
        <v>218</v>
      </c>
      <c r="CC2" s="15" t="s">
        <v>220</v>
      </c>
      <c r="CD2" s="15" t="s">
        <v>222</v>
      </c>
      <c r="CE2" s="15" t="s">
        <v>224</v>
      </c>
      <c r="CF2" s="15" t="s">
        <v>226</v>
      </c>
      <c r="CG2" s="15" t="s">
        <v>228</v>
      </c>
      <c r="CH2" s="15" t="s">
        <v>230</v>
      </c>
      <c r="CI2" s="15" t="s">
        <v>232</v>
      </c>
      <c r="CJ2" s="28" t="s">
        <v>100</v>
      </c>
      <c r="CK2" s="15" t="s">
        <v>234</v>
      </c>
      <c r="CL2" s="15" t="s">
        <v>236</v>
      </c>
      <c r="CM2" s="15" t="s">
        <v>238</v>
      </c>
      <c r="CN2" s="15" t="s">
        <v>240</v>
      </c>
      <c r="CO2" s="15" t="s">
        <v>242</v>
      </c>
      <c r="CP2" s="15" t="s">
        <v>244</v>
      </c>
      <c r="CQ2" s="15" t="s">
        <v>246</v>
      </c>
      <c r="CR2" s="15" t="s">
        <v>248</v>
      </c>
      <c r="CS2" s="15" t="s">
        <v>250</v>
      </c>
      <c r="CT2" s="15" t="s">
        <v>252</v>
      </c>
      <c r="CU2" s="15" t="s">
        <v>254</v>
      </c>
      <c r="CV2" s="15" t="s">
        <v>256</v>
      </c>
      <c r="CW2" s="15" t="s">
        <v>258</v>
      </c>
      <c r="CX2" s="15" t="s">
        <v>260</v>
      </c>
      <c r="CY2" s="15" t="s">
        <v>262</v>
      </c>
      <c r="CZ2" s="15" t="s">
        <v>264</v>
      </c>
      <c r="DA2" s="15" t="s">
        <v>266</v>
      </c>
      <c r="DB2" s="15" t="s">
        <v>268</v>
      </c>
      <c r="DC2" s="15" t="s">
        <v>270</v>
      </c>
      <c r="DD2" s="15" t="s">
        <v>272</v>
      </c>
      <c r="DE2" s="15" t="s">
        <v>274</v>
      </c>
      <c r="DF2" s="28" t="s">
        <v>102</v>
      </c>
      <c r="DG2" s="15" t="s">
        <v>276</v>
      </c>
      <c r="DH2" s="15" t="s">
        <v>278</v>
      </c>
      <c r="DI2" s="15" t="s">
        <v>279</v>
      </c>
      <c r="DJ2" s="28" t="s">
        <v>103</v>
      </c>
      <c r="DK2" s="15" t="s">
        <v>281</v>
      </c>
      <c r="DL2" s="28" t="s">
        <v>104</v>
      </c>
      <c r="DM2" s="15" t="s">
        <v>282</v>
      </c>
      <c r="DN2" s="28" t="s">
        <v>106</v>
      </c>
      <c r="DO2" s="15" t="s">
        <v>283</v>
      </c>
      <c r="DP2" s="28" t="s">
        <v>107</v>
      </c>
      <c r="DQ2" s="15" t="s">
        <v>284</v>
      </c>
      <c r="DR2" s="28" t="s">
        <v>109</v>
      </c>
      <c r="DS2" s="15" t="s">
        <v>286</v>
      </c>
      <c r="DT2" s="28" t="s">
        <v>110</v>
      </c>
      <c r="DU2" s="15" t="s">
        <v>287</v>
      </c>
      <c r="DV2" s="15" t="s">
        <v>289</v>
      </c>
      <c r="DW2" s="15" t="s">
        <v>291</v>
      </c>
      <c r="DX2" s="16" t="s">
        <v>293</v>
      </c>
      <c r="DY2" s="15" t="s">
        <v>294</v>
      </c>
    </row>
    <row r="3" spans="1:129">
      <c r="A3">
        <v>1</v>
      </c>
      <c r="B3" t="s">
        <v>598</v>
      </c>
      <c r="F3" s="29">
        <f>IF(P3=0,0,COUNTIF(Transect5_imgsummary!J3:N3,"C")*100/P3)</f>
        <v>40</v>
      </c>
      <c r="G3">
        <f>IF(P3=0,0,COUNTIF(Transect5_imgsummary!J3:N3,"OI")*100/P3)</f>
        <v>0</v>
      </c>
      <c r="H3">
        <f>IF(P3=0,0,COUNTIF(Transect5_imgsummary!J3:N3,"MA")*100/P3)</f>
        <v>0</v>
      </c>
      <c r="I3">
        <f>IF(P3=0,0,COUNTIF(Transect5_imgsummary!J3:N3,"BCA")*100/P3)</f>
        <v>0</v>
      </c>
      <c r="J3" s="29">
        <f>IF(P3=0,0,COUNTIF(Transect5_imgsummary!J3:N3,"CCA")*100/P3)</f>
        <v>20</v>
      </c>
      <c r="K3">
        <f>IF(P3=0,0,COUNTIF(Transect5_imgsummary!J3:N3,"SD")*100/P3)</f>
        <v>0</v>
      </c>
      <c r="L3">
        <f>IF(P3=0,0,COUNTIF(Transect5_imgsummary!J3:N3,"FCA")*100/P3)</f>
        <v>0</v>
      </c>
      <c r="M3">
        <f>IF(P3=0,0,COUNTIF(Transect5_imgsummary!J3:N3,"CHRYS")*100/P3)</f>
        <v>0</v>
      </c>
      <c r="N3" s="29">
        <f>IF(P3=0,0,COUNTIF(Transect5_imgsummary!J3:N3,"T")*100/P3)</f>
        <v>40</v>
      </c>
      <c r="O3">
        <f>IF(P3=0,0,COUNTIF(Transect5_imgsummary!J3:N3,"TWS")*100/P3)</f>
        <v>0</v>
      </c>
      <c r="P3">
        <f>5-COUNTIF(Transect5_imgsummary!J3:N3,"TWS")</f>
        <v>5</v>
      </c>
      <c r="S3">
        <f>IF(P3=0,0,COUNTIF(Transect5_imgsummary!E3:I3,"ACAN")*100/P3)</f>
        <v>0</v>
      </c>
      <c r="T3">
        <f>IF(P3=0,0,COUNTIF(Transect5_imgsummary!E3:I3,"ACROP")*100/P3)</f>
        <v>0</v>
      </c>
      <c r="U3">
        <f>IF(P3=0,0,COUNTIF(Transect5_imgsummary!E3:I3,"ACROPARB")*100/P3)</f>
        <v>0</v>
      </c>
      <c r="V3">
        <f>IF(P3=0,0,COUNTIF(Transect5_imgsummary!E3:I3,"ACROST")*100/P3)</f>
        <v>0</v>
      </c>
      <c r="W3" s="29">
        <f>IF(P3=0,0,COUNTIF(Transect5_imgsummary!E3:I3,"ACROTBL")*100/P3)</f>
        <v>20</v>
      </c>
      <c r="X3">
        <f>IF(P3=0,0,COUNTIF(Transect5_imgsummary!E3:I3,"ASTRP")*100/P3)</f>
        <v>0</v>
      </c>
      <c r="Y3">
        <f>IF(P3=0,0,COUNTIF(Transect5_imgsummary!E3:I3,"CAUL")*100/P3)</f>
        <v>0</v>
      </c>
      <c r="Z3">
        <f>IF(P3=0,0,COUNTIF(Transect5_imgsummary!E3:I3,"COSC")*100/P3)</f>
        <v>0</v>
      </c>
      <c r="AA3">
        <f>IF(P3=0,0,COUNTIF(Transect5_imgsummary!E3:I3,"CTEN")*100/P3)</f>
        <v>0</v>
      </c>
      <c r="AB3">
        <f>IF(P3=0,0,COUNTIF(Transect5_imgsummary!E3:I3,"CYPH")*100/P3)</f>
        <v>0</v>
      </c>
      <c r="AC3">
        <f>IF(P3=0,0,COUNTIF(Transect5_imgsummary!E3:I3,"DIPLO")*100/P3)</f>
        <v>0</v>
      </c>
      <c r="AD3" s="29">
        <f>IF(P3=0,0,COUNTIF(Transect5_imgsummary!E3:I3,"ECHPO")*100/P3)</f>
        <v>20</v>
      </c>
      <c r="AE3">
        <f>IF(P3=0,0,COUNTIF(Transect5_imgsummary!E3:I3,"ECHPHY")*100/P3)</f>
        <v>0</v>
      </c>
      <c r="AF3">
        <f>IF(P3=0,0,COUNTIF(Transect5_imgsummary!E3:I3,"EUPH")*100/P3)</f>
        <v>0</v>
      </c>
      <c r="AG3">
        <f>IF(P3=0,0,COUNTIF(Transect5_imgsummary!E3:I3,"FAV")*100/P3)</f>
        <v>0</v>
      </c>
      <c r="AH3">
        <f>IF(P3=0,0,COUNTIF(Transect5_imgsummary!E3:I3,"FAVT")*100/P3)</f>
        <v>0</v>
      </c>
      <c r="AI3">
        <f>IF(P3=0,0,COUNTIF(Transect5_imgsummary!E3:I3,"FUNG")*100/P3)</f>
        <v>0</v>
      </c>
      <c r="AJ3">
        <f>IF(P3=0,0,COUNTIF(Transect5_imgsummary!E3:I3,"GAL")*100/P3)</f>
        <v>0</v>
      </c>
      <c r="AK3">
        <f>IF(P3=0,0,COUNTIF(Transect5_imgsummary!E3:I3,"GARD")*100/P3)</f>
        <v>0</v>
      </c>
      <c r="AL3">
        <f>IF(P3=0,0,COUNTIF(Transect5_imgsummary!E3:I3,"GON")*100/P3)</f>
        <v>0</v>
      </c>
      <c r="AM3">
        <f>IF(P3=0,0,COUNTIF(Transect5_imgsummary!E3:I3,"GONIO")*100/P3)</f>
        <v>0</v>
      </c>
      <c r="AN3">
        <f>IF(P3=0,0,COUNTIF(Transect5_imgsummary!E3:I3,"HELIO")*100/P3)</f>
        <v>0</v>
      </c>
      <c r="AO3">
        <f>IF(P3=0,0,COUNTIF(Transect5_imgsummary!E3:I3,"HERP")*100/P3)</f>
        <v>0</v>
      </c>
      <c r="AP3">
        <f>IF(P3=0,0,COUNTIF(Transect5_imgsummary!E3:I3,"HYD")*100/P3)</f>
        <v>0</v>
      </c>
      <c r="AQ3">
        <f>IF(P3=0,0,COUNTIF(Transect5_imgsummary!E3:I3,"ISOP")*100/P3)</f>
        <v>0</v>
      </c>
      <c r="AR3">
        <f>IF(P3=0,0,COUNTIF(Transect5_imgsummary!E3:I3,"LEPT")*100/P3)</f>
        <v>0</v>
      </c>
      <c r="AS3">
        <f>IF(P3=0,0,COUNTIF(Transect5_imgsummary!E3:I3,"LEPTOR")*100/P3)</f>
        <v>0</v>
      </c>
      <c r="AT3">
        <f>IF(P3=0,0,COUNTIF(Transect5_imgsummary!E3:I3,"LEPTOS")*100/P3)</f>
        <v>0</v>
      </c>
      <c r="AU3">
        <f>IF(P3=0,0,COUNTIF(Transect5_imgsummary!E3:I3,"LOBOPH")*100/P3)</f>
        <v>0</v>
      </c>
      <c r="AV3">
        <f>IF(P3=0,0,COUNTIF(Transect5_imgsummary!E3:I3,"MERU")*100/P3)</f>
        <v>0</v>
      </c>
      <c r="AW3">
        <f>IF(P3=0,0,COUNTIF(Transect5_imgsummary!E3:I3,"MILL")*100/P3)</f>
        <v>0</v>
      </c>
      <c r="AX3">
        <f>IF(P3=0,0,COUNTIF(Transect5_imgsummary!E3:I3,"MONT")*100/P3)</f>
        <v>0</v>
      </c>
      <c r="AY3">
        <f>IF(P3=0,0,COUNTIF(Transect5_imgsummary!E3:I3,"MONTI")*100/P3)</f>
        <v>0</v>
      </c>
      <c r="AZ3">
        <f>IF(P3=0,0,COUNTIF(Transect5_imgsummary!E3:I3,"MYCED")*100/P3)</f>
        <v>0</v>
      </c>
      <c r="BA3">
        <f>IF(P3=0,0,COUNTIF(Transect5_imgsummary!E3:I3,"OULO")*100/P3)</f>
        <v>0</v>
      </c>
      <c r="BB3">
        <f>IF(P3=0,0,COUNTIF(Transect5_imgsummary!E3:I3,"OXYP")*100/P3)</f>
        <v>0</v>
      </c>
      <c r="BC3">
        <f>IF(P3=0,0,COUNTIF(Transect5_imgsummary!E3:I3,"PLSIA")*100/P3)</f>
        <v>0</v>
      </c>
      <c r="BD3">
        <f>IF(P3=0,0,COUNTIF(Transect5_imgsummary!E3:I3,"PACHY")*100/P3)</f>
        <v>0</v>
      </c>
      <c r="BE3">
        <f>IF(P3=0,0,COUNTIF(Transect5_imgsummary!E3:I3,"PAV")*100/P3)</f>
        <v>0</v>
      </c>
      <c r="BF3">
        <f>IF(P3=0,0,COUNTIF(Transect5_imgsummary!E3:I3,"PECT")*100/P3)</f>
        <v>0</v>
      </c>
      <c r="BG3">
        <f>IF(P3=0,0,COUNTIF(Transect5_imgsummary!E3:I3,"PHYSO")*100/P3)</f>
        <v>0</v>
      </c>
      <c r="BH3">
        <f>IF(P3=0,0,COUNTIF(Transect5_imgsummary!E3:I3,"PLAT")*100/P3)</f>
        <v>0</v>
      </c>
      <c r="BI3">
        <f>IF(P3=0,0,COUNTIF(Transect5_imgsummary!E3:I3,"PLERO")*100/P3)</f>
        <v>0</v>
      </c>
      <c r="BJ3">
        <f>IF(P3=0,0,COUNTIF(Transect5_imgsummary!E3:I3,"POC")*100/P3)</f>
        <v>0</v>
      </c>
      <c r="BK3">
        <f>IF(P3=0,0,COUNTIF(Transect5_imgsummary!E3:I3,"POR")*100/P3)</f>
        <v>0</v>
      </c>
      <c r="BL3">
        <f>IF(P3=0,0,COUNTIF(Transect5_imgsummary!E3:I3,"PORCYL")*100/P3)</f>
        <v>0</v>
      </c>
      <c r="BM3">
        <f>IF(P3=0,0,COUNTIF(Transect5_imgsummary!E3:I3,"PORMAS")*100/P3)</f>
        <v>0</v>
      </c>
      <c r="BN3">
        <f>IF(P3=0,0,COUNTIF(Transect5_imgsummary!E3:I3,"PORRUS")*100/P3)</f>
        <v>0</v>
      </c>
      <c r="BO3">
        <f>IF(P3=0,0,COUNTIF(Transect5_imgsummary!E3:I3,"PSAM")*100/P3)</f>
        <v>0</v>
      </c>
      <c r="BP3">
        <f>IF(P3=0,0,COUNTIF(Transect5_imgsummary!E3:I3,"SANDO")*100/P3)</f>
        <v>0</v>
      </c>
      <c r="BQ3">
        <f>IF(P3=0,0,COUNTIF(Transect5_imgsummary!E3:I3,"SCAP")*100/P3)</f>
        <v>0</v>
      </c>
      <c r="BR3">
        <f>IF(P3=0,0,COUNTIF(Transect5_imgsummary!E3:I3,"SERIA")*100/P3)</f>
        <v>0</v>
      </c>
      <c r="BS3">
        <f>IF(P3=0,0,COUNTIF(Transect5_imgsummary!E3:I3,"STYLC")*100/P3)</f>
        <v>0</v>
      </c>
      <c r="BT3">
        <f>IF(P3=0,0,COUNTIF(Transect5_imgsummary!E3:I3,"STYLO")*100/P3)</f>
        <v>0</v>
      </c>
      <c r="BU3">
        <f>IF(P3=0,0,COUNTIF(Transect5_imgsummary!E3:I3,"SYMP")*100/P3)</f>
        <v>0</v>
      </c>
      <c r="BV3">
        <f>IF(P3=0,0,COUNTIF(Transect5_imgsummary!E3:I3,"TURBIN")*100/P3)</f>
        <v>0</v>
      </c>
      <c r="BX3">
        <f>IF(P3=0,0,COUNTIF(Transect5_imgsummary!E3:I3,"ANEM")*100/P3)</f>
        <v>0</v>
      </c>
      <c r="BY3">
        <f>IF(P3=0,0,COUNTIF(Transect5_imgsummary!E3:I3,"ASC")*100/P3)</f>
        <v>0</v>
      </c>
      <c r="BZ3">
        <f>IF(P3=0,0,COUNTIF(Transect5_imgsummary!E3:I3,"CUPS")*100/P3)</f>
        <v>0</v>
      </c>
      <c r="CA3">
        <f>IF(P3=0,0,COUNTIF(Transect5_imgsummary!E3:I3,"DISCO")*100/P3)</f>
        <v>0</v>
      </c>
      <c r="CB3">
        <f>IF(P3=0,0,COUNTIF(Transect5_imgsummary!E3:I3,"DYS")*100/P3)</f>
        <v>0</v>
      </c>
      <c r="CC3">
        <f>IF(P3=0,0,COUNTIF(Transect5_imgsummary!E3:I3,"G")*100/P3)</f>
        <v>0</v>
      </c>
      <c r="CD3">
        <f>IF(P3=0,0,COUNTIF(Transect5_imgsummary!E3:I3,"NoIDINV")*100/P3)</f>
        <v>0</v>
      </c>
      <c r="CE3">
        <f>IF(P3=0,0,COUNTIF(Transect5_imgsummary!E3:I3,"OLV")*100/P3)</f>
        <v>0</v>
      </c>
      <c r="CF3">
        <f>IF(P3=0,0,COUNTIF(Transect5_imgsummary!E3:I3,"SC")*100/P3)</f>
        <v>0</v>
      </c>
      <c r="CG3">
        <f>IF(P3=0,0,COUNTIF(Transect5_imgsummary!E3:I3,"S")*100/P3)</f>
        <v>0</v>
      </c>
      <c r="CH3">
        <f>IF(P3=0,0,COUNTIF(Transect5_imgsummary!E3:I3,"TERPS")*100/P3)</f>
        <v>0</v>
      </c>
      <c r="CI3">
        <f>IF(P3=0,0,COUNTIF(Transect5_imgsummary!E3:I3,"Z")*100/P3)</f>
        <v>0</v>
      </c>
      <c r="CK3">
        <f>IF(P3=0,0,COUNTIF(Transect5_imgsummary!E3:I3,"ASP")*100/P3)</f>
        <v>0</v>
      </c>
      <c r="CL3">
        <f>IF(P3=0,0,COUNTIF(Transect5_imgsummary!E3:I3,"BG")*100/P3)</f>
        <v>0</v>
      </c>
      <c r="CM3">
        <f>IF(P3=0,0,COUNTIF(Transect5_imgsummary!E3:I3,"Bood")*100/P3)</f>
        <v>0</v>
      </c>
      <c r="CN3">
        <f>IF(P3=0,0,COUNTIF(Transect5_imgsummary!E3:I3,"BRYP")*100/P3)</f>
        <v>0</v>
      </c>
      <c r="CO3">
        <f>IF(P3=0,0,COUNTIF(Transect5_imgsummary!E3:I3,"CLP")*100/P3)</f>
        <v>0</v>
      </c>
      <c r="CP3">
        <f>IF(P3=0,0,COUNTIF(Transect5_imgsummary!E3:I3,"CHLDES")*100/P3)</f>
        <v>0</v>
      </c>
      <c r="CQ3">
        <f>IF(P3=0,0,COUNTIF(Transect5_imgsummary!E3:I3,"DYCTY")*100/P3)</f>
        <v>0</v>
      </c>
      <c r="CR3">
        <f>IF(P3=0,0,COUNTIF(Transect5_imgsummary!E3:I3,"DICT")*100/P3)</f>
        <v>0</v>
      </c>
      <c r="CS3">
        <f>IF(P3=0,0,COUNTIF(Transect5_imgsummary!E3:I3,"GLXU")*100/P3)</f>
        <v>0</v>
      </c>
      <c r="CT3">
        <f>IF(P3=0,0,COUNTIF(Transect5_imgsummary!E3:I3,"HALI")*100/P3)</f>
        <v>0</v>
      </c>
      <c r="CU3">
        <f>IF(P3=0,0,COUNTIF(Transect5_imgsummary!E3:I3,"LIAG")*100/P3)</f>
        <v>0</v>
      </c>
      <c r="CV3">
        <f>IF(P3=0,0,COUNTIF(Transect5_imgsummary!E3:I3,"LOBO")*100/P3)</f>
        <v>0</v>
      </c>
      <c r="CW3">
        <f>IF(P3=0,0,COUNTIF(Transect5_imgsummary!E3:I3,"MAST")*100/P3)</f>
        <v>0</v>
      </c>
      <c r="CX3">
        <f>IF(P3=0,0,COUNTIF(Transect5_imgsummary!E3:I3,"MICDTY")*100/P3)</f>
        <v>0</v>
      </c>
      <c r="CY3">
        <f>IF(P3=0,0,COUNTIF(Transect5_imgsummary!E3:I3,"NEOM")*100/P3)</f>
        <v>0</v>
      </c>
      <c r="CZ3">
        <f>IF(P3=0,0,COUNTIF(Transect5_imgsummary!E3:I3,"NOIDMAC")*100/P3)</f>
        <v>0</v>
      </c>
      <c r="DA3">
        <f>IF(P3=0,0,COUNTIF(Transect5_imgsummary!E3:I3,"PAD")*100/P3)</f>
        <v>0</v>
      </c>
      <c r="DB3">
        <f>IF(P3=0,0,COUNTIF(Transect5_imgsummary!E3:I3,"SARG")*100/P3)</f>
        <v>0</v>
      </c>
      <c r="DC3">
        <f>IF(P3=0,0,COUNTIF(Transect5_imgsummary!E3:I3,"SCHIZ")*100/P3)</f>
        <v>0</v>
      </c>
      <c r="DD3">
        <f>IF(P3=0,0,COUNTIF(Transect5_imgsummary!E3:I3,"TURB")*100/P3)</f>
        <v>0</v>
      </c>
      <c r="DE3">
        <f>IF(P3=0,0,COUNTIF(Transect5_imgsummary!E3:I3,"TYDM")*100/P3)</f>
        <v>0</v>
      </c>
      <c r="DG3">
        <f>IF(P3=0,0,COUNTIF(Transect5_imgsummary!E3:I3,"AMP")*100/P3)</f>
        <v>0</v>
      </c>
      <c r="DH3">
        <f>IF(P3=0,0,COUNTIF(Transect5_imgsummary!E3:I3,"BCA1")*100/P3)</f>
        <v>0</v>
      </c>
      <c r="DI3">
        <f>IF(P3=0,0,COUNTIF(Transect5_imgsummary!E3:I3,"JAN")*100/P3)</f>
        <v>0</v>
      </c>
      <c r="DK3" s="29">
        <f>IF(P3=0,0,COUNTIF(Transect5_imgsummary!E3:I3,"CCA1")*100/P3)</f>
        <v>20</v>
      </c>
      <c r="DM3">
        <f>IF(P3=0,0,COUNTIF(Transect5_imgsummary!E3:I3,"Sand")*100/P3)</f>
        <v>0</v>
      </c>
      <c r="DO3">
        <f>IF(P3=0,0,COUNTIF(Transect5_imgsummary!E3:I3,"FCA1")*100/P3)</f>
        <v>0</v>
      </c>
      <c r="DQ3">
        <f>IF(P3=0,0,COUNTIF(Transect5_imgsummary!E3:I3,"CHRYOBRN")*100/P3)</f>
        <v>0</v>
      </c>
      <c r="DS3" s="29">
        <f>IF(P3=0,0,COUNTIF(Transect5_imgsummary!E3:I3,"TURF")*100/P3)</f>
        <v>40</v>
      </c>
      <c r="DU3">
        <f>COUNTIF(Transect5_imgsummary!E3:I3,"Shadow")*100/5</f>
        <v>0</v>
      </c>
      <c r="DV3">
        <f>COUNTIF(Transect5_imgsummary!E3:I3,"Tape")*100/5</f>
        <v>0</v>
      </c>
      <c r="DW3">
        <f>COUNTIF(Transect5_imgsummary!E3:I3,"Wand")*100/5</f>
        <v>0</v>
      </c>
      <c r="DY3">
        <f>IF(P3=0,0,COUNTIF(Transect5_imgsummary!O3:S3,"BC")*100/P3)</f>
        <v>0</v>
      </c>
    </row>
    <row r="4" spans="1:129">
      <c r="A4">
        <v>2</v>
      </c>
      <c r="B4" t="s">
        <v>599</v>
      </c>
      <c r="F4" s="29">
        <f>IF(P4=0,0,COUNTIF(Transect5_imgsummary!J4:N4,"C")*100/P4)</f>
        <v>80</v>
      </c>
      <c r="G4">
        <f>IF(P4=0,0,COUNTIF(Transect5_imgsummary!J4:N4,"OI")*100/P4)</f>
        <v>0</v>
      </c>
      <c r="H4">
        <f>IF(P4=0,0,COUNTIF(Transect5_imgsummary!J4:N4,"MA")*100/P4)</f>
        <v>0</v>
      </c>
      <c r="I4">
        <f>IF(P4=0,0,COUNTIF(Transect5_imgsummary!J4:N4,"BCA")*100/P4)</f>
        <v>0</v>
      </c>
      <c r="J4">
        <f>IF(P4=0,0,COUNTIF(Transect5_imgsummary!J4:N4,"CCA")*100/P4)</f>
        <v>0</v>
      </c>
      <c r="K4">
        <f>IF(P4=0,0,COUNTIF(Transect5_imgsummary!J4:N4,"SD")*100/P4)</f>
        <v>0</v>
      </c>
      <c r="L4" s="29">
        <f>IF(P4=0,0,COUNTIF(Transect5_imgsummary!J4:N4,"FCA")*100/P4)</f>
        <v>20</v>
      </c>
      <c r="M4">
        <f>IF(P4=0,0,COUNTIF(Transect5_imgsummary!J4:N4,"CHRYS")*100/P4)</f>
        <v>0</v>
      </c>
      <c r="N4">
        <f>IF(P4=0,0,COUNTIF(Transect5_imgsummary!J4:N4,"T")*100/P4)</f>
        <v>0</v>
      </c>
      <c r="O4">
        <f>IF(P4=0,0,COUNTIF(Transect5_imgsummary!J4:N4,"TWS")*100/P4)</f>
        <v>0</v>
      </c>
      <c r="P4">
        <f>5-COUNTIF(Transect5_imgsummary!J4:N4,"TWS")</f>
        <v>5</v>
      </c>
      <c r="S4">
        <f>IF(P4=0,0,COUNTIF(Transect5_imgsummary!E4:I4,"ACAN")*100/P4)</f>
        <v>0</v>
      </c>
      <c r="T4">
        <f>IF(P4=0,0,COUNTIF(Transect5_imgsummary!E4:I4,"ACROP")*100/P4)</f>
        <v>0</v>
      </c>
      <c r="U4">
        <f>IF(P4=0,0,COUNTIF(Transect5_imgsummary!E4:I4,"ACROPARB")*100/P4)</f>
        <v>0</v>
      </c>
      <c r="V4">
        <f>IF(P4=0,0,COUNTIF(Transect5_imgsummary!E4:I4,"ACROST")*100/P4)</f>
        <v>0</v>
      </c>
      <c r="W4">
        <f>IF(P4=0,0,COUNTIF(Transect5_imgsummary!E4:I4,"ACROTBL")*100/P4)</f>
        <v>0</v>
      </c>
      <c r="X4">
        <f>IF(P4=0,0,COUNTIF(Transect5_imgsummary!E4:I4,"ASTRP")*100/P4)</f>
        <v>0</v>
      </c>
      <c r="Y4">
        <f>IF(P4=0,0,COUNTIF(Transect5_imgsummary!E4:I4,"CAUL")*100/P4)</f>
        <v>0</v>
      </c>
      <c r="Z4">
        <f>IF(P4=0,0,COUNTIF(Transect5_imgsummary!E4:I4,"COSC")*100/P4)</f>
        <v>0</v>
      </c>
      <c r="AA4">
        <f>IF(P4=0,0,COUNTIF(Transect5_imgsummary!E4:I4,"CTEN")*100/P4)</f>
        <v>0</v>
      </c>
      <c r="AB4">
        <f>IF(P4=0,0,COUNTIF(Transect5_imgsummary!E4:I4,"CYPH")*100/P4)</f>
        <v>0</v>
      </c>
      <c r="AC4">
        <f>IF(P4=0,0,COUNTIF(Transect5_imgsummary!E4:I4,"DIPLO")*100/P4)</f>
        <v>0</v>
      </c>
      <c r="AD4">
        <f>IF(P4=0,0,COUNTIF(Transect5_imgsummary!E4:I4,"ECHPO")*100/P4)</f>
        <v>0</v>
      </c>
      <c r="AE4">
        <f>IF(P4=0,0,COUNTIF(Transect5_imgsummary!E4:I4,"ECHPHY")*100/P4)</f>
        <v>0</v>
      </c>
      <c r="AF4">
        <f>IF(P4=0,0,COUNTIF(Transect5_imgsummary!E4:I4,"EUPH")*100/P4)</f>
        <v>0</v>
      </c>
      <c r="AG4">
        <f>IF(P4=0,0,COUNTIF(Transect5_imgsummary!E4:I4,"FAV")*100/P4)</f>
        <v>0</v>
      </c>
      <c r="AH4">
        <f>IF(P4=0,0,COUNTIF(Transect5_imgsummary!E4:I4,"FAVT")*100/P4)</f>
        <v>0</v>
      </c>
      <c r="AI4">
        <f>IF(P4=0,0,COUNTIF(Transect5_imgsummary!E4:I4,"FUNG")*100/P4)</f>
        <v>0</v>
      </c>
      <c r="AJ4">
        <f>IF(P4=0,0,COUNTIF(Transect5_imgsummary!E4:I4,"GAL")*100/P4)</f>
        <v>0</v>
      </c>
      <c r="AK4">
        <f>IF(P4=0,0,COUNTIF(Transect5_imgsummary!E4:I4,"GARD")*100/P4)</f>
        <v>0</v>
      </c>
      <c r="AL4">
        <f>IF(P4=0,0,COUNTIF(Transect5_imgsummary!E4:I4,"GON")*100/P4)</f>
        <v>0</v>
      </c>
      <c r="AM4">
        <f>IF(P4=0,0,COUNTIF(Transect5_imgsummary!E4:I4,"GONIO")*100/P4)</f>
        <v>0</v>
      </c>
      <c r="AN4">
        <f>IF(P4=0,0,COUNTIF(Transect5_imgsummary!E4:I4,"HELIO")*100/P4)</f>
        <v>0</v>
      </c>
      <c r="AO4">
        <f>IF(P4=0,0,COUNTIF(Transect5_imgsummary!E4:I4,"HERP")*100/P4)</f>
        <v>0</v>
      </c>
      <c r="AP4">
        <f>IF(P4=0,0,COUNTIF(Transect5_imgsummary!E4:I4,"HYD")*100/P4)</f>
        <v>0</v>
      </c>
      <c r="AQ4">
        <f>IF(P4=0,0,COUNTIF(Transect5_imgsummary!E4:I4,"ISOP")*100/P4)</f>
        <v>0</v>
      </c>
      <c r="AR4">
        <f>IF(P4=0,0,COUNTIF(Transect5_imgsummary!E4:I4,"LEPT")*100/P4)</f>
        <v>0</v>
      </c>
      <c r="AS4">
        <f>IF(P4=0,0,COUNTIF(Transect5_imgsummary!E4:I4,"LEPTOR")*100/P4)</f>
        <v>0</v>
      </c>
      <c r="AT4">
        <f>IF(P4=0,0,COUNTIF(Transect5_imgsummary!E4:I4,"LEPTOS")*100/P4)</f>
        <v>0</v>
      </c>
      <c r="AU4">
        <f>IF(P4=0,0,COUNTIF(Transect5_imgsummary!E4:I4,"LOBOPH")*100/P4)</f>
        <v>0</v>
      </c>
      <c r="AV4" s="29">
        <f>IF(P4=0,0,COUNTIF(Transect5_imgsummary!E4:I4,"MERU")*100/P4)</f>
        <v>80</v>
      </c>
      <c r="AW4">
        <f>IF(P4=0,0,COUNTIF(Transect5_imgsummary!E4:I4,"MILL")*100/P4)</f>
        <v>0</v>
      </c>
      <c r="AX4">
        <f>IF(P4=0,0,COUNTIF(Transect5_imgsummary!E4:I4,"MONT")*100/P4)</f>
        <v>0</v>
      </c>
      <c r="AY4">
        <f>IF(P4=0,0,COUNTIF(Transect5_imgsummary!E4:I4,"MONTI")*100/P4)</f>
        <v>0</v>
      </c>
      <c r="AZ4">
        <f>IF(P4=0,0,COUNTIF(Transect5_imgsummary!E4:I4,"MYCED")*100/P4)</f>
        <v>0</v>
      </c>
      <c r="BA4">
        <f>IF(P4=0,0,COUNTIF(Transect5_imgsummary!E4:I4,"OULO")*100/P4)</f>
        <v>0</v>
      </c>
      <c r="BB4">
        <f>IF(P4=0,0,COUNTIF(Transect5_imgsummary!E4:I4,"OXYP")*100/P4)</f>
        <v>0</v>
      </c>
      <c r="BC4">
        <f>IF(P4=0,0,COUNTIF(Transect5_imgsummary!E4:I4,"PLSIA")*100/P4)</f>
        <v>0</v>
      </c>
      <c r="BD4">
        <f>IF(P4=0,0,COUNTIF(Transect5_imgsummary!E4:I4,"PACHY")*100/P4)</f>
        <v>0</v>
      </c>
      <c r="BE4">
        <f>IF(P4=0,0,COUNTIF(Transect5_imgsummary!E4:I4,"PAV")*100/P4)</f>
        <v>0</v>
      </c>
      <c r="BF4">
        <f>IF(P4=0,0,COUNTIF(Transect5_imgsummary!E4:I4,"PECT")*100/P4)</f>
        <v>0</v>
      </c>
      <c r="BG4">
        <f>IF(P4=0,0,COUNTIF(Transect5_imgsummary!E4:I4,"PHYSO")*100/P4)</f>
        <v>0</v>
      </c>
      <c r="BH4">
        <f>IF(P4=0,0,COUNTIF(Transect5_imgsummary!E4:I4,"PLAT")*100/P4)</f>
        <v>0</v>
      </c>
      <c r="BI4">
        <f>IF(P4=0,0,COUNTIF(Transect5_imgsummary!E4:I4,"PLERO")*100/P4)</f>
        <v>0</v>
      </c>
      <c r="BJ4">
        <f>IF(P4=0,0,COUNTIF(Transect5_imgsummary!E4:I4,"POC")*100/P4)</f>
        <v>0</v>
      </c>
      <c r="BK4">
        <f>IF(P4=0,0,COUNTIF(Transect5_imgsummary!E4:I4,"POR")*100/P4)</f>
        <v>0</v>
      </c>
      <c r="BL4">
        <f>IF(P4=0,0,COUNTIF(Transect5_imgsummary!E4:I4,"PORCYL")*100/P4)</f>
        <v>0</v>
      </c>
      <c r="BM4">
        <f>IF(P4=0,0,COUNTIF(Transect5_imgsummary!E4:I4,"PORMAS")*100/P4)</f>
        <v>0</v>
      </c>
      <c r="BN4">
        <f>IF(P4=0,0,COUNTIF(Transect5_imgsummary!E4:I4,"PORRUS")*100/P4)</f>
        <v>0</v>
      </c>
      <c r="BO4">
        <f>IF(P4=0,0,COUNTIF(Transect5_imgsummary!E4:I4,"PSAM")*100/P4)</f>
        <v>0</v>
      </c>
      <c r="BP4">
        <f>IF(P4=0,0,COUNTIF(Transect5_imgsummary!E4:I4,"SANDO")*100/P4)</f>
        <v>0</v>
      </c>
      <c r="BQ4">
        <f>IF(P4=0,0,COUNTIF(Transect5_imgsummary!E4:I4,"SCAP")*100/P4)</f>
        <v>0</v>
      </c>
      <c r="BR4">
        <f>IF(P4=0,0,COUNTIF(Transect5_imgsummary!E4:I4,"SERIA")*100/P4)</f>
        <v>0</v>
      </c>
      <c r="BS4">
        <f>IF(P4=0,0,COUNTIF(Transect5_imgsummary!E4:I4,"STYLC")*100/P4)</f>
        <v>0</v>
      </c>
      <c r="BT4">
        <f>IF(P4=0,0,COUNTIF(Transect5_imgsummary!E4:I4,"STYLO")*100/P4)</f>
        <v>0</v>
      </c>
      <c r="BU4">
        <f>IF(P4=0,0,COUNTIF(Transect5_imgsummary!E4:I4,"SYMP")*100/P4)</f>
        <v>0</v>
      </c>
      <c r="BV4">
        <f>IF(P4=0,0,COUNTIF(Transect5_imgsummary!E4:I4,"TURBIN")*100/P4)</f>
        <v>0</v>
      </c>
      <c r="BX4">
        <f>IF(P4=0,0,COUNTIF(Transect5_imgsummary!E4:I4,"ANEM")*100/P4)</f>
        <v>0</v>
      </c>
      <c r="BY4">
        <f>IF(P4=0,0,COUNTIF(Transect5_imgsummary!E4:I4,"ASC")*100/P4)</f>
        <v>0</v>
      </c>
      <c r="BZ4">
        <f>IF(P4=0,0,COUNTIF(Transect5_imgsummary!E4:I4,"CUPS")*100/P4)</f>
        <v>0</v>
      </c>
      <c r="CA4">
        <f>IF(P4=0,0,COUNTIF(Transect5_imgsummary!E4:I4,"DISCO")*100/P4)</f>
        <v>0</v>
      </c>
      <c r="CB4">
        <f>IF(P4=0,0,COUNTIF(Transect5_imgsummary!E4:I4,"DYS")*100/P4)</f>
        <v>0</v>
      </c>
      <c r="CC4">
        <f>IF(P4=0,0,COUNTIF(Transect5_imgsummary!E4:I4,"G")*100/P4)</f>
        <v>0</v>
      </c>
      <c r="CD4">
        <f>IF(P4=0,0,COUNTIF(Transect5_imgsummary!E4:I4,"NoIDINV")*100/P4)</f>
        <v>0</v>
      </c>
      <c r="CE4">
        <f>IF(P4=0,0,COUNTIF(Transect5_imgsummary!E4:I4,"OLV")*100/P4)</f>
        <v>0</v>
      </c>
      <c r="CF4">
        <f>IF(P4=0,0,COUNTIF(Transect5_imgsummary!E4:I4,"SC")*100/P4)</f>
        <v>0</v>
      </c>
      <c r="CG4">
        <f>IF(P4=0,0,COUNTIF(Transect5_imgsummary!E4:I4,"S")*100/P4)</f>
        <v>0</v>
      </c>
      <c r="CH4">
        <f>IF(P4=0,0,COUNTIF(Transect5_imgsummary!E4:I4,"TERPS")*100/P4)</f>
        <v>0</v>
      </c>
      <c r="CI4">
        <f>IF(P4=0,0,COUNTIF(Transect5_imgsummary!E4:I4,"Z")*100/P4)</f>
        <v>0</v>
      </c>
      <c r="CK4">
        <f>IF(P4=0,0,COUNTIF(Transect5_imgsummary!E4:I4,"ASP")*100/P4)</f>
        <v>0</v>
      </c>
      <c r="CL4">
        <f>IF(P4=0,0,COUNTIF(Transect5_imgsummary!E4:I4,"BG")*100/P4)</f>
        <v>0</v>
      </c>
      <c r="CM4">
        <f>IF(P4=0,0,COUNTIF(Transect5_imgsummary!E4:I4,"Bood")*100/P4)</f>
        <v>0</v>
      </c>
      <c r="CN4">
        <f>IF(P4=0,0,COUNTIF(Transect5_imgsummary!E4:I4,"BRYP")*100/P4)</f>
        <v>0</v>
      </c>
      <c r="CO4">
        <f>IF(P4=0,0,COUNTIF(Transect5_imgsummary!E4:I4,"CLP")*100/P4)</f>
        <v>0</v>
      </c>
      <c r="CP4">
        <f>IF(P4=0,0,COUNTIF(Transect5_imgsummary!E4:I4,"CHLDES")*100/P4)</f>
        <v>0</v>
      </c>
      <c r="CQ4">
        <f>IF(P4=0,0,COUNTIF(Transect5_imgsummary!E4:I4,"DYCTY")*100/P4)</f>
        <v>0</v>
      </c>
      <c r="CR4">
        <f>IF(P4=0,0,COUNTIF(Transect5_imgsummary!E4:I4,"DICT")*100/P4)</f>
        <v>0</v>
      </c>
      <c r="CS4">
        <f>IF(P4=0,0,COUNTIF(Transect5_imgsummary!E4:I4,"GLXU")*100/P4)</f>
        <v>0</v>
      </c>
      <c r="CT4">
        <f>IF(P4=0,0,COUNTIF(Transect5_imgsummary!E4:I4,"HALI")*100/P4)</f>
        <v>0</v>
      </c>
      <c r="CU4">
        <f>IF(P4=0,0,COUNTIF(Transect5_imgsummary!E4:I4,"LIAG")*100/P4)</f>
        <v>0</v>
      </c>
      <c r="CV4">
        <f>IF(P4=0,0,COUNTIF(Transect5_imgsummary!E4:I4,"LOBO")*100/P4)</f>
        <v>0</v>
      </c>
      <c r="CW4">
        <f>IF(P4=0,0,COUNTIF(Transect5_imgsummary!E4:I4,"MAST")*100/P4)</f>
        <v>0</v>
      </c>
      <c r="CX4">
        <f>IF(P4=0,0,COUNTIF(Transect5_imgsummary!E4:I4,"MICDTY")*100/P4)</f>
        <v>0</v>
      </c>
      <c r="CY4">
        <f>IF(P4=0,0,COUNTIF(Transect5_imgsummary!E4:I4,"NEOM")*100/P4)</f>
        <v>0</v>
      </c>
      <c r="CZ4">
        <f>IF(P4=0,0,COUNTIF(Transect5_imgsummary!E4:I4,"NOIDMAC")*100/P4)</f>
        <v>0</v>
      </c>
      <c r="DA4">
        <f>IF(P4=0,0,COUNTIF(Transect5_imgsummary!E4:I4,"PAD")*100/P4)</f>
        <v>0</v>
      </c>
      <c r="DB4">
        <f>IF(P4=0,0,COUNTIF(Transect5_imgsummary!E4:I4,"SARG")*100/P4)</f>
        <v>0</v>
      </c>
      <c r="DC4">
        <f>IF(P4=0,0,COUNTIF(Transect5_imgsummary!E4:I4,"SCHIZ")*100/P4)</f>
        <v>0</v>
      </c>
      <c r="DD4">
        <f>IF(P4=0,0,COUNTIF(Transect5_imgsummary!E4:I4,"TURB")*100/P4)</f>
        <v>0</v>
      </c>
      <c r="DE4">
        <f>IF(P4=0,0,COUNTIF(Transect5_imgsummary!E4:I4,"TYDM")*100/P4)</f>
        <v>0</v>
      </c>
      <c r="DG4">
        <f>IF(P4=0,0,COUNTIF(Transect5_imgsummary!E4:I4,"AMP")*100/P4)</f>
        <v>0</v>
      </c>
      <c r="DH4">
        <f>IF(P4=0,0,COUNTIF(Transect5_imgsummary!E4:I4,"BCA1")*100/P4)</f>
        <v>0</v>
      </c>
      <c r="DI4">
        <f>IF(P4=0,0,COUNTIF(Transect5_imgsummary!E4:I4,"JAN")*100/P4)</f>
        <v>0</v>
      </c>
      <c r="DK4">
        <f>IF(P4=0,0,COUNTIF(Transect5_imgsummary!E4:I4,"CCA1")*100/P4)</f>
        <v>0</v>
      </c>
      <c r="DM4">
        <f>IF(P4=0,0,COUNTIF(Transect5_imgsummary!E4:I4,"Sand")*100/P4)</f>
        <v>0</v>
      </c>
      <c r="DO4" s="29">
        <f>IF(P4=0,0,COUNTIF(Transect5_imgsummary!E4:I4,"FCA1")*100/P4)</f>
        <v>20</v>
      </c>
      <c r="DQ4">
        <f>IF(P4=0,0,COUNTIF(Transect5_imgsummary!E4:I4,"CHRYOBRN")*100/P4)</f>
        <v>0</v>
      </c>
      <c r="DS4">
        <f>IF(P4=0,0,COUNTIF(Transect5_imgsummary!E4:I4,"TURF")*100/P4)</f>
        <v>0</v>
      </c>
      <c r="DU4">
        <f>COUNTIF(Transect5_imgsummary!E4:I4,"Shadow")*100/5</f>
        <v>0</v>
      </c>
      <c r="DV4">
        <f>COUNTIF(Transect5_imgsummary!E4:I4,"Tape")*100/5</f>
        <v>0</v>
      </c>
      <c r="DW4">
        <f>COUNTIF(Transect5_imgsummary!E4:I4,"Wand")*100/5</f>
        <v>0</v>
      </c>
      <c r="DY4">
        <f>IF(P4=0,0,COUNTIF(Transect5_imgsummary!O4:S4,"BC")*100/P4)</f>
        <v>0</v>
      </c>
    </row>
    <row r="5" spans="1:129">
      <c r="A5">
        <v>3</v>
      </c>
      <c r="B5" t="s">
        <v>600</v>
      </c>
      <c r="F5" s="29">
        <f>IF(P5=0,0,COUNTIF(Transect5_imgsummary!J5:N5,"C")*100/P5)</f>
        <v>40</v>
      </c>
      <c r="G5">
        <f>IF(P5=0,0,COUNTIF(Transect5_imgsummary!J5:N5,"OI")*100/P5)</f>
        <v>0</v>
      </c>
      <c r="H5">
        <f>IF(P5=0,0,COUNTIF(Transect5_imgsummary!J5:N5,"MA")*100/P5)</f>
        <v>0</v>
      </c>
      <c r="I5">
        <f>IF(P5=0,0,COUNTIF(Transect5_imgsummary!J5:N5,"BCA")*100/P5)</f>
        <v>0</v>
      </c>
      <c r="J5" s="29">
        <f>IF(P5=0,0,COUNTIF(Transect5_imgsummary!J5:N5,"CCA")*100/P5)</f>
        <v>40</v>
      </c>
      <c r="K5">
        <f>IF(P5=0,0,COUNTIF(Transect5_imgsummary!J5:N5,"SD")*100/P5)</f>
        <v>0</v>
      </c>
      <c r="L5">
        <f>IF(P5=0,0,COUNTIF(Transect5_imgsummary!J5:N5,"FCA")*100/P5)</f>
        <v>0</v>
      </c>
      <c r="M5">
        <f>IF(P5=0,0,COUNTIF(Transect5_imgsummary!J5:N5,"CHRYS")*100/P5)</f>
        <v>0</v>
      </c>
      <c r="N5" s="29">
        <f>IF(P5=0,0,COUNTIF(Transect5_imgsummary!J5:N5,"T")*100/P5)</f>
        <v>20</v>
      </c>
      <c r="O5">
        <f>IF(P5=0,0,COUNTIF(Transect5_imgsummary!J5:N5,"TWS")*100/P5)</f>
        <v>0</v>
      </c>
      <c r="P5">
        <f>5-COUNTIF(Transect5_imgsummary!J5:N5,"TWS")</f>
        <v>5</v>
      </c>
      <c r="S5">
        <f>IF(P5=0,0,COUNTIF(Transect5_imgsummary!E5:I5,"ACAN")*100/P5)</f>
        <v>0</v>
      </c>
      <c r="T5">
        <f>IF(P5=0,0,COUNTIF(Transect5_imgsummary!E5:I5,"ACROP")*100/P5)</f>
        <v>0</v>
      </c>
      <c r="U5">
        <f>IF(P5=0,0,COUNTIF(Transect5_imgsummary!E5:I5,"ACROPARB")*100/P5)</f>
        <v>0</v>
      </c>
      <c r="V5">
        <f>IF(P5=0,0,COUNTIF(Transect5_imgsummary!E5:I5,"ACROST")*100/P5)</f>
        <v>0</v>
      </c>
      <c r="W5">
        <f>IF(P5=0,0,COUNTIF(Transect5_imgsummary!E5:I5,"ACROTBL")*100/P5)</f>
        <v>0</v>
      </c>
      <c r="X5">
        <f>IF(P5=0,0,COUNTIF(Transect5_imgsummary!E5:I5,"ASTRP")*100/P5)</f>
        <v>0</v>
      </c>
      <c r="Y5">
        <f>IF(P5=0,0,COUNTIF(Transect5_imgsummary!E5:I5,"CAUL")*100/P5)</f>
        <v>0</v>
      </c>
      <c r="Z5">
        <f>IF(P5=0,0,COUNTIF(Transect5_imgsummary!E5:I5,"COSC")*100/P5)</f>
        <v>0</v>
      </c>
      <c r="AA5">
        <f>IF(P5=0,0,COUNTIF(Transect5_imgsummary!E5:I5,"CTEN")*100/P5)</f>
        <v>0</v>
      </c>
      <c r="AB5">
        <f>IF(P5=0,0,COUNTIF(Transect5_imgsummary!E5:I5,"CYPH")*100/P5)</f>
        <v>0</v>
      </c>
      <c r="AC5">
        <f>IF(P5=0,0,COUNTIF(Transect5_imgsummary!E5:I5,"DIPLO")*100/P5)</f>
        <v>0</v>
      </c>
      <c r="AD5">
        <f>IF(P5=0,0,COUNTIF(Transect5_imgsummary!E5:I5,"ECHPO")*100/P5)</f>
        <v>0</v>
      </c>
      <c r="AE5">
        <f>IF(P5=0,0,COUNTIF(Transect5_imgsummary!E5:I5,"ECHPHY")*100/P5)</f>
        <v>0</v>
      </c>
      <c r="AF5">
        <f>IF(P5=0,0,COUNTIF(Transect5_imgsummary!E5:I5,"EUPH")*100/P5)</f>
        <v>0</v>
      </c>
      <c r="AG5">
        <f>IF(P5=0,0,COUNTIF(Transect5_imgsummary!E5:I5,"FAV")*100/P5)</f>
        <v>0</v>
      </c>
      <c r="AH5">
        <f>IF(P5=0,0,COUNTIF(Transect5_imgsummary!E5:I5,"FAVT")*100/P5)</f>
        <v>0</v>
      </c>
      <c r="AI5">
        <f>IF(P5=0,0,COUNTIF(Transect5_imgsummary!E5:I5,"FUNG")*100/P5)</f>
        <v>0</v>
      </c>
      <c r="AJ5">
        <f>IF(P5=0,0,COUNTIF(Transect5_imgsummary!E5:I5,"GAL")*100/P5)</f>
        <v>0</v>
      </c>
      <c r="AK5">
        <f>IF(P5=0,0,COUNTIF(Transect5_imgsummary!E5:I5,"GARD")*100/P5)</f>
        <v>0</v>
      </c>
      <c r="AL5">
        <f>IF(P5=0,0,COUNTIF(Transect5_imgsummary!E5:I5,"GON")*100/P5)</f>
        <v>0</v>
      </c>
      <c r="AM5">
        <f>IF(P5=0,0,COUNTIF(Transect5_imgsummary!E5:I5,"GONIO")*100/P5)</f>
        <v>0</v>
      </c>
      <c r="AN5">
        <f>IF(P5=0,0,COUNTIF(Transect5_imgsummary!E5:I5,"HELIO")*100/P5)</f>
        <v>0</v>
      </c>
      <c r="AO5">
        <f>IF(P5=0,0,COUNTIF(Transect5_imgsummary!E5:I5,"HERP")*100/P5)</f>
        <v>0</v>
      </c>
      <c r="AP5">
        <f>IF(P5=0,0,COUNTIF(Transect5_imgsummary!E5:I5,"HYD")*100/P5)</f>
        <v>0</v>
      </c>
      <c r="AQ5">
        <f>IF(P5=0,0,COUNTIF(Transect5_imgsummary!E5:I5,"ISOP")*100/P5)</f>
        <v>0</v>
      </c>
      <c r="AR5">
        <f>IF(P5=0,0,COUNTIF(Transect5_imgsummary!E5:I5,"LEPT")*100/P5)</f>
        <v>0</v>
      </c>
      <c r="AS5" s="29">
        <f>IF(P5=0,0,COUNTIF(Transect5_imgsummary!E5:I5,"LEPTOR")*100/P5)</f>
        <v>20</v>
      </c>
      <c r="AT5">
        <f>IF(P5=0,0,COUNTIF(Transect5_imgsummary!E5:I5,"LEPTOS")*100/P5)</f>
        <v>0</v>
      </c>
      <c r="AU5">
        <f>IF(P5=0,0,COUNTIF(Transect5_imgsummary!E5:I5,"LOBOPH")*100/P5)</f>
        <v>0</v>
      </c>
      <c r="AV5" s="29">
        <f>IF(P5=0,0,COUNTIF(Transect5_imgsummary!E5:I5,"MERU")*100/P5)</f>
        <v>20</v>
      </c>
      <c r="AW5">
        <f>IF(P5=0,0,COUNTIF(Transect5_imgsummary!E5:I5,"MILL")*100/P5)</f>
        <v>0</v>
      </c>
      <c r="AX5">
        <f>IF(P5=0,0,COUNTIF(Transect5_imgsummary!E5:I5,"MONT")*100/P5)</f>
        <v>0</v>
      </c>
      <c r="AY5">
        <f>IF(P5=0,0,COUNTIF(Transect5_imgsummary!E5:I5,"MONTI")*100/P5)</f>
        <v>0</v>
      </c>
      <c r="AZ5">
        <f>IF(P5=0,0,COUNTIF(Transect5_imgsummary!E5:I5,"MYCED")*100/P5)</f>
        <v>0</v>
      </c>
      <c r="BA5">
        <f>IF(P5=0,0,COUNTIF(Transect5_imgsummary!E5:I5,"OULO")*100/P5)</f>
        <v>0</v>
      </c>
      <c r="BB5">
        <f>IF(P5=0,0,COUNTIF(Transect5_imgsummary!E5:I5,"OXYP")*100/P5)</f>
        <v>0</v>
      </c>
      <c r="BC5">
        <f>IF(P5=0,0,COUNTIF(Transect5_imgsummary!E5:I5,"PLSIA")*100/P5)</f>
        <v>0</v>
      </c>
      <c r="BD5">
        <f>IF(P5=0,0,COUNTIF(Transect5_imgsummary!E5:I5,"PACHY")*100/P5)</f>
        <v>0</v>
      </c>
      <c r="BE5">
        <f>IF(P5=0,0,COUNTIF(Transect5_imgsummary!E5:I5,"PAV")*100/P5)</f>
        <v>0</v>
      </c>
      <c r="BF5">
        <f>IF(P5=0,0,COUNTIF(Transect5_imgsummary!E5:I5,"PECT")*100/P5)</f>
        <v>0</v>
      </c>
      <c r="BG5">
        <f>IF(P5=0,0,COUNTIF(Transect5_imgsummary!E5:I5,"PHYSO")*100/P5)</f>
        <v>0</v>
      </c>
      <c r="BH5">
        <f>IF(P5=0,0,COUNTIF(Transect5_imgsummary!E5:I5,"PLAT")*100/P5)</f>
        <v>0</v>
      </c>
      <c r="BI5">
        <f>IF(P5=0,0,COUNTIF(Transect5_imgsummary!E5:I5,"PLERO")*100/P5)</f>
        <v>0</v>
      </c>
      <c r="BJ5">
        <f>IF(P5=0,0,COUNTIF(Transect5_imgsummary!E5:I5,"POC")*100/P5)</f>
        <v>0</v>
      </c>
      <c r="BK5">
        <f>IF(P5=0,0,COUNTIF(Transect5_imgsummary!E5:I5,"POR")*100/P5)</f>
        <v>0</v>
      </c>
      <c r="BL5">
        <f>IF(P5=0,0,COUNTIF(Transect5_imgsummary!E5:I5,"PORCYL")*100/P5)</f>
        <v>0</v>
      </c>
      <c r="BM5">
        <f>IF(P5=0,0,COUNTIF(Transect5_imgsummary!E5:I5,"PORMAS")*100/P5)</f>
        <v>0</v>
      </c>
      <c r="BN5">
        <f>IF(P5=0,0,COUNTIF(Transect5_imgsummary!E5:I5,"PORRUS")*100/P5)</f>
        <v>0</v>
      </c>
      <c r="BO5">
        <f>IF(P5=0,0,COUNTIF(Transect5_imgsummary!E5:I5,"PSAM")*100/P5)</f>
        <v>0</v>
      </c>
      <c r="BP5">
        <f>IF(P5=0,0,COUNTIF(Transect5_imgsummary!E5:I5,"SANDO")*100/P5)</f>
        <v>0</v>
      </c>
      <c r="BQ5">
        <f>IF(P5=0,0,COUNTIF(Transect5_imgsummary!E5:I5,"SCAP")*100/P5)</f>
        <v>0</v>
      </c>
      <c r="BR5">
        <f>IF(P5=0,0,COUNTIF(Transect5_imgsummary!E5:I5,"SERIA")*100/P5)</f>
        <v>0</v>
      </c>
      <c r="BS5">
        <f>IF(P5=0,0,COUNTIF(Transect5_imgsummary!E5:I5,"STYLC")*100/P5)</f>
        <v>0</v>
      </c>
      <c r="BT5">
        <f>IF(P5=0,0,COUNTIF(Transect5_imgsummary!E5:I5,"STYLO")*100/P5)</f>
        <v>0</v>
      </c>
      <c r="BU5">
        <f>IF(P5=0,0,COUNTIF(Transect5_imgsummary!E5:I5,"SYMP")*100/P5)</f>
        <v>0</v>
      </c>
      <c r="BV5">
        <f>IF(P5=0,0,COUNTIF(Transect5_imgsummary!E5:I5,"TURBIN")*100/P5)</f>
        <v>0</v>
      </c>
      <c r="BX5">
        <f>IF(P5=0,0,COUNTIF(Transect5_imgsummary!E5:I5,"ANEM")*100/P5)</f>
        <v>0</v>
      </c>
      <c r="BY5">
        <f>IF(P5=0,0,COUNTIF(Transect5_imgsummary!E5:I5,"ASC")*100/P5)</f>
        <v>0</v>
      </c>
      <c r="BZ5">
        <f>IF(P5=0,0,COUNTIF(Transect5_imgsummary!E5:I5,"CUPS")*100/P5)</f>
        <v>0</v>
      </c>
      <c r="CA5">
        <f>IF(P5=0,0,COUNTIF(Transect5_imgsummary!E5:I5,"DISCO")*100/P5)</f>
        <v>0</v>
      </c>
      <c r="CB5">
        <f>IF(P5=0,0,COUNTIF(Transect5_imgsummary!E5:I5,"DYS")*100/P5)</f>
        <v>0</v>
      </c>
      <c r="CC5">
        <f>IF(P5=0,0,COUNTIF(Transect5_imgsummary!E5:I5,"G")*100/P5)</f>
        <v>0</v>
      </c>
      <c r="CD5">
        <f>IF(P5=0,0,COUNTIF(Transect5_imgsummary!E5:I5,"NoIDINV")*100/P5)</f>
        <v>0</v>
      </c>
      <c r="CE5">
        <f>IF(P5=0,0,COUNTIF(Transect5_imgsummary!E5:I5,"OLV")*100/P5)</f>
        <v>0</v>
      </c>
      <c r="CF5">
        <f>IF(P5=0,0,COUNTIF(Transect5_imgsummary!E5:I5,"SC")*100/P5)</f>
        <v>0</v>
      </c>
      <c r="CG5">
        <f>IF(P5=0,0,COUNTIF(Transect5_imgsummary!E5:I5,"S")*100/P5)</f>
        <v>0</v>
      </c>
      <c r="CH5">
        <f>IF(P5=0,0,COUNTIF(Transect5_imgsummary!E5:I5,"TERPS")*100/P5)</f>
        <v>0</v>
      </c>
      <c r="CI5">
        <f>IF(P5=0,0,COUNTIF(Transect5_imgsummary!E5:I5,"Z")*100/P5)</f>
        <v>0</v>
      </c>
      <c r="CK5">
        <f>IF(P5=0,0,COUNTIF(Transect5_imgsummary!E5:I5,"ASP")*100/P5)</f>
        <v>0</v>
      </c>
      <c r="CL5">
        <f>IF(P5=0,0,COUNTIF(Transect5_imgsummary!E5:I5,"BG")*100/P5)</f>
        <v>0</v>
      </c>
      <c r="CM5">
        <f>IF(P5=0,0,COUNTIF(Transect5_imgsummary!E5:I5,"Bood")*100/P5)</f>
        <v>0</v>
      </c>
      <c r="CN5">
        <f>IF(P5=0,0,COUNTIF(Transect5_imgsummary!E5:I5,"BRYP")*100/P5)</f>
        <v>0</v>
      </c>
      <c r="CO5">
        <f>IF(P5=0,0,COUNTIF(Transect5_imgsummary!E5:I5,"CLP")*100/P5)</f>
        <v>0</v>
      </c>
      <c r="CP5">
        <f>IF(P5=0,0,COUNTIF(Transect5_imgsummary!E5:I5,"CHLDES")*100/P5)</f>
        <v>0</v>
      </c>
      <c r="CQ5">
        <f>IF(P5=0,0,COUNTIF(Transect5_imgsummary!E5:I5,"DYCTY")*100/P5)</f>
        <v>0</v>
      </c>
      <c r="CR5">
        <f>IF(P5=0,0,COUNTIF(Transect5_imgsummary!E5:I5,"DICT")*100/P5)</f>
        <v>0</v>
      </c>
      <c r="CS5">
        <f>IF(P5=0,0,COUNTIF(Transect5_imgsummary!E5:I5,"GLXU")*100/P5)</f>
        <v>0</v>
      </c>
      <c r="CT5">
        <f>IF(P5=0,0,COUNTIF(Transect5_imgsummary!E5:I5,"HALI")*100/P5)</f>
        <v>0</v>
      </c>
      <c r="CU5">
        <f>IF(P5=0,0,COUNTIF(Transect5_imgsummary!E5:I5,"LIAG")*100/P5)</f>
        <v>0</v>
      </c>
      <c r="CV5">
        <f>IF(P5=0,0,COUNTIF(Transect5_imgsummary!E5:I5,"LOBO")*100/P5)</f>
        <v>0</v>
      </c>
      <c r="CW5">
        <f>IF(P5=0,0,COUNTIF(Transect5_imgsummary!E5:I5,"MAST")*100/P5)</f>
        <v>0</v>
      </c>
      <c r="CX5">
        <f>IF(P5=0,0,COUNTIF(Transect5_imgsummary!E5:I5,"MICDTY")*100/P5)</f>
        <v>0</v>
      </c>
      <c r="CY5">
        <f>IF(P5=0,0,COUNTIF(Transect5_imgsummary!E5:I5,"NEOM")*100/P5)</f>
        <v>0</v>
      </c>
      <c r="CZ5">
        <f>IF(P5=0,0,COUNTIF(Transect5_imgsummary!E5:I5,"NOIDMAC")*100/P5)</f>
        <v>0</v>
      </c>
      <c r="DA5">
        <f>IF(P5=0,0,COUNTIF(Transect5_imgsummary!E5:I5,"PAD")*100/P5)</f>
        <v>0</v>
      </c>
      <c r="DB5">
        <f>IF(P5=0,0,COUNTIF(Transect5_imgsummary!E5:I5,"SARG")*100/P5)</f>
        <v>0</v>
      </c>
      <c r="DC5">
        <f>IF(P5=0,0,COUNTIF(Transect5_imgsummary!E5:I5,"SCHIZ")*100/P5)</f>
        <v>0</v>
      </c>
      <c r="DD5">
        <f>IF(P5=0,0,COUNTIF(Transect5_imgsummary!E5:I5,"TURB")*100/P5)</f>
        <v>0</v>
      </c>
      <c r="DE5">
        <f>IF(P5=0,0,COUNTIF(Transect5_imgsummary!E5:I5,"TYDM")*100/P5)</f>
        <v>0</v>
      </c>
      <c r="DG5">
        <f>IF(P5=0,0,COUNTIF(Transect5_imgsummary!E5:I5,"AMP")*100/P5)</f>
        <v>0</v>
      </c>
      <c r="DH5">
        <f>IF(P5=0,0,COUNTIF(Transect5_imgsummary!E5:I5,"BCA1")*100/P5)</f>
        <v>0</v>
      </c>
      <c r="DI5">
        <f>IF(P5=0,0,COUNTIF(Transect5_imgsummary!E5:I5,"JAN")*100/P5)</f>
        <v>0</v>
      </c>
      <c r="DK5" s="29">
        <f>IF(P5=0,0,COUNTIF(Transect5_imgsummary!E5:I5,"CCA1")*100/P5)</f>
        <v>40</v>
      </c>
      <c r="DM5">
        <f>IF(P5=0,0,COUNTIF(Transect5_imgsummary!E5:I5,"Sand")*100/P5)</f>
        <v>0</v>
      </c>
      <c r="DO5">
        <f>IF(P5=0,0,COUNTIF(Transect5_imgsummary!E5:I5,"FCA1")*100/P5)</f>
        <v>0</v>
      </c>
      <c r="DQ5">
        <f>IF(P5=0,0,COUNTIF(Transect5_imgsummary!E5:I5,"CHRYOBRN")*100/P5)</f>
        <v>0</v>
      </c>
      <c r="DS5" s="29">
        <f>IF(P5=0,0,COUNTIF(Transect5_imgsummary!E5:I5,"TURF")*100/P5)</f>
        <v>20</v>
      </c>
      <c r="DU5">
        <f>COUNTIF(Transect5_imgsummary!E5:I5,"Shadow")*100/5</f>
        <v>0</v>
      </c>
      <c r="DV5">
        <f>COUNTIF(Transect5_imgsummary!E5:I5,"Tape")*100/5</f>
        <v>0</v>
      </c>
      <c r="DW5">
        <f>COUNTIF(Transect5_imgsummary!E5:I5,"Wand")*100/5</f>
        <v>0</v>
      </c>
      <c r="DY5">
        <f>IF(P5=0,0,COUNTIF(Transect5_imgsummary!O5:S5,"BC")*100/P5)</f>
        <v>0</v>
      </c>
    </row>
    <row r="6" spans="1:129">
      <c r="A6">
        <v>4</v>
      </c>
      <c r="B6" t="s">
        <v>601</v>
      </c>
      <c r="F6" s="29">
        <f>IF(P6=0,0,COUNTIF(Transect5_imgsummary!J6:N6,"C")*100/P6)</f>
        <v>60</v>
      </c>
      <c r="G6">
        <f>IF(P6=0,0,COUNTIF(Transect5_imgsummary!J6:N6,"OI")*100/P6)</f>
        <v>0</v>
      </c>
      <c r="H6">
        <f>IF(P6=0,0,COUNTIF(Transect5_imgsummary!J6:N6,"MA")*100/P6)</f>
        <v>0</v>
      </c>
      <c r="I6">
        <f>IF(P6=0,0,COUNTIF(Transect5_imgsummary!J6:N6,"BCA")*100/P6)</f>
        <v>0</v>
      </c>
      <c r="J6" s="29">
        <f>IF(P6=0,0,COUNTIF(Transect5_imgsummary!J6:N6,"CCA")*100/P6)</f>
        <v>40</v>
      </c>
      <c r="K6">
        <f>IF(P6=0,0,COUNTIF(Transect5_imgsummary!J6:N6,"SD")*100/P6)</f>
        <v>0</v>
      </c>
      <c r="L6">
        <f>IF(P6=0,0,COUNTIF(Transect5_imgsummary!J6:N6,"FCA")*100/P6)</f>
        <v>0</v>
      </c>
      <c r="M6">
        <f>IF(P6=0,0,COUNTIF(Transect5_imgsummary!J6:N6,"CHRYS")*100/P6)</f>
        <v>0</v>
      </c>
      <c r="N6">
        <f>IF(P6=0,0,COUNTIF(Transect5_imgsummary!J6:N6,"T")*100/P6)</f>
        <v>0</v>
      </c>
      <c r="O6">
        <f>IF(P6=0,0,COUNTIF(Transect5_imgsummary!J6:N6,"TWS")*100/P6)</f>
        <v>0</v>
      </c>
      <c r="P6">
        <f>5-COUNTIF(Transect5_imgsummary!J6:N6,"TWS")</f>
        <v>5</v>
      </c>
      <c r="S6">
        <f>IF(P6=0,0,COUNTIF(Transect5_imgsummary!E6:I6,"ACAN")*100/P6)</f>
        <v>0</v>
      </c>
      <c r="T6">
        <f>IF(P6=0,0,COUNTIF(Transect5_imgsummary!E6:I6,"ACROP")*100/P6)</f>
        <v>0</v>
      </c>
      <c r="U6">
        <f>IF(P6=0,0,COUNTIF(Transect5_imgsummary!E6:I6,"ACROPARB")*100/P6)</f>
        <v>0</v>
      </c>
      <c r="V6">
        <f>IF(P6=0,0,COUNTIF(Transect5_imgsummary!E6:I6,"ACROST")*100/P6)</f>
        <v>0</v>
      </c>
      <c r="W6">
        <f>IF(P6=0,0,COUNTIF(Transect5_imgsummary!E6:I6,"ACROTBL")*100/P6)</f>
        <v>0</v>
      </c>
      <c r="X6">
        <f>IF(P6=0,0,COUNTIF(Transect5_imgsummary!E6:I6,"ASTRP")*100/P6)</f>
        <v>0</v>
      </c>
      <c r="Y6">
        <f>IF(P6=0,0,COUNTIF(Transect5_imgsummary!E6:I6,"CAUL")*100/P6)</f>
        <v>0</v>
      </c>
      <c r="Z6">
        <f>IF(P6=0,0,COUNTIF(Transect5_imgsummary!E6:I6,"COSC")*100/P6)</f>
        <v>0</v>
      </c>
      <c r="AA6">
        <f>IF(P6=0,0,COUNTIF(Transect5_imgsummary!E6:I6,"CTEN")*100/P6)</f>
        <v>0</v>
      </c>
      <c r="AB6">
        <f>IF(P6=0,0,COUNTIF(Transect5_imgsummary!E6:I6,"CYPH")*100/P6)</f>
        <v>0</v>
      </c>
      <c r="AC6">
        <f>IF(P6=0,0,COUNTIF(Transect5_imgsummary!E6:I6,"DIPLO")*100/P6)</f>
        <v>0</v>
      </c>
      <c r="AD6" s="29">
        <f>IF(P6=0,0,COUNTIF(Transect5_imgsummary!E6:I6,"ECHPO")*100/P6)</f>
        <v>20</v>
      </c>
      <c r="AE6">
        <f>IF(P6=0,0,COUNTIF(Transect5_imgsummary!E6:I6,"ECHPHY")*100/P6)</f>
        <v>0</v>
      </c>
      <c r="AF6">
        <f>IF(P6=0,0,COUNTIF(Transect5_imgsummary!E6:I6,"EUPH")*100/P6)</f>
        <v>0</v>
      </c>
      <c r="AG6">
        <f>IF(P6=0,0,COUNTIF(Transect5_imgsummary!E6:I6,"FAV")*100/P6)</f>
        <v>0</v>
      </c>
      <c r="AH6">
        <f>IF(P6=0,0,COUNTIF(Transect5_imgsummary!E6:I6,"FAVT")*100/P6)</f>
        <v>0</v>
      </c>
      <c r="AI6">
        <f>IF(P6=0,0,COUNTIF(Transect5_imgsummary!E6:I6,"FUNG")*100/P6)</f>
        <v>0</v>
      </c>
      <c r="AJ6">
        <f>IF(P6=0,0,COUNTIF(Transect5_imgsummary!E6:I6,"GAL")*100/P6)</f>
        <v>0</v>
      </c>
      <c r="AK6">
        <f>IF(P6=0,0,COUNTIF(Transect5_imgsummary!E6:I6,"GARD")*100/P6)</f>
        <v>0</v>
      </c>
      <c r="AL6" s="29">
        <f>IF(P6=0,0,COUNTIF(Transect5_imgsummary!E6:I6,"GON")*100/P6)</f>
        <v>20</v>
      </c>
      <c r="AM6">
        <f>IF(P6=0,0,COUNTIF(Transect5_imgsummary!E6:I6,"GONIO")*100/P6)</f>
        <v>0</v>
      </c>
      <c r="AN6">
        <f>IF(P6=0,0,COUNTIF(Transect5_imgsummary!E6:I6,"HELIO")*100/P6)</f>
        <v>0</v>
      </c>
      <c r="AO6">
        <f>IF(P6=0,0,COUNTIF(Transect5_imgsummary!E6:I6,"HERP")*100/P6)</f>
        <v>0</v>
      </c>
      <c r="AP6">
        <f>IF(P6=0,0,COUNTIF(Transect5_imgsummary!E6:I6,"HYD")*100/P6)</f>
        <v>0</v>
      </c>
      <c r="AQ6">
        <f>IF(P6=0,0,COUNTIF(Transect5_imgsummary!E6:I6,"ISOP")*100/P6)</f>
        <v>0</v>
      </c>
      <c r="AR6">
        <f>IF(P6=0,0,COUNTIF(Transect5_imgsummary!E6:I6,"LEPT")*100/P6)</f>
        <v>0</v>
      </c>
      <c r="AS6">
        <f>IF(P6=0,0,COUNTIF(Transect5_imgsummary!E6:I6,"LEPTOR")*100/P6)</f>
        <v>0</v>
      </c>
      <c r="AT6">
        <f>IF(P6=0,0,COUNTIF(Transect5_imgsummary!E6:I6,"LEPTOS")*100/P6)</f>
        <v>0</v>
      </c>
      <c r="AU6">
        <f>IF(P6=0,0,COUNTIF(Transect5_imgsummary!E6:I6,"LOBOPH")*100/P6)</f>
        <v>0</v>
      </c>
      <c r="AV6">
        <f>IF(P6=0,0,COUNTIF(Transect5_imgsummary!E6:I6,"MERU")*100/P6)</f>
        <v>0</v>
      </c>
      <c r="AW6">
        <f>IF(P6=0,0,COUNTIF(Transect5_imgsummary!E6:I6,"MILL")*100/P6)</f>
        <v>0</v>
      </c>
      <c r="AX6">
        <f>IF(P6=0,0,COUNTIF(Transect5_imgsummary!E6:I6,"MONT")*100/P6)</f>
        <v>0</v>
      </c>
      <c r="AY6">
        <f>IF(P6=0,0,COUNTIF(Transect5_imgsummary!E6:I6,"MONTI")*100/P6)</f>
        <v>0</v>
      </c>
      <c r="AZ6">
        <f>IF(P6=0,0,COUNTIF(Transect5_imgsummary!E6:I6,"MYCED")*100/P6)</f>
        <v>0</v>
      </c>
      <c r="BA6">
        <f>IF(P6=0,0,COUNTIF(Transect5_imgsummary!E6:I6,"OULO")*100/P6)</f>
        <v>0</v>
      </c>
      <c r="BB6">
        <f>IF(P6=0,0,COUNTIF(Transect5_imgsummary!E6:I6,"OXYP")*100/P6)</f>
        <v>0</v>
      </c>
      <c r="BC6">
        <f>IF(P6=0,0,COUNTIF(Transect5_imgsummary!E6:I6,"PLSIA")*100/P6)</f>
        <v>0</v>
      </c>
      <c r="BD6">
        <f>IF(P6=0,0,COUNTIF(Transect5_imgsummary!E6:I6,"PACHY")*100/P6)</f>
        <v>0</v>
      </c>
      <c r="BE6">
        <f>IF(P6=0,0,COUNTIF(Transect5_imgsummary!E6:I6,"PAV")*100/P6)</f>
        <v>0</v>
      </c>
      <c r="BF6">
        <f>IF(P6=0,0,COUNTIF(Transect5_imgsummary!E6:I6,"PECT")*100/P6)</f>
        <v>0</v>
      </c>
      <c r="BG6">
        <f>IF(P6=0,0,COUNTIF(Transect5_imgsummary!E6:I6,"PHYSO")*100/P6)</f>
        <v>0</v>
      </c>
      <c r="BH6">
        <f>IF(P6=0,0,COUNTIF(Transect5_imgsummary!E6:I6,"PLAT")*100/P6)</f>
        <v>0</v>
      </c>
      <c r="BI6">
        <f>IF(P6=0,0,COUNTIF(Transect5_imgsummary!E6:I6,"PLERO")*100/P6)</f>
        <v>0</v>
      </c>
      <c r="BJ6">
        <f>IF(P6=0,0,COUNTIF(Transect5_imgsummary!E6:I6,"POC")*100/P6)</f>
        <v>0</v>
      </c>
      <c r="BK6">
        <f>IF(P6=0,0,COUNTIF(Transect5_imgsummary!E6:I6,"POR")*100/P6)</f>
        <v>0</v>
      </c>
      <c r="BL6">
        <f>IF(P6=0,0,COUNTIF(Transect5_imgsummary!E6:I6,"PORCYL")*100/P6)</f>
        <v>0</v>
      </c>
      <c r="BM6">
        <f>IF(P6=0,0,COUNTIF(Transect5_imgsummary!E6:I6,"PORMAS")*100/P6)</f>
        <v>0</v>
      </c>
      <c r="BN6">
        <f>IF(P6=0,0,COUNTIF(Transect5_imgsummary!E6:I6,"PORRUS")*100/P6)</f>
        <v>0</v>
      </c>
      <c r="BO6">
        <f>IF(P6=0,0,COUNTIF(Transect5_imgsummary!E6:I6,"PSAM")*100/P6)</f>
        <v>0</v>
      </c>
      <c r="BP6">
        <f>IF(P6=0,0,COUNTIF(Transect5_imgsummary!E6:I6,"SANDO")*100/P6)</f>
        <v>0</v>
      </c>
      <c r="BQ6">
        <f>IF(P6=0,0,COUNTIF(Transect5_imgsummary!E6:I6,"SCAP")*100/P6)</f>
        <v>0</v>
      </c>
      <c r="BR6">
        <f>IF(P6=0,0,COUNTIF(Transect5_imgsummary!E6:I6,"SERIA")*100/P6)</f>
        <v>0</v>
      </c>
      <c r="BS6">
        <f>IF(P6=0,0,COUNTIF(Transect5_imgsummary!E6:I6,"STYLC")*100/P6)</f>
        <v>0</v>
      </c>
      <c r="BT6" s="29">
        <f>IF(P6=0,0,COUNTIF(Transect5_imgsummary!E6:I6,"STYLO")*100/P6)</f>
        <v>20</v>
      </c>
      <c r="BU6">
        <f>IF(P6=0,0,COUNTIF(Transect5_imgsummary!E6:I6,"SYMP")*100/P6)</f>
        <v>0</v>
      </c>
      <c r="BV6">
        <f>IF(P6=0,0,COUNTIF(Transect5_imgsummary!E6:I6,"TURBIN")*100/P6)</f>
        <v>0</v>
      </c>
      <c r="BX6">
        <f>IF(P6=0,0,COUNTIF(Transect5_imgsummary!E6:I6,"ANEM")*100/P6)</f>
        <v>0</v>
      </c>
      <c r="BY6">
        <f>IF(P6=0,0,COUNTIF(Transect5_imgsummary!E6:I6,"ASC")*100/P6)</f>
        <v>0</v>
      </c>
      <c r="BZ6">
        <f>IF(P6=0,0,COUNTIF(Transect5_imgsummary!E6:I6,"CUPS")*100/P6)</f>
        <v>0</v>
      </c>
      <c r="CA6">
        <f>IF(P6=0,0,COUNTIF(Transect5_imgsummary!E6:I6,"DISCO")*100/P6)</f>
        <v>0</v>
      </c>
      <c r="CB6">
        <f>IF(P6=0,0,COUNTIF(Transect5_imgsummary!E6:I6,"DYS")*100/P6)</f>
        <v>0</v>
      </c>
      <c r="CC6">
        <f>IF(P6=0,0,COUNTIF(Transect5_imgsummary!E6:I6,"G")*100/P6)</f>
        <v>0</v>
      </c>
      <c r="CD6">
        <f>IF(P6=0,0,COUNTIF(Transect5_imgsummary!E6:I6,"NoIDINV")*100/P6)</f>
        <v>0</v>
      </c>
      <c r="CE6">
        <f>IF(P6=0,0,COUNTIF(Transect5_imgsummary!E6:I6,"OLV")*100/P6)</f>
        <v>0</v>
      </c>
      <c r="CF6">
        <f>IF(P6=0,0,COUNTIF(Transect5_imgsummary!E6:I6,"SC")*100/P6)</f>
        <v>0</v>
      </c>
      <c r="CG6">
        <f>IF(P6=0,0,COUNTIF(Transect5_imgsummary!E6:I6,"S")*100/P6)</f>
        <v>0</v>
      </c>
      <c r="CH6">
        <f>IF(P6=0,0,COUNTIF(Transect5_imgsummary!E6:I6,"TERPS")*100/P6)</f>
        <v>0</v>
      </c>
      <c r="CI6">
        <f>IF(P6=0,0,COUNTIF(Transect5_imgsummary!E6:I6,"Z")*100/P6)</f>
        <v>0</v>
      </c>
      <c r="CK6">
        <f>IF(P6=0,0,COUNTIF(Transect5_imgsummary!E6:I6,"ASP")*100/P6)</f>
        <v>0</v>
      </c>
      <c r="CL6">
        <f>IF(P6=0,0,COUNTIF(Transect5_imgsummary!E6:I6,"BG")*100/P6)</f>
        <v>0</v>
      </c>
      <c r="CM6">
        <f>IF(P6=0,0,COUNTIF(Transect5_imgsummary!E6:I6,"Bood")*100/P6)</f>
        <v>0</v>
      </c>
      <c r="CN6">
        <f>IF(P6=0,0,COUNTIF(Transect5_imgsummary!E6:I6,"BRYP")*100/P6)</f>
        <v>0</v>
      </c>
      <c r="CO6">
        <f>IF(P6=0,0,COUNTIF(Transect5_imgsummary!E6:I6,"CLP")*100/P6)</f>
        <v>0</v>
      </c>
      <c r="CP6">
        <f>IF(P6=0,0,COUNTIF(Transect5_imgsummary!E6:I6,"CHLDES")*100/P6)</f>
        <v>0</v>
      </c>
      <c r="CQ6">
        <f>IF(P6=0,0,COUNTIF(Transect5_imgsummary!E6:I6,"DYCTY")*100/P6)</f>
        <v>0</v>
      </c>
      <c r="CR6">
        <f>IF(P6=0,0,COUNTIF(Transect5_imgsummary!E6:I6,"DICT")*100/P6)</f>
        <v>0</v>
      </c>
      <c r="CS6">
        <f>IF(P6=0,0,COUNTIF(Transect5_imgsummary!E6:I6,"GLXU")*100/P6)</f>
        <v>0</v>
      </c>
      <c r="CT6">
        <f>IF(P6=0,0,COUNTIF(Transect5_imgsummary!E6:I6,"HALI")*100/P6)</f>
        <v>0</v>
      </c>
      <c r="CU6">
        <f>IF(P6=0,0,COUNTIF(Transect5_imgsummary!E6:I6,"LIAG")*100/P6)</f>
        <v>0</v>
      </c>
      <c r="CV6">
        <f>IF(P6=0,0,COUNTIF(Transect5_imgsummary!E6:I6,"LOBO")*100/P6)</f>
        <v>0</v>
      </c>
      <c r="CW6">
        <f>IF(P6=0,0,COUNTIF(Transect5_imgsummary!E6:I6,"MAST")*100/P6)</f>
        <v>0</v>
      </c>
      <c r="CX6">
        <f>IF(P6=0,0,COUNTIF(Transect5_imgsummary!E6:I6,"MICDTY")*100/P6)</f>
        <v>0</v>
      </c>
      <c r="CY6">
        <f>IF(P6=0,0,COUNTIF(Transect5_imgsummary!E6:I6,"NEOM")*100/P6)</f>
        <v>0</v>
      </c>
      <c r="CZ6">
        <f>IF(P6=0,0,COUNTIF(Transect5_imgsummary!E6:I6,"NOIDMAC")*100/P6)</f>
        <v>0</v>
      </c>
      <c r="DA6">
        <f>IF(P6=0,0,COUNTIF(Transect5_imgsummary!E6:I6,"PAD")*100/P6)</f>
        <v>0</v>
      </c>
      <c r="DB6">
        <f>IF(P6=0,0,COUNTIF(Transect5_imgsummary!E6:I6,"SARG")*100/P6)</f>
        <v>0</v>
      </c>
      <c r="DC6">
        <f>IF(P6=0,0,COUNTIF(Transect5_imgsummary!E6:I6,"SCHIZ")*100/P6)</f>
        <v>0</v>
      </c>
      <c r="DD6">
        <f>IF(P6=0,0,COUNTIF(Transect5_imgsummary!E6:I6,"TURB")*100/P6)</f>
        <v>0</v>
      </c>
      <c r="DE6">
        <f>IF(P6=0,0,COUNTIF(Transect5_imgsummary!E6:I6,"TYDM")*100/P6)</f>
        <v>0</v>
      </c>
      <c r="DG6">
        <f>IF(P6=0,0,COUNTIF(Transect5_imgsummary!E6:I6,"AMP")*100/P6)</f>
        <v>0</v>
      </c>
      <c r="DH6">
        <f>IF(P6=0,0,COUNTIF(Transect5_imgsummary!E6:I6,"BCA1")*100/P6)</f>
        <v>0</v>
      </c>
      <c r="DI6">
        <f>IF(P6=0,0,COUNTIF(Transect5_imgsummary!E6:I6,"JAN")*100/P6)</f>
        <v>0</v>
      </c>
      <c r="DK6" s="29">
        <f>IF(P6=0,0,COUNTIF(Transect5_imgsummary!E6:I6,"CCA1")*100/P6)</f>
        <v>40</v>
      </c>
      <c r="DM6">
        <f>IF(P6=0,0,COUNTIF(Transect5_imgsummary!E6:I6,"Sand")*100/P6)</f>
        <v>0</v>
      </c>
      <c r="DO6">
        <f>IF(P6=0,0,COUNTIF(Transect5_imgsummary!E6:I6,"FCA1")*100/P6)</f>
        <v>0</v>
      </c>
      <c r="DQ6">
        <f>IF(P6=0,0,COUNTIF(Transect5_imgsummary!E6:I6,"CHRYOBRN")*100/P6)</f>
        <v>0</v>
      </c>
      <c r="DS6">
        <f>IF(P6=0,0,COUNTIF(Transect5_imgsummary!E6:I6,"TURF")*100/P6)</f>
        <v>0</v>
      </c>
      <c r="DU6">
        <f>COUNTIF(Transect5_imgsummary!E6:I6,"Shadow")*100/5</f>
        <v>0</v>
      </c>
      <c r="DV6">
        <f>COUNTIF(Transect5_imgsummary!E6:I6,"Tape")*100/5</f>
        <v>0</v>
      </c>
      <c r="DW6">
        <f>COUNTIF(Transect5_imgsummary!E6:I6,"Wand")*100/5</f>
        <v>0</v>
      </c>
      <c r="DY6">
        <f>IF(P6=0,0,COUNTIF(Transect5_imgsummary!O6:S6,"BC")*100/P6)</f>
        <v>0</v>
      </c>
    </row>
    <row r="7" spans="1:129">
      <c r="A7">
        <v>5</v>
      </c>
      <c r="B7" t="s">
        <v>602</v>
      </c>
      <c r="F7" s="29">
        <f>IF(P7=0,0,COUNTIF(Transect5_imgsummary!J7:N7,"C")*100/P7)</f>
        <v>60</v>
      </c>
      <c r="G7">
        <f>IF(P7=0,0,COUNTIF(Transect5_imgsummary!J7:N7,"OI")*100/P7)</f>
        <v>0</v>
      </c>
      <c r="H7">
        <f>IF(P7=0,0,COUNTIF(Transect5_imgsummary!J7:N7,"MA")*100/P7)</f>
        <v>0</v>
      </c>
      <c r="I7">
        <f>IF(P7=0,0,COUNTIF(Transect5_imgsummary!J7:N7,"BCA")*100/P7)</f>
        <v>0</v>
      </c>
      <c r="J7" s="29">
        <f>IF(P7=0,0,COUNTIF(Transect5_imgsummary!J7:N7,"CCA")*100/P7)</f>
        <v>40</v>
      </c>
      <c r="K7">
        <f>IF(P7=0,0,COUNTIF(Transect5_imgsummary!J7:N7,"SD")*100/P7)</f>
        <v>0</v>
      </c>
      <c r="L7">
        <f>IF(P7=0,0,COUNTIF(Transect5_imgsummary!J7:N7,"FCA")*100/P7)</f>
        <v>0</v>
      </c>
      <c r="M7">
        <f>IF(P7=0,0,COUNTIF(Transect5_imgsummary!J7:N7,"CHRYS")*100/P7)</f>
        <v>0</v>
      </c>
      <c r="N7">
        <f>IF(P7=0,0,COUNTIF(Transect5_imgsummary!J7:N7,"T")*100/P7)</f>
        <v>0</v>
      </c>
      <c r="O7">
        <f>IF(P7=0,0,COUNTIF(Transect5_imgsummary!J7:N7,"TWS")*100/P7)</f>
        <v>0</v>
      </c>
      <c r="P7">
        <f>5-COUNTIF(Transect5_imgsummary!J7:N7,"TWS")</f>
        <v>5</v>
      </c>
      <c r="S7">
        <f>IF(P7=0,0,COUNTIF(Transect5_imgsummary!E7:I7,"ACAN")*100/P7)</f>
        <v>0</v>
      </c>
      <c r="T7">
        <f>IF(P7=0,0,COUNTIF(Transect5_imgsummary!E7:I7,"ACROP")*100/P7)</f>
        <v>0</v>
      </c>
      <c r="U7">
        <f>IF(P7=0,0,COUNTIF(Transect5_imgsummary!E7:I7,"ACROPARB")*100/P7)</f>
        <v>0</v>
      </c>
      <c r="V7">
        <f>IF(P7=0,0,COUNTIF(Transect5_imgsummary!E7:I7,"ACROST")*100/P7)</f>
        <v>0</v>
      </c>
      <c r="W7">
        <f>IF(P7=0,0,COUNTIF(Transect5_imgsummary!E7:I7,"ACROTBL")*100/P7)</f>
        <v>0</v>
      </c>
      <c r="X7">
        <f>IF(P7=0,0,COUNTIF(Transect5_imgsummary!E7:I7,"ASTRP")*100/P7)</f>
        <v>0</v>
      </c>
      <c r="Y7">
        <f>IF(P7=0,0,COUNTIF(Transect5_imgsummary!E7:I7,"CAUL")*100/P7)</f>
        <v>0</v>
      </c>
      <c r="Z7">
        <f>IF(P7=0,0,COUNTIF(Transect5_imgsummary!E7:I7,"COSC")*100/P7)</f>
        <v>0</v>
      </c>
      <c r="AA7">
        <f>IF(P7=0,0,COUNTIF(Transect5_imgsummary!E7:I7,"CTEN")*100/P7)</f>
        <v>0</v>
      </c>
      <c r="AB7">
        <f>IF(P7=0,0,COUNTIF(Transect5_imgsummary!E7:I7,"CYPH")*100/P7)</f>
        <v>0</v>
      </c>
      <c r="AC7">
        <f>IF(P7=0,0,COUNTIF(Transect5_imgsummary!E7:I7,"DIPLO")*100/P7)</f>
        <v>0</v>
      </c>
      <c r="AD7">
        <f>IF(P7=0,0,COUNTIF(Transect5_imgsummary!E7:I7,"ECHPO")*100/P7)</f>
        <v>0</v>
      </c>
      <c r="AE7">
        <f>IF(P7=0,0,COUNTIF(Transect5_imgsummary!E7:I7,"ECHPHY")*100/P7)</f>
        <v>0</v>
      </c>
      <c r="AF7">
        <f>IF(P7=0,0,COUNTIF(Transect5_imgsummary!E7:I7,"EUPH")*100/P7)</f>
        <v>0</v>
      </c>
      <c r="AG7">
        <f>IF(P7=0,0,COUNTIF(Transect5_imgsummary!E7:I7,"FAV")*100/P7)</f>
        <v>0</v>
      </c>
      <c r="AH7">
        <f>IF(P7=0,0,COUNTIF(Transect5_imgsummary!E7:I7,"FAVT")*100/P7)</f>
        <v>0</v>
      </c>
      <c r="AI7">
        <f>IF(P7=0,0,COUNTIF(Transect5_imgsummary!E7:I7,"FUNG")*100/P7)</f>
        <v>0</v>
      </c>
      <c r="AJ7">
        <f>IF(P7=0,0,COUNTIF(Transect5_imgsummary!E7:I7,"GAL")*100/P7)</f>
        <v>0</v>
      </c>
      <c r="AK7">
        <f>IF(P7=0,0,COUNTIF(Transect5_imgsummary!E7:I7,"GARD")*100/P7)</f>
        <v>0</v>
      </c>
      <c r="AL7">
        <f>IF(P7=0,0,COUNTIF(Transect5_imgsummary!E7:I7,"GON")*100/P7)</f>
        <v>0</v>
      </c>
      <c r="AM7">
        <f>IF(P7=0,0,COUNTIF(Transect5_imgsummary!E7:I7,"GONIO")*100/P7)</f>
        <v>0</v>
      </c>
      <c r="AN7">
        <f>IF(P7=0,0,COUNTIF(Transect5_imgsummary!E7:I7,"HELIO")*100/P7)</f>
        <v>0</v>
      </c>
      <c r="AO7">
        <f>IF(P7=0,0,COUNTIF(Transect5_imgsummary!E7:I7,"HERP")*100/P7)</f>
        <v>0</v>
      </c>
      <c r="AP7">
        <f>IF(P7=0,0,COUNTIF(Transect5_imgsummary!E7:I7,"HYD")*100/P7)</f>
        <v>0</v>
      </c>
      <c r="AQ7">
        <f>IF(P7=0,0,COUNTIF(Transect5_imgsummary!E7:I7,"ISOP")*100/P7)</f>
        <v>0</v>
      </c>
      <c r="AR7">
        <f>IF(P7=0,0,COUNTIF(Transect5_imgsummary!E7:I7,"LEPT")*100/P7)</f>
        <v>0</v>
      </c>
      <c r="AS7">
        <f>IF(P7=0,0,COUNTIF(Transect5_imgsummary!E7:I7,"LEPTOR")*100/P7)</f>
        <v>0</v>
      </c>
      <c r="AT7">
        <f>IF(P7=0,0,COUNTIF(Transect5_imgsummary!E7:I7,"LEPTOS")*100/P7)</f>
        <v>0</v>
      </c>
      <c r="AU7">
        <f>IF(P7=0,0,COUNTIF(Transect5_imgsummary!E7:I7,"LOBOPH")*100/P7)</f>
        <v>0</v>
      </c>
      <c r="AV7" s="29">
        <f>IF(P7=0,0,COUNTIF(Transect5_imgsummary!E7:I7,"MERU")*100/P7)</f>
        <v>20</v>
      </c>
      <c r="AW7">
        <f>IF(P7=0,0,COUNTIF(Transect5_imgsummary!E7:I7,"MILL")*100/P7)</f>
        <v>0</v>
      </c>
      <c r="AX7">
        <f>IF(P7=0,0,COUNTIF(Transect5_imgsummary!E7:I7,"MONT")*100/P7)</f>
        <v>0</v>
      </c>
      <c r="AY7">
        <f>IF(P7=0,0,COUNTIF(Transect5_imgsummary!E7:I7,"MONTI")*100/P7)</f>
        <v>0</v>
      </c>
      <c r="AZ7">
        <f>IF(P7=0,0,COUNTIF(Transect5_imgsummary!E7:I7,"MYCED")*100/P7)</f>
        <v>0</v>
      </c>
      <c r="BA7">
        <f>IF(P7=0,0,COUNTIF(Transect5_imgsummary!E7:I7,"OULO")*100/P7)</f>
        <v>0</v>
      </c>
      <c r="BB7">
        <f>IF(P7=0,0,COUNTIF(Transect5_imgsummary!E7:I7,"OXYP")*100/P7)</f>
        <v>0</v>
      </c>
      <c r="BC7">
        <f>IF(P7=0,0,COUNTIF(Transect5_imgsummary!E7:I7,"PLSIA")*100/P7)</f>
        <v>0</v>
      </c>
      <c r="BD7">
        <f>IF(P7=0,0,COUNTIF(Transect5_imgsummary!E7:I7,"PACHY")*100/P7)</f>
        <v>0</v>
      </c>
      <c r="BE7">
        <f>IF(P7=0,0,COUNTIF(Transect5_imgsummary!E7:I7,"PAV")*100/P7)</f>
        <v>0</v>
      </c>
      <c r="BF7">
        <f>IF(P7=0,0,COUNTIF(Transect5_imgsummary!E7:I7,"PECT")*100/P7)</f>
        <v>0</v>
      </c>
      <c r="BG7">
        <f>IF(P7=0,0,COUNTIF(Transect5_imgsummary!E7:I7,"PHYSO")*100/P7)</f>
        <v>0</v>
      </c>
      <c r="BH7" s="29">
        <f>IF(P7=0,0,COUNTIF(Transect5_imgsummary!E7:I7,"PLAT")*100/P7)</f>
        <v>20</v>
      </c>
      <c r="BI7">
        <f>IF(P7=0,0,COUNTIF(Transect5_imgsummary!E7:I7,"PLERO")*100/P7)</f>
        <v>0</v>
      </c>
      <c r="BJ7">
        <f>IF(P7=0,0,COUNTIF(Transect5_imgsummary!E7:I7,"POC")*100/P7)</f>
        <v>0</v>
      </c>
      <c r="BK7">
        <f>IF(P7=0,0,COUNTIF(Transect5_imgsummary!E7:I7,"POR")*100/P7)</f>
        <v>0</v>
      </c>
      <c r="BL7">
        <f>IF(P7=0,0,COUNTIF(Transect5_imgsummary!E7:I7,"PORCYL")*100/P7)</f>
        <v>0</v>
      </c>
      <c r="BM7">
        <f>IF(P7=0,0,COUNTIF(Transect5_imgsummary!E7:I7,"PORMAS")*100/P7)</f>
        <v>0</v>
      </c>
      <c r="BN7">
        <f>IF(P7=0,0,COUNTIF(Transect5_imgsummary!E7:I7,"PORRUS")*100/P7)</f>
        <v>0</v>
      </c>
      <c r="BO7">
        <f>IF(P7=0,0,COUNTIF(Transect5_imgsummary!E7:I7,"PSAM")*100/P7)</f>
        <v>0</v>
      </c>
      <c r="BP7">
        <f>IF(P7=0,0,COUNTIF(Transect5_imgsummary!E7:I7,"SANDO")*100/P7)</f>
        <v>0</v>
      </c>
      <c r="BQ7">
        <f>IF(P7=0,0,COUNTIF(Transect5_imgsummary!E7:I7,"SCAP")*100/P7)</f>
        <v>0</v>
      </c>
      <c r="BR7">
        <f>IF(P7=0,0,COUNTIF(Transect5_imgsummary!E7:I7,"SERIA")*100/P7)</f>
        <v>0</v>
      </c>
      <c r="BS7">
        <f>IF(P7=0,0,COUNTIF(Transect5_imgsummary!E7:I7,"STYLC")*100/P7)</f>
        <v>0</v>
      </c>
      <c r="BT7" s="29">
        <f>IF(P7=0,0,COUNTIF(Transect5_imgsummary!E7:I7,"STYLO")*100/P7)</f>
        <v>20</v>
      </c>
      <c r="BU7">
        <f>IF(P7=0,0,COUNTIF(Transect5_imgsummary!E7:I7,"SYMP")*100/P7)</f>
        <v>0</v>
      </c>
      <c r="BV7">
        <f>IF(P7=0,0,COUNTIF(Transect5_imgsummary!E7:I7,"TURBIN")*100/P7)</f>
        <v>0</v>
      </c>
      <c r="BX7">
        <f>IF(P7=0,0,COUNTIF(Transect5_imgsummary!E7:I7,"ANEM")*100/P7)</f>
        <v>0</v>
      </c>
      <c r="BY7">
        <f>IF(P7=0,0,COUNTIF(Transect5_imgsummary!E7:I7,"ASC")*100/P7)</f>
        <v>0</v>
      </c>
      <c r="BZ7">
        <f>IF(P7=0,0,COUNTIF(Transect5_imgsummary!E7:I7,"CUPS")*100/P7)</f>
        <v>0</v>
      </c>
      <c r="CA7">
        <f>IF(P7=0,0,COUNTIF(Transect5_imgsummary!E7:I7,"DISCO")*100/P7)</f>
        <v>0</v>
      </c>
      <c r="CB7">
        <f>IF(P7=0,0,COUNTIF(Transect5_imgsummary!E7:I7,"DYS")*100/P7)</f>
        <v>0</v>
      </c>
      <c r="CC7">
        <f>IF(P7=0,0,COUNTIF(Transect5_imgsummary!E7:I7,"G")*100/P7)</f>
        <v>0</v>
      </c>
      <c r="CD7">
        <f>IF(P7=0,0,COUNTIF(Transect5_imgsummary!E7:I7,"NoIDINV")*100/P7)</f>
        <v>0</v>
      </c>
      <c r="CE7">
        <f>IF(P7=0,0,COUNTIF(Transect5_imgsummary!E7:I7,"OLV")*100/P7)</f>
        <v>0</v>
      </c>
      <c r="CF7">
        <f>IF(P7=0,0,COUNTIF(Transect5_imgsummary!E7:I7,"SC")*100/P7)</f>
        <v>0</v>
      </c>
      <c r="CG7">
        <f>IF(P7=0,0,COUNTIF(Transect5_imgsummary!E7:I7,"S")*100/P7)</f>
        <v>0</v>
      </c>
      <c r="CH7">
        <f>IF(P7=0,0,COUNTIF(Transect5_imgsummary!E7:I7,"TERPS")*100/P7)</f>
        <v>0</v>
      </c>
      <c r="CI7">
        <f>IF(P7=0,0,COUNTIF(Transect5_imgsummary!E7:I7,"Z")*100/P7)</f>
        <v>0</v>
      </c>
      <c r="CK7">
        <f>IF(P7=0,0,COUNTIF(Transect5_imgsummary!E7:I7,"ASP")*100/P7)</f>
        <v>0</v>
      </c>
      <c r="CL7">
        <f>IF(P7=0,0,COUNTIF(Transect5_imgsummary!E7:I7,"BG")*100/P7)</f>
        <v>0</v>
      </c>
      <c r="CM7">
        <f>IF(P7=0,0,COUNTIF(Transect5_imgsummary!E7:I7,"Bood")*100/P7)</f>
        <v>0</v>
      </c>
      <c r="CN7">
        <f>IF(P7=0,0,COUNTIF(Transect5_imgsummary!E7:I7,"BRYP")*100/P7)</f>
        <v>0</v>
      </c>
      <c r="CO7">
        <f>IF(P7=0,0,COUNTIF(Transect5_imgsummary!E7:I7,"CLP")*100/P7)</f>
        <v>0</v>
      </c>
      <c r="CP7">
        <f>IF(P7=0,0,COUNTIF(Transect5_imgsummary!E7:I7,"CHLDES")*100/P7)</f>
        <v>0</v>
      </c>
      <c r="CQ7">
        <f>IF(P7=0,0,COUNTIF(Transect5_imgsummary!E7:I7,"DYCTY")*100/P7)</f>
        <v>0</v>
      </c>
      <c r="CR7">
        <f>IF(P7=0,0,COUNTIF(Transect5_imgsummary!E7:I7,"DICT")*100/P7)</f>
        <v>0</v>
      </c>
      <c r="CS7">
        <f>IF(P7=0,0,COUNTIF(Transect5_imgsummary!E7:I7,"GLXU")*100/P7)</f>
        <v>0</v>
      </c>
      <c r="CT7">
        <f>IF(P7=0,0,COUNTIF(Transect5_imgsummary!E7:I7,"HALI")*100/P7)</f>
        <v>0</v>
      </c>
      <c r="CU7">
        <f>IF(P7=0,0,COUNTIF(Transect5_imgsummary!E7:I7,"LIAG")*100/P7)</f>
        <v>0</v>
      </c>
      <c r="CV7">
        <f>IF(P7=0,0,COUNTIF(Transect5_imgsummary!E7:I7,"LOBO")*100/P7)</f>
        <v>0</v>
      </c>
      <c r="CW7">
        <f>IF(P7=0,0,COUNTIF(Transect5_imgsummary!E7:I7,"MAST")*100/P7)</f>
        <v>0</v>
      </c>
      <c r="CX7">
        <f>IF(P7=0,0,COUNTIF(Transect5_imgsummary!E7:I7,"MICDTY")*100/P7)</f>
        <v>0</v>
      </c>
      <c r="CY7">
        <f>IF(P7=0,0,COUNTIF(Transect5_imgsummary!E7:I7,"NEOM")*100/P7)</f>
        <v>0</v>
      </c>
      <c r="CZ7">
        <f>IF(P7=0,0,COUNTIF(Transect5_imgsummary!E7:I7,"NOIDMAC")*100/P7)</f>
        <v>0</v>
      </c>
      <c r="DA7">
        <f>IF(P7=0,0,COUNTIF(Transect5_imgsummary!E7:I7,"PAD")*100/P7)</f>
        <v>0</v>
      </c>
      <c r="DB7">
        <f>IF(P7=0,0,COUNTIF(Transect5_imgsummary!E7:I7,"SARG")*100/P7)</f>
        <v>0</v>
      </c>
      <c r="DC7">
        <f>IF(P7=0,0,COUNTIF(Transect5_imgsummary!E7:I7,"SCHIZ")*100/P7)</f>
        <v>0</v>
      </c>
      <c r="DD7">
        <f>IF(P7=0,0,COUNTIF(Transect5_imgsummary!E7:I7,"TURB")*100/P7)</f>
        <v>0</v>
      </c>
      <c r="DE7">
        <f>IF(P7=0,0,COUNTIF(Transect5_imgsummary!E7:I7,"TYDM")*100/P7)</f>
        <v>0</v>
      </c>
      <c r="DG7">
        <f>IF(P7=0,0,COUNTIF(Transect5_imgsummary!E7:I7,"AMP")*100/P7)</f>
        <v>0</v>
      </c>
      <c r="DH7">
        <f>IF(P7=0,0,COUNTIF(Transect5_imgsummary!E7:I7,"BCA1")*100/P7)</f>
        <v>0</v>
      </c>
      <c r="DI7">
        <f>IF(P7=0,0,COUNTIF(Transect5_imgsummary!E7:I7,"JAN")*100/P7)</f>
        <v>0</v>
      </c>
      <c r="DK7" s="29">
        <f>IF(P7=0,0,COUNTIF(Transect5_imgsummary!E7:I7,"CCA1")*100/P7)</f>
        <v>40</v>
      </c>
      <c r="DM7">
        <f>IF(P7=0,0,COUNTIF(Transect5_imgsummary!E7:I7,"Sand")*100/P7)</f>
        <v>0</v>
      </c>
      <c r="DO7">
        <f>IF(P7=0,0,COUNTIF(Transect5_imgsummary!E7:I7,"FCA1")*100/P7)</f>
        <v>0</v>
      </c>
      <c r="DQ7">
        <f>IF(P7=0,0,COUNTIF(Transect5_imgsummary!E7:I7,"CHRYOBRN")*100/P7)</f>
        <v>0</v>
      </c>
      <c r="DS7">
        <f>IF(P7=0,0,COUNTIF(Transect5_imgsummary!E7:I7,"TURF")*100/P7)</f>
        <v>0</v>
      </c>
      <c r="DU7">
        <f>COUNTIF(Transect5_imgsummary!E7:I7,"Shadow")*100/5</f>
        <v>0</v>
      </c>
      <c r="DV7">
        <f>COUNTIF(Transect5_imgsummary!E7:I7,"Tape")*100/5</f>
        <v>0</v>
      </c>
      <c r="DW7">
        <f>COUNTIF(Transect5_imgsummary!E7:I7,"Wand")*100/5</f>
        <v>0</v>
      </c>
      <c r="DY7">
        <f>IF(P7=0,0,COUNTIF(Transect5_imgsummary!O7:S7,"BC")*100/P7)</f>
        <v>0</v>
      </c>
    </row>
    <row r="8" spans="1:129">
      <c r="A8">
        <v>6</v>
      </c>
      <c r="B8" t="s">
        <v>603</v>
      </c>
      <c r="F8" s="29">
        <f>IF(P8=0,0,COUNTIF(Transect5_imgsummary!J8:N8,"C")*100/P8)</f>
        <v>100</v>
      </c>
      <c r="G8">
        <f>IF(P8=0,0,COUNTIF(Transect5_imgsummary!J8:N8,"OI")*100/P8)</f>
        <v>0</v>
      </c>
      <c r="H8">
        <f>IF(P8=0,0,COUNTIF(Transect5_imgsummary!J8:N8,"MA")*100/P8)</f>
        <v>0</v>
      </c>
      <c r="I8">
        <f>IF(P8=0,0,COUNTIF(Transect5_imgsummary!J8:N8,"BCA")*100/P8)</f>
        <v>0</v>
      </c>
      <c r="J8">
        <f>IF(P8=0,0,COUNTIF(Transect5_imgsummary!J8:N8,"CCA")*100/P8)</f>
        <v>0</v>
      </c>
      <c r="K8">
        <f>IF(P8=0,0,COUNTIF(Transect5_imgsummary!J8:N8,"SD")*100/P8)</f>
        <v>0</v>
      </c>
      <c r="L8">
        <f>IF(P8=0,0,COUNTIF(Transect5_imgsummary!J8:N8,"FCA")*100/P8)</f>
        <v>0</v>
      </c>
      <c r="M8">
        <f>IF(P8=0,0,COUNTIF(Transect5_imgsummary!J8:N8,"CHRYS")*100/P8)</f>
        <v>0</v>
      </c>
      <c r="N8">
        <f>IF(P8=0,0,COUNTIF(Transect5_imgsummary!J8:N8,"T")*100/P8)</f>
        <v>0</v>
      </c>
      <c r="O8">
        <f>IF(P8=0,0,COUNTIF(Transect5_imgsummary!J8:N8,"TWS")*100/P8)</f>
        <v>0</v>
      </c>
      <c r="P8">
        <f>5-COUNTIF(Transect5_imgsummary!J8:N8,"TWS")</f>
        <v>5</v>
      </c>
      <c r="S8">
        <f>IF(P8=0,0,COUNTIF(Transect5_imgsummary!E8:I8,"ACAN")*100/P8)</f>
        <v>0</v>
      </c>
      <c r="T8">
        <f>IF(P8=0,0,COUNTIF(Transect5_imgsummary!E8:I8,"ACROP")*100/P8)</f>
        <v>0</v>
      </c>
      <c r="U8">
        <f>IF(P8=0,0,COUNTIF(Transect5_imgsummary!E8:I8,"ACROPARB")*100/P8)</f>
        <v>0</v>
      </c>
      <c r="V8">
        <f>IF(P8=0,0,COUNTIF(Transect5_imgsummary!E8:I8,"ACROST")*100/P8)</f>
        <v>0</v>
      </c>
      <c r="W8">
        <f>IF(P8=0,0,COUNTIF(Transect5_imgsummary!E8:I8,"ACROTBL")*100/P8)</f>
        <v>0</v>
      </c>
      <c r="X8">
        <f>IF(P8=0,0,COUNTIF(Transect5_imgsummary!E8:I8,"ASTRP")*100/P8)</f>
        <v>0</v>
      </c>
      <c r="Y8">
        <f>IF(P8=0,0,COUNTIF(Transect5_imgsummary!E8:I8,"CAUL")*100/P8)</f>
        <v>0</v>
      </c>
      <c r="Z8">
        <f>IF(P8=0,0,COUNTIF(Transect5_imgsummary!E8:I8,"COSC")*100/P8)</f>
        <v>0</v>
      </c>
      <c r="AA8">
        <f>IF(P8=0,0,COUNTIF(Transect5_imgsummary!E8:I8,"CTEN")*100/P8)</f>
        <v>0</v>
      </c>
      <c r="AB8">
        <f>IF(P8=0,0,COUNTIF(Transect5_imgsummary!E8:I8,"CYPH")*100/P8)</f>
        <v>0</v>
      </c>
      <c r="AC8">
        <f>IF(P8=0,0,COUNTIF(Transect5_imgsummary!E8:I8,"DIPLO")*100/P8)</f>
        <v>0</v>
      </c>
      <c r="AD8">
        <f>IF(P8=0,0,COUNTIF(Transect5_imgsummary!E8:I8,"ECHPO")*100/P8)</f>
        <v>0</v>
      </c>
      <c r="AE8">
        <f>IF(P8=0,0,COUNTIF(Transect5_imgsummary!E8:I8,"ECHPHY")*100/P8)</f>
        <v>0</v>
      </c>
      <c r="AF8">
        <f>IF(P8=0,0,COUNTIF(Transect5_imgsummary!E8:I8,"EUPH")*100/P8)</f>
        <v>0</v>
      </c>
      <c r="AG8">
        <f>IF(P8=0,0,COUNTIF(Transect5_imgsummary!E8:I8,"FAV")*100/P8)</f>
        <v>0</v>
      </c>
      <c r="AH8">
        <f>IF(P8=0,0,COUNTIF(Transect5_imgsummary!E8:I8,"FAVT")*100/P8)</f>
        <v>0</v>
      </c>
      <c r="AI8">
        <f>IF(P8=0,0,COUNTIF(Transect5_imgsummary!E8:I8,"FUNG")*100/P8)</f>
        <v>0</v>
      </c>
      <c r="AJ8">
        <f>IF(P8=0,0,COUNTIF(Transect5_imgsummary!E8:I8,"GAL")*100/P8)</f>
        <v>0</v>
      </c>
      <c r="AK8">
        <f>IF(P8=0,0,COUNTIF(Transect5_imgsummary!E8:I8,"GARD")*100/P8)</f>
        <v>0</v>
      </c>
      <c r="AL8" s="29">
        <f>IF(P8=0,0,COUNTIF(Transect5_imgsummary!E8:I8,"GON")*100/P8)</f>
        <v>20</v>
      </c>
      <c r="AM8">
        <f>IF(P8=0,0,COUNTIF(Transect5_imgsummary!E8:I8,"GONIO")*100/P8)</f>
        <v>0</v>
      </c>
      <c r="AN8">
        <f>IF(P8=0,0,COUNTIF(Transect5_imgsummary!E8:I8,"HELIO")*100/P8)</f>
        <v>0</v>
      </c>
      <c r="AO8">
        <f>IF(P8=0,0,COUNTIF(Transect5_imgsummary!E8:I8,"HERP")*100/P8)</f>
        <v>0</v>
      </c>
      <c r="AP8">
        <f>IF(P8=0,0,COUNTIF(Transect5_imgsummary!E8:I8,"HYD")*100/P8)</f>
        <v>0</v>
      </c>
      <c r="AQ8">
        <f>IF(P8=0,0,COUNTIF(Transect5_imgsummary!E8:I8,"ISOP")*100/P8)</f>
        <v>0</v>
      </c>
      <c r="AR8">
        <f>IF(P8=0,0,COUNTIF(Transect5_imgsummary!E8:I8,"LEPT")*100/P8)</f>
        <v>0</v>
      </c>
      <c r="AS8">
        <f>IF(P8=0,0,COUNTIF(Transect5_imgsummary!E8:I8,"LEPTOR")*100/P8)</f>
        <v>0</v>
      </c>
      <c r="AT8">
        <f>IF(P8=0,0,COUNTIF(Transect5_imgsummary!E8:I8,"LEPTOS")*100/P8)</f>
        <v>0</v>
      </c>
      <c r="AU8">
        <f>IF(P8=0,0,COUNTIF(Transect5_imgsummary!E8:I8,"LOBOPH")*100/P8)</f>
        <v>0</v>
      </c>
      <c r="AV8" s="29">
        <f>IF(P8=0,0,COUNTIF(Transect5_imgsummary!E8:I8,"MERU")*100/P8)</f>
        <v>60</v>
      </c>
      <c r="AW8">
        <f>IF(P8=0,0,COUNTIF(Transect5_imgsummary!E8:I8,"MILL")*100/P8)</f>
        <v>0</v>
      </c>
      <c r="AX8">
        <f>IF(P8=0,0,COUNTIF(Transect5_imgsummary!E8:I8,"MONT")*100/P8)</f>
        <v>0</v>
      </c>
      <c r="AY8">
        <f>IF(P8=0,0,COUNTIF(Transect5_imgsummary!E8:I8,"MONTI")*100/P8)</f>
        <v>0</v>
      </c>
      <c r="AZ8">
        <f>IF(P8=0,0,COUNTIF(Transect5_imgsummary!E8:I8,"MYCED")*100/P8)</f>
        <v>0</v>
      </c>
      <c r="BA8">
        <f>IF(P8=0,0,COUNTIF(Transect5_imgsummary!E8:I8,"OULO")*100/P8)</f>
        <v>0</v>
      </c>
      <c r="BB8">
        <f>IF(P8=0,0,COUNTIF(Transect5_imgsummary!E8:I8,"OXYP")*100/P8)</f>
        <v>0</v>
      </c>
      <c r="BC8">
        <f>IF(P8=0,0,COUNTIF(Transect5_imgsummary!E8:I8,"PLSIA")*100/P8)</f>
        <v>0</v>
      </c>
      <c r="BD8">
        <f>IF(P8=0,0,COUNTIF(Transect5_imgsummary!E8:I8,"PACHY")*100/P8)</f>
        <v>0</v>
      </c>
      <c r="BE8">
        <f>IF(P8=0,0,COUNTIF(Transect5_imgsummary!E8:I8,"PAV")*100/P8)</f>
        <v>0</v>
      </c>
      <c r="BF8">
        <f>IF(P8=0,0,COUNTIF(Transect5_imgsummary!E8:I8,"PECT")*100/P8)</f>
        <v>0</v>
      </c>
      <c r="BG8">
        <f>IF(P8=0,0,COUNTIF(Transect5_imgsummary!E8:I8,"PHYSO")*100/P8)</f>
        <v>0</v>
      </c>
      <c r="BH8" s="29">
        <f>IF(P8=0,0,COUNTIF(Transect5_imgsummary!E8:I8,"PLAT")*100/P8)</f>
        <v>20</v>
      </c>
      <c r="BI8">
        <f>IF(P8=0,0,COUNTIF(Transect5_imgsummary!E8:I8,"PLERO")*100/P8)</f>
        <v>0</v>
      </c>
      <c r="BJ8">
        <f>IF(P8=0,0,COUNTIF(Transect5_imgsummary!E8:I8,"POC")*100/P8)</f>
        <v>0</v>
      </c>
      <c r="BK8">
        <f>IF(P8=0,0,COUNTIF(Transect5_imgsummary!E8:I8,"POR")*100/P8)</f>
        <v>0</v>
      </c>
      <c r="BL8">
        <f>IF(P8=0,0,COUNTIF(Transect5_imgsummary!E8:I8,"PORCYL")*100/P8)</f>
        <v>0</v>
      </c>
      <c r="BM8">
        <f>IF(P8=0,0,COUNTIF(Transect5_imgsummary!E8:I8,"PORMAS")*100/P8)</f>
        <v>0</v>
      </c>
      <c r="BN8">
        <f>IF(P8=0,0,COUNTIF(Transect5_imgsummary!E8:I8,"PORRUS")*100/P8)</f>
        <v>0</v>
      </c>
      <c r="BO8">
        <f>IF(P8=0,0,COUNTIF(Transect5_imgsummary!E8:I8,"PSAM")*100/P8)</f>
        <v>0</v>
      </c>
      <c r="BP8">
        <f>IF(P8=0,0,COUNTIF(Transect5_imgsummary!E8:I8,"SANDO")*100/P8)</f>
        <v>0</v>
      </c>
      <c r="BQ8">
        <f>IF(P8=0,0,COUNTIF(Transect5_imgsummary!E8:I8,"SCAP")*100/P8)</f>
        <v>0</v>
      </c>
      <c r="BR8">
        <f>IF(P8=0,0,COUNTIF(Transect5_imgsummary!E8:I8,"SERIA")*100/P8)</f>
        <v>0</v>
      </c>
      <c r="BS8">
        <f>IF(P8=0,0,COUNTIF(Transect5_imgsummary!E8:I8,"STYLC")*100/P8)</f>
        <v>0</v>
      </c>
      <c r="BT8">
        <f>IF(P8=0,0,COUNTIF(Transect5_imgsummary!E8:I8,"STYLO")*100/P8)</f>
        <v>0</v>
      </c>
      <c r="BU8">
        <f>IF(P8=0,0,COUNTIF(Transect5_imgsummary!E8:I8,"SYMP")*100/P8)</f>
        <v>0</v>
      </c>
      <c r="BV8">
        <f>IF(P8=0,0,COUNTIF(Transect5_imgsummary!E8:I8,"TURBIN")*100/P8)</f>
        <v>0</v>
      </c>
      <c r="BX8">
        <f>IF(P8=0,0,COUNTIF(Transect5_imgsummary!E8:I8,"ANEM")*100/P8)</f>
        <v>0</v>
      </c>
      <c r="BY8">
        <f>IF(P8=0,0,COUNTIF(Transect5_imgsummary!E8:I8,"ASC")*100/P8)</f>
        <v>0</v>
      </c>
      <c r="BZ8">
        <f>IF(P8=0,0,COUNTIF(Transect5_imgsummary!E8:I8,"CUPS")*100/P8)</f>
        <v>0</v>
      </c>
      <c r="CA8">
        <f>IF(P8=0,0,COUNTIF(Transect5_imgsummary!E8:I8,"DISCO")*100/P8)</f>
        <v>0</v>
      </c>
      <c r="CB8">
        <f>IF(P8=0,0,COUNTIF(Transect5_imgsummary!E8:I8,"DYS")*100/P8)</f>
        <v>0</v>
      </c>
      <c r="CC8">
        <f>IF(P8=0,0,COUNTIF(Transect5_imgsummary!E8:I8,"G")*100/P8)</f>
        <v>0</v>
      </c>
      <c r="CD8">
        <f>IF(P8=0,0,COUNTIF(Transect5_imgsummary!E8:I8,"NoIDINV")*100/P8)</f>
        <v>0</v>
      </c>
      <c r="CE8">
        <f>IF(P8=0,0,COUNTIF(Transect5_imgsummary!E8:I8,"OLV")*100/P8)</f>
        <v>0</v>
      </c>
      <c r="CF8">
        <f>IF(P8=0,0,COUNTIF(Transect5_imgsummary!E8:I8,"SC")*100/P8)</f>
        <v>0</v>
      </c>
      <c r="CG8">
        <f>IF(P8=0,0,COUNTIF(Transect5_imgsummary!E8:I8,"S")*100/P8)</f>
        <v>0</v>
      </c>
      <c r="CH8">
        <f>IF(P8=0,0,COUNTIF(Transect5_imgsummary!E8:I8,"TERPS")*100/P8)</f>
        <v>0</v>
      </c>
      <c r="CI8">
        <f>IF(P8=0,0,COUNTIF(Transect5_imgsummary!E8:I8,"Z")*100/P8)</f>
        <v>0</v>
      </c>
      <c r="CK8">
        <f>IF(P8=0,0,COUNTIF(Transect5_imgsummary!E8:I8,"ASP")*100/P8)</f>
        <v>0</v>
      </c>
      <c r="CL8">
        <f>IF(P8=0,0,COUNTIF(Transect5_imgsummary!E8:I8,"BG")*100/P8)</f>
        <v>0</v>
      </c>
      <c r="CM8">
        <f>IF(P8=0,0,COUNTIF(Transect5_imgsummary!E8:I8,"Bood")*100/P8)</f>
        <v>0</v>
      </c>
      <c r="CN8">
        <f>IF(P8=0,0,COUNTIF(Transect5_imgsummary!E8:I8,"BRYP")*100/P8)</f>
        <v>0</v>
      </c>
      <c r="CO8">
        <f>IF(P8=0,0,COUNTIF(Transect5_imgsummary!E8:I8,"CLP")*100/P8)</f>
        <v>0</v>
      </c>
      <c r="CP8">
        <f>IF(P8=0,0,COUNTIF(Transect5_imgsummary!E8:I8,"CHLDES")*100/P8)</f>
        <v>0</v>
      </c>
      <c r="CQ8">
        <f>IF(P8=0,0,COUNTIF(Transect5_imgsummary!E8:I8,"DYCTY")*100/P8)</f>
        <v>0</v>
      </c>
      <c r="CR8">
        <f>IF(P8=0,0,COUNTIF(Transect5_imgsummary!E8:I8,"DICT")*100/P8)</f>
        <v>0</v>
      </c>
      <c r="CS8">
        <f>IF(P8=0,0,COUNTIF(Transect5_imgsummary!E8:I8,"GLXU")*100/P8)</f>
        <v>0</v>
      </c>
      <c r="CT8">
        <f>IF(P8=0,0,COUNTIF(Transect5_imgsummary!E8:I8,"HALI")*100/P8)</f>
        <v>0</v>
      </c>
      <c r="CU8">
        <f>IF(P8=0,0,COUNTIF(Transect5_imgsummary!E8:I8,"LIAG")*100/P8)</f>
        <v>0</v>
      </c>
      <c r="CV8">
        <f>IF(P8=0,0,COUNTIF(Transect5_imgsummary!E8:I8,"LOBO")*100/P8)</f>
        <v>0</v>
      </c>
      <c r="CW8">
        <f>IF(P8=0,0,COUNTIF(Transect5_imgsummary!E8:I8,"MAST")*100/P8)</f>
        <v>0</v>
      </c>
      <c r="CX8">
        <f>IF(P8=0,0,COUNTIF(Transect5_imgsummary!E8:I8,"MICDTY")*100/P8)</f>
        <v>0</v>
      </c>
      <c r="CY8">
        <f>IF(P8=0,0,COUNTIF(Transect5_imgsummary!E8:I8,"NEOM")*100/P8)</f>
        <v>0</v>
      </c>
      <c r="CZ8">
        <f>IF(P8=0,0,COUNTIF(Transect5_imgsummary!E8:I8,"NOIDMAC")*100/P8)</f>
        <v>0</v>
      </c>
      <c r="DA8">
        <f>IF(P8=0,0,COUNTIF(Transect5_imgsummary!E8:I8,"PAD")*100/P8)</f>
        <v>0</v>
      </c>
      <c r="DB8">
        <f>IF(P8=0,0,COUNTIF(Transect5_imgsummary!E8:I8,"SARG")*100/P8)</f>
        <v>0</v>
      </c>
      <c r="DC8">
        <f>IF(P8=0,0,COUNTIF(Transect5_imgsummary!E8:I8,"SCHIZ")*100/P8)</f>
        <v>0</v>
      </c>
      <c r="DD8">
        <f>IF(P8=0,0,COUNTIF(Transect5_imgsummary!E8:I8,"TURB")*100/P8)</f>
        <v>0</v>
      </c>
      <c r="DE8">
        <f>IF(P8=0,0,COUNTIF(Transect5_imgsummary!E8:I8,"TYDM")*100/P8)</f>
        <v>0</v>
      </c>
      <c r="DG8">
        <f>IF(P8=0,0,COUNTIF(Transect5_imgsummary!E8:I8,"AMP")*100/P8)</f>
        <v>0</v>
      </c>
      <c r="DH8">
        <f>IF(P8=0,0,COUNTIF(Transect5_imgsummary!E8:I8,"BCA1")*100/P8)</f>
        <v>0</v>
      </c>
      <c r="DI8">
        <f>IF(P8=0,0,COUNTIF(Transect5_imgsummary!E8:I8,"JAN")*100/P8)</f>
        <v>0</v>
      </c>
      <c r="DK8">
        <f>IF(P8=0,0,COUNTIF(Transect5_imgsummary!E8:I8,"CCA1")*100/P8)</f>
        <v>0</v>
      </c>
      <c r="DM8">
        <f>IF(P8=0,0,COUNTIF(Transect5_imgsummary!E8:I8,"Sand")*100/P8)</f>
        <v>0</v>
      </c>
      <c r="DO8">
        <f>IF(P8=0,0,COUNTIF(Transect5_imgsummary!E8:I8,"FCA1")*100/P8)</f>
        <v>0</v>
      </c>
      <c r="DQ8">
        <f>IF(P8=0,0,COUNTIF(Transect5_imgsummary!E8:I8,"CHRYOBRN")*100/P8)</f>
        <v>0</v>
      </c>
      <c r="DS8">
        <f>IF(P8=0,0,COUNTIF(Transect5_imgsummary!E8:I8,"TURF")*100/P8)</f>
        <v>0</v>
      </c>
      <c r="DU8">
        <f>COUNTIF(Transect5_imgsummary!E8:I8,"Shadow")*100/5</f>
        <v>0</v>
      </c>
      <c r="DV8">
        <f>COUNTIF(Transect5_imgsummary!E8:I8,"Tape")*100/5</f>
        <v>0</v>
      </c>
      <c r="DW8">
        <f>COUNTIF(Transect5_imgsummary!E8:I8,"Wand")*100/5</f>
        <v>0</v>
      </c>
      <c r="DY8">
        <f>IF(P8=0,0,COUNTIF(Transect5_imgsummary!O8:S8,"BC")*100/P8)</f>
        <v>0</v>
      </c>
    </row>
    <row r="9" spans="1:129">
      <c r="A9">
        <v>7</v>
      </c>
      <c r="B9" t="s">
        <v>604</v>
      </c>
      <c r="F9" s="29">
        <f>IF(P9=0,0,COUNTIF(Transect5_imgsummary!J9:N9,"C")*100/P9)</f>
        <v>80</v>
      </c>
      <c r="G9">
        <f>IF(P9=0,0,COUNTIF(Transect5_imgsummary!J9:N9,"OI")*100/P9)</f>
        <v>0</v>
      </c>
      <c r="H9">
        <f>IF(P9=0,0,COUNTIF(Transect5_imgsummary!J9:N9,"MA")*100/P9)</f>
        <v>0</v>
      </c>
      <c r="I9">
        <f>IF(P9=0,0,COUNTIF(Transect5_imgsummary!J9:N9,"BCA")*100/P9)</f>
        <v>0</v>
      </c>
      <c r="J9">
        <f>IF(P9=0,0,COUNTIF(Transect5_imgsummary!J9:N9,"CCA")*100/P9)</f>
        <v>0</v>
      </c>
      <c r="K9">
        <f>IF(P9=0,0,COUNTIF(Transect5_imgsummary!J9:N9,"SD")*100/P9)</f>
        <v>0</v>
      </c>
      <c r="L9">
        <f>IF(P9=0,0,COUNTIF(Transect5_imgsummary!J9:N9,"FCA")*100/P9)</f>
        <v>0</v>
      </c>
      <c r="M9">
        <f>IF(P9=0,0,COUNTIF(Transect5_imgsummary!J9:N9,"CHRYS")*100/P9)</f>
        <v>0</v>
      </c>
      <c r="N9" s="29">
        <f>IF(P9=0,0,COUNTIF(Transect5_imgsummary!J9:N9,"T")*100/P9)</f>
        <v>20</v>
      </c>
      <c r="O9">
        <f>IF(P9=0,0,COUNTIF(Transect5_imgsummary!J9:N9,"TWS")*100/P9)</f>
        <v>0</v>
      </c>
      <c r="P9">
        <f>5-COUNTIF(Transect5_imgsummary!J9:N9,"TWS")</f>
        <v>5</v>
      </c>
      <c r="S9">
        <f>IF(P9=0,0,COUNTIF(Transect5_imgsummary!E9:I9,"ACAN")*100/P9)</f>
        <v>0</v>
      </c>
      <c r="T9">
        <f>IF(P9=0,0,COUNTIF(Transect5_imgsummary!E9:I9,"ACROP")*100/P9)</f>
        <v>0</v>
      </c>
      <c r="U9">
        <f>IF(P9=0,0,COUNTIF(Transect5_imgsummary!E9:I9,"ACROPARB")*100/P9)</f>
        <v>0</v>
      </c>
      <c r="V9">
        <f>IF(P9=0,0,COUNTIF(Transect5_imgsummary!E9:I9,"ACROST")*100/P9)</f>
        <v>0</v>
      </c>
      <c r="W9">
        <f>IF(P9=0,0,COUNTIF(Transect5_imgsummary!E9:I9,"ACROTBL")*100/P9)</f>
        <v>0</v>
      </c>
      <c r="X9">
        <f>IF(P9=0,0,COUNTIF(Transect5_imgsummary!E9:I9,"ASTRP")*100/P9)</f>
        <v>0</v>
      </c>
      <c r="Y9">
        <f>IF(P9=0,0,COUNTIF(Transect5_imgsummary!E9:I9,"CAUL")*100/P9)</f>
        <v>0</v>
      </c>
      <c r="Z9">
        <f>IF(P9=0,0,COUNTIF(Transect5_imgsummary!E9:I9,"COSC")*100/P9)</f>
        <v>0</v>
      </c>
      <c r="AA9">
        <f>IF(P9=0,0,COUNTIF(Transect5_imgsummary!E9:I9,"CTEN")*100/P9)</f>
        <v>0</v>
      </c>
      <c r="AB9">
        <f>IF(P9=0,0,COUNTIF(Transect5_imgsummary!E9:I9,"CYPH")*100/P9)</f>
        <v>0</v>
      </c>
      <c r="AC9">
        <f>IF(P9=0,0,COUNTIF(Transect5_imgsummary!E9:I9,"DIPLO")*100/P9)</f>
        <v>0</v>
      </c>
      <c r="AD9">
        <f>IF(P9=0,0,COUNTIF(Transect5_imgsummary!E9:I9,"ECHPO")*100/P9)</f>
        <v>0</v>
      </c>
      <c r="AE9">
        <f>IF(P9=0,0,COUNTIF(Transect5_imgsummary!E9:I9,"ECHPHY")*100/P9)</f>
        <v>0</v>
      </c>
      <c r="AF9">
        <f>IF(P9=0,0,COUNTIF(Transect5_imgsummary!E9:I9,"EUPH")*100/P9)</f>
        <v>0</v>
      </c>
      <c r="AG9">
        <f>IF(P9=0,0,COUNTIF(Transect5_imgsummary!E9:I9,"FAV")*100/P9)</f>
        <v>0</v>
      </c>
      <c r="AH9">
        <f>IF(P9=0,0,COUNTIF(Transect5_imgsummary!E9:I9,"FAVT")*100/P9)</f>
        <v>0</v>
      </c>
      <c r="AI9">
        <f>IF(P9=0,0,COUNTIF(Transect5_imgsummary!E9:I9,"FUNG")*100/P9)</f>
        <v>0</v>
      </c>
      <c r="AJ9">
        <f>IF(P9=0,0,COUNTIF(Transect5_imgsummary!E9:I9,"GAL")*100/P9)</f>
        <v>0</v>
      </c>
      <c r="AK9">
        <f>IF(P9=0,0,COUNTIF(Transect5_imgsummary!E9:I9,"GARD")*100/P9)</f>
        <v>0</v>
      </c>
      <c r="AL9">
        <f>IF(P9=0,0,COUNTIF(Transect5_imgsummary!E9:I9,"GON")*100/P9)</f>
        <v>0</v>
      </c>
      <c r="AM9">
        <f>IF(P9=0,0,COUNTIF(Transect5_imgsummary!E9:I9,"GONIO")*100/P9)</f>
        <v>0</v>
      </c>
      <c r="AN9">
        <f>IF(P9=0,0,COUNTIF(Transect5_imgsummary!E9:I9,"HELIO")*100/P9)</f>
        <v>0</v>
      </c>
      <c r="AO9">
        <f>IF(P9=0,0,COUNTIF(Transect5_imgsummary!E9:I9,"HERP")*100/P9)</f>
        <v>0</v>
      </c>
      <c r="AP9">
        <f>IF(P9=0,0,COUNTIF(Transect5_imgsummary!E9:I9,"HYD")*100/P9)</f>
        <v>0</v>
      </c>
      <c r="AQ9">
        <f>IF(P9=0,0,COUNTIF(Transect5_imgsummary!E9:I9,"ISOP")*100/P9)</f>
        <v>0</v>
      </c>
      <c r="AR9">
        <f>IF(P9=0,0,COUNTIF(Transect5_imgsummary!E9:I9,"LEPT")*100/P9)</f>
        <v>0</v>
      </c>
      <c r="AS9">
        <f>IF(P9=0,0,COUNTIF(Transect5_imgsummary!E9:I9,"LEPTOR")*100/P9)</f>
        <v>0</v>
      </c>
      <c r="AT9">
        <f>IF(P9=0,0,COUNTIF(Transect5_imgsummary!E9:I9,"LEPTOS")*100/P9)</f>
        <v>0</v>
      </c>
      <c r="AU9">
        <f>IF(P9=0,0,COUNTIF(Transect5_imgsummary!E9:I9,"LOBOPH")*100/P9)</f>
        <v>0</v>
      </c>
      <c r="AV9">
        <f>IF(P9=0,0,COUNTIF(Transect5_imgsummary!E9:I9,"MERU")*100/P9)</f>
        <v>0</v>
      </c>
      <c r="AW9">
        <f>IF(P9=0,0,COUNTIF(Transect5_imgsummary!E9:I9,"MILL")*100/P9)</f>
        <v>0</v>
      </c>
      <c r="AX9">
        <f>IF(P9=0,0,COUNTIF(Transect5_imgsummary!E9:I9,"MONT")*100/P9)</f>
        <v>0</v>
      </c>
      <c r="AY9">
        <f>IF(P9=0,0,COUNTIF(Transect5_imgsummary!E9:I9,"MONTI")*100/P9)</f>
        <v>0</v>
      </c>
      <c r="AZ9">
        <f>IF(P9=0,0,COUNTIF(Transect5_imgsummary!E9:I9,"MYCED")*100/P9)</f>
        <v>0</v>
      </c>
      <c r="BA9">
        <f>IF(P9=0,0,COUNTIF(Transect5_imgsummary!E9:I9,"OULO")*100/P9)</f>
        <v>0</v>
      </c>
      <c r="BB9">
        <f>IF(P9=0,0,COUNTIF(Transect5_imgsummary!E9:I9,"OXYP")*100/P9)</f>
        <v>0</v>
      </c>
      <c r="BC9">
        <f>IF(P9=0,0,COUNTIF(Transect5_imgsummary!E9:I9,"PLSIA")*100/P9)</f>
        <v>0</v>
      </c>
      <c r="BD9">
        <f>IF(P9=0,0,COUNTIF(Transect5_imgsummary!E9:I9,"PACHY")*100/P9)</f>
        <v>0</v>
      </c>
      <c r="BE9">
        <f>IF(P9=0,0,COUNTIF(Transect5_imgsummary!E9:I9,"PAV")*100/P9)</f>
        <v>0</v>
      </c>
      <c r="BF9">
        <f>IF(P9=0,0,COUNTIF(Transect5_imgsummary!E9:I9,"PECT")*100/P9)</f>
        <v>0</v>
      </c>
      <c r="BG9">
        <f>IF(P9=0,0,COUNTIF(Transect5_imgsummary!E9:I9,"PHYSO")*100/P9)</f>
        <v>0</v>
      </c>
      <c r="BH9" s="29">
        <f>IF(P9=0,0,COUNTIF(Transect5_imgsummary!E9:I9,"PLAT")*100/P9)</f>
        <v>60</v>
      </c>
      <c r="BI9">
        <f>IF(P9=0,0,COUNTIF(Transect5_imgsummary!E9:I9,"PLERO")*100/P9)</f>
        <v>0</v>
      </c>
      <c r="BJ9">
        <f>IF(P9=0,0,COUNTIF(Transect5_imgsummary!E9:I9,"POC")*100/P9)</f>
        <v>0</v>
      </c>
      <c r="BK9">
        <f>IF(P9=0,0,COUNTIF(Transect5_imgsummary!E9:I9,"POR")*100/P9)</f>
        <v>0</v>
      </c>
      <c r="BL9">
        <f>IF(P9=0,0,COUNTIF(Transect5_imgsummary!E9:I9,"PORCYL")*100/P9)</f>
        <v>0</v>
      </c>
      <c r="BM9">
        <f>IF(P9=0,0,COUNTIF(Transect5_imgsummary!E9:I9,"PORMAS")*100/P9)</f>
        <v>0</v>
      </c>
      <c r="BN9">
        <f>IF(P9=0,0,COUNTIF(Transect5_imgsummary!E9:I9,"PORRUS")*100/P9)</f>
        <v>0</v>
      </c>
      <c r="BO9">
        <f>IF(P9=0,0,COUNTIF(Transect5_imgsummary!E9:I9,"PSAM")*100/P9)</f>
        <v>0</v>
      </c>
      <c r="BP9">
        <f>IF(P9=0,0,COUNTIF(Transect5_imgsummary!E9:I9,"SANDO")*100/P9)</f>
        <v>0</v>
      </c>
      <c r="BQ9">
        <f>IF(P9=0,0,COUNTIF(Transect5_imgsummary!E9:I9,"SCAP")*100/P9)</f>
        <v>0</v>
      </c>
      <c r="BR9">
        <f>IF(P9=0,0,COUNTIF(Transect5_imgsummary!E9:I9,"SERIA")*100/P9)</f>
        <v>0</v>
      </c>
      <c r="BS9">
        <f>IF(P9=0,0,COUNTIF(Transect5_imgsummary!E9:I9,"STYLC")*100/P9)</f>
        <v>0</v>
      </c>
      <c r="BT9" s="29">
        <f>IF(P9=0,0,COUNTIF(Transect5_imgsummary!E9:I9,"STYLO")*100/P9)</f>
        <v>20</v>
      </c>
      <c r="BU9">
        <f>IF(P9=0,0,COUNTIF(Transect5_imgsummary!E9:I9,"SYMP")*100/P9)</f>
        <v>0</v>
      </c>
      <c r="BV9">
        <f>IF(P9=0,0,COUNTIF(Transect5_imgsummary!E9:I9,"TURBIN")*100/P9)</f>
        <v>0</v>
      </c>
      <c r="BX9">
        <f>IF(P9=0,0,COUNTIF(Transect5_imgsummary!E9:I9,"ANEM")*100/P9)</f>
        <v>0</v>
      </c>
      <c r="BY9">
        <f>IF(P9=0,0,COUNTIF(Transect5_imgsummary!E9:I9,"ASC")*100/P9)</f>
        <v>0</v>
      </c>
      <c r="BZ9">
        <f>IF(P9=0,0,COUNTIF(Transect5_imgsummary!E9:I9,"CUPS")*100/P9)</f>
        <v>0</v>
      </c>
      <c r="CA9">
        <f>IF(P9=0,0,COUNTIF(Transect5_imgsummary!E9:I9,"DISCO")*100/P9)</f>
        <v>0</v>
      </c>
      <c r="CB9">
        <f>IF(P9=0,0,COUNTIF(Transect5_imgsummary!E9:I9,"DYS")*100/P9)</f>
        <v>0</v>
      </c>
      <c r="CC9">
        <f>IF(P9=0,0,COUNTIF(Transect5_imgsummary!E9:I9,"G")*100/P9)</f>
        <v>0</v>
      </c>
      <c r="CD9">
        <f>IF(P9=0,0,COUNTIF(Transect5_imgsummary!E9:I9,"NoIDINV")*100/P9)</f>
        <v>0</v>
      </c>
      <c r="CE9">
        <f>IF(P9=0,0,COUNTIF(Transect5_imgsummary!E9:I9,"OLV")*100/P9)</f>
        <v>0</v>
      </c>
      <c r="CF9">
        <f>IF(P9=0,0,COUNTIF(Transect5_imgsummary!E9:I9,"SC")*100/P9)</f>
        <v>0</v>
      </c>
      <c r="CG9">
        <f>IF(P9=0,0,COUNTIF(Transect5_imgsummary!E9:I9,"S")*100/P9)</f>
        <v>0</v>
      </c>
      <c r="CH9">
        <f>IF(P9=0,0,COUNTIF(Transect5_imgsummary!E9:I9,"TERPS")*100/P9)</f>
        <v>0</v>
      </c>
      <c r="CI9">
        <f>IF(P9=0,0,COUNTIF(Transect5_imgsummary!E9:I9,"Z")*100/P9)</f>
        <v>0</v>
      </c>
      <c r="CK9">
        <f>IF(P9=0,0,COUNTIF(Transect5_imgsummary!E9:I9,"ASP")*100/P9)</f>
        <v>0</v>
      </c>
      <c r="CL9">
        <f>IF(P9=0,0,COUNTIF(Transect5_imgsummary!E9:I9,"BG")*100/P9)</f>
        <v>0</v>
      </c>
      <c r="CM9">
        <f>IF(P9=0,0,COUNTIF(Transect5_imgsummary!E9:I9,"Bood")*100/P9)</f>
        <v>0</v>
      </c>
      <c r="CN9">
        <f>IF(P9=0,0,COUNTIF(Transect5_imgsummary!E9:I9,"BRYP")*100/P9)</f>
        <v>0</v>
      </c>
      <c r="CO9">
        <f>IF(P9=0,0,COUNTIF(Transect5_imgsummary!E9:I9,"CLP")*100/P9)</f>
        <v>0</v>
      </c>
      <c r="CP9">
        <f>IF(P9=0,0,COUNTIF(Transect5_imgsummary!E9:I9,"CHLDES")*100/P9)</f>
        <v>0</v>
      </c>
      <c r="CQ9">
        <f>IF(P9=0,0,COUNTIF(Transect5_imgsummary!E9:I9,"DYCTY")*100/P9)</f>
        <v>0</v>
      </c>
      <c r="CR9">
        <f>IF(P9=0,0,COUNTIF(Transect5_imgsummary!E9:I9,"DICT")*100/P9)</f>
        <v>0</v>
      </c>
      <c r="CS9">
        <f>IF(P9=0,0,COUNTIF(Transect5_imgsummary!E9:I9,"GLXU")*100/P9)</f>
        <v>0</v>
      </c>
      <c r="CT9">
        <f>IF(P9=0,0,COUNTIF(Transect5_imgsummary!E9:I9,"HALI")*100/P9)</f>
        <v>0</v>
      </c>
      <c r="CU9">
        <f>IF(P9=0,0,COUNTIF(Transect5_imgsummary!E9:I9,"LIAG")*100/P9)</f>
        <v>0</v>
      </c>
      <c r="CV9">
        <f>IF(P9=0,0,COUNTIF(Transect5_imgsummary!E9:I9,"LOBO")*100/P9)</f>
        <v>0</v>
      </c>
      <c r="CW9">
        <f>IF(P9=0,0,COUNTIF(Transect5_imgsummary!E9:I9,"MAST")*100/P9)</f>
        <v>0</v>
      </c>
      <c r="CX9">
        <f>IF(P9=0,0,COUNTIF(Transect5_imgsummary!E9:I9,"MICDTY")*100/P9)</f>
        <v>0</v>
      </c>
      <c r="CY9">
        <f>IF(P9=0,0,COUNTIF(Transect5_imgsummary!E9:I9,"NEOM")*100/P9)</f>
        <v>0</v>
      </c>
      <c r="CZ9">
        <f>IF(P9=0,0,COUNTIF(Transect5_imgsummary!E9:I9,"NOIDMAC")*100/P9)</f>
        <v>0</v>
      </c>
      <c r="DA9">
        <f>IF(P9=0,0,COUNTIF(Transect5_imgsummary!E9:I9,"PAD")*100/P9)</f>
        <v>0</v>
      </c>
      <c r="DB9">
        <f>IF(P9=0,0,COUNTIF(Transect5_imgsummary!E9:I9,"SARG")*100/P9)</f>
        <v>0</v>
      </c>
      <c r="DC9">
        <f>IF(P9=0,0,COUNTIF(Transect5_imgsummary!E9:I9,"SCHIZ")*100/P9)</f>
        <v>0</v>
      </c>
      <c r="DD9">
        <f>IF(P9=0,0,COUNTIF(Transect5_imgsummary!E9:I9,"TURB")*100/P9)</f>
        <v>0</v>
      </c>
      <c r="DE9">
        <f>IF(P9=0,0,COUNTIF(Transect5_imgsummary!E9:I9,"TYDM")*100/P9)</f>
        <v>0</v>
      </c>
      <c r="DG9">
        <f>IF(P9=0,0,COUNTIF(Transect5_imgsummary!E9:I9,"AMP")*100/P9)</f>
        <v>0</v>
      </c>
      <c r="DH9">
        <f>IF(P9=0,0,COUNTIF(Transect5_imgsummary!E9:I9,"BCA1")*100/P9)</f>
        <v>0</v>
      </c>
      <c r="DI9">
        <f>IF(P9=0,0,COUNTIF(Transect5_imgsummary!E9:I9,"JAN")*100/P9)</f>
        <v>0</v>
      </c>
      <c r="DK9">
        <f>IF(P9=0,0,COUNTIF(Transect5_imgsummary!E9:I9,"CCA1")*100/P9)</f>
        <v>0</v>
      </c>
      <c r="DM9">
        <f>IF(P9=0,0,COUNTIF(Transect5_imgsummary!E9:I9,"Sand")*100/P9)</f>
        <v>0</v>
      </c>
      <c r="DO9">
        <f>IF(P9=0,0,COUNTIF(Transect5_imgsummary!E9:I9,"FCA1")*100/P9)</f>
        <v>0</v>
      </c>
      <c r="DQ9">
        <f>IF(P9=0,0,COUNTIF(Transect5_imgsummary!E9:I9,"CHRYOBRN")*100/P9)</f>
        <v>0</v>
      </c>
      <c r="DS9" s="29">
        <f>IF(P9=0,0,COUNTIF(Transect5_imgsummary!E9:I9,"TURF")*100/P9)</f>
        <v>20</v>
      </c>
      <c r="DU9">
        <f>COUNTIF(Transect5_imgsummary!E9:I9,"Shadow")*100/5</f>
        <v>0</v>
      </c>
      <c r="DV9">
        <f>COUNTIF(Transect5_imgsummary!E9:I9,"Tape")*100/5</f>
        <v>0</v>
      </c>
      <c r="DW9">
        <f>COUNTIF(Transect5_imgsummary!E9:I9,"Wand")*100/5</f>
        <v>0</v>
      </c>
      <c r="DY9">
        <f>IF(P9=0,0,COUNTIF(Transect5_imgsummary!O9:S9,"BC")*100/P9)</f>
        <v>0</v>
      </c>
    </row>
    <row r="10" spans="1:129">
      <c r="A10">
        <v>8</v>
      </c>
      <c r="B10" t="s">
        <v>605</v>
      </c>
      <c r="F10" s="29">
        <f>IF(P10=0,0,COUNTIF(Transect5_imgsummary!J10:N10,"C")*100/P10)</f>
        <v>60</v>
      </c>
      <c r="G10">
        <f>IF(P10=0,0,COUNTIF(Transect5_imgsummary!J10:N10,"OI")*100/P10)</f>
        <v>0</v>
      </c>
      <c r="H10">
        <f>IF(P10=0,0,COUNTIF(Transect5_imgsummary!J10:N10,"MA")*100/P10)</f>
        <v>0</v>
      </c>
      <c r="I10">
        <f>IF(P10=0,0,COUNTIF(Transect5_imgsummary!J10:N10,"BCA")*100/P10)</f>
        <v>0</v>
      </c>
      <c r="J10">
        <f>IF(P10=0,0,COUNTIF(Transect5_imgsummary!J10:N10,"CCA")*100/P10)</f>
        <v>0</v>
      </c>
      <c r="K10">
        <f>IF(P10=0,0,COUNTIF(Transect5_imgsummary!J10:N10,"SD")*100/P10)</f>
        <v>0</v>
      </c>
      <c r="L10">
        <f>IF(P10=0,0,COUNTIF(Transect5_imgsummary!J10:N10,"FCA")*100/P10)</f>
        <v>0</v>
      </c>
      <c r="M10">
        <f>IF(P10=0,0,COUNTIF(Transect5_imgsummary!J10:N10,"CHRYS")*100/P10)</f>
        <v>0</v>
      </c>
      <c r="N10" s="29">
        <f>IF(P10=0,0,COUNTIF(Transect5_imgsummary!J10:N10,"T")*100/P10)</f>
        <v>40</v>
      </c>
      <c r="O10">
        <f>IF(P10=0,0,COUNTIF(Transect5_imgsummary!J10:N10,"TWS")*100/P10)</f>
        <v>0</v>
      </c>
      <c r="P10">
        <f>5-COUNTIF(Transect5_imgsummary!J10:N10,"TWS")</f>
        <v>5</v>
      </c>
      <c r="S10">
        <f>IF(P10=0,0,COUNTIF(Transect5_imgsummary!E10:I10,"ACAN")*100/P10)</f>
        <v>0</v>
      </c>
      <c r="T10">
        <f>IF(P10=0,0,COUNTIF(Transect5_imgsummary!E10:I10,"ACROP")*100/P10)</f>
        <v>0</v>
      </c>
      <c r="U10">
        <f>IF(P10=0,0,COUNTIF(Transect5_imgsummary!E10:I10,"ACROPARB")*100/P10)</f>
        <v>0</v>
      </c>
      <c r="V10">
        <f>IF(P10=0,0,COUNTIF(Transect5_imgsummary!E10:I10,"ACROST")*100/P10)</f>
        <v>0</v>
      </c>
      <c r="W10">
        <f>IF(P10=0,0,COUNTIF(Transect5_imgsummary!E10:I10,"ACROTBL")*100/P10)</f>
        <v>0</v>
      </c>
      <c r="X10">
        <f>IF(P10=0,0,COUNTIF(Transect5_imgsummary!E10:I10,"ASTRP")*100/P10)</f>
        <v>0</v>
      </c>
      <c r="Y10">
        <f>IF(P10=0,0,COUNTIF(Transect5_imgsummary!E10:I10,"CAUL")*100/P10)</f>
        <v>0</v>
      </c>
      <c r="Z10">
        <f>IF(P10=0,0,COUNTIF(Transect5_imgsummary!E10:I10,"COSC")*100/P10)</f>
        <v>0</v>
      </c>
      <c r="AA10">
        <f>IF(P10=0,0,COUNTIF(Transect5_imgsummary!E10:I10,"CTEN")*100/P10)</f>
        <v>0</v>
      </c>
      <c r="AB10">
        <f>IF(P10=0,0,COUNTIF(Transect5_imgsummary!E10:I10,"CYPH")*100/P10)</f>
        <v>0</v>
      </c>
      <c r="AC10">
        <f>IF(P10=0,0,COUNTIF(Transect5_imgsummary!E10:I10,"DIPLO")*100/P10)</f>
        <v>0</v>
      </c>
      <c r="AD10" s="29">
        <f>IF(P10=0,0,COUNTIF(Transect5_imgsummary!E10:I10,"ECHPO")*100/P10)</f>
        <v>20</v>
      </c>
      <c r="AE10">
        <f>IF(P10=0,0,COUNTIF(Transect5_imgsummary!E10:I10,"ECHPHY")*100/P10)</f>
        <v>0</v>
      </c>
      <c r="AF10">
        <f>IF(P10=0,0,COUNTIF(Transect5_imgsummary!E10:I10,"EUPH")*100/P10)</f>
        <v>0</v>
      </c>
      <c r="AG10">
        <f>IF(P10=0,0,COUNTIF(Transect5_imgsummary!E10:I10,"FAV")*100/P10)</f>
        <v>0</v>
      </c>
      <c r="AH10">
        <f>IF(P10=0,0,COUNTIF(Transect5_imgsummary!E10:I10,"FAVT")*100/P10)</f>
        <v>0</v>
      </c>
      <c r="AI10">
        <f>IF(P10=0,0,COUNTIF(Transect5_imgsummary!E10:I10,"FUNG")*100/P10)</f>
        <v>0</v>
      </c>
      <c r="AJ10">
        <f>IF(P10=0,0,COUNTIF(Transect5_imgsummary!E10:I10,"GAL")*100/P10)</f>
        <v>0</v>
      </c>
      <c r="AK10">
        <f>IF(P10=0,0,COUNTIF(Transect5_imgsummary!E10:I10,"GARD")*100/P10)</f>
        <v>0</v>
      </c>
      <c r="AL10" s="29">
        <f>IF(P10=0,0,COUNTIF(Transect5_imgsummary!E10:I10,"GON")*100/P10)</f>
        <v>20</v>
      </c>
      <c r="AM10">
        <f>IF(P10=0,0,COUNTIF(Transect5_imgsummary!E10:I10,"GONIO")*100/P10)</f>
        <v>0</v>
      </c>
      <c r="AN10">
        <f>IF(P10=0,0,COUNTIF(Transect5_imgsummary!E10:I10,"HELIO")*100/P10)</f>
        <v>0</v>
      </c>
      <c r="AO10">
        <f>IF(P10=0,0,COUNTIF(Transect5_imgsummary!E10:I10,"HERP")*100/P10)</f>
        <v>0</v>
      </c>
      <c r="AP10">
        <f>IF(P10=0,0,COUNTIF(Transect5_imgsummary!E10:I10,"HYD")*100/P10)</f>
        <v>0</v>
      </c>
      <c r="AQ10">
        <f>IF(P10=0,0,COUNTIF(Transect5_imgsummary!E10:I10,"ISOP")*100/P10)</f>
        <v>0</v>
      </c>
      <c r="AR10">
        <f>IF(P10=0,0,COUNTIF(Transect5_imgsummary!E10:I10,"LEPT")*100/P10)</f>
        <v>0</v>
      </c>
      <c r="AS10" s="29">
        <f>IF(P10=0,0,COUNTIF(Transect5_imgsummary!E10:I10,"LEPTOR")*100/P10)</f>
        <v>20</v>
      </c>
      <c r="AT10">
        <f>IF(P10=0,0,COUNTIF(Transect5_imgsummary!E10:I10,"LEPTOS")*100/P10)</f>
        <v>0</v>
      </c>
      <c r="AU10">
        <f>IF(P10=0,0,COUNTIF(Transect5_imgsummary!E10:I10,"LOBOPH")*100/P10)</f>
        <v>0</v>
      </c>
      <c r="AV10">
        <f>IF(P10=0,0,COUNTIF(Transect5_imgsummary!E10:I10,"MERU")*100/P10)</f>
        <v>0</v>
      </c>
      <c r="AW10">
        <f>IF(P10=0,0,COUNTIF(Transect5_imgsummary!E10:I10,"MILL")*100/P10)</f>
        <v>0</v>
      </c>
      <c r="AX10">
        <f>IF(P10=0,0,COUNTIF(Transect5_imgsummary!E10:I10,"MONT")*100/P10)</f>
        <v>0</v>
      </c>
      <c r="AY10">
        <f>IF(P10=0,0,COUNTIF(Transect5_imgsummary!E10:I10,"MONTI")*100/P10)</f>
        <v>0</v>
      </c>
      <c r="AZ10">
        <f>IF(P10=0,0,COUNTIF(Transect5_imgsummary!E10:I10,"MYCED")*100/P10)</f>
        <v>0</v>
      </c>
      <c r="BA10">
        <f>IF(P10=0,0,COUNTIF(Transect5_imgsummary!E10:I10,"OULO")*100/P10)</f>
        <v>0</v>
      </c>
      <c r="BB10">
        <f>IF(P10=0,0,COUNTIF(Transect5_imgsummary!E10:I10,"OXYP")*100/P10)</f>
        <v>0</v>
      </c>
      <c r="BC10">
        <f>IF(P10=0,0,COUNTIF(Transect5_imgsummary!E10:I10,"PLSIA")*100/P10)</f>
        <v>0</v>
      </c>
      <c r="BD10">
        <f>IF(P10=0,0,COUNTIF(Transect5_imgsummary!E10:I10,"PACHY")*100/P10)</f>
        <v>0</v>
      </c>
      <c r="BE10">
        <f>IF(P10=0,0,COUNTIF(Transect5_imgsummary!E10:I10,"PAV")*100/P10)</f>
        <v>0</v>
      </c>
      <c r="BF10">
        <f>IF(P10=0,0,COUNTIF(Transect5_imgsummary!E10:I10,"PECT")*100/P10)</f>
        <v>0</v>
      </c>
      <c r="BG10">
        <f>IF(P10=0,0,COUNTIF(Transect5_imgsummary!E10:I10,"PHYSO")*100/P10)</f>
        <v>0</v>
      </c>
      <c r="BH10">
        <f>IF(P10=0,0,COUNTIF(Transect5_imgsummary!E10:I10,"PLAT")*100/P10)</f>
        <v>0</v>
      </c>
      <c r="BI10">
        <f>IF(P10=0,0,COUNTIF(Transect5_imgsummary!E10:I10,"PLERO")*100/P10)</f>
        <v>0</v>
      </c>
      <c r="BJ10">
        <f>IF(P10=0,0,COUNTIF(Transect5_imgsummary!E10:I10,"POC")*100/P10)</f>
        <v>0</v>
      </c>
      <c r="BK10">
        <f>IF(P10=0,0,COUNTIF(Transect5_imgsummary!E10:I10,"POR")*100/P10)</f>
        <v>0</v>
      </c>
      <c r="BL10">
        <f>IF(P10=0,0,COUNTIF(Transect5_imgsummary!E10:I10,"PORCYL")*100/P10)</f>
        <v>0</v>
      </c>
      <c r="BM10">
        <f>IF(P10=0,0,COUNTIF(Transect5_imgsummary!E10:I10,"PORMAS")*100/P10)</f>
        <v>0</v>
      </c>
      <c r="BN10">
        <f>IF(P10=0,0,COUNTIF(Transect5_imgsummary!E10:I10,"PORRUS")*100/P10)</f>
        <v>0</v>
      </c>
      <c r="BO10">
        <f>IF(P10=0,0,COUNTIF(Transect5_imgsummary!E10:I10,"PSAM")*100/P10)</f>
        <v>0</v>
      </c>
      <c r="BP10">
        <f>IF(P10=0,0,COUNTIF(Transect5_imgsummary!E10:I10,"SANDO")*100/P10)</f>
        <v>0</v>
      </c>
      <c r="BQ10">
        <f>IF(P10=0,0,COUNTIF(Transect5_imgsummary!E10:I10,"SCAP")*100/P10)</f>
        <v>0</v>
      </c>
      <c r="BR10">
        <f>IF(P10=0,0,COUNTIF(Transect5_imgsummary!E10:I10,"SERIA")*100/P10)</f>
        <v>0</v>
      </c>
      <c r="BS10">
        <f>IF(P10=0,0,COUNTIF(Transect5_imgsummary!E10:I10,"STYLC")*100/P10)</f>
        <v>0</v>
      </c>
      <c r="BT10">
        <f>IF(P10=0,0,COUNTIF(Transect5_imgsummary!E10:I10,"STYLO")*100/P10)</f>
        <v>0</v>
      </c>
      <c r="BU10">
        <f>IF(P10=0,0,COUNTIF(Transect5_imgsummary!E10:I10,"SYMP")*100/P10)</f>
        <v>0</v>
      </c>
      <c r="BV10">
        <f>IF(P10=0,0,COUNTIF(Transect5_imgsummary!E10:I10,"TURBIN")*100/P10)</f>
        <v>0</v>
      </c>
      <c r="BX10">
        <f>IF(P10=0,0,COUNTIF(Transect5_imgsummary!E10:I10,"ANEM")*100/P10)</f>
        <v>0</v>
      </c>
      <c r="BY10">
        <f>IF(P10=0,0,COUNTIF(Transect5_imgsummary!E10:I10,"ASC")*100/P10)</f>
        <v>0</v>
      </c>
      <c r="BZ10">
        <f>IF(P10=0,0,COUNTIF(Transect5_imgsummary!E10:I10,"CUPS")*100/P10)</f>
        <v>0</v>
      </c>
      <c r="CA10">
        <f>IF(P10=0,0,COUNTIF(Transect5_imgsummary!E10:I10,"DISCO")*100/P10)</f>
        <v>0</v>
      </c>
      <c r="CB10">
        <f>IF(P10=0,0,COUNTIF(Transect5_imgsummary!E10:I10,"DYS")*100/P10)</f>
        <v>0</v>
      </c>
      <c r="CC10">
        <f>IF(P10=0,0,COUNTIF(Transect5_imgsummary!E10:I10,"G")*100/P10)</f>
        <v>0</v>
      </c>
      <c r="CD10">
        <f>IF(P10=0,0,COUNTIF(Transect5_imgsummary!E10:I10,"NoIDINV")*100/P10)</f>
        <v>0</v>
      </c>
      <c r="CE10">
        <f>IF(P10=0,0,COUNTIF(Transect5_imgsummary!E10:I10,"OLV")*100/P10)</f>
        <v>0</v>
      </c>
      <c r="CF10">
        <f>IF(P10=0,0,COUNTIF(Transect5_imgsummary!E10:I10,"SC")*100/P10)</f>
        <v>0</v>
      </c>
      <c r="CG10">
        <f>IF(P10=0,0,COUNTIF(Transect5_imgsummary!E10:I10,"S")*100/P10)</f>
        <v>0</v>
      </c>
      <c r="CH10">
        <f>IF(P10=0,0,COUNTIF(Transect5_imgsummary!E10:I10,"TERPS")*100/P10)</f>
        <v>0</v>
      </c>
      <c r="CI10">
        <f>IF(P10=0,0,COUNTIF(Transect5_imgsummary!E10:I10,"Z")*100/P10)</f>
        <v>0</v>
      </c>
      <c r="CK10">
        <f>IF(P10=0,0,COUNTIF(Transect5_imgsummary!E10:I10,"ASP")*100/P10)</f>
        <v>0</v>
      </c>
      <c r="CL10">
        <f>IF(P10=0,0,COUNTIF(Transect5_imgsummary!E10:I10,"BG")*100/P10)</f>
        <v>0</v>
      </c>
      <c r="CM10">
        <f>IF(P10=0,0,COUNTIF(Transect5_imgsummary!E10:I10,"Bood")*100/P10)</f>
        <v>0</v>
      </c>
      <c r="CN10">
        <f>IF(P10=0,0,COUNTIF(Transect5_imgsummary!E10:I10,"BRYP")*100/P10)</f>
        <v>0</v>
      </c>
      <c r="CO10">
        <f>IF(P10=0,0,COUNTIF(Transect5_imgsummary!E10:I10,"CLP")*100/P10)</f>
        <v>0</v>
      </c>
      <c r="CP10">
        <f>IF(P10=0,0,COUNTIF(Transect5_imgsummary!E10:I10,"CHLDES")*100/P10)</f>
        <v>0</v>
      </c>
      <c r="CQ10">
        <f>IF(P10=0,0,COUNTIF(Transect5_imgsummary!E10:I10,"DYCTY")*100/P10)</f>
        <v>0</v>
      </c>
      <c r="CR10">
        <f>IF(P10=0,0,COUNTIF(Transect5_imgsummary!E10:I10,"DICT")*100/P10)</f>
        <v>0</v>
      </c>
      <c r="CS10">
        <f>IF(P10=0,0,COUNTIF(Transect5_imgsummary!E10:I10,"GLXU")*100/P10)</f>
        <v>0</v>
      </c>
      <c r="CT10">
        <f>IF(P10=0,0,COUNTIF(Transect5_imgsummary!E10:I10,"HALI")*100/P10)</f>
        <v>0</v>
      </c>
      <c r="CU10">
        <f>IF(P10=0,0,COUNTIF(Transect5_imgsummary!E10:I10,"LIAG")*100/P10)</f>
        <v>0</v>
      </c>
      <c r="CV10">
        <f>IF(P10=0,0,COUNTIF(Transect5_imgsummary!E10:I10,"LOBO")*100/P10)</f>
        <v>0</v>
      </c>
      <c r="CW10">
        <f>IF(P10=0,0,COUNTIF(Transect5_imgsummary!E10:I10,"MAST")*100/P10)</f>
        <v>0</v>
      </c>
      <c r="CX10">
        <f>IF(P10=0,0,COUNTIF(Transect5_imgsummary!E10:I10,"MICDTY")*100/P10)</f>
        <v>0</v>
      </c>
      <c r="CY10">
        <f>IF(P10=0,0,COUNTIF(Transect5_imgsummary!E10:I10,"NEOM")*100/P10)</f>
        <v>0</v>
      </c>
      <c r="CZ10">
        <f>IF(P10=0,0,COUNTIF(Transect5_imgsummary!E10:I10,"NOIDMAC")*100/P10)</f>
        <v>0</v>
      </c>
      <c r="DA10">
        <f>IF(P10=0,0,COUNTIF(Transect5_imgsummary!E10:I10,"PAD")*100/P10)</f>
        <v>0</v>
      </c>
      <c r="DB10">
        <f>IF(P10=0,0,COUNTIF(Transect5_imgsummary!E10:I10,"SARG")*100/P10)</f>
        <v>0</v>
      </c>
      <c r="DC10">
        <f>IF(P10=0,0,COUNTIF(Transect5_imgsummary!E10:I10,"SCHIZ")*100/P10)</f>
        <v>0</v>
      </c>
      <c r="DD10">
        <f>IF(P10=0,0,COUNTIF(Transect5_imgsummary!E10:I10,"TURB")*100/P10)</f>
        <v>0</v>
      </c>
      <c r="DE10">
        <f>IF(P10=0,0,COUNTIF(Transect5_imgsummary!E10:I10,"TYDM")*100/P10)</f>
        <v>0</v>
      </c>
      <c r="DG10">
        <f>IF(P10=0,0,COUNTIF(Transect5_imgsummary!E10:I10,"AMP")*100/P10)</f>
        <v>0</v>
      </c>
      <c r="DH10">
        <f>IF(P10=0,0,COUNTIF(Transect5_imgsummary!E10:I10,"BCA1")*100/P10)</f>
        <v>0</v>
      </c>
      <c r="DI10">
        <f>IF(P10=0,0,COUNTIF(Transect5_imgsummary!E10:I10,"JAN")*100/P10)</f>
        <v>0</v>
      </c>
      <c r="DK10">
        <f>IF(P10=0,0,COUNTIF(Transect5_imgsummary!E10:I10,"CCA1")*100/P10)</f>
        <v>0</v>
      </c>
      <c r="DM10">
        <f>IF(P10=0,0,COUNTIF(Transect5_imgsummary!E10:I10,"Sand")*100/P10)</f>
        <v>0</v>
      </c>
      <c r="DO10">
        <f>IF(P10=0,0,COUNTIF(Transect5_imgsummary!E10:I10,"FCA1")*100/P10)</f>
        <v>0</v>
      </c>
      <c r="DQ10">
        <f>IF(P10=0,0,COUNTIF(Transect5_imgsummary!E10:I10,"CHRYOBRN")*100/P10)</f>
        <v>0</v>
      </c>
      <c r="DS10" s="29">
        <f>IF(P10=0,0,COUNTIF(Transect5_imgsummary!E10:I10,"TURF")*100/P10)</f>
        <v>40</v>
      </c>
      <c r="DU10">
        <f>COUNTIF(Transect5_imgsummary!E10:I10,"Shadow")*100/5</f>
        <v>0</v>
      </c>
      <c r="DV10">
        <f>COUNTIF(Transect5_imgsummary!E10:I10,"Tape")*100/5</f>
        <v>0</v>
      </c>
      <c r="DW10">
        <f>COUNTIF(Transect5_imgsummary!E10:I10,"Wand")*100/5</f>
        <v>0</v>
      </c>
      <c r="DY10">
        <f>IF(P10=0,0,COUNTIF(Transect5_imgsummary!O10:S10,"BC")*100/P10)</f>
        <v>0</v>
      </c>
    </row>
    <row r="11" spans="1:129">
      <c r="A11">
        <v>9</v>
      </c>
      <c r="B11" t="s">
        <v>606</v>
      </c>
      <c r="F11" s="29">
        <f>IF(P11=0,0,COUNTIF(Transect5_imgsummary!J11:N11,"C")*100/P11)</f>
        <v>40</v>
      </c>
      <c r="G11">
        <f>IF(P11=0,0,COUNTIF(Transect5_imgsummary!J11:N11,"OI")*100/P11)</f>
        <v>0</v>
      </c>
      <c r="H11">
        <f>IF(P11=0,0,COUNTIF(Transect5_imgsummary!J11:N11,"MA")*100/P11)</f>
        <v>0</v>
      </c>
      <c r="I11">
        <f>IF(P11=0,0,COUNTIF(Transect5_imgsummary!J11:N11,"BCA")*100/P11)</f>
        <v>0</v>
      </c>
      <c r="J11" s="29">
        <f>IF(P11=0,0,COUNTIF(Transect5_imgsummary!J11:N11,"CCA")*100/P11)</f>
        <v>40</v>
      </c>
      <c r="K11">
        <f>IF(P11=0,0,COUNTIF(Transect5_imgsummary!J11:N11,"SD")*100/P11)</f>
        <v>0</v>
      </c>
      <c r="L11">
        <f>IF(P11=0,0,COUNTIF(Transect5_imgsummary!J11:N11,"FCA")*100/P11)</f>
        <v>0</v>
      </c>
      <c r="M11">
        <f>IF(P11=0,0,COUNTIF(Transect5_imgsummary!J11:N11,"CHRYS")*100/P11)</f>
        <v>0</v>
      </c>
      <c r="N11" s="29">
        <f>IF(P11=0,0,COUNTIF(Transect5_imgsummary!J11:N11,"T")*100/P11)</f>
        <v>20</v>
      </c>
      <c r="O11">
        <f>IF(P11=0,0,COUNTIF(Transect5_imgsummary!J11:N11,"TWS")*100/P11)</f>
        <v>0</v>
      </c>
      <c r="P11">
        <f>5-COUNTIF(Transect5_imgsummary!J11:N11,"TWS")</f>
        <v>5</v>
      </c>
      <c r="S11">
        <f>IF(P11=0,0,COUNTIF(Transect5_imgsummary!E11:I11,"ACAN")*100/P11)</f>
        <v>0</v>
      </c>
      <c r="T11">
        <f>IF(P11=0,0,COUNTIF(Transect5_imgsummary!E11:I11,"ACROP")*100/P11)</f>
        <v>0</v>
      </c>
      <c r="U11">
        <f>IF(P11=0,0,COUNTIF(Transect5_imgsummary!E11:I11,"ACROPARB")*100/P11)</f>
        <v>0</v>
      </c>
      <c r="V11">
        <f>IF(P11=0,0,COUNTIF(Transect5_imgsummary!E11:I11,"ACROST")*100/P11)</f>
        <v>0</v>
      </c>
      <c r="W11">
        <f>IF(P11=0,0,COUNTIF(Transect5_imgsummary!E11:I11,"ACROTBL")*100/P11)</f>
        <v>0</v>
      </c>
      <c r="X11">
        <f>IF(P11=0,0,COUNTIF(Transect5_imgsummary!E11:I11,"ASTRP")*100/P11)</f>
        <v>0</v>
      </c>
      <c r="Y11">
        <f>IF(P11=0,0,COUNTIF(Transect5_imgsummary!E11:I11,"CAUL")*100/P11)</f>
        <v>0</v>
      </c>
      <c r="Z11">
        <f>IF(P11=0,0,COUNTIF(Transect5_imgsummary!E11:I11,"COSC")*100/P11)</f>
        <v>0</v>
      </c>
      <c r="AA11">
        <f>IF(P11=0,0,COUNTIF(Transect5_imgsummary!E11:I11,"CTEN")*100/P11)</f>
        <v>0</v>
      </c>
      <c r="AB11">
        <f>IF(P11=0,0,COUNTIF(Transect5_imgsummary!E11:I11,"CYPH")*100/P11)</f>
        <v>0</v>
      </c>
      <c r="AC11">
        <f>IF(P11=0,0,COUNTIF(Transect5_imgsummary!E11:I11,"DIPLO")*100/P11)</f>
        <v>0</v>
      </c>
      <c r="AD11" s="29">
        <f>IF(P11=0,0,COUNTIF(Transect5_imgsummary!E11:I11,"ECHPO")*100/P11)</f>
        <v>20</v>
      </c>
      <c r="AE11">
        <f>IF(P11=0,0,COUNTIF(Transect5_imgsummary!E11:I11,"ECHPHY")*100/P11)</f>
        <v>0</v>
      </c>
      <c r="AF11">
        <f>IF(P11=0,0,COUNTIF(Transect5_imgsummary!E11:I11,"EUPH")*100/P11)</f>
        <v>0</v>
      </c>
      <c r="AG11">
        <f>IF(P11=0,0,COUNTIF(Transect5_imgsummary!E11:I11,"FAV")*100/P11)</f>
        <v>0</v>
      </c>
      <c r="AH11">
        <f>IF(P11=0,0,COUNTIF(Transect5_imgsummary!E11:I11,"FAVT")*100/P11)</f>
        <v>0</v>
      </c>
      <c r="AI11">
        <f>IF(P11=0,0,COUNTIF(Transect5_imgsummary!E11:I11,"FUNG")*100/P11)</f>
        <v>0</v>
      </c>
      <c r="AJ11">
        <f>IF(P11=0,0,COUNTIF(Transect5_imgsummary!E11:I11,"GAL")*100/P11)</f>
        <v>0</v>
      </c>
      <c r="AK11">
        <f>IF(P11=0,0,COUNTIF(Transect5_imgsummary!E11:I11,"GARD")*100/P11)</f>
        <v>0</v>
      </c>
      <c r="AL11">
        <f>IF(P11=0,0,COUNTIF(Transect5_imgsummary!E11:I11,"GON")*100/P11)</f>
        <v>0</v>
      </c>
      <c r="AM11">
        <f>IF(P11=0,0,COUNTIF(Transect5_imgsummary!E11:I11,"GONIO")*100/P11)</f>
        <v>0</v>
      </c>
      <c r="AN11">
        <f>IF(P11=0,0,COUNTIF(Transect5_imgsummary!E11:I11,"HELIO")*100/P11)</f>
        <v>0</v>
      </c>
      <c r="AO11">
        <f>IF(P11=0,0,COUNTIF(Transect5_imgsummary!E11:I11,"HERP")*100/P11)</f>
        <v>0</v>
      </c>
      <c r="AP11">
        <f>IF(P11=0,0,COUNTIF(Transect5_imgsummary!E11:I11,"HYD")*100/P11)</f>
        <v>0</v>
      </c>
      <c r="AQ11">
        <f>IF(P11=0,0,COUNTIF(Transect5_imgsummary!E11:I11,"ISOP")*100/P11)</f>
        <v>0</v>
      </c>
      <c r="AR11">
        <f>IF(P11=0,0,COUNTIF(Transect5_imgsummary!E11:I11,"LEPT")*100/P11)</f>
        <v>0</v>
      </c>
      <c r="AS11">
        <f>IF(P11=0,0,COUNTIF(Transect5_imgsummary!E11:I11,"LEPTOR")*100/P11)</f>
        <v>0</v>
      </c>
      <c r="AT11">
        <f>IF(P11=0,0,COUNTIF(Transect5_imgsummary!E11:I11,"LEPTOS")*100/P11)</f>
        <v>0</v>
      </c>
      <c r="AU11">
        <f>IF(P11=0,0,COUNTIF(Transect5_imgsummary!E11:I11,"LOBOPH")*100/P11)</f>
        <v>0</v>
      </c>
      <c r="AV11">
        <f>IF(P11=0,0,COUNTIF(Transect5_imgsummary!E11:I11,"MERU")*100/P11)</f>
        <v>0</v>
      </c>
      <c r="AW11">
        <f>IF(P11=0,0,COUNTIF(Transect5_imgsummary!E11:I11,"MILL")*100/P11)</f>
        <v>0</v>
      </c>
      <c r="AX11">
        <f>IF(P11=0,0,COUNTIF(Transect5_imgsummary!E11:I11,"MONT")*100/P11)</f>
        <v>0</v>
      </c>
      <c r="AY11">
        <f>IF(P11=0,0,COUNTIF(Transect5_imgsummary!E11:I11,"MONTI")*100/P11)</f>
        <v>0</v>
      </c>
      <c r="AZ11">
        <f>IF(P11=0,0,COUNTIF(Transect5_imgsummary!E11:I11,"MYCED")*100/P11)</f>
        <v>0</v>
      </c>
      <c r="BA11">
        <f>IF(P11=0,0,COUNTIF(Transect5_imgsummary!E11:I11,"OULO")*100/P11)</f>
        <v>0</v>
      </c>
      <c r="BB11">
        <f>IF(P11=0,0,COUNTIF(Transect5_imgsummary!E11:I11,"OXYP")*100/P11)</f>
        <v>0</v>
      </c>
      <c r="BC11">
        <f>IF(P11=0,0,COUNTIF(Transect5_imgsummary!E11:I11,"PLSIA")*100/P11)</f>
        <v>0</v>
      </c>
      <c r="BD11">
        <f>IF(P11=0,0,COUNTIF(Transect5_imgsummary!E11:I11,"PACHY")*100/P11)</f>
        <v>0</v>
      </c>
      <c r="BE11">
        <f>IF(P11=0,0,COUNTIF(Transect5_imgsummary!E11:I11,"PAV")*100/P11)</f>
        <v>0</v>
      </c>
      <c r="BF11">
        <f>IF(P11=0,0,COUNTIF(Transect5_imgsummary!E11:I11,"PECT")*100/P11)</f>
        <v>0</v>
      </c>
      <c r="BG11">
        <f>IF(P11=0,0,COUNTIF(Transect5_imgsummary!E11:I11,"PHYSO")*100/P11)</f>
        <v>0</v>
      </c>
      <c r="BH11">
        <f>IF(P11=0,0,COUNTIF(Transect5_imgsummary!E11:I11,"PLAT")*100/P11)</f>
        <v>0</v>
      </c>
      <c r="BI11">
        <f>IF(P11=0,0,COUNTIF(Transect5_imgsummary!E11:I11,"PLERO")*100/P11)</f>
        <v>0</v>
      </c>
      <c r="BJ11">
        <f>IF(P11=0,0,COUNTIF(Transect5_imgsummary!E11:I11,"POC")*100/P11)</f>
        <v>0</v>
      </c>
      <c r="BK11">
        <f>IF(P11=0,0,COUNTIF(Transect5_imgsummary!E11:I11,"POR")*100/P11)</f>
        <v>0</v>
      </c>
      <c r="BL11">
        <f>IF(P11=0,0,COUNTIF(Transect5_imgsummary!E11:I11,"PORCYL")*100/P11)</f>
        <v>0</v>
      </c>
      <c r="BM11">
        <f>IF(P11=0,0,COUNTIF(Transect5_imgsummary!E11:I11,"PORMAS")*100/P11)</f>
        <v>0</v>
      </c>
      <c r="BN11">
        <f>IF(P11=0,0,COUNTIF(Transect5_imgsummary!E11:I11,"PORRUS")*100/P11)</f>
        <v>0</v>
      </c>
      <c r="BO11">
        <f>IF(P11=0,0,COUNTIF(Transect5_imgsummary!E11:I11,"PSAM")*100/P11)</f>
        <v>0</v>
      </c>
      <c r="BP11">
        <f>IF(P11=0,0,COUNTIF(Transect5_imgsummary!E11:I11,"SANDO")*100/P11)</f>
        <v>0</v>
      </c>
      <c r="BQ11">
        <f>IF(P11=0,0,COUNTIF(Transect5_imgsummary!E11:I11,"SCAP")*100/P11)</f>
        <v>0</v>
      </c>
      <c r="BR11">
        <f>IF(P11=0,0,COUNTIF(Transect5_imgsummary!E11:I11,"SERIA")*100/P11)</f>
        <v>0</v>
      </c>
      <c r="BS11">
        <f>IF(P11=0,0,COUNTIF(Transect5_imgsummary!E11:I11,"STYLC")*100/P11)</f>
        <v>0</v>
      </c>
      <c r="BT11" s="29">
        <f>IF(P11=0,0,COUNTIF(Transect5_imgsummary!E11:I11,"STYLO")*100/P11)</f>
        <v>20</v>
      </c>
      <c r="BU11">
        <f>IF(P11=0,0,COUNTIF(Transect5_imgsummary!E11:I11,"SYMP")*100/P11)</f>
        <v>0</v>
      </c>
      <c r="BV11">
        <f>IF(P11=0,0,COUNTIF(Transect5_imgsummary!E11:I11,"TURBIN")*100/P11)</f>
        <v>0</v>
      </c>
      <c r="BX11">
        <f>IF(P11=0,0,COUNTIF(Transect5_imgsummary!E11:I11,"ANEM")*100/P11)</f>
        <v>0</v>
      </c>
      <c r="BY11">
        <f>IF(P11=0,0,COUNTIF(Transect5_imgsummary!E11:I11,"ASC")*100/P11)</f>
        <v>0</v>
      </c>
      <c r="BZ11">
        <f>IF(P11=0,0,COUNTIF(Transect5_imgsummary!E11:I11,"CUPS")*100/P11)</f>
        <v>0</v>
      </c>
      <c r="CA11">
        <f>IF(P11=0,0,COUNTIF(Transect5_imgsummary!E11:I11,"DISCO")*100/P11)</f>
        <v>0</v>
      </c>
      <c r="CB11">
        <f>IF(P11=0,0,COUNTIF(Transect5_imgsummary!E11:I11,"DYS")*100/P11)</f>
        <v>0</v>
      </c>
      <c r="CC11">
        <f>IF(P11=0,0,COUNTIF(Transect5_imgsummary!E11:I11,"G")*100/P11)</f>
        <v>0</v>
      </c>
      <c r="CD11">
        <f>IF(P11=0,0,COUNTIF(Transect5_imgsummary!E11:I11,"NoIDINV")*100/P11)</f>
        <v>0</v>
      </c>
      <c r="CE11">
        <f>IF(P11=0,0,COUNTIF(Transect5_imgsummary!E11:I11,"OLV")*100/P11)</f>
        <v>0</v>
      </c>
      <c r="CF11">
        <f>IF(P11=0,0,COUNTIF(Transect5_imgsummary!E11:I11,"SC")*100/P11)</f>
        <v>0</v>
      </c>
      <c r="CG11">
        <f>IF(P11=0,0,COUNTIF(Transect5_imgsummary!E11:I11,"S")*100/P11)</f>
        <v>0</v>
      </c>
      <c r="CH11">
        <f>IF(P11=0,0,COUNTIF(Transect5_imgsummary!E11:I11,"TERPS")*100/P11)</f>
        <v>0</v>
      </c>
      <c r="CI11">
        <f>IF(P11=0,0,COUNTIF(Transect5_imgsummary!E11:I11,"Z")*100/P11)</f>
        <v>0</v>
      </c>
      <c r="CK11">
        <f>IF(P11=0,0,COUNTIF(Transect5_imgsummary!E11:I11,"ASP")*100/P11)</f>
        <v>0</v>
      </c>
      <c r="CL11">
        <f>IF(P11=0,0,COUNTIF(Transect5_imgsummary!E11:I11,"BG")*100/P11)</f>
        <v>0</v>
      </c>
      <c r="CM11">
        <f>IF(P11=0,0,COUNTIF(Transect5_imgsummary!E11:I11,"Bood")*100/P11)</f>
        <v>0</v>
      </c>
      <c r="CN11">
        <f>IF(P11=0,0,COUNTIF(Transect5_imgsummary!E11:I11,"BRYP")*100/P11)</f>
        <v>0</v>
      </c>
      <c r="CO11">
        <f>IF(P11=0,0,COUNTIF(Transect5_imgsummary!E11:I11,"CLP")*100/P11)</f>
        <v>0</v>
      </c>
      <c r="CP11">
        <f>IF(P11=0,0,COUNTIF(Transect5_imgsummary!E11:I11,"CHLDES")*100/P11)</f>
        <v>0</v>
      </c>
      <c r="CQ11">
        <f>IF(P11=0,0,COUNTIF(Transect5_imgsummary!E11:I11,"DYCTY")*100/P11)</f>
        <v>0</v>
      </c>
      <c r="CR11">
        <f>IF(P11=0,0,COUNTIF(Transect5_imgsummary!E11:I11,"DICT")*100/P11)</f>
        <v>0</v>
      </c>
      <c r="CS11">
        <f>IF(P11=0,0,COUNTIF(Transect5_imgsummary!E11:I11,"GLXU")*100/P11)</f>
        <v>0</v>
      </c>
      <c r="CT11">
        <f>IF(P11=0,0,COUNTIF(Transect5_imgsummary!E11:I11,"HALI")*100/P11)</f>
        <v>0</v>
      </c>
      <c r="CU11">
        <f>IF(P11=0,0,COUNTIF(Transect5_imgsummary!E11:I11,"LIAG")*100/P11)</f>
        <v>0</v>
      </c>
      <c r="CV11">
        <f>IF(P11=0,0,COUNTIF(Transect5_imgsummary!E11:I11,"LOBO")*100/P11)</f>
        <v>0</v>
      </c>
      <c r="CW11">
        <f>IF(P11=0,0,COUNTIF(Transect5_imgsummary!E11:I11,"MAST")*100/P11)</f>
        <v>0</v>
      </c>
      <c r="CX11">
        <f>IF(P11=0,0,COUNTIF(Transect5_imgsummary!E11:I11,"MICDTY")*100/P11)</f>
        <v>0</v>
      </c>
      <c r="CY11">
        <f>IF(P11=0,0,COUNTIF(Transect5_imgsummary!E11:I11,"NEOM")*100/P11)</f>
        <v>0</v>
      </c>
      <c r="CZ11">
        <f>IF(P11=0,0,COUNTIF(Transect5_imgsummary!E11:I11,"NOIDMAC")*100/P11)</f>
        <v>0</v>
      </c>
      <c r="DA11">
        <f>IF(P11=0,0,COUNTIF(Transect5_imgsummary!E11:I11,"PAD")*100/P11)</f>
        <v>0</v>
      </c>
      <c r="DB11">
        <f>IF(P11=0,0,COUNTIF(Transect5_imgsummary!E11:I11,"SARG")*100/P11)</f>
        <v>0</v>
      </c>
      <c r="DC11">
        <f>IF(P11=0,0,COUNTIF(Transect5_imgsummary!E11:I11,"SCHIZ")*100/P11)</f>
        <v>0</v>
      </c>
      <c r="DD11">
        <f>IF(P11=0,0,COUNTIF(Transect5_imgsummary!E11:I11,"TURB")*100/P11)</f>
        <v>0</v>
      </c>
      <c r="DE11">
        <f>IF(P11=0,0,COUNTIF(Transect5_imgsummary!E11:I11,"TYDM")*100/P11)</f>
        <v>0</v>
      </c>
      <c r="DG11">
        <f>IF(P11=0,0,COUNTIF(Transect5_imgsummary!E11:I11,"AMP")*100/P11)</f>
        <v>0</v>
      </c>
      <c r="DH11">
        <f>IF(P11=0,0,COUNTIF(Transect5_imgsummary!E11:I11,"BCA1")*100/P11)</f>
        <v>0</v>
      </c>
      <c r="DI11">
        <f>IF(P11=0,0,COUNTIF(Transect5_imgsummary!E11:I11,"JAN")*100/P11)</f>
        <v>0</v>
      </c>
      <c r="DK11" s="29">
        <f>IF(P11=0,0,COUNTIF(Transect5_imgsummary!E11:I11,"CCA1")*100/P11)</f>
        <v>40</v>
      </c>
      <c r="DM11">
        <f>IF(P11=0,0,COUNTIF(Transect5_imgsummary!E11:I11,"Sand")*100/P11)</f>
        <v>0</v>
      </c>
      <c r="DO11">
        <f>IF(P11=0,0,COUNTIF(Transect5_imgsummary!E11:I11,"FCA1")*100/P11)</f>
        <v>0</v>
      </c>
      <c r="DQ11">
        <f>IF(P11=0,0,COUNTIF(Transect5_imgsummary!E11:I11,"CHRYOBRN")*100/P11)</f>
        <v>0</v>
      </c>
      <c r="DS11" s="29">
        <f>IF(P11=0,0,COUNTIF(Transect5_imgsummary!E11:I11,"TURF")*100/P11)</f>
        <v>20</v>
      </c>
      <c r="DU11">
        <f>COUNTIF(Transect5_imgsummary!E11:I11,"Shadow")*100/5</f>
        <v>0</v>
      </c>
      <c r="DV11">
        <f>COUNTIF(Transect5_imgsummary!E11:I11,"Tape")*100/5</f>
        <v>0</v>
      </c>
      <c r="DW11">
        <f>COUNTIF(Transect5_imgsummary!E11:I11,"Wand")*100/5</f>
        <v>0</v>
      </c>
      <c r="DY11">
        <f>IF(P11=0,0,COUNTIF(Transect5_imgsummary!O11:S11,"BC")*100/P11)</f>
        <v>0</v>
      </c>
    </row>
    <row r="12" spans="1:129">
      <c r="A12">
        <v>10</v>
      </c>
      <c r="B12" t="s">
        <v>607</v>
      </c>
      <c r="F12" s="29">
        <f>IF(P12=0,0,COUNTIF(Transect5_imgsummary!J12:N12,"C")*100/P12)</f>
        <v>40</v>
      </c>
      <c r="G12">
        <f>IF(P12=0,0,COUNTIF(Transect5_imgsummary!J12:N12,"OI")*100/P12)</f>
        <v>0</v>
      </c>
      <c r="H12">
        <f>IF(P12=0,0,COUNTIF(Transect5_imgsummary!J12:N12,"MA")*100/P12)</f>
        <v>0</v>
      </c>
      <c r="I12">
        <f>IF(P12=0,0,COUNTIF(Transect5_imgsummary!J12:N12,"BCA")*100/P12)</f>
        <v>0</v>
      </c>
      <c r="J12" s="29">
        <f>IF(P12=0,0,COUNTIF(Transect5_imgsummary!J12:N12,"CCA")*100/P12)</f>
        <v>20</v>
      </c>
      <c r="K12">
        <f>IF(P12=0,0,COUNTIF(Transect5_imgsummary!J12:N12,"SD")*100/P12)</f>
        <v>0</v>
      </c>
      <c r="L12">
        <f>IF(P12=0,0,COUNTIF(Transect5_imgsummary!J12:N12,"FCA")*100/P12)</f>
        <v>0</v>
      </c>
      <c r="M12">
        <f>IF(P12=0,0,COUNTIF(Transect5_imgsummary!J12:N12,"CHRYS")*100/P12)</f>
        <v>0</v>
      </c>
      <c r="N12" s="29">
        <f>IF(P12=0,0,COUNTIF(Transect5_imgsummary!J12:N12,"T")*100/P12)</f>
        <v>40</v>
      </c>
      <c r="O12">
        <f>IF(P12=0,0,COUNTIF(Transect5_imgsummary!J12:N12,"TWS")*100/P12)</f>
        <v>0</v>
      </c>
      <c r="P12">
        <f>5-COUNTIF(Transect5_imgsummary!J12:N12,"TWS")</f>
        <v>5</v>
      </c>
      <c r="S12">
        <f>IF(P12=0,0,COUNTIF(Transect5_imgsummary!E12:I12,"ACAN")*100/P12)</f>
        <v>0</v>
      </c>
      <c r="T12">
        <f>IF(P12=0,0,COUNTIF(Transect5_imgsummary!E12:I12,"ACROP")*100/P12)</f>
        <v>0</v>
      </c>
      <c r="U12">
        <f>IF(P12=0,0,COUNTIF(Transect5_imgsummary!E12:I12,"ACROPARB")*100/P12)</f>
        <v>0</v>
      </c>
      <c r="V12">
        <f>IF(P12=0,0,COUNTIF(Transect5_imgsummary!E12:I12,"ACROST")*100/P12)</f>
        <v>0</v>
      </c>
      <c r="W12">
        <f>IF(P12=0,0,COUNTIF(Transect5_imgsummary!E12:I12,"ACROTBL")*100/P12)</f>
        <v>0</v>
      </c>
      <c r="X12">
        <f>IF(P12=0,0,COUNTIF(Transect5_imgsummary!E12:I12,"ASTRP")*100/P12)</f>
        <v>0</v>
      </c>
      <c r="Y12">
        <f>IF(P12=0,0,COUNTIF(Transect5_imgsummary!E12:I12,"CAUL")*100/P12)</f>
        <v>0</v>
      </c>
      <c r="Z12">
        <f>IF(P12=0,0,COUNTIF(Transect5_imgsummary!E12:I12,"COSC")*100/P12)</f>
        <v>0</v>
      </c>
      <c r="AA12">
        <f>IF(P12=0,0,COUNTIF(Transect5_imgsummary!E12:I12,"CTEN")*100/P12)</f>
        <v>0</v>
      </c>
      <c r="AB12">
        <f>IF(P12=0,0,COUNTIF(Transect5_imgsummary!E12:I12,"CYPH")*100/P12)</f>
        <v>0</v>
      </c>
      <c r="AC12">
        <f>IF(P12=0,0,COUNTIF(Transect5_imgsummary!E12:I12,"DIPLO")*100/P12)</f>
        <v>0</v>
      </c>
      <c r="AD12">
        <f>IF(P12=0,0,COUNTIF(Transect5_imgsummary!E12:I12,"ECHPO")*100/P12)</f>
        <v>0</v>
      </c>
      <c r="AE12">
        <f>IF(P12=0,0,COUNTIF(Transect5_imgsummary!E12:I12,"ECHPHY")*100/P12)</f>
        <v>0</v>
      </c>
      <c r="AF12">
        <f>IF(P12=0,0,COUNTIF(Transect5_imgsummary!E12:I12,"EUPH")*100/P12)</f>
        <v>0</v>
      </c>
      <c r="AG12">
        <f>IF(P12=0,0,COUNTIF(Transect5_imgsummary!E12:I12,"FAV")*100/P12)</f>
        <v>0</v>
      </c>
      <c r="AH12">
        <f>IF(P12=0,0,COUNTIF(Transect5_imgsummary!E12:I12,"FAVT")*100/P12)</f>
        <v>0</v>
      </c>
      <c r="AI12" s="29">
        <f>IF(P12=0,0,COUNTIF(Transect5_imgsummary!E12:I12,"FUNG")*100/P12)</f>
        <v>20</v>
      </c>
      <c r="AJ12">
        <f>IF(P12=0,0,COUNTIF(Transect5_imgsummary!E12:I12,"GAL")*100/P12)</f>
        <v>0</v>
      </c>
      <c r="AK12">
        <f>IF(P12=0,0,COUNTIF(Transect5_imgsummary!E12:I12,"GARD")*100/P12)</f>
        <v>0</v>
      </c>
      <c r="AL12">
        <f>IF(P12=0,0,COUNTIF(Transect5_imgsummary!E12:I12,"GON")*100/P12)</f>
        <v>0</v>
      </c>
      <c r="AM12">
        <f>IF(P12=0,0,COUNTIF(Transect5_imgsummary!E12:I12,"GONIO")*100/P12)</f>
        <v>0</v>
      </c>
      <c r="AN12">
        <f>IF(P12=0,0,COUNTIF(Transect5_imgsummary!E12:I12,"HELIO")*100/P12)</f>
        <v>0</v>
      </c>
      <c r="AO12">
        <f>IF(P12=0,0,COUNTIF(Transect5_imgsummary!E12:I12,"HERP")*100/P12)</f>
        <v>0</v>
      </c>
      <c r="AP12">
        <f>IF(P12=0,0,COUNTIF(Transect5_imgsummary!E12:I12,"HYD")*100/P12)</f>
        <v>0</v>
      </c>
      <c r="AQ12">
        <f>IF(P12=0,0,COUNTIF(Transect5_imgsummary!E12:I12,"ISOP")*100/P12)</f>
        <v>0</v>
      </c>
      <c r="AR12">
        <f>IF(P12=0,0,COUNTIF(Transect5_imgsummary!E12:I12,"LEPT")*100/P12)</f>
        <v>0</v>
      </c>
      <c r="AS12">
        <f>IF(P12=0,0,COUNTIF(Transect5_imgsummary!E12:I12,"LEPTOR")*100/P12)</f>
        <v>0</v>
      </c>
      <c r="AT12">
        <f>IF(P12=0,0,COUNTIF(Transect5_imgsummary!E12:I12,"LEPTOS")*100/P12)</f>
        <v>0</v>
      </c>
      <c r="AU12">
        <f>IF(P12=0,0,COUNTIF(Transect5_imgsummary!E12:I12,"LOBOPH")*100/P12)</f>
        <v>0</v>
      </c>
      <c r="AV12" s="29">
        <f>IF(P12=0,0,COUNTIF(Transect5_imgsummary!E12:I12,"MERU")*100/P12)</f>
        <v>20</v>
      </c>
      <c r="AW12">
        <f>IF(P12=0,0,COUNTIF(Transect5_imgsummary!E12:I12,"MILL")*100/P12)</f>
        <v>0</v>
      </c>
      <c r="AX12">
        <f>IF(P12=0,0,COUNTIF(Transect5_imgsummary!E12:I12,"MONT")*100/P12)</f>
        <v>0</v>
      </c>
      <c r="AY12">
        <f>IF(P12=0,0,COUNTIF(Transect5_imgsummary!E12:I12,"MONTI")*100/P12)</f>
        <v>0</v>
      </c>
      <c r="AZ12">
        <f>IF(P12=0,0,COUNTIF(Transect5_imgsummary!E12:I12,"MYCED")*100/P12)</f>
        <v>0</v>
      </c>
      <c r="BA12">
        <f>IF(P12=0,0,COUNTIF(Transect5_imgsummary!E12:I12,"OULO")*100/P12)</f>
        <v>0</v>
      </c>
      <c r="BB12">
        <f>IF(P12=0,0,COUNTIF(Transect5_imgsummary!E12:I12,"OXYP")*100/P12)</f>
        <v>0</v>
      </c>
      <c r="BC12">
        <f>IF(P12=0,0,COUNTIF(Transect5_imgsummary!E12:I12,"PLSIA")*100/P12)</f>
        <v>0</v>
      </c>
      <c r="BD12">
        <f>IF(P12=0,0,COUNTIF(Transect5_imgsummary!E12:I12,"PACHY")*100/P12)</f>
        <v>0</v>
      </c>
      <c r="BE12">
        <f>IF(P12=0,0,COUNTIF(Transect5_imgsummary!E12:I12,"PAV")*100/P12)</f>
        <v>0</v>
      </c>
      <c r="BF12">
        <f>IF(P12=0,0,COUNTIF(Transect5_imgsummary!E12:I12,"PECT")*100/P12)</f>
        <v>0</v>
      </c>
      <c r="BG12">
        <f>IF(P12=0,0,COUNTIF(Transect5_imgsummary!E12:I12,"PHYSO")*100/P12)</f>
        <v>0</v>
      </c>
      <c r="BH12">
        <f>IF(P12=0,0,COUNTIF(Transect5_imgsummary!E12:I12,"PLAT")*100/P12)</f>
        <v>0</v>
      </c>
      <c r="BI12">
        <f>IF(P12=0,0,COUNTIF(Transect5_imgsummary!E12:I12,"PLERO")*100/P12)</f>
        <v>0</v>
      </c>
      <c r="BJ12">
        <f>IF(P12=0,0,COUNTIF(Transect5_imgsummary!E12:I12,"POC")*100/P12)</f>
        <v>0</v>
      </c>
      <c r="BK12">
        <f>IF(P12=0,0,COUNTIF(Transect5_imgsummary!E12:I12,"POR")*100/P12)</f>
        <v>0</v>
      </c>
      <c r="BL12">
        <f>IF(P12=0,0,COUNTIF(Transect5_imgsummary!E12:I12,"PORCYL")*100/P12)</f>
        <v>0</v>
      </c>
      <c r="BM12">
        <f>IF(P12=0,0,COUNTIF(Transect5_imgsummary!E12:I12,"PORMAS")*100/P12)</f>
        <v>0</v>
      </c>
      <c r="BN12">
        <f>IF(P12=0,0,COUNTIF(Transect5_imgsummary!E12:I12,"PORRUS")*100/P12)</f>
        <v>0</v>
      </c>
      <c r="BO12">
        <f>IF(P12=0,0,COUNTIF(Transect5_imgsummary!E12:I12,"PSAM")*100/P12)</f>
        <v>0</v>
      </c>
      <c r="BP12">
        <f>IF(P12=0,0,COUNTIF(Transect5_imgsummary!E12:I12,"SANDO")*100/P12)</f>
        <v>0</v>
      </c>
      <c r="BQ12">
        <f>IF(P12=0,0,COUNTIF(Transect5_imgsummary!E12:I12,"SCAP")*100/P12)</f>
        <v>0</v>
      </c>
      <c r="BR12">
        <f>IF(P12=0,0,COUNTIF(Transect5_imgsummary!E12:I12,"SERIA")*100/P12)</f>
        <v>0</v>
      </c>
      <c r="BS12">
        <f>IF(P12=0,0,COUNTIF(Transect5_imgsummary!E12:I12,"STYLC")*100/P12)</f>
        <v>0</v>
      </c>
      <c r="BT12">
        <f>IF(P12=0,0,COUNTIF(Transect5_imgsummary!E12:I12,"STYLO")*100/P12)</f>
        <v>0</v>
      </c>
      <c r="BU12">
        <f>IF(P12=0,0,COUNTIF(Transect5_imgsummary!E12:I12,"SYMP")*100/P12)</f>
        <v>0</v>
      </c>
      <c r="BV12">
        <f>IF(P12=0,0,COUNTIF(Transect5_imgsummary!E12:I12,"TURBIN")*100/P12)</f>
        <v>0</v>
      </c>
      <c r="BX12">
        <f>IF(P12=0,0,COUNTIF(Transect5_imgsummary!E12:I12,"ANEM")*100/P12)</f>
        <v>0</v>
      </c>
      <c r="BY12">
        <f>IF(P12=0,0,COUNTIF(Transect5_imgsummary!E12:I12,"ASC")*100/P12)</f>
        <v>0</v>
      </c>
      <c r="BZ12">
        <f>IF(P12=0,0,COUNTIF(Transect5_imgsummary!E12:I12,"CUPS")*100/P12)</f>
        <v>0</v>
      </c>
      <c r="CA12">
        <f>IF(P12=0,0,COUNTIF(Transect5_imgsummary!E12:I12,"DISCO")*100/P12)</f>
        <v>0</v>
      </c>
      <c r="CB12">
        <f>IF(P12=0,0,COUNTIF(Transect5_imgsummary!E12:I12,"DYS")*100/P12)</f>
        <v>0</v>
      </c>
      <c r="CC12">
        <f>IF(P12=0,0,COUNTIF(Transect5_imgsummary!E12:I12,"G")*100/P12)</f>
        <v>0</v>
      </c>
      <c r="CD12">
        <f>IF(P12=0,0,COUNTIF(Transect5_imgsummary!E12:I12,"NoIDINV")*100/P12)</f>
        <v>0</v>
      </c>
      <c r="CE12">
        <f>IF(P12=0,0,COUNTIF(Transect5_imgsummary!E12:I12,"OLV")*100/P12)</f>
        <v>0</v>
      </c>
      <c r="CF12">
        <f>IF(P12=0,0,COUNTIF(Transect5_imgsummary!E12:I12,"SC")*100/P12)</f>
        <v>0</v>
      </c>
      <c r="CG12">
        <f>IF(P12=0,0,COUNTIF(Transect5_imgsummary!E12:I12,"S")*100/P12)</f>
        <v>0</v>
      </c>
      <c r="CH12">
        <f>IF(P12=0,0,COUNTIF(Transect5_imgsummary!E12:I12,"TERPS")*100/P12)</f>
        <v>0</v>
      </c>
      <c r="CI12">
        <f>IF(P12=0,0,COUNTIF(Transect5_imgsummary!E12:I12,"Z")*100/P12)</f>
        <v>0</v>
      </c>
      <c r="CK12">
        <f>IF(P12=0,0,COUNTIF(Transect5_imgsummary!E12:I12,"ASP")*100/P12)</f>
        <v>0</v>
      </c>
      <c r="CL12">
        <f>IF(P12=0,0,COUNTIF(Transect5_imgsummary!E12:I12,"BG")*100/P12)</f>
        <v>0</v>
      </c>
      <c r="CM12">
        <f>IF(P12=0,0,COUNTIF(Transect5_imgsummary!E12:I12,"Bood")*100/P12)</f>
        <v>0</v>
      </c>
      <c r="CN12">
        <f>IF(P12=0,0,COUNTIF(Transect5_imgsummary!E12:I12,"BRYP")*100/P12)</f>
        <v>0</v>
      </c>
      <c r="CO12">
        <f>IF(P12=0,0,COUNTIF(Transect5_imgsummary!E12:I12,"CLP")*100/P12)</f>
        <v>0</v>
      </c>
      <c r="CP12">
        <f>IF(P12=0,0,COUNTIF(Transect5_imgsummary!E12:I12,"CHLDES")*100/P12)</f>
        <v>0</v>
      </c>
      <c r="CQ12">
        <f>IF(P12=0,0,COUNTIF(Transect5_imgsummary!E12:I12,"DYCTY")*100/P12)</f>
        <v>0</v>
      </c>
      <c r="CR12">
        <f>IF(P12=0,0,COUNTIF(Transect5_imgsummary!E12:I12,"DICT")*100/P12)</f>
        <v>0</v>
      </c>
      <c r="CS12">
        <f>IF(P12=0,0,COUNTIF(Transect5_imgsummary!E12:I12,"GLXU")*100/P12)</f>
        <v>0</v>
      </c>
      <c r="CT12">
        <f>IF(P12=0,0,COUNTIF(Transect5_imgsummary!E12:I12,"HALI")*100/P12)</f>
        <v>0</v>
      </c>
      <c r="CU12">
        <f>IF(P12=0,0,COUNTIF(Transect5_imgsummary!E12:I12,"LIAG")*100/P12)</f>
        <v>0</v>
      </c>
      <c r="CV12">
        <f>IF(P12=0,0,COUNTIF(Transect5_imgsummary!E12:I12,"LOBO")*100/P12)</f>
        <v>0</v>
      </c>
      <c r="CW12">
        <f>IF(P12=0,0,COUNTIF(Transect5_imgsummary!E12:I12,"MAST")*100/P12)</f>
        <v>0</v>
      </c>
      <c r="CX12">
        <f>IF(P12=0,0,COUNTIF(Transect5_imgsummary!E12:I12,"MICDTY")*100/P12)</f>
        <v>0</v>
      </c>
      <c r="CY12">
        <f>IF(P12=0,0,COUNTIF(Transect5_imgsummary!E12:I12,"NEOM")*100/P12)</f>
        <v>0</v>
      </c>
      <c r="CZ12">
        <f>IF(P12=0,0,COUNTIF(Transect5_imgsummary!E12:I12,"NOIDMAC")*100/P12)</f>
        <v>0</v>
      </c>
      <c r="DA12">
        <f>IF(P12=0,0,COUNTIF(Transect5_imgsummary!E12:I12,"PAD")*100/P12)</f>
        <v>0</v>
      </c>
      <c r="DB12">
        <f>IF(P12=0,0,COUNTIF(Transect5_imgsummary!E12:I12,"SARG")*100/P12)</f>
        <v>0</v>
      </c>
      <c r="DC12">
        <f>IF(P12=0,0,COUNTIF(Transect5_imgsummary!E12:I12,"SCHIZ")*100/P12)</f>
        <v>0</v>
      </c>
      <c r="DD12">
        <f>IF(P12=0,0,COUNTIF(Transect5_imgsummary!E12:I12,"TURB")*100/P12)</f>
        <v>0</v>
      </c>
      <c r="DE12">
        <f>IF(P12=0,0,COUNTIF(Transect5_imgsummary!E12:I12,"TYDM")*100/P12)</f>
        <v>0</v>
      </c>
      <c r="DG12">
        <f>IF(P12=0,0,COUNTIF(Transect5_imgsummary!E12:I12,"AMP")*100/P12)</f>
        <v>0</v>
      </c>
      <c r="DH12">
        <f>IF(P12=0,0,COUNTIF(Transect5_imgsummary!E12:I12,"BCA1")*100/P12)</f>
        <v>0</v>
      </c>
      <c r="DI12">
        <f>IF(P12=0,0,COUNTIF(Transect5_imgsummary!E12:I12,"JAN")*100/P12)</f>
        <v>0</v>
      </c>
      <c r="DK12" s="29">
        <f>IF(P12=0,0,COUNTIF(Transect5_imgsummary!E12:I12,"CCA1")*100/P12)</f>
        <v>20</v>
      </c>
      <c r="DM12">
        <f>IF(P12=0,0,COUNTIF(Transect5_imgsummary!E12:I12,"Sand")*100/P12)</f>
        <v>0</v>
      </c>
      <c r="DO12">
        <f>IF(P12=0,0,COUNTIF(Transect5_imgsummary!E12:I12,"FCA1")*100/P12)</f>
        <v>0</v>
      </c>
      <c r="DQ12">
        <f>IF(P12=0,0,COUNTIF(Transect5_imgsummary!E12:I12,"CHRYOBRN")*100/P12)</f>
        <v>0</v>
      </c>
      <c r="DS12" s="29">
        <f>IF(P12=0,0,COUNTIF(Transect5_imgsummary!E12:I12,"TURF")*100/P12)</f>
        <v>40</v>
      </c>
      <c r="DU12">
        <f>COUNTIF(Transect5_imgsummary!E12:I12,"Shadow")*100/5</f>
        <v>0</v>
      </c>
      <c r="DV12">
        <f>COUNTIF(Transect5_imgsummary!E12:I12,"Tape")*100/5</f>
        <v>0</v>
      </c>
      <c r="DW12">
        <f>COUNTIF(Transect5_imgsummary!E12:I12,"Wand")*100/5</f>
        <v>0</v>
      </c>
      <c r="DY12">
        <f>IF(P12=0,0,COUNTIF(Transect5_imgsummary!O12:S12,"BC")*100/P12)</f>
        <v>0</v>
      </c>
    </row>
    <row r="13" spans="1:129">
      <c r="A13">
        <v>11</v>
      </c>
      <c r="B13" t="s">
        <v>608</v>
      </c>
      <c r="F13" s="29">
        <f>IF(P13=0,0,COUNTIF(Transect5_imgsummary!J13:N13,"C")*100/P13)</f>
        <v>20</v>
      </c>
      <c r="G13">
        <f>IF(P13=0,0,COUNTIF(Transect5_imgsummary!J13:N13,"OI")*100/P13)</f>
        <v>0</v>
      </c>
      <c r="H13">
        <f>IF(P13=0,0,COUNTIF(Transect5_imgsummary!J13:N13,"MA")*100/P13)</f>
        <v>0</v>
      </c>
      <c r="I13">
        <f>IF(P13=0,0,COUNTIF(Transect5_imgsummary!J13:N13,"BCA")*100/P13)</f>
        <v>0</v>
      </c>
      <c r="J13" s="29">
        <f>IF(P13=0,0,COUNTIF(Transect5_imgsummary!J13:N13,"CCA")*100/P13)</f>
        <v>40</v>
      </c>
      <c r="K13">
        <f>IF(P13=0,0,COUNTIF(Transect5_imgsummary!J13:N13,"SD")*100/P13)</f>
        <v>0</v>
      </c>
      <c r="L13">
        <f>IF(P13=0,0,COUNTIF(Transect5_imgsummary!J13:N13,"FCA")*100/P13)</f>
        <v>0</v>
      </c>
      <c r="M13">
        <f>IF(P13=0,0,COUNTIF(Transect5_imgsummary!J13:N13,"CHRYS")*100/P13)</f>
        <v>0</v>
      </c>
      <c r="N13" s="29">
        <f>IF(P13=0,0,COUNTIF(Transect5_imgsummary!J13:N13,"T")*100/P13)</f>
        <v>40</v>
      </c>
      <c r="O13">
        <f>IF(P13=0,0,COUNTIF(Transect5_imgsummary!J13:N13,"TWS")*100/P13)</f>
        <v>0</v>
      </c>
      <c r="P13">
        <f>5-COUNTIF(Transect5_imgsummary!J13:N13,"TWS")</f>
        <v>5</v>
      </c>
      <c r="S13">
        <f>IF(P13=0,0,COUNTIF(Transect5_imgsummary!E13:I13,"ACAN")*100/P13)</f>
        <v>0</v>
      </c>
      <c r="T13">
        <f>IF(P13=0,0,COUNTIF(Transect5_imgsummary!E13:I13,"ACROP")*100/P13)</f>
        <v>0</v>
      </c>
      <c r="U13">
        <f>IF(P13=0,0,COUNTIF(Transect5_imgsummary!E13:I13,"ACROPARB")*100/P13)</f>
        <v>0</v>
      </c>
      <c r="V13">
        <f>IF(P13=0,0,COUNTIF(Transect5_imgsummary!E13:I13,"ACROST")*100/P13)</f>
        <v>0</v>
      </c>
      <c r="W13">
        <f>IF(P13=0,0,COUNTIF(Transect5_imgsummary!E13:I13,"ACROTBL")*100/P13)</f>
        <v>0</v>
      </c>
      <c r="X13">
        <f>IF(P13=0,0,COUNTIF(Transect5_imgsummary!E13:I13,"ASTRP")*100/P13)</f>
        <v>0</v>
      </c>
      <c r="Y13">
        <f>IF(P13=0,0,COUNTIF(Transect5_imgsummary!E13:I13,"CAUL")*100/P13)</f>
        <v>0</v>
      </c>
      <c r="Z13">
        <f>IF(P13=0,0,COUNTIF(Transect5_imgsummary!E13:I13,"COSC")*100/P13)</f>
        <v>0</v>
      </c>
      <c r="AA13">
        <f>IF(P13=0,0,COUNTIF(Transect5_imgsummary!E13:I13,"CTEN")*100/P13)</f>
        <v>0</v>
      </c>
      <c r="AB13">
        <f>IF(P13=0,0,COUNTIF(Transect5_imgsummary!E13:I13,"CYPH")*100/P13)</f>
        <v>0</v>
      </c>
      <c r="AC13">
        <f>IF(P13=0,0,COUNTIF(Transect5_imgsummary!E13:I13,"DIPLO")*100/P13)</f>
        <v>0</v>
      </c>
      <c r="AD13">
        <f>IF(P13=0,0,COUNTIF(Transect5_imgsummary!E13:I13,"ECHPO")*100/P13)</f>
        <v>0</v>
      </c>
      <c r="AE13">
        <f>IF(P13=0,0,COUNTIF(Transect5_imgsummary!E13:I13,"ECHPHY")*100/P13)</f>
        <v>0</v>
      </c>
      <c r="AF13">
        <f>IF(P13=0,0,COUNTIF(Transect5_imgsummary!E13:I13,"EUPH")*100/P13)</f>
        <v>0</v>
      </c>
      <c r="AG13">
        <f>IF(P13=0,0,COUNTIF(Transect5_imgsummary!E13:I13,"FAV")*100/P13)</f>
        <v>0</v>
      </c>
      <c r="AH13">
        <f>IF(P13=0,0,COUNTIF(Transect5_imgsummary!E13:I13,"FAVT")*100/P13)</f>
        <v>0</v>
      </c>
      <c r="AI13">
        <f>IF(P13=0,0,COUNTIF(Transect5_imgsummary!E13:I13,"FUNG")*100/P13)</f>
        <v>0</v>
      </c>
      <c r="AJ13">
        <f>IF(P13=0,0,COUNTIF(Transect5_imgsummary!E13:I13,"GAL")*100/P13)</f>
        <v>0</v>
      </c>
      <c r="AK13">
        <f>IF(P13=0,0,COUNTIF(Transect5_imgsummary!E13:I13,"GARD")*100/P13)</f>
        <v>0</v>
      </c>
      <c r="AL13">
        <f>IF(P13=0,0,COUNTIF(Transect5_imgsummary!E13:I13,"GON")*100/P13)</f>
        <v>0</v>
      </c>
      <c r="AM13">
        <f>IF(P13=0,0,COUNTIF(Transect5_imgsummary!E13:I13,"GONIO")*100/P13)</f>
        <v>0</v>
      </c>
      <c r="AN13">
        <f>IF(P13=0,0,COUNTIF(Transect5_imgsummary!E13:I13,"HELIO")*100/P13)</f>
        <v>0</v>
      </c>
      <c r="AO13">
        <f>IF(P13=0,0,COUNTIF(Transect5_imgsummary!E13:I13,"HERP")*100/P13)</f>
        <v>0</v>
      </c>
      <c r="AP13">
        <f>IF(P13=0,0,COUNTIF(Transect5_imgsummary!E13:I13,"HYD")*100/P13)</f>
        <v>0</v>
      </c>
      <c r="AQ13">
        <f>IF(P13=0,0,COUNTIF(Transect5_imgsummary!E13:I13,"ISOP")*100/P13)</f>
        <v>0</v>
      </c>
      <c r="AR13">
        <f>IF(P13=0,0,COUNTIF(Transect5_imgsummary!E13:I13,"LEPT")*100/P13)</f>
        <v>0</v>
      </c>
      <c r="AS13">
        <f>IF(P13=0,0,COUNTIF(Transect5_imgsummary!E13:I13,"LEPTOR")*100/P13)</f>
        <v>0</v>
      </c>
      <c r="AT13">
        <f>IF(P13=0,0,COUNTIF(Transect5_imgsummary!E13:I13,"LEPTOS")*100/P13)</f>
        <v>0</v>
      </c>
      <c r="AU13">
        <f>IF(P13=0,0,COUNTIF(Transect5_imgsummary!E13:I13,"LOBOPH")*100/P13)</f>
        <v>0</v>
      </c>
      <c r="AV13" s="29">
        <f>IF(P13=0,0,COUNTIF(Transect5_imgsummary!E13:I13,"MERU")*100/P13)</f>
        <v>20</v>
      </c>
      <c r="AW13">
        <f>IF(P13=0,0,COUNTIF(Transect5_imgsummary!E13:I13,"MILL")*100/P13)</f>
        <v>0</v>
      </c>
      <c r="AX13">
        <f>IF(P13=0,0,COUNTIF(Transect5_imgsummary!E13:I13,"MONT")*100/P13)</f>
        <v>0</v>
      </c>
      <c r="AY13">
        <f>IF(P13=0,0,COUNTIF(Transect5_imgsummary!E13:I13,"MONTI")*100/P13)</f>
        <v>0</v>
      </c>
      <c r="AZ13">
        <f>IF(P13=0,0,COUNTIF(Transect5_imgsummary!E13:I13,"MYCED")*100/P13)</f>
        <v>0</v>
      </c>
      <c r="BA13">
        <f>IF(P13=0,0,COUNTIF(Transect5_imgsummary!E13:I13,"OULO")*100/P13)</f>
        <v>0</v>
      </c>
      <c r="BB13">
        <f>IF(P13=0,0,COUNTIF(Transect5_imgsummary!E13:I13,"OXYP")*100/P13)</f>
        <v>0</v>
      </c>
      <c r="BC13">
        <f>IF(P13=0,0,COUNTIF(Transect5_imgsummary!E13:I13,"PLSIA")*100/P13)</f>
        <v>0</v>
      </c>
      <c r="BD13">
        <f>IF(P13=0,0,COUNTIF(Transect5_imgsummary!E13:I13,"PACHY")*100/P13)</f>
        <v>0</v>
      </c>
      <c r="BE13">
        <f>IF(P13=0,0,COUNTIF(Transect5_imgsummary!E13:I13,"PAV")*100/P13)</f>
        <v>0</v>
      </c>
      <c r="BF13">
        <f>IF(P13=0,0,COUNTIF(Transect5_imgsummary!E13:I13,"PECT")*100/P13)</f>
        <v>0</v>
      </c>
      <c r="BG13">
        <f>IF(P13=0,0,COUNTIF(Transect5_imgsummary!E13:I13,"PHYSO")*100/P13)</f>
        <v>0</v>
      </c>
      <c r="BH13">
        <f>IF(P13=0,0,COUNTIF(Transect5_imgsummary!E13:I13,"PLAT")*100/P13)</f>
        <v>0</v>
      </c>
      <c r="BI13">
        <f>IF(P13=0,0,COUNTIF(Transect5_imgsummary!E13:I13,"PLERO")*100/P13)</f>
        <v>0</v>
      </c>
      <c r="BJ13">
        <f>IF(P13=0,0,COUNTIF(Transect5_imgsummary!E13:I13,"POC")*100/P13)</f>
        <v>0</v>
      </c>
      <c r="BK13">
        <f>IF(P13=0,0,COUNTIF(Transect5_imgsummary!E13:I13,"POR")*100/P13)</f>
        <v>0</v>
      </c>
      <c r="BL13">
        <f>IF(P13=0,0,COUNTIF(Transect5_imgsummary!E13:I13,"PORCYL")*100/P13)</f>
        <v>0</v>
      </c>
      <c r="BM13">
        <f>IF(P13=0,0,COUNTIF(Transect5_imgsummary!E13:I13,"PORMAS")*100/P13)</f>
        <v>0</v>
      </c>
      <c r="BN13">
        <f>IF(P13=0,0,COUNTIF(Transect5_imgsummary!E13:I13,"PORRUS")*100/P13)</f>
        <v>0</v>
      </c>
      <c r="BO13">
        <f>IF(P13=0,0,COUNTIF(Transect5_imgsummary!E13:I13,"PSAM")*100/P13)</f>
        <v>0</v>
      </c>
      <c r="BP13">
        <f>IF(P13=0,0,COUNTIF(Transect5_imgsummary!E13:I13,"SANDO")*100/P13)</f>
        <v>0</v>
      </c>
      <c r="BQ13">
        <f>IF(P13=0,0,COUNTIF(Transect5_imgsummary!E13:I13,"SCAP")*100/P13)</f>
        <v>0</v>
      </c>
      <c r="BR13">
        <f>IF(P13=0,0,COUNTIF(Transect5_imgsummary!E13:I13,"SERIA")*100/P13)</f>
        <v>0</v>
      </c>
      <c r="BS13">
        <f>IF(P13=0,0,COUNTIF(Transect5_imgsummary!E13:I13,"STYLC")*100/P13)</f>
        <v>0</v>
      </c>
      <c r="BT13">
        <f>IF(P13=0,0,COUNTIF(Transect5_imgsummary!E13:I13,"STYLO")*100/P13)</f>
        <v>0</v>
      </c>
      <c r="BU13">
        <f>IF(P13=0,0,COUNTIF(Transect5_imgsummary!E13:I13,"SYMP")*100/P13)</f>
        <v>0</v>
      </c>
      <c r="BV13">
        <f>IF(P13=0,0,COUNTIF(Transect5_imgsummary!E13:I13,"TURBIN")*100/P13)</f>
        <v>0</v>
      </c>
      <c r="BX13">
        <f>IF(P13=0,0,COUNTIF(Transect5_imgsummary!E13:I13,"ANEM")*100/P13)</f>
        <v>0</v>
      </c>
      <c r="BY13">
        <f>IF(P13=0,0,COUNTIF(Transect5_imgsummary!E13:I13,"ASC")*100/P13)</f>
        <v>0</v>
      </c>
      <c r="BZ13">
        <f>IF(P13=0,0,COUNTIF(Transect5_imgsummary!E13:I13,"CUPS")*100/P13)</f>
        <v>0</v>
      </c>
      <c r="CA13">
        <f>IF(P13=0,0,COUNTIF(Transect5_imgsummary!E13:I13,"DISCO")*100/P13)</f>
        <v>0</v>
      </c>
      <c r="CB13">
        <f>IF(P13=0,0,COUNTIF(Transect5_imgsummary!E13:I13,"DYS")*100/P13)</f>
        <v>0</v>
      </c>
      <c r="CC13">
        <f>IF(P13=0,0,COUNTIF(Transect5_imgsummary!E13:I13,"G")*100/P13)</f>
        <v>0</v>
      </c>
      <c r="CD13">
        <f>IF(P13=0,0,COUNTIF(Transect5_imgsummary!E13:I13,"NoIDINV")*100/P13)</f>
        <v>0</v>
      </c>
      <c r="CE13">
        <f>IF(P13=0,0,COUNTIF(Transect5_imgsummary!E13:I13,"OLV")*100/P13)</f>
        <v>0</v>
      </c>
      <c r="CF13">
        <f>IF(P13=0,0,COUNTIF(Transect5_imgsummary!E13:I13,"SC")*100/P13)</f>
        <v>0</v>
      </c>
      <c r="CG13">
        <f>IF(P13=0,0,COUNTIF(Transect5_imgsummary!E13:I13,"S")*100/P13)</f>
        <v>0</v>
      </c>
      <c r="CH13">
        <f>IF(P13=0,0,COUNTIF(Transect5_imgsummary!E13:I13,"TERPS")*100/P13)</f>
        <v>0</v>
      </c>
      <c r="CI13">
        <f>IF(P13=0,0,COUNTIF(Transect5_imgsummary!E13:I13,"Z")*100/P13)</f>
        <v>0</v>
      </c>
      <c r="CK13">
        <f>IF(P13=0,0,COUNTIF(Transect5_imgsummary!E13:I13,"ASP")*100/P13)</f>
        <v>0</v>
      </c>
      <c r="CL13">
        <f>IF(P13=0,0,COUNTIF(Transect5_imgsummary!E13:I13,"BG")*100/P13)</f>
        <v>0</v>
      </c>
      <c r="CM13">
        <f>IF(P13=0,0,COUNTIF(Transect5_imgsummary!E13:I13,"Bood")*100/P13)</f>
        <v>0</v>
      </c>
      <c r="CN13">
        <f>IF(P13=0,0,COUNTIF(Transect5_imgsummary!E13:I13,"BRYP")*100/P13)</f>
        <v>0</v>
      </c>
      <c r="CO13">
        <f>IF(P13=0,0,COUNTIF(Transect5_imgsummary!E13:I13,"CLP")*100/P13)</f>
        <v>0</v>
      </c>
      <c r="CP13">
        <f>IF(P13=0,0,COUNTIF(Transect5_imgsummary!E13:I13,"CHLDES")*100/P13)</f>
        <v>0</v>
      </c>
      <c r="CQ13">
        <f>IF(P13=0,0,COUNTIF(Transect5_imgsummary!E13:I13,"DYCTY")*100/P13)</f>
        <v>0</v>
      </c>
      <c r="CR13">
        <f>IF(P13=0,0,COUNTIF(Transect5_imgsummary!E13:I13,"DICT")*100/P13)</f>
        <v>0</v>
      </c>
      <c r="CS13">
        <f>IF(P13=0,0,COUNTIF(Transect5_imgsummary!E13:I13,"GLXU")*100/P13)</f>
        <v>0</v>
      </c>
      <c r="CT13">
        <f>IF(P13=0,0,COUNTIF(Transect5_imgsummary!E13:I13,"HALI")*100/P13)</f>
        <v>0</v>
      </c>
      <c r="CU13">
        <f>IF(P13=0,0,COUNTIF(Transect5_imgsummary!E13:I13,"LIAG")*100/P13)</f>
        <v>0</v>
      </c>
      <c r="CV13">
        <f>IF(P13=0,0,COUNTIF(Transect5_imgsummary!E13:I13,"LOBO")*100/P13)</f>
        <v>0</v>
      </c>
      <c r="CW13">
        <f>IF(P13=0,0,COUNTIF(Transect5_imgsummary!E13:I13,"MAST")*100/P13)</f>
        <v>0</v>
      </c>
      <c r="CX13">
        <f>IF(P13=0,0,COUNTIF(Transect5_imgsummary!E13:I13,"MICDTY")*100/P13)</f>
        <v>0</v>
      </c>
      <c r="CY13">
        <f>IF(P13=0,0,COUNTIF(Transect5_imgsummary!E13:I13,"NEOM")*100/P13)</f>
        <v>0</v>
      </c>
      <c r="CZ13">
        <f>IF(P13=0,0,COUNTIF(Transect5_imgsummary!E13:I13,"NOIDMAC")*100/P13)</f>
        <v>0</v>
      </c>
      <c r="DA13">
        <f>IF(P13=0,0,COUNTIF(Transect5_imgsummary!E13:I13,"PAD")*100/P13)</f>
        <v>0</v>
      </c>
      <c r="DB13">
        <f>IF(P13=0,0,COUNTIF(Transect5_imgsummary!E13:I13,"SARG")*100/P13)</f>
        <v>0</v>
      </c>
      <c r="DC13">
        <f>IF(P13=0,0,COUNTIF(Transect5_imgsummary!E13:I13,"SCHIZ")*100/P13)</f>
        <v>0</v>
      </c>
      <c r="DD13">
        <f>IF(P13=0,0,COUNTIF(Transect5_imgsummary!E13:I13,"TURB")*100/P13)</f>
        <v>0</v>
      </c>
      <c r="DE13">
        <f>IF(P13=0,0,COUNTIF(Transect5_imgsummary!E13:I13,"TYDM")*100/P13)</f>
        <v>0</v>
      </c>
      <c r="DG13">
        <f>IF(P13=0,0,COUNTIF(Transect5_imgsummary!E13:I13,"AMP")*100/P13)</f>
        <v>0</v>
      </c>
      <c r="DH13">
        <f>IF(P13=0,0,COUNTIF(Transect5_imgsummary!E13:I13,"BCA1")*100/P13)</f>
        <v>0</v>
      </c>
      <c r="DI13">
        <f>IF(P13=0,0,COUNTIF(Transect5_imgsummary!E13:I13,"JAN")*100/P13)</f>
        <v>0</v>
      </c>
      <c r="DK13" s="29">
        <f>IF(P13=0,0,COUNTIF(Transect5_imgsummary!E13:I13,"CCA1")*100/P13)</f>
        <v>40</v>
      </c>
      <c r="DM13">
        <f>IF(P13=0,0,COUNTIF(Transect5_imgsummary!E13:I13,"Sand")*100/P13)</f>
        <v>0</v>
      </c>
      <c r="DO13">
        <f>IF(P13=0,0,COUNTIF(Transect5_imgsummary!E13:I13,"FCA1")*100/P13)</f>
        <v>0</v>
      </c>
      <c r="DQ13">
        <f>IF(P13=0,0,COUNTIF(Transect5_imgsummary!E13:I13,"CHRYOBRN")*100/P13)</f>
        <v>0</v>
      </c>
      <c r="DS13" s="29">
        <f>IF(P13=0,0,COUNTIF(Transect5_imgsummary!E13:I13,"TURF")*100/P13)</f>
        <v>40</v>
      </c>
      <c r="DU13">
        <f>COUNTIF(Transect5_imgsummary!E13:I13,"Shadow")*100/5</f>
        <v>0</v>
      </c>
      <c r="DV13">
        <f>COUNTIF(Transect5_imgsummary!E13:I13,"Tape")*100/5</f>
        <v>0</v>
      </c>
      <c r="DW13">
        <f>COUNTIF(Transect5_imgsummary!E13:I13,"Wand")*100/5</f>
        <v>0</v>
      </c>
      <c r="DY13">
        <f>IF(P13=0,0,COUNTIF(Transect5_imgsummary!O13:S13,"BC")*100/P13)</f>
        <v>0</v>
      </c>
    </row>
    <row r="14" spans="1:129">
      <c r="A14">
        <v>12</v>
      </c>
      <c r="B14" t="s">
        <v>609</v>
      </c>
      <c r="F14" s="29">
        <f>IF(P14=0,0,COUNTIF(Transect5_imgsummary!J14:N14,"C")*100/P14)</f>
        <v>60</v>
      </c>
      <c r="G14">
        <f>IF(P14=0,0,COUNTIF(Transect5_imgsummary!J14:N14,"OI")*100/P14)</f>
        <v>0</v>
      </c>
      <c r="H14">
        <f>IF(P14=0,0,COUNTIF(Transect5_imgsummary!J14:N14,"MA")*100/P14)</f>
        <v>0</v>
      </c>
      <c r="I14">
        <f>IF(P14=0,0,COUNTIF(Transect5_imgsummary!J14:N14,"BCA")*100/P14)</f>
        <v>0</v>
      </c>
      <c r="J14" s="29">
        <f>IF(P14=0,0,COUNTIF(Transect5_imgsummary!J14:N14,"CCA")*100/P14)</f>
        <v>20</v>
      </c>
      <c r="K14">
        <f>IF(P14=0,0,COUNTIF(Transect5_imgsummary!J14:N14,"SD")*100/P14)</f>
        <v>0</v>
      </c>
      <c r="L14">
        <f>IF(P14=0,0,COUNTIF(Transect5_imgsummary!J14:N14,"FCA")*100/P14)</f>
        <v>0</v>
      </c>
      <c r="M14">
        <f>IF(P14=0,0,COUNTIF(Transect5_imgsummary!J14:N14,"CHRYS")*100/P14)</f>
        <v>0</v>
      </c>
      <c r="N14" s="29">
        <f>IF(P14=0,0,COUNTIF(Transect5_imgsummary!J14:N14,"T")*100/P14)</f>
        <v>20</v>
      </c>
      <c r="O14">
        <f>IF(P14=0,0,COUNTIF(Transect5_imgsummary!J14:N14,"TWS")*100/P14)</f>
        <v>0</v>
      </c>
      <c r="P14">
        <f>5-COUNTIF(Transect5_imgsummary!J14:N14,"TWS")</f>
        <v>5</v>
      </c>
      <c r="S14">
        <f>IF(P14=0,0,COUNTIF(Transect5_imgsummary!E14:I14,"ACAN")*100/P14)</f>
        <v>0</v>
      </c>
      <c r="T14">
        <f>IF(P14=0,0,COUNTIF(Transect5_imgsummary!E14:I14,"ACROP")*100/P14)</f>
        <v>0</v>
      </c>
      <c r="U14">
        <f>IF(P14=0,0,COUNTIF(Transect5_imgsummary!E14:I14,"ACROPARB")*100/P14)</f>
        <v>0</v>
      </c>
      <c r="V14">
        <f>IF(P14=0,0,COUNTIF(Transect5_imgsummary!E14:I14,"ACROST")*100/P14)</f>
        <v>0</v>
      </c>
      <c r="W14">
        <f>IF(P14=0,0,COUNTIF(Transect5_imgsummary!E14:I14,"ACROTBL")*100/P14)</f>
        <v>0</v>
      </c>
      <c r="X14">
        <f>IF(P14=0,0,COUNTIF(Transect5_imgsummary!E14:I14,"ASTRP")*100/P14)</f>
        <v>0</v>
      </c>
      <c r="Y14">
        <f>IF(P14=0,0,COUNTIF(Transect5_imgsummary!E14:I14,"CAUL")*100/P14)</f>
        <v>0</v>
      </c>
      <c r="Z14">
        <f>IF(P14=0,0,COUNTIF(Transect5_imgsummary!E14:I14,"COSC")*100/P14)</f>
        <v>0</v>
      </c>
      <c r="AA14">
        <f>IF(P14=0,0,COUNTIF(Transect5_imgsummary!E14:I14,"CTEN")*100/P14)</f>
        <v>0</v>
      </c>
      <c r="AB14">
        <f>IF(P14=0,0,COUNTIF(Transect5_imgsummary!E14:I14,"CYPH")*100/P14)</f>
        <v>0</v>
      </c>
      <c r="AC14">
        <f>IF(P14=0,0,COUNTIF(Transect5_imgsummary!E14:I14,"DIPLO")*100/P14)</f>
        <v>0</v>
      </c>
      <c r="AD14" s="29">
        <f>IF(P14=0,0,COUNTIF(Transect5_imgsummary!E14:I14,"ECHPO")*100/P14)</f>
        <v>60</v>
      </c>
      <c r="AE14">
        <f>IF(P14=0,0,COUNTIF(Transect5_imgsummary!E14:I14,"ECHPHY")*100/P14)</f>
        <v>0</v>
      </c>
      <c r="AF14">
        <f>IF(P14=0,0,COUNTIF(Transect5_imgsummary!E14:I14,"EUPH")*100/P14)</f>
        <v>0</v>
      </c>
      <c r="AG14">
        <f>IF(P14=0,0,COUNTIF(Transect5_imgsummary!E14:I14,"FAV")*100/P14)</f>
        <v>0</v>
      </c>
      <c r="AH14">
        <f>IF(P14=0,0,COUNTIF(Transect5_imgsummary!E14:I14,"FAVT")*100/P14)</f>
        <v>0</v>
      </c>
      <c r="AI14">
        <f>IF(P14=0,0,COUNTIF(Transect5_imgsummary!E14:I14,"FUNG")*100/P14)</f>
        <v>0</v>
      </c>
      <c r="AJ14">
        <f>IF(P14=0,0,COUNTIF(Transect5_imgsummary!E14:I14,"GAL")*100/P14)</f>
        <v>0</v>
      </c>
      <c r="AK14">
        <f>IF(P14=0,0,COUNTIF(Transect5_imgsummary!E14:I14,"GARD")*100/P14)</f>
        <v>0</v>
      </c>
      <c r="AL14">
        <f>IF(P14=0,0,COUNTIF(Transect5_imgsummary!E14:I14,"GON")*100/P14)</f>
        <v>0</v>
      </c>
      <c r="AM14">
        <f>IF(P14=0,0,COUNTIF(Transect5_imgsummary!E14:I14,"GONIO")*100/P14)</f>
        <v>0</v>
      </c>
      <c r="AN14">
        <f>IF(P14=0,0,COUNTIF(Transect5_imgsummary!E14:I14,"HELIO")*100/P14)</f>
        <v>0</v>
      </c>
      <c r="AO14">
        <f>IF(P14=0,0,COUNTIF(Transect5_imgsummary!E14:I14,"HERP")*100/P14)</f>
        <v>0</v>
      </c>
      <c r="AP14">
        <f>IF(P14=0,0,COUNTIF(Transect5_imgsummary!E14:I14,"HYD")*100/P14)</f>
        <v>0</v>
      </c>
      <c r="AQ14">
        <f>IF(P14=0,0,COUNTIF(Transect5_imgsummary!E14:I14,"ISOP")*100/P14)</f>
        <v>0</v>
      </c>
      <c r="AR14">
        <f>IF(P14=0,0,COUNTIF(Transect5_imgsummary!E14:I14,"LEPT")*100/P14)</f>
        <v>0</v>
      </c>
      <c r="AS14">
        <f>IF(P14=0,0,COUNTIF(Transect5_imgsummary!E14:I14,"LEPTOR")*100/P14)</f>
        <v>0</v>
      </c>
      <c r="AT14">
        <f>IF(P14=0,0,COUNTIF(Transect5_imgsummary!E14:I14,"LEPTOS")*100/P14)</f>
        <v>0</v>
      </c>
      <c r="AU14">
        <f>IF(P14=0,0,COUNTIF(Transect5_imgsummary!E14:I14,"LOBOPH")*100/P14)</f>
        <v>0</v>
      </c>
      <c r="AV14">
        <f>IF(P14=0,0,COUNTIF(Transect5_imgsummary!E14:I14,"MERU")*100/P14)</f>
        <v>0</v>
      </c>
      <c r="AW14">
        <f>IF(P14=0,0,COUNTIF(Transect5_imgsummary!E14:I14,"MILL")*100/P14)</f>
        <v>0</v>
      </c>
      <c r="AX14">
        <f>IF(P14=0,0,COUNTIF(Transect5_imgsummary!E14:I14,"MONT")*100/P14)</f>
        <v>0</v>
      </c>
      <c r="AY14">
        <f>IF(P14=0,0,COUNTIF(Transect5_imgsummary!E14:I14,"MONTI")*100/P14)</f>
        <v>0</v>
      </c>
      <c r="AZ14">
        <f>IF(P14=0,0,COUNTIF(Transect5_imgsummary!E14:I14,"MYCED")*100/P14)</f>
        <v>0</v>
      </c>
      <c r="BA14">
        <f>IF(P14=0,0,COUNTIF(Transect5_imgsummary!E14:I14,"OULO")*100/P14)</f>
        <v>0</v>
      </c>
      <c r="BB14">
        <f>IF(P14=0,0,COUNTIF(Transect5_imgsummary!E14:I14,"OXYP")*100/P14)</f>
        <v>0</v>
      </c>
      <c r="BC14">
        <f>IF(P14=0,0,COUNTIF(Transect5_imgsummary!E14:I14,"PLSIA")*100/P14)</f>
        <v>0</v>
      </c>
      <c r="BD14">
        <f>IF(P14=0,0,COUNTIF(Transect5_imgsummary!E14:I14,"PACHY")*100/P14)</f>
        <v>0</v>
      </c>
      <c r="BE14">
        <f>IF(P14=0,0,COUNTIF(Transect5_imgsummary!E14:I14,"PAV")*100/P14)</f>
        <v>0</v>
      </c>
      <c r="BF14">
        <f>IF(P14=0,0,COUNTIF(Transect5_imgsummary!E14:I14,"PECT")*100/P14)</f>
        <v>0</v>
      </c>
      <c r="BG14">
        <f>IF(P14=0,0,COUNTIF(Transect5_imgsummary!E14:I14,"PHYSO")*100/P14)</f>
        <v>0</v>
      </c>
      <c r="BH14">
        <f>IF(P14=0,0,COUNTIF(Transect5_imgsummary!E14:I14,"PLAT")*100/P14)</f>
        <v>0</v>
      </c>
      <c r="BI14">
        <f>IF(P14=0,0,COUNTIF(Transect5_imgsummary!E14:I14,"PLERO")*100/P14)</f>
        <v>0</v>
      </c>
      <c r="BJ14">
        <f>IF(P14=0,0,COUNTIF(Transect5_imgsummary!E14:I14,"POC")*100/P14)</f>
        <v>0</v>
      </c>
      <c r="BK14">
        <f>IF(P14=0,0,COUNTIF(Transect5_imgsummary!E14:I14,"POR")*100/P14)</f>
        <v>0</v>
      </c>
      <c r="BL14">
        <f>IF(P14=0,0,COUNTIF(Transect5_imgsummary!E14:I14,"PORCYL")*100/P14)</f>
        <v>0</v>
      </c>
      <c r="BM14">
        <f>IF(P14=0,0,COUNTIF(Transect5_imgsummary!E14:I14,"PORMAS")*100/P14)</f>
        <v>0</v>
      </c>
      <c r="BN14">
        <f>IF(P14=0,0,COUNTIF(Transect5_imgsummary!E14:I14,"PORRUS")*100/P14)</f>
        <v>0</v>
      </c>
      <c r="BO14">
        <f>IF(P14=0,0,COUNTIF(Transect5_imgsummary!E14:I14,"PSAM")*100/P14)</f>
        <v>0</v>
      </c>
      <c r="BP14">
        <f>IF(P14=0,0,COUNTIF(Transect5_imgsummary!E14:I14,"SANDO")*100/P14)</f>
        <v>0</v>
      </c>
      <c r="BQ14">
        <f>IF(P14=0,0,COUNTIF(Transect5_imgsummary!E14:I14,"SCAP")*100/P14)</f>
        <v>0</v>
      </c>
      <c r="BR14">
        <f>IF(P14=0,0,COUNTIF(Transect5_imgsummary!E14:I14,"SERIA")*100/P14)</f>
        <v>0</v>
      </c>
      <c r="BS14">
        <f>IF(P14=0,0,COUNTIF(Transect5_imgsummary!E14:I14,"STYLC")*100/P14)</f>
        <v>0</v>
      </c>
      <c r="BT14">
        <f>IF(P14=0,0,COUNTIF(Transect5_imgsummary!E14:I14,"STYLO")*100/P14)</f>
        <v>0</v>
      </c>
      <c r="BU14">
        <f>IF(P14=0,0,COUNTIF(Transect5_imgsummary!E14:I14,"SYMP")*100/P14)</f>
        <v>0</v>
      </c>
      <c r="BV14">
        <f>IF(P14=0,0,COUNTIF(Transect5_imgsummary!E14:I14,"TURBIN")*100/P14)</f>
        <v>0</v>
      </c>
      <c r="BX14">
        <f>IF(P14=0,0,COUNTIF(Transect5_imgsummary!E14:I14,"ANEM")*100/P14)</f>
        <v>0</v>
      </c>
      <c r="BY14">
        <f>IF(P14=0,0,COUNTIF(Transect5_imgsummary!E14:I14,"ASC")*100/P14)</f>
        <v>0</v>
      </c>
      <c r="BZ14">
        <f>IF(P14=0,0,COUNTIF(Transect5_imgsummary!E14:I14,"CUPS")*100/P14)</f>
        <v>0</v>
      </c>
      <c r="CA14">
        <f>IF(P14=0,0,COUNTIF(Transect5_imgsummary!E14:I14,"DISCO")*100/P14)</f>
        <v>0</v>
      </c>
      <c r="CB14">
        <f>IF(P14=0,0,COUNTIF(Transect5_imgsummary!E14:I14,"DYS")*100/P14)</f>
        <v>0</v>
      </c>
      <c r="CC14">
        <f>IF(P14=0,0,COUNTIF(Transect5_imgsummary!E14:I14,"G")*100/P14)</f>
        <v>0</v>
      </c>
      <c r="CD14">
        <f>IF(P14=0,0,COUNTIF(Transect5_imgsummary!E14:I14,"NoIDINV")*100/P14)</f>
        <v>0</v>
      </c>
      <c r="CE14">
        <f>IF(P14=0,0,COUNTIF(Transect5_imgsummary!E14:I14,"OLV")*100/P14)</f>
        <v>0</v>
      </c>
      <c r="CF14">
        <f>IF(P14=0,0,COUNTIF(Transect5_imgsummary!E14:I14,"SC")*100/P14)</f>
        <v>0</v>
      </c>
      <c r="CG14">
        <f>IF(P14=0,0,COUNTIF(Transect5_imgsummary!E14:I14,"S")*100/P14)</f>
        <v>0</v>
      </c>
      <c r="CH14">
        <f>IF(P14=0,0,COUNTIF(Transect5_imgsummary!E14:I14,"TERPS")*100/P14)</f>
        <v>0</v>
      </c>
      <c r="CI14">
        <f>IF(P14=0,0,COUNTIF(Transect5_imgsummary!E14:I14,"Z")*100/P14)</f>
        <v>0</v>
      </c>
      <c r="CK14">
        <f>IF(P14=0,0,COUNTIF(Transect5_imgsummary!E14:I14,"ASP")*100/P14)</f>
        <v>0</v>
      </c>
      <c r="CL14">
        <f>IF(P14=0,0,COUNTIF(Transect5_imgsummary!E14:I14,"BG")*100/P14)</f>
        <v>0</v>
      </c>
      <c r="CM14">
        <f>IF(P14=0,0,COUNTIF(Transect5_imgsummary!E14:I14,"Bood")*100/P14)</f>
        <v>0</v>
      </c>
      <c r="CN14">
        <f>IF(P14=0,0,COUNTIF(Transect5_imgsummary!E14:I14,"BRYP")*100/P14)</f>
        <v>0</v>
      </c>
      <c r="CO14">
        <f>IF(P14=0,0,COUNTIF(Transect5_imgsummary!E14:I14,"CLP")*100/P14)</f>
        <v>0</v>
      </c>
      <c r="CP14">
        <f>IF(P14=0,0,COUNTIF(Transect5_imgsummary!E14:I14,"CHLDES")*100/P14)</f>
        <v>0</v>
      </c>
      <c r="CQ14">
        <f>IF(P14=0,0,COUNTIF(Transect5_imgsummary!E14:I14,"DYCTY")*100/P14)</f>
        <v>0</v>
      </c>
      <c r="CR14">
        <f>IF(P14=0,0,COUNTIF(Transect5_imgsummary!E14:I14,"DICT")*100/P14)</f>
        <v>0</v>
      </c>
      <c r="CS14">
        <f>IF(P14=0,0,COUNTIF(Transect5_imgsummary!E14:I14,"GLXU")*100/P14)</f>
        <v>0</v>
      </c>
      <c r="CT14">
        <f>IF(P14=0,0,COUNTIF(Transect5_imgsummary!E14:I14,"HALI")*100/P14)</f>
        <v>0</v>
      </c>
      <c r="CU14">
        <f>IF(P14=0,0,COUNTIF(Transect5_imgsummary!E14:I14,"LIAG")*100/P14)</f>
        <v>0</v>
      </c>
      <c r="CV14">
        <f>IF(P14=0,0,COUNTIF(Transect5_imgsummary!E14:I14,"LOBO")*100/P14)</f>
        <v>0</v>
      </c>
      <c r="CW14">
        <f>IF(P14=0,0,COUNTIF(Transect5_imgsummary!E14:I14,"MAST")*100/P14)</f>
        <v>0</v>
      </c>
      <c r="CX14">
        <f>IF(P14=0,0,COUNTIF(Transect5_imgsummary!E14:I14,"MICDTY")*100/P14)</f>
        <v>0</v>
      </c>
      <c r="CY14">
        <f>IF(P14=0,0,COUNTIF(Transect5_imgsummary!E14:I14,"NEOM")*100/P14)</f>
        <v>0</v>
      </c>
      <c r="CZ14">
        <f>IF(P14=0,0,COUNTIF(Transect5_imgsummary!E14:I14,"NOIDMAC")*100/P14)</f>
        <v>0</v>
      </c>
      <c r="DA14">
        <f>IF(P14=0,0,COUNTIF(Transect5_imgsummary!E14:I14,"PAD")*100/P14)</f>
        <v>0</v>
      </c>
      <c r="DB14">
        <f>IF(P14=0,0,COUNTIF(Transect5_imgsummary!E14:I14,"SARG")*100/P14)</f>
        <v>0</v>
      </c>
      <c r="DC14">
        <f>IF(P14=0,0,COUNTIF(Transect5_imgsummary!E14:I14,"SCHIZ")*100/P14)</f>
        <v>0</v>
      </c>
      <c r="DD14">
        <f>IF(P14=0,0,COUNTIF(Transect5_imgsummary!E14:I14,"TURB")*100/P14)</f>
        <v>0</v>
      </c>
      <c r="DE14">
        <f>IF(P14=0,0,COUNTIF(Transect5_imgsummary!E14:I14,"TYDM")*100/P14)</f>
        <v>0</v>
      </c>
      <c r="DG14">
        <f>IF(P14=0,0,COUNTIF(Transect5_imgsummary!E14:I14,"AMP")*100/P14)</f>
        <v>0</v>
      </c>
      <c r="DH14">
        <f>IF(P14=0,0,COUNTIF(Transect5_imgsummary!E14:I14,"BCA1")*100/P14)</f>
        <v>0</v>
      </c>
      <c r="DI14">
        <f>IF(P14=0,0,COUNTIF(Transect5_imgsummary!E14:I14,"JAN")*100/P14)</f>
        <v>0</v>
      </c>
      <c r="DK14" s="29">
        <f>IF(P14=0,0,COUNTIF(Transect5_imgsummary!E14:I14,"CCA1")*100/P14)</f>
        <v>20</v>
      </c>
      <c r="DM14">
        <f>IF(P14=0,0,COUNTIF(Transect5_imgsummary!E14:I14,"Sand")*100/P14)</f>
        <v>0</v>
      </c>
      <c r="DO14">
        <f>IF(P14=0,0,COUNTIF(Transect5_imgsummary!E14:I14,"FCA1")*100/P14)</f>
        <v>0</v>
      </c>
      <c r="DQ14">
        <f>IF(P14=0,0,COUNTIF(Transect5_imgsummary!E14:I14,"CHRYOBRN")*100/P14)</f>
        <v>0</v>
      </c>
      <c r="DS14" s="29">
        <f>IF(P14=0,0,COUNTIF(Transect5_imgsummary!E14:I14,"TURF")*100/P14)</f>
        <v>20</v>
      </c>
      <c r="DU14">
        <f>COUNTIF(Transect5_imgsummary!E14:I14,"Shadow")*100/5</f>
        <v>0</v>
      </c>
      <c r="DV14">
        <f>COUNTIF(Transect5_imgsummary!E14:I14,"Tape")*100/5</f>
        <v>0</v>
      </c>
      <c r="DW14">
        <f>COUNTIF(Transect5_imgsummary!E14:I14,"Wand")*100/5</f>
        <v>0</v>
      </c>
      <c r="DY14">
        <f>IF(P14=0,0,COUNTIF(Transect5_imgsummary!O14:S14,"BC")*100/P14)</f>
        <v>0</v>
      </c>
    </row>
    <row r="15" spans="1:129">
      <c r="A15">
        <v>13</v>
      </c>
      <c r="B15" t="s">
        <v>610</v>
      </c>
      <c r="F15" s="29">
        <f>IF(P15=0,0,COUNTIF(Transect5_imgsummary!J15:N15,"C")*100/P15)</f>
        <v>80</v>
      </c>
      <c r="G15">
        <f>IF(P15=0,0,COUNTIF(Transect5_imgsummary!J15:N15,"OI")*100/P15)</f>
        <v>0</v>
      </c>
      <c r="H15">
        <f>IF(P15=0,0,COUNTIF(Transect5_imgsummary!J15:N15,"MA")*100/P15)</f>
        <v>0</v>
      </c>
      <c r="I15">
        <f>IF(P15=0,0,COUNTIF(Transect5_imgsummary!J15:N15,"BCA")*100/P15)</f>
        <v>0</v>
      </c>
      <c r="J15" s="29">
        <f>IF(P15=0,0,COUNTIF(Transect5_imgsummary!J15:N15,"CCA")*100/P15)</f>
        <v>20</v>
      </c>
      <c r="K15">
        <f>IF(P15=0,0,COUNTIF(Transect5_imgsummary!J15:N15,"SD")*100/P15)</f>
        <v>0</v>
      </c>
      <c r="L15">
        <f>IF(P15=0,0,COUNTIF(Transect5_imgsummary!J15:N15,"FCA")*100/P15)</f>
        <v>0</v>
      </c>
      <c r="M15">
        <f>IF(P15=0,0,COUNTIF(Transect5_imgsummary!J15:N15,"CHRYS")*100/P15)</f>
        <v>0</v>
      </c>
      <c r="N15">
        <f>IF(P15=0,0,COUNTIF(Transect5_imgsummary!J15:N15,"T")*100/P15)</f>
        <v>0</v>
      </c>
      <c r="O15">
        <f>IF(P15=0,0,COUNTIF(Transect5_imgsummary!J15:N15,"TWS")*100/P15)</f>
        <v>0</v>
      </c>
      <c r="P15">
        <f>5-COUNTIF(Transect5_imgsummary!J15:N15,"TWS")</f>
        <v>5</v>
      </c>
      <c r="S15">
        <f>IF(P15=0,0,COUNTIF(Transect5_imgsummary!E15:I15,"ACAN")*100/P15)</f>
        <v>0</v>
      </c>
      <c r="T15">
        <f>IF(P15=0,0,COUNTIF(Transect5_imgsummary!E15:I15,"ACROP")*100/P15)</f>
        <v>0</v>
      </c>
      <c r="U15">
        <f>IF(P15=0,0,COUNTIF(Transect5_imgsummary!E15:I15,"ACROPARB")*100/P15)</f>
        <v>0</v>
      </c>
      <c r="V15">
        <f>IF(P15=0,0,COUNTIF(Transect5_imgsummary!E15:I15,"ACROST")*100/P15)</f>
        <v>0</v>
      </c>
      <c r="W15">
        <f>IF(P15=0,0,COUNTIF(Transect5_imgsummary!E15:I15,"ACROTBL")*100/P15)</f>
        <v>0</v>
      </c>
      <c r="X15">
        <f>IF(P15=0,0,COUNTIF(Transect5_imgsummary!E15:I15,"ASTRP")*100/P15)</f>
        <v>0</v>
      </c>
      <c r="Y15">
        <f>IF(P15=0,0,COUNTIF(Transect5_imgsummary!E15:I15,"CAUL")*100/P15)</f>
        <v>0</v>
      </c>
      <c r="Z15">
        <f>IF(P15=0,0,COUNTIF(Transect5_imgsummary!E15:I15,"COSC")*100/P15)</f>
        <v>0</v>
      </c>
      <c r="AA15">
        <f>IF(P15=0,0,COUNTIF(Transect5_imgsummary!E15:I15,"CTEN")*100/P15)</f>
        <v>0</v>
      </c>
      <c r="AB15">
        <f>IF(P15=0,0,COUNTIF(Transect5_imgsummary!E15:I15,"CYPH")*100/P15)</f>
        <v>0</v>
      </c>
      <c r="AC15">
        <f>IF(P15=0,0,COUNTIF(Transect5_imgsummary!E15:I15,"DIPLO")*100/P15)</f>
        <v>0</v>
      </c>
      <c r="AD15" s="29">
        <f>IF(P15=0,0,COUNTIF(Transect5_imgsummary!E15:I15,"ECHPO")*100/P15)</f>
        <v>80</v>
      </c>
      <c r="AE15">
        <f>IF(P15=0,0,COUNTIF(Transect5_imgsummary!E15:I15,"ECHPHY")*100/P15)</f>
        <v>0</v>
      </c>
      <c r="AF15">
        <f>IF(P15=0,0,COUNTIF(Transect5_imgsummary!E15:I15,"EUPH")*100/P15)</f>
        <v>0</v>
      </c>
      <c r="AG15">
        <f>IF(P15=0,0,COUNTIF(Transect5_imgsummary!E15:I15,"FAV")*100/P15)</f>
        <v>0</v>
      </c>
      <c r="AH15">
        <f>IF(P15=0,0,COUNTIF(Transect5_imgsummary!E15:I15,"FAVT")*100/P15)</f>
        <v>0</v>
      </c>
      <c r="AI15">
        <f>IF(P15=0,0,COUNTIF(Transect5_imgsummary!E15:I15,"FUNG")*100/P15)</f>
        <v>0</v>
      </c>
      <c r="AJ15">
        <f>IF(P15=0,0,COUNTIF(Transect5_imgsummary!E15:I15,"GAL")*100/P15)</f>
        <v>0</v>
      </c>
      <c r="AK15">
        <f>IF(P15=0,0,COUNTIF(Transect5_imgsummary!E15:I15,"GARD")*100/P15)</f>
        <v>0</v>
      </c>
      <c r="AL15">
        <f>IF(P15=0,0,COUNTIF(Transect5_imgsummary!E15:I15,"GON")*100/P15)</f>
        <v>0</v>
      </c>
      <c r="AM15">
        <f>IF(P15=0,0,COUNTIF(Transect5_imgsummary!E15:I15,"GONIO")*100/P15)</f>
        <v>0</v>
      </c>
      <c r="AN15">
        <f>IF(P15=0,0,COUNTIF(Transect5_imgsummary!E15:I15,"HELIO")*100/P15)</f>
        <v>0</v>
      </c>
      <c r="AO15">
        <f>IF(P15=0,0,COUNTIF(Transect5_imgsummary!E15:I15,"HERP")*100/P15)</f>
        <v>0</v>
      </c>
      <c r="AP15">
        <f>IF(P15=0,0,COUNTIF(Transect5_imgsummary!E15:I15,"HYD")*100/P15)</f>
        <v>0</v>
      </c>
      <c r="AQ15">
        <f>IF(P15=0,0,COUNTIF(Transect5_imgsummary!E15:I15,"ISOP")*100/P15)</f>
        <v>0</v>
      </c>
      <c r="AR15">
        <f>IF(P15=0,0,COUNTIF(Transect5_imgsummary!E15:I15,"LEPT")*100/P15)</f>
        <v>0</v>
      </c>
      <c r="AS15">
        <f>IF(P15=0,0,COUNTIF(Transect5_imgsummary!E15:I15,"LEPTOR")*100/P15)</f>
        <v>0</v>
      </c>
      <c r="AT15">
        <f>IF(P15=0,0,COUNTIF(Transect5_imgsummary!E15:I15,"LEPTOS")*100/P15)</f>
        <v>0</v>
      </c>
      <c r="AU15">
        <f>IF(P15=0,0,COUNTIF(Transect5_imgsummary!E15:I15,"LOBOPH")*100/P15)</f>
        <v>0</v>
      </c>
      <c r="AV15">
        <f>IF(P15=0,0,COUNTIF(Transect5_imgsummary!E15:I15,"MERU")*100/P15)</f>
        <v>0</v>
      </c>
      <c r="AW15">
        <f>IF(P15=0,0,COUNTIF(Transect5_imgsummary!E15:I15,"MILL")*100/P15)</f>
        <v>0</v>
      </c>
      <c r="AX15">
        <f>IF(P15=0,0,COUNTIF(Transect5_imgsummary!E15:I15,"MONT")*100/P15)</f>
        <v>0</v>
      </c>
      <c r="AY15">
        <f>IF(P15=0,0,COUNTIF(Transect5_imgsummary!E15:I15,"MONTI")*100/P15)</f>
        <v>0</v>
      </c>
      <c r="AZ15">
        <f>IF(P15=0,0,COUNTIF(Transect5_imgsummary!E15:I15,"MYCED")*100/P15)</f>
        <v>0</v>
      </c>
      <c r="BA15">
        <f>IF(P15=0,0,COUNTIF(Transect5_imgsummary!E15:I15,"OULO")*100/P15)</f>
        <v>0</v>
      </c>
      <c r="BB15">
        <f>IF(P15=0,0,COUNTIF(Transect5_imgsummary!E15:I15,"OXYP")*100/P15)</f>
        <v>0</v>
      </c>
      <c r="BC15">
        <f>IF(P15=0,0,COUNTIF(Transect5_imgsummary!E15:I15,"PLSIA")*100/P15)</f>
        <v>0</v>
      </c>
      <c r="BD15">
        <f>IF(P15=0,0,COUNTIF(Transect5_imgsummary!E15:I15,"PACHY")*100/P15)</f>
        <v>0</v>
      </c>
      <c r="BE15">
        <f>IF(P15=0,0,COUNTIF(Transect5_imgsummary!E15:I15,"PAV")*100/P15)</f>
        <v>0</v>
      </c>
      <c r="BF15">
        <f>IF(P15=0,0,COUNTIF(Transect5_imgsummary!E15:I15,"PECT")*100/P15)</f>
        <v>0</v>
      </c>
      <c r="BG15">
        <f>IF(P15=0,0,COUNTIF(Transect5_imgsummary!E15:I15,"PHYSO")*100/P15)</f>
        <v>0</v>
      </c>
      <c r="BH15">
        <f>IF(P15=0,0,COUNTIF(Transect5_imgsummary!E15:I15,"PLAT")*100/P15)</f>
        <v>0</v>
      </c>
      <c r="BI15">
        <f>IF(P15=0,0,COUNTIF(Transect5_imgsummary!E15:I15,"PLERO")*100/P15)</f>
        <v>0</v>
      </c>
      <c r="BJ15">
        <f>IF(P15=0,0,COUNTIF(Transect5_imgsummary!E15:I15,"POC")*100/P15)</f>
        <v>0</v>
      </c>
      <c r="BK15">
        <f>IF(P15=0,0,COUNTIF(Transect5_imgsummary!E15:I15,"POR")*100/P15)</f>
        <v>0</v>
      </c>
      <c r="BL15">
        <f>IF(P15=0,0,COUNTIF(Transect5_imgsummary!E15:I15,"PORCYL")*100/P15)</f>
        <v>0</v>
      </c>
      <c r="BM15">
        <f>IF(P15=0,0,COUNTIF(Transect5_imgsummary!E15:I15,"PORMAS")*100/P15)</f>
        <v>0</v>
      </c>
      <c r="BN15">
        <f>IF(P15=0,0,COUNTIF(Transect5_imgsummary!E15:I15,"PORRUS")*100/P15)</f>
        <v>0</v>
      </c>
      <c r="BO15">
        <f>IF(P15=0,0,COUNTIF(Transect5_imgsummary!E15:I15,"PSAM")*100/P15)</f>
        <v>0</v>
      </c>
      <c r="BP15">
        <f>IF(P15=0,0,COUNTIF(Transect5_imgsummary!E15:I15,"SANDO")*100/P15)</f>
        <v>0</v>
      </c>
      <c r="BQ15">
        <f>IF(P15=0,0,COUNTIF(Transect5_imgsummary!E15:I15,"SCAP")*100/P15)</f>
        <v>0</v>
      </c>
      <c r="BR15">
        <f>IF(P15=0,0,COUNTIF(Transect5_imgsummary!E15:I15,"SERIA")*100/P15)</f>
        <v>0</v>
      </c>
      <c r="BS15">
        <f>IF(P15=0,0,COUNTIF(Transect5_imgsummary!E15:I15,"STYLC")*100/P15)</f>
        <v>0</v>
      </c>
      <c r="BT15">
        <f>IF(P15=0,0,COUNTIF(Transect5_imgsummary!E15:I15,"STYLO")*100/P15)</f>
        <v>0</v>
      </c>
      <c r="BU15">
        <f>IF(P15=0,0,COUNTIF(Transect5_imgsummary!E15:I15,"SYMP")*100/P15)</f>
        <v>0</v>
      </c>
      <c r="BV15">
        <f>IF(P15=0,0,COUNTIF(Transect5_imgsummary!E15:I15,"TURBIN")*100/P15)</f>
        <v>0</v>
      </c>
      <c r="BX15">
        <f>IF(P15=0,0,COUNTIF(Transect5_imgsummary!E15:I15,"ANEM")*100/P15)</f>
        <v>0</v>
      </c>
      <c r="BY15">
        <f>IF(P15=0,0,COUNTIF(Transect5_imgsummary!E15:I15,"ASC")*100/P15)</f>
        <v>0</v>
      </c>
      <c r="BZ15">
        <f>IF(P15=0,0,COUNTIF(Transect5_imgsummary!E15:I15,"CUPS")*100/P15)</f>
        <v>0</v>
      </c>
      <c r="CA15">
        <f>IF(P15=0,0,COUNTIF(Transect5_imgsummary!E15:I15,"DISCO")*100/P15)</f>
        <v>0</v>
      </c>
      <c r="CB15">
        <f>IF(P15=0,0,COUNTIF(Transect5_imgsummary!E15:I15,"DYS")*100/P15)</f>
        <v>0</v>
      </c>
      <c r="CC15">
        <f>IF(P15=0,0,COUNTIF(Transect5_imgsummary!E15:I15,"G")*100/P15)</f>
        <v>0</v>
      </c>
      <c r="CD15">
        <f>IF(P15=0,0,COUNTIF(Transect5_imgsummary!E15:I15,"NoIDINV")*100/P15)</f>
        <v>0</v>
      </c>
      <c r="CE15">
        <f>IF(P15=0,0,COUNTIF(Transect5_imgsummary!E15:I15,"OLV")*100/P15)</f>
        <v>0</v>
      </c>
      <c r="CF15">
        <f>IF(P15=0,0,COUNTIF(Transect5_imgsummary!E15:I15,"SC")*100/P15)</f>
        <v>0</v>
      </c>
      <c r="CG15">
        <f>IF(P15=0,0,COUNTIF(Transect5_imgsummary!E15:I15,"S")*100/P15)</f>
        <v>0</v>
      </c>
      <c r="CH15">
        <f>IF(P15=0,0,COUNTIF(Transect5_imgsummary!E15:I15,"TERPS")*100/P15)</f>
        <v>0</v>
      </c>
      <c r="CI15">
        <f>IF(P15=0,0,COUNTIF(Transect5_imgsummary!E15:I15,"Z")*100/P15)</f>
        <v>0</v>
      </c>
      <c r="CK15">
        <f>IF(P15=0,0,COUNTIF(Transect5_imgsummary!E15:I15,"ASP")*100/P15)</f>
        <v>0</v>
      </c>
      <c r="CL15">
        <f>IF(P15=0,0,COUNTIF(Transect5_imgsummary!E15:I15,"BG")*100/P15)</f>
        <v>0</v>
      </c>
      <c r="CM15">
        <f>IF(P15=0,0,COUNTIF(Transect5_imgsummary!E15:I15,"Bood")*100/P15)</f>
        <v>0</v>
      </c>
      <c r="CN15">
        <f>IF(P15=0,0,COUNTIF(Transect5_imgsummary!E15:I15,"BRYP")*100/P15)</f>
        <v>0</v>
      </c>
      <c r="CO15">
        <f>IF(P15=0,0,COUNTIF(Transect5_imgsummary!E15:I15,"CLP")*100/P15)</f>
        <v>0</v>
      </c>
      <c r="CP15">
        <f>IF(P15=0,0,COUNTIF(Transect5_imgsummary!E15:I15,"CHLDES")*100/P15)</f>
        <v>0</v>
      </c>
      <c r="CQ15">
        <f>IF(P15=0,0,COUNTIF(Transect5_imgsummary!E15:I15,"DYCTY")*100/P15)</f>
        <v>0</v>
      </c>
      <c r="CR15">
        <f>IF(P15=0,0,COUNTIF(Transect5_imgsummary!E15:I15,"DICT")*100/P15)</f>
        <v>0</v>
      </c>
      <c r="CS15">
        <f>IF(P15=0,0,COUNTIF(Transect5_imgsummary!E15:I15,"GLXU")*100/P15)</f>
        <v>0</v>
      </c>
      <c r="CT15">
        <f>IF(P15=0,0,COUNTIF(Transect5_imgsummary!E15:I15,"HALI")*100/P15)</f>
        <v>0</v>
      </c>
      <c r="CU15">
        <f>IF(P15=0,0,COUNTIF(Transect5_imgsummary!E15:I15,"LIAG")*100/P15)</f>
        <v>0</v>
      </c>
      <c r="CV15">
        <f>IF(P15=0,0,COUNTIF(Transect5_imgsummary!E15:I15,"LOBO")*100/P15)</f>
        <v>0</v>
      </c>
      <c r="CW15">
        <f>IF(P15=0,0,COUNTIF(Transect5_imgsummary!E15:I15,"MAST")*100/P15)</f>
        <v>0</v>
      </c>
      <c r="CX15">
        <f>IF(P15=0,0,COUNTIF(Transect5_imgsummary!E15:I15,"MICDTY")*100/P15)</f>
        <v>0</v>
      </c>
      <c r="CY15">
        <f>IF(P15=0,0,COUNTIF(Transect5_imgsummary!E15:I15,"NEOM")*100/P15)</f>
        <v>0</v>
      </c>
      <c r="CZ15">
        <f>IF(P15=0,0,COUNTIF(Transect5_imgsummary!E15:I15,"NOIDMAC")*100/P15)</f>
        <v>0</v>
      </c>
      <c r="DA15">
        <f>IF(P15=0,0,COUNTIF(Transect5_imgsummary!E15:I15,"PAD")*100/P15)</f>
        <v>0</v>
      </c>
      <c r="DB15">
        <f>IF(P15=0,0,COUNTIF(Transect5_imgsummary!E15:I15,"SARG")*100/P15)</f>
        <v>0</v>
      </c>
      <c r="DC15">
        <f>IF(P15=0,0,COUNTIF(Transect5_imgsummary!E15:I15,"SCHIZ")*100/P15)</f>
        <v>0</v>
      </c>
      <c r="DD15">
        <f>IF(P15=0,0,COUNTIF(Transect5_imgsummary!E15:I15,"TURB")*100/P15)</f>
        <v>0</v>
      </c>
      <c r="DE15">
        <f>IF(P15=0,0,COUNTIF(Transect5_imgsummary!E15:I15,"TYDM")*100/P15)</f>
        <v>0</v>
      </c>
      <c r="DG15">
        <f>IF(P15=0,0,COUNTIF(Transect5_imgsummary!E15:I15,"AMP")*100/P15)</f>
        <v>0</v>
      </c>
      <c r="DH15">
        <f>IF(P15=0,0,COUNTIF(Transect5_imgsummary!E15:I15,"BCA1")*100/P15)</f>
        <v>0</v>
      </c>
      <c r="DI15">
        <f>IF(P15=0,0,COUNTIF(Transect5_imgsummary!E15:I15,"JAN")*100/P15)</f>
        <v>0</v>
      </c>
      <c r="DK15" s="29">
        <f>IF(P15=0,0,COUNTIF(Transect5_imgsummary!E15:I15,"CCA1")*100/P15)</f>
        <v>20</v>
      </c>
      <c r="DM15">
        <f>IF(P15=0,0,COUNTIF(Transect5_imgsummary!E15:I15,"Sand")*100/P15)</f>
        <v>0</v>
      </c>
      <c r="DO15">
        <f>IF(P15=0,0,COUNTIF(Transect5_imgsummary!E15:I15,"FCA1")*100/P15)</f>
        <v>0</v>
      </c>
      <c r="DQ15">
        <f>IF(P15=0,0,COUNTIF(Transect5_imgsummary!E15:I15,"CHRYOBRN")*100/P15)</f>
        <v>0</v>
      </c>
      <c r="DS15">
        <f>IF(P15=0,0,COUNTIF(Transect5_imgsummary!E15:I15,"TURF")*100/P15)</f>
        <v>0</v>
      </c>
      <c r="DU15">
        <f>COUNTIF(Transect5_imgsummary!E15:I15,"Shadow")*100/5</f>
        <v>0</v>
      </c>
      <c r="DV15">
        <f>COUNTIF(Transect5_imgsummary!E15:I15,"Tape")*100/5</f>
        <v>0</v>
      </c>
      <c r="DW15">
        <f>COUNTIF(Transect5_imgsummary!E15:I15,"Wand")*100/5</f>
        <v>0</v>
      </c>
      <c r="DY15">
        <f>IF(P15=0,0,COUNTIF(Transect5_imgsummary!O15:S15,"BC")*100/P15)</f>
        <v>0</v>
      </c>
    </row>
    <row r="16" spans="1:129">
      <c r="A16">
        <v>14</v>
      </c>
      <c r="B16" t="s">
        <v>611</v>
      </c>
      <c r="F16" s="29">
        <f>IF(P16=0,0,COUNTIF(Transect5_imgsummary!J16:N16,"C")*100/P16)</f>
        <v>40</v>
      </c>
      <c r="G16">
        <f>IF(P16=0,0,COUNTIF(Transect5_imgsummary!J16:N16,"OI")*100/P16)</f>
        <v>0</v>
      </c>
      <c r="H16">
        <f>IF(P16=0,0,COUNTIF(Transect5_imgsummary!J16:N16,"MA")*100/P16)</f>
        <v>0</v>
      </c>
      <c r="I16">
        <f>IF(P16=0,0,COUNTIF(Transect5_imgsummary!J16:N16,"BCA")*100/P16)</f>
        <v>0</v>
      </c>
      <c r="J16" s="29">
        <f>IF(P16=0,0,COUNTIF(Transect5_imgsummary!J16:N16,"CCA")*100/P16)</f>
        <v>40</v>
      </c>
      <c r="K16">
        <f>IF(P16=0,0,COUNTIF(Transect5_imgsummary!J16:N16,"SD")*100/P16)</f>
        <v>0</v>
      </c>
      <c r="L16">
        <f>IF(P16=0,0,COUNTIF(Transect5_imgsummary!J16:N16,"FCA")*100/P16)</f>
        <v>0</v>
      </c>
      <c r="M16">
        <f>IF(P16=0,0,COUNTIF(Transect5_imgsummary!J16:N16,"CHRYS")*100/P16)</f>
        <v>0</v>
      </c>
      <c r="N16" s="29">
        <f>IF(P16=0,0,COUNTIF(Transect5_imgsummary!J16:N16,"T")*100/P16)</f>
        <v>20</v>
      </c>
      <c r="O16">
        <f>IF(P16=0,0,COUNTIF(Transect5_imgsummary!J16:N16,"TWS")*100/P16)</f>
        <v>0</v>
      </c>
      <c r="P16">
        <f>5-COUNTIF(Transect5_imgsummary!J16:N16,"TWS")</f>
        <v>5</v>
      </c>
      <c r="S16">
        <f>IF(P16=0,0,COUNTIF(Transect5_imgsummary!E16:I16,"ACAN")*100/P16)</f>
        <v>0</v>
      </c>
      <c r="T16">
        <f>IF(P16=0,0,COUNTIF(Transect5_imgsummary!E16:I16,"ACROP")*100/P16)</f>
        <v>0</v>
      </c>
      <c r="U16">
        <f>IF(P16=0,0,COUNTIF(Transect5_imgsummary!E16:I16,"ACROPARB")*100/P16)</f>
        <v>0</v>
      </c>
      <c r="V16">
        <f>IF(P16=0,0,COUNTIF(Transect5_imgsummary!E16:I16,"ACROST")*100/P16)</f>
        <v>0</v>
      </c>
      <c r="W16">
        <f>IF(P16=0,0,COUNTIF(Transect5_imgsummary!E16:I16,"ACROTBL")*100/P16)</f>
        <v>0</v>
      </c>
      <c r="X16">
        <f>IF(P16=0,0,COUNTIF(Transect5_imgsummary!E16:I16,"ASTRP")*100/P16)</f>
        <v>0</v>
      </c>
      <c r="Y16">
        <f>IF(P16=0,0,COUNTIF(Transect5_imgsummary!E16:I16,"CAUL")*100/P16)</f>
        <v>0</v>
      </c>
      <c r="Z16">
        <f>IF(P16=0,0,COUNTIF(Transect5_imgsummary!E16:I16,"COSC")*100/P16)</f>
        <v>0</v>
      </c>
      <c r="AA16">
        <f>IF(P16=0,0,COUNTIF(Transect5_imgsummary!E16:I16,"CTEN")*100/P16)</f>
        <v>0</v>
      </c>
      <c r="AB16">
        <f>IF(P16=0,0,COUNTIF(Transect5_imgsummary!E16:I16,"CYPH")*100/P16)</f>
        <v>0</v>
      </c>
      <c r="AC16">
        <f>IF(P16=0,0,COUNTIF(Transect5_imgsummary!E16:I16,"DIPLO")*100/P16)</f>
        <v>0</v>
      </c>
      <c r="AD16" s="29">
        <f>IF(P16=0,0,COUNTIF(Transect5_imgsummary!E16:I16,"ECHPO")*100/P16)</f>
        <v>20</v>
      </c>
      <c r="AE16">
        <f>IF(P16=0,0,COUNTIF(Transect5_imgsummary!E16:I16,"ECHPHY")*100/P16)</f>
        <v>0</v>
      </c>
      <c r="AF16">
        <f>IF(P16=0,0,COUNTIF(Transect5_imgsummary!E16:I16,"EUPH")*100/P16)</f>
        <v>0</v>
      </c>
      <c r="AG16">
        <f>IF(P16=0,0,COUNTIF(Transect5_imgsummary!E16:I16,"FAV")*100/P16)</f>
        <v>0</v>
      </c>
      <c r="AH16">
        <f>IF(P16=0,0,COUNTIF(Transect5_imgsummary!E16:I16,"FAVT")*100/P16)</f>
        <v>0</v>
      </c>
      <c r="AI16">
        <f>IF(P16=0,0,COUNTIF(Transect5_imgsummary!E16:I16,"FUNG")*100/P16)</f>
        <v>0</v>
      </c>
      <c r="AJ16">
        <f>IF(P16=0,0,COUNTIF(Transect5_imgsummary!E16:I16,"GAL")*100/P16)</f>
        <v>0</v>
      </c>
      <c r="AK16">
        <f>IF(P16=0,0,COUNTIF(Transect5_imgsummary!E16:I16,"GARD")*100/P16)</f>
        <v>0</v>
      </c>
      <c r="AL16">
        <f>IF(P16=0,0,COUNTIF(Transect5_imgsummary!E16:I16,"GON")*100/P16)</f>
        <v>0</v>
      </c>
      <c r="AM16">
        <f>IF(P16=0,0,COUNTIF(Transect5_imgsummary!E16:I16,"GONIO")*100/P16)</f>
        <v>0</v>
      </c>
      <c r="AN16">
        <f>IF(P16=0,0,COUNTIF(Transect5_imgsummary!E16:I16,"HELIO")*100/P16)</f>
        <v>0</v>
      </c>
      <c r="AO16">
        <f>IF(P16=0,0,COUNTIF(Transect5_imgsummary!E16:I16,"HERP")*100/P16)</f>
        <v>0</v>
      </c>
      <c r="AP16">
        <f>IF(P16=0,0,COUNTIF(Transect5_imgsummary!E16:I16,"HYD")*100/P16)</f>
        <v>0</v>
      </c>
      <c r="AQ16">
        <f>IF(P16=0,0,COUNTIF(Transect5_imgsummary!E16:I16,"ISOP")*100/P16)</f>
        <v>0</v>
      </c>
      <c r="AR16">
        <f>IF(P16=0,0,COUNTIF(Transect5_imgsummary!E16:I16,"LEPT")*100/P16)</f>
        <v>0</v>
      </c>
      <c r="AS16" s="29">
        <f>IF(P16=0,0,COUNTIF(Transect5_imgsummary!E16:I16,"LEPTOR")*100/P16)</f>
        <v>20</v>
      </c>
      <c r="AT16">
        <f>IF(P16=0,0,COUNTIF(Transect5_imgsummary!E16:I16,"LEPTOS")*100/P16)</f>
        <v>0</v>
      </c>
      <c r="AU16">
        <f>IF(P16=0,0,COUNTIF(Transect5_imgsummary!E16:I16,"LOBOPH")*100/P16)</f>
        <v>0</v>
      </c>
      <c r="AV16">
        <f>IF(P16=0,0,COUNTIF(Transect5_imgsummary!E16:I16,"MERU")*100/P16)</f>
        <v>0</v>
      </c>
      <c r="AW16">
        <f>IF(P16=0,0,COUNTIF(Transect5_imgsummary!E16:I16,"MILL")*100/P16)</f>
        <v>0</v>
      </c>
      <c r="AX16">
        <f>IF(P16=0,0,COUNTIF(Transect5_imgsummary!E16:I16,"MONT")*100/P16)</f>
        <v>0</v>
      </c>
      <c r="AY16">
        <f>IF(P16=0,0,COUNTIF(Transect5_imgsummary!E16:I16,"MONTI")*100/P16)</f>
        <v>0</v>
      </c>
      <c r="AZ16">
        <f>IF(P16=0,0,COUNTIF(Transect5_imgsummary!E16:I16,"MYCED")*100/P16)</f>
        <v>0</v>
      </c>
      <c r="BA16">
        <f>IF(P16=0,0,COUNTIF(Transect5_imgsummary!E16:I16,"OULO")*100/P16)</f>
        <v>0</v>
      </c>
      <c r="BB16">
        <f>IF(P16=0,0,COUNTIF(Transect5_imgsummary!E16:I16,"OXYP")*100/P16)</f>
        <v>0</v>
      </c>
      <c r="BC16">
        <f>IF(P16=0,0,COUNTIF(Transect5_imgsummary!E16:I16,"PLSIA")*100/P16)</f>
        <v>0</v>
      </c>
      <c r="BD16">
        <f>IF(P16=0,0,COUNTIF(Transect5_imgsummary!E16:I16,"PACHY")*100/P16)</f>
        <v>0</v>
      </c>
      <c r="BE16">
        <f>IF(P16=0,0,COUNTIF(Transect5_imgsummary!E16:I16,"PAV")*100/P16)</f>
        <v>0</v>
      </c>
      <c r="BF16">
        <f>IF(P16=0,0,COUNTIF(Transect5_imgsummary!E16:I16,"PECT")*100/P16)</f>
        <v>0</v>
      </c>
      <c r="BG16">
        <f>IF(P16=0,0,COUNTIF(Transect5_imgsummary!E16:I16,"PHYSO")*100/P16)</f>
        <v>0</v>
      </c>
      <c r="BH16">
        <f>IF(P16=0,0,COUNTIF(Transect5_imgsummary!E16:I16,"PLAT")*100/P16)</f>
        <v>0</v>
      </c>
      <c r="BI16">
        <f>IF(P16=0,0,COUNTIF(Transect5_imgsummary!E16:I16,"PLERO")*100/P16)</f>
        <v>0</v>
      </c>
      <c r="BJ16">
        <f>IF(P16=0,0,COUNTIF(Transect5_imgsummary!E16:I16,"POC")*100/P16)</f>
        <v>0</v>
      </c>
      <c r="BK16">
        <f>IF(P16=0,0,COUNTIF(Transect5_imgsummary!E16:I16,"POR")*100/P16)</f>
        <v>0</v>
      </c>
      <c r="BL16">
        <f>IF(P16=0,0,COUNTIF(Transect5_imgsummary!E16:I16,"PORCYL")*100/P16)</f>
        <v>0</v>
      </c>
      <c r="BM16">
        <f>IF(P16=0,0,COUNTIF(Transect5_imgsummary!E16:I16,"PORMAS")*100/P16)</f>
        <v>0</v>
      </c>
      <c r="BN16">
        <f>IF(P16=0,0,COUNTIF(Transect5_imgsummary!E16:I16,"PORRUS")*100/P16)</f>
        <v>0</v>
      </c>
      <c r="BO16">
        <f>IF(P16=0,0,COUNTIF(Transect5_imgsummary!E16:I16,"PSAM")*100/P16)</f>
        <v>0</v>
      </c>
      <c r="BP16">
        <f>IF(P16=0,0,COUNTIF(Transect5_imgsummary!E16:I16,"SANDO")*100/P16)</f>
        <v>0</v>
      </c>
      <c r="BQ16">
        <f>IF(P16=0,0,COUNTIF(Transect5_imgsummary!E16:I16,"SCAP")*100/P16)</f>
        <v>0</v>
      </c>
      <c r="BR16">
        <f>IF(P16=0,0,COUNTIF(Transect5_imgsummary!E16:I16,"SERIA")*100/P16)</f>
        <v>0</v>
      </c>
      <c r="BS16">
        <f>IF(P16=0,0,COUNTIF(Transect5_imgsummary!E16:I16,"STYLC")*100/P16)</f>
        <v>0</v>
      </c>
      <c r="BT16">
        <f>IF(P16=0,0,COUNTIF(Transect5_imgsummary!E16:I16,"STYLO")*100/P16)</f>
        <v>0</v>
      </c>
      <c r="BU16">
        <f>IF(P16=0,0,COUNTIF(Transect5_imgsummary!E16:I16,"SYMP")*100/P16)</f>
        <v>0</v>
      </c>
      <c r="BV16">
        <f>IF(P16=0,0,COUNTIF(Transect5_imgsummary!E16:I16,"TURBIN")*100/P16)</f>
        <v>0</v>
      </c>
      <c r="BX16">
        <f>IF(P16=0,0,COUNTIF(Transect5_imgsummary!E16:I16,"ANEM")*100/P16)</f>
        <v>0</v>
      </c>
      <c r="BY16">
        <f>IF(P16=0,0,COUNTIF(Transect5_imgsummary!E16:I16,"ASC")*100/P16)</f>
        <v>0</v>
      </c>
      <c r="BZ16">
        <f>IF(P16=0,0,COUNTIF(Transect5_imgsummary!E16:I16,"CUPS")*100/P16)</f>
        <v>0</v>
      </c>
      <c r="CA16">
        <f>IF(P16=0,0,COUNTIF(Transect5_imgsummary!E16:I16,"DISCO")*100/P16)</f>
        <v>0</v>
      </c>
      <c r="CB16">
        <f>IF(P16=0,0,COUNTIF(Transect5_imgsummary!E16:I16,"DYS")*100/P16)</f>
        <v>0</v>
      </c>
      <c r="CC16">
        <f>IF(P16=0,0,COUNTIF(Transect5_imgsummary!E16:I16,"G")*100/P16)</f>
        <v>0</v>
      </c>
      <c r="CD16">
        <f>IF(P16=0,0,COUNTIF(Transect5_imgsummary!E16:I16,"NoIDINV")*100/P16)</f>
        <v>0</v>
      </c>
      <c r="CE16">
        <f>IF(P16=0,0,COUNTIF(Transect5_imgsummary!E16:I16,"OLV")*100/P16)</f>
        <v>0</v>
      </c>
      <c r="CF16">
        <f>IF(P16=0,0,COUNTIF(Transect5_imgsummary!E16:I16,"SC")*100/P16)</f>
        <v>0</v>
      </c>
      <c r="CG16">
        <f>IF(P16=0,0,COUNTIF(Transect5_imgsummary!E16:I16,"S")*100/P16)</f>
        <v>0</v>
      </c>
      <c r="CH16">
        <f>IF(P16=0,0,COUNTIF(Transect5_imgsummary!E16:I16,"TERPS")*100/P16)</f>
        <v>0</v>
      </c>
      <c r="CI16">
        <f>IF(P16=0,0,COUNTIF(Transect5_imgsummary!E16:I16,"Z")*100/P16)</f>
        <v>0</v>
      </c>
      <c r="CK16">
        <f>IF(P16=0,0,COUNTIF(Transect5_imgsummary!E16:I16,"ASP")*100/P16)</f>
        <v>0</v>
      </c>
      <c r="CL16">
        <f>IF(P16=0,0,COUNTIF(Transect5_imgsummary!E16:I16,"BG")*100/P16)</f>
        <v>0</v>
      </c>
      <c r="CM16">
        <f>IF(P16=0,0,COUNTIF(Transect5_imgsummary!E16:I16,"Bood")*100/P16)</f>
        <v>0</v>
      </c>
      <c r="CN16">
        <f>IF(P16=0,0,COUNTIF(Transect5_imgsummary!E16:I16,"BRYP")*100/P16)</f>
        <v>0</v>
      </c>
      <c r="CO16">
        <f>IF(P16=0,0,COUNTIF(Transect5_imgsummary!E16:I16,"CLP")*100/P16)</f>
        <v>0</v>
      </c>
      <c r="CP16">
        <f>IF(P16=0,0,COUNTIF(Transect5_imgsummary!E16:I16,"CHLDES")*100/P16)</f>
        <v>0</v>
      </c>
      <c r="CQ16">
        <f>IF(P16=0,0,COUNTIF(Transect5_imgsummary!E16:I16,"DYCTY")*100/P16)</f>
        <v>0</v>
      </c>
      <c r="CR16">
        <f>IF(P16=0,0,COUNTIF(Transect5_imgsummary!E16:I16,"DICT")*100/P16)</f>
        <v>0</v>
      </c>
      <c r="CS16">
        <f>IF(P16=0,0,COUNTIF(Transect5_imgsummary!E16:I16,"GLXU")*100/P16)</f>
        <v>0</v>
      </c>
      <c r="CT16">
        <f>IF(P16=0,0,COUNTIF(Transect5_imgsummary!E16:I16,"HALI")*100/P16)</f>
        <v>0</v>
      </c>
      <c r="CU16">
        <f>IF(P16=0,0,COUNTIF(Transect5_imgsummary!E16:I16,"LIAG")*100/P16)</f>
        <v>0</v>
      </c>
      <c r="CV16">
        <f>IF(P16=0,0,COUNTIF(Transect5_imgsummary!E16:I16,"LOBO")*100/P16)</f>
        <v>0</v>
      </c>
      <c r="CW16">
        <f>IF(P16=0,0,COUNTIF(Transect5_imgsummary!E16:I16,"MAST")*100/P16)</f>
        <v>0</v>
      </c>
      <c r="CX16">
        <f>IF(P16=0,0,COUNTIF(Transect5_imgsummary!E16:I16,"MICDTY")*100/P16)</f>
        <v>0</v>
      </c>
      <c r="CY16">
        <f>IF(P16=0,0,COUNTIF(Transect5_imgsummary!E16:I16,"NEOM")*100/P16)</f>
        <v>0</v>
      </c>
      <c r="CZ16">
        <f>IF(P16=0,0,COUNTIF(Transect5_imgsummary!E16:I16,"NOIDMAC")*100/P16)</f>
        <v>0</v>
      </c>
      <c r="DA16">
        <f>IF(P16=0,0,COUNTIF(Transect5_imgsummary!E16:I16,"PAD")*100/P16)</f>
        <v>0</v>
      </c>
      <c r="DB16">
        <f>IF(P16=0,0,COUNTIF(Transect5_imgsummary!E16:I16,"SARG")*100/P16)</f>
        <v>0</v>
      </c>
      <c r="DC16">
        <f>IF(P16=0,0,COUNTIF(Transect5_imgsummary!E16:I16,"SCHIZ")*100/P16)</f>
        <v>0</v>
      </c>
      <c r="DD16">
        <f>IF(P16=0,0,COUNTIF(Transect5_imgsummary!E16:I16,"TURB")*100/P16)</f>
        <v>0</v>
      </c>
      <c r="DE16">
        <f>IF(P16=0,0,COUNTIF(Transect5_imgsummary!E16:I16,"TYDM")*100/P16)</f>
        <v>0</v>
      </c>
      <c r="DG16">
        <f>IF(P16=0,0,COUNTIF(Transect5_imgsummary!E16:I16,"AMP")*100/P16)</f>
        <v>0</v>
      </c>
      <c r="DH16">
        <f>IF(P16=0,0,COUNTIF(Transect5_imgsummary!E16:I16,"BCA1")*100/P16)</f>
        <v>0</v>
      </c>
      <c r="DI16">
        <f>IF(P16=0,0,COUNTIF(Transect5_imgsummary!E16:I16,"JAN")*100/P16)</f>
        <v>0</v>
      </c>
      <c r="DK16" s="29">
        <f>IF(P16=0,0,COUNTIF(Transect5_imgsummary!E16:I16,"CCA1")*100/P16)</f>
        <v>40</v>
      </c>
      <c r="DM16">
        <f>IF(P16=0,0,COUNTIF(Transect5_imgsummary!E16:I16,"Sand")*100/P16)</f>
        <v>0</v>
      </c>
      <c r="DO16">
        <f>IF(P16=0,0,COUNTIF(Transect5_imgsummary!E16:I16,"FCA1")*100/P16)</f>
        <v>0</v>
      </c>
      <c r="DQ16">
        <f>IF(P16=0,0,COUNTIF(Transect5_imgsummary!E16:I16,"CHRYOBRN")*100/P16)</f>
        <v>0</v>
      </c>
      <c r="DS16" s="29">
        <f>IF(P16=0,0,COUNTIF(Transect5_imgsummary!E16:I16,"TURF")*100/P16)</f>
        <v>20</v>
      </c>
      <c r="DU16">
        <f>COUNTIF(Transect5_imgsummary!E16:I16,"Shadow")*100/5</f>
        <v>0</v>
      </c>
      <c r="DV16">
        <f>COUNTIF(Transect5_imgsummary!E16:I16,"Tape")*100/5</f>
        <v>0</v>
      </c>
      <c r="DW16">
        <f>COUNTIF(Transect5_imgsummary!E16:I16,"Wand")*100/5</f>
        <v>0</v>
      </c>
      <c r="DY16">
        <f>IF(P16=0,0,COUNTIF(Transect5_imgsummary!O16:S16,"BC")*100/P16)</f>
        <v>0</v>
      </c>
    </row>
    <row r="17" spans="1:129">
      <c r="A17">
        <v>15</v>
      </c>
      <c r="B17" t="s">
        <v>612</v>
      </c>
      <c r="F17" s="29">
        <f>IF(P17=0,0,COUNTIF(Transect5_imgsummary!J17:N17,"C")*100/P17)</f>
        <v>80</v>
      </c>
      <c r="G17">
        <f>IF(P17=0,0,COUNTIF(Transect5_imgsummary!J17:N17,"OI")*100/P17)</f>
        <v>0</v>
      </c>
      <c r="H17">
        <f>IF(P17=0,0,COUNTIF(Transect5_imgsummary!J17:N17,"MA")*100/P17)</f>
        <v>0</v>
      </c>
      <c r="I17">
        <f>IF(P17=0,0,COUNTIF(Transect5_imgsummary!J17:N17,"BCA")*100/P17)</f>
        <v>0</v>
      </c>
      <c r="J17">
        <f>IF(P17=0,0,COUNTIF(Transect5_imgsummary!J17:N17,"CCA")*100/P17)</f>
        <v>0</v>
      </c>
      <c r="K17">
        <f>IF(P17=0,0,COUNTIF(Transect5_imgsummary!J17:N17,"SD")*100/P17)</f>
        <v>0</v>
      </c>
      <c r="L17">
        <f>IF(P17=0,0,COUNTIF(Transect5_imgsummary!J17:N17,"FCA")*100/P17)</f>
        <v>0</v>
      </c>
      <c r="M17">
        <f>IF(P17=0,0,COUNTIF(Transect5_imgsummary!J17:N17,"CHRYS")*100/P17)</f>
        <v>0</v>
      </c>
      <c r="N17" s="29">
        <f>IF(P17=0,0,COUNTIF(Transect5_imgsummary!J17:N17,"T")*100/P17)</f>
        <v>20</v>
      </c>
      <c r="O17">
        <f>IF(P17=0,0,COUNTIF(Transect5_imgsummary!J17:N17,"TWS")*100/P17)</f>
        <v>0</v>
      </c>
      <c r="P17">
        <f>5-COUNTIF(Transect5_imgsummary!J17:N17,"TWS")</f>
        <v>5</v>
      </c>
      <c r="S17">
        <f>IF(P17=0,0,COUNTIF(Transect5_imgsummary!E17:I17,"ACAN")*100/P17)</f>
        <v>0</v>
      </c>
      <c r="T17">
        <f>IF(P17=0,0,COUNTIF(Transect5_imgsummary!E17:I17,"ACROP")*100/P17)</f>
        <v>0</v>
      </c>
      <c r="U17">
        <f>IF(P17=0,0,COUNTIF(Transect5_imgsummary!E17:I17,"ACROPARB")*100/P17)</f>
        <v>0</v>
      </c>
      <c r="V17">
        <f>IF(P17=0,0,COUNTIF(Transect5_imgsummary!E17:I17,"ACROST")*100/P17)</f>
        <v>0</v>
      </c>
      <c r="W17">
        <f>IF(P17=0,0,COUNTIF(Transect5_imgsummary!E17:I17,"ACROTBL")*100/P17)</f>
        <v>0</v>
      </c>
      <c r="X17">
        <f>IF(P17=0,0,COUNTIF(Transect5_imgsummary!E17:I17,"ASTRP")*100/P17)</f>
        <v>0</v>
      </c>
      <c r="Y17">
        <f>IF(P17=0,0,COUNTIF(Transect5_imgsummary!E17:I17,"CAUL")*100/P17)</f>
        <v>0</v>
      </c>
      <c r="Z17">
        <f>IF(P17=0,0,COUNTIF(Transect5_imgsummary!E17:I17,"COSC")*100/P17)</f>
        <v>0</v>
      </c>
      <c r="AA17">
        <f>IF(P17=0,0,COUNTIF(Transect5_imgsummary!E17:I17,"CTEN")*100/P17)</f>
        <v>0</v>
      </c>
      <c r="AB17">
        <f>IF(P17=0,0,COUNTIF(Transect5_imgsummary!E17:I17,"CYPH")*100/P17)</f>
        <v>0</v>
      </c>
      <c r="AC17">
        <f>IF(P17=0,0,COUNTIF(Transect5_imgsummary!E17:I17,"DIPLO")*100/P17)</f>
        <v>0</v>
      </c>
      <c r="AD17" s="29">
        <f>IF(P17=0,0,COUNTIF(Transect5_imgsummary!E17:I17,"ECHPO")*100/P17)</f>
        <v>80</v>
      </c>
      <c r="AE17">
        <f>IF(P17=0,0,COUNTIF(Transect5_imgsummary!E17:I17,"ECHPHY")*100/P17)</f>
        <v>0</v>
      </c>
      <c r="AF17">
        <f>IF(P17=0,0,COUNTIF(Transect5_imgsummary!E17:I17,"EUPH")*100/P17)</f>
        <v>0</v>
      </c>
      <c r="AG17">
        <f>IF(P17=0,0,COUNTIF(Transect5_imgsummary!E17:I17,"FAV")*100/P17)</f>
        <v>0</v>
      </c>
      <c r="AH17">
        <f>IF(P17=0,0,COUNTIF(Transect5_imgsummary!E17:I17,"FAVT")*100/P17)</f>
        <v>0</v>
      </c>
      <c r="AI17">
        <f>IF(P17=0,0,COUNTIF(Transect5_imgsummary!E17:I17,"FUNG")*100/P17)</f>
        <v>0</v>
      </c>
      <c r="AJ17">
        <f>IF(P17=0,0,COUNTIF(Transect5_imgsummary!E17:I17,"GAL")*100/P17)</f>
        <v>0</v>
      </c>
      <c r="AK17">
        <f>IF(P17=0,0,COUNTIF(Transect5_imgsummary!E17:I17,"GARD")*100/P17)</f>
        <v>0</v>
      </c>
      <c r="AL17">
        <f>IF(P17=0,0,COUNTIF(Transect5_imgsummary!E17:I17,"GON")*100/P17)</f>
        <v>0</v>
      </c>
      <c r="AM17">
        <f>IF(P17=0,0,COUNTIF(Transect5_imgsummary!E17:I17,"GONIO")*100/P17)</f>
        <v>0</v>
      </c>
      <c r="AN17">
        <f>IF(P17=0,0,COUNTIF(Transect5_imgsummary!E17:I17,"HELIO")*100/P17)</f>
        <v>0</v>
      </c>
      <c r="AO17">
        <f>IF(P17=0,0,COUNTIF(Transect5_imgsummary!E17:I17,"HERP")*100/P17)</f>
        <v>0</v>
      </c>
      <c r="AP17">
        <f>IF(P17=0,0,COUNTIF(Transect5_imgsummary!E17:I17,"HYD")*100/P17)</f>
        <v>0</v>
      </c>
      <c r="AQ17">
        <f>IF(P17=0,0,COUNTIF(Transect5_imgsummary!E17:I17,"ISOP")*100/P17)</f>
        <v>0</v>
      </c>
      <c r="AR17">
        <f>IF(P17=0,0,COUNTIF(Transect5_imgsummary!E17:I17,"LEPT")*100/P17)</f>
        <v>0</v>
      </c>
      <c r="AS17">
        <f>IF(P17=0,0,COUNTIF(Transect5_imgsummary!E17:I17,"LEPTOR")*100/P17)</f>
        <v>0</v>
      </c>
      <c r="AT17">
        <f>IF(P17=0,0,COUNTIF(Transect5_imgsummary!E17:I17,"LEPTOS")*100/P17)</f>
        <v>0</v>
      </c>
      <c r="AU17">
        <f>IF(P17=0,0,COUNTIF(Transect5_imgsummary!E17:I17,"LOBOPH")*100/P17)</f>
        <v>0</v>
      </c>
      <c r="AV17">
        <f>IF(P17=0,0,COUNTIF(Transect5_imgsummary!E17:I17,"MERU")*100/P17)</f>
        <v>0</v>
      </c>
      <c r="AW17">
        <f>IF(P17=0,0,COUNTIF(Transect5_imgsummary!E17:I17,"MILL")*100/P17)</f>
        <v>0</v>
      </c>
      <c r="AX17">
        <f>IF(P17=0,0,COUNTIF(Transect5_imgsummary!E17:I17,"MONT")*100/P17)</f>
        <v>0</v>
      </c>
      <c r="AY17">
        <f>IF(P17=0,0,COUNTIF(Transect5_imgsummary!E17:I17,"MONTI")*100/P17)</f>
        <v>0</v>
      </c>
      <c r="AZ17">
        <f>IF(P17=0,0,COUNTIF(Transect5_imgsummary!E17:I17,"MYCED")*100/P17)</f>
        <v>0</v>
      </c>
      <c r="BA17">
        <f>IF(P17=0,0,COUNTIF(Transect5_imgsummary!E17:I17,"OULO")*100/P17)</f>
        <v>0</v>
      </c>
      <c r="BB17">
        <f>IF(P17=0,0,COUNTIF(Transect5_imgsummary!E17:I17,"OXYP")*100/P17)</f>
        <v>0</v>
      </c>
      <c r="BC17">
        <f>IF(P17=0,0,COUNTIF(Transect5_imgsummary!E17:I17,"PLSIA")*100/P17)</f>
        <v>0</v>
      </c>
      <c r="BD17">
        <f>IF(P17=0,0,COUNTIF(Transect5_imgsummary!E17:I17,"PACHY")*100/P17)</f>
        <v>0</v>
      </c>
      <c r="BE17">
        <f>IF(P17=0,0,COUNTIF(Transect5_imgsummary!E17:I17,"PAV")*100/P17)</f>
        <v>0</v>
      </c>
      <c r="BF17">
        <f>IF(P17=0,0,COUNTIF(Transect5_imgsummary!E17:I17,"PECT")*100/P17)</f>
        <v>0</v>
      </c>
      <c r="BG17">
        <f>IF(P17=0,0,COUNTIF(Transect5_imgsummary!E17:I17,"PHYSO")*100/P17)</f>
        <v>0</v>
      </c>
      <c r="BH17">
        <f>IF(P17=0,0,COUNTIF(Transect5_imgsummary!E17:I17,"PLAT")*100/P17)</f>
        <v>0</v>
      </c>
      <c r="BI17">
        <f>IF(P17=0,0,COUNTIF(Transect5_imgsummary!E17:I17,"PLERO")*100/P17)</f>
        <v>0</v>
      </c>
      <c r="BJ17">
        <f>IF(P17=0,0,COUNTIF(Transect5_imgsummary!E17:I17,"POC")*100/P17)</f>
        <v>0</v>
      </c>
      <c r="BK17">
        <f>IF(P17=0,0,COUNTIF(Transect5_imgsummary!E17:I17,"POR")*100/P17)</f>
        <v>0</v>
      </c>
      <c r="BL17">
        <f>IF(P17=0,0,COUNTIF(Transect5_imgsummary!E17:I17,"PORCYL")*100/P17)</f>
        <v>0</v>
      </c>
      <c r="BM17">
        <f>IF(P17=0,0,COUNTIF(Transect5_imgsummary!E17:I17,"PORMAS")*100/P17)</f>
        <v>0</v>
      </c>
      <c r="BN17">
        <f>IF(P17=0,0,COUNTIF(Transect5_imgsummary!E17:I17,"PORRUS")*100/P17)</f>
        <v>0</v>
      </c>
      <c r="BO17">
        <f>IF(P17=0,0,COUNTIF(Transect5_imgsummary!E17:I17,"PSAM")*100/P17)</f>
        <v>0</v>
      </c>
      <c r="BP17">
        <f>IF(P17=0,0,COUNTIF(Transect5_imgsummary!E17:I17,"SANDO")*100/P17)</f>
        <v>0</v>
      </c>
      <c r="BQ17">
        <f>IF(P17=0,0,COUNTIF(Transect5_imgsummary!E17:I17,"SCAP")*100/P17)</f>
        <v>0</v>
      </c>
      <c r="BR17">
        <f>IF(P17=0,0,COUNTIF(Transect5_imgsummary!E17:I17,"SERIA")*100/P17)</f>
        <v>0</v>
      </c>
      <c r="BS17">
        <f>IF(P17=0,0,COUNTIF(Transect5_imgsummary!E17:I17,"STYLC")*100/P17)</f>
        <v>0</v>
      </c>
      <c r="BT17">
        <f>IF(P17=0,0,COUNTIF(Transect5_imgsummary!E17:I17,"STYLO")*100/P17)</f>
        <v>0</v>
      </c>
      <c r="BU17">
        <f>IF(P17=0,0,COUNTIF(Transect5_imgsummary!E17:I17,"SYMP")*100/P17)</f>
        <v>0</v>
      </c>
      <c r="BV17">
        <f>IF(P17=0,0,COUNTIF(Transect5_imgsummary!E17:I17,"TURBIN")*100/P17)</f>
        <v>0</v>
      </c>
      <c r="BX17">
        <f>IF(P17=0,0,COUNTIF(Transect5_imgsummary!E17:I17,"ANEM")*100/P17)</f>
        <v>0</v>
      </c>
      <c r="BY17">
        <f>IF(P17=0,0,COUNTIF(Transect5_imgsummary!E17:I17,"ASC")*100/P17)</f>
        <v>0</v>
      </c>
      <c r="BZ17">
        <f>IF(P17=0,0,COUNTIF(Transect5_imgsummary!E17:I17,"CUPS")*100/P17)</f>
        <v>0</v>
      </c>
      <c r="CA17">
        <f>IF(P17=0,0,COUNTIF(Transect5_imgsummary!E17:I17,"DISCO")*100/P17)</f>
        <v>0</v>
      </c>
      <c r="CB17">
        <f>IF(P17=0,0,COUNTIF(Transect5_imgsummary!E17:I17,"DYS")*100/P17)</f>
        <v>0</v>
      </c>
      <c r="CC17">
        <f>IF(P17=0,0,COUNTIF(Transect5_imgsummary!E17:I17,"G")*100/P17)</f>
        <v>0</v>
      </c>
      <c r="CD17">
        <f>IF(P17=0,0,COUNTIF(Transect5_imgsummary!E17:I17,"NoIDINV")*100/P17)</f>
        <v>0</v>
      </c>
      <c r="CE17">
        <f>IF(P17=0,0,COUNTIF(Transect5_imgsummary!E17:I17,"OLV")*100/P17)</f>
        <v>0</v>
      </c>
      <c r="CF17">
        <f>IF(P17=0,0,COUNTIF(Transect5_imgsummary!E17:I17,"SC")*100/P17)</f>
        <v>0</v>
      </c>
      <c r="CG17">
        <f>IF(P17=0,0,COUNTIF(Transect5_imgsummary!E17:I17,"S")*100/P17)</f>
        <v>0</v>
      </c>
      <c r="CH17">
        <f>IF(P17=0,0,COUNTIF(Transect5_imgsummary!E17:I17,"TERPS")*100/P17)</f>
        <v>0</v>
      </c>
      <c r="CI17">
        <f>IF(P17=0,0,COUNTIF(Transect5_imgsummary!E17:I17,"Z")*100/P17)</f>
        <v>0</v>
      </c>
      <c r="CK17">
        <f>IF(P17=0,0,COUNTIF(Transect5_imgsummary!E17:I17,"ASP")*100/P17)</f>
        <v>0</v>
      </c>
      <c r="CL17">
        <f>IF(P17=0,0,COUNTIF(Transect5_imgsummary!E17:I17,"BG")*100/P17)</f>
        <v>0</v>
      </c>
      <c r="CM17">
        <f>IF(P17=0,0,COUNTIF(Transect5_imgsummary!E17:I17,"Bood")*100/P17)</f>
        <v>0</v>
      </c>
      <c r="CN17">
        <f>IF(P17=0,0,COUNTIF(Transect5_imgsummary!E17:I17,"BRYP")*100/P17)</f>
        <v>0</v>
      </c>
      <c r="CO17">
        <f>IF(P17=0,0,COUNTIF(Transect5_imgsummary!E17:I17,"CLP")*100/P17)</f>
        <v>0</v>
      </c>
      <c r="CP17">
        <f>IF(P17=0,0,COUNTIF(Transect5_imgsummary!E17:I17,"CHLDES")*100/P17)</f>
        <v>0</v>
      </c>
      <c r="CQ17">
        <f>IF(P17=0,0,COUNTIF(Transect5_imgsummary!E17:I17,"DYCTY")*100/P17)</f>
        <v>0</v>
      </c>
      <c r="CR17">
        <f>IF(P17=0,0,COUNTIF(Transect5_imgsummary!E17:I17,"DICT")*100/P17)</f>
        <v>0</v>
      </c>
      <c r="CS17">
        <f>IF(P17=0,0,COUNTIF(Transect5_imgsummary!E17:I17,"GLXU")*100/P17)</f>
        <v>0</v>
      </c>
      <c r="CT17">
        <f>IF(P17=0,0,COUNTIF(Transect5_imgsummary!E17:I17,"HALI")*100/P17)</f>
        <v>0</v>
      </c>
      <c r="CU17">
        <f>IF(P17=0,0,COUNTIF(Transect5_imgsummary!E17:I17,"LIAG")*100/P17)</f>
        <v>0</v>
      </c>
      <c r="CV17">
        <f>IF(P17=0,0,COUNTIF(Transect5_imgsummary!E17:I17,"LOBO")*100/P17)</f>
        <v>0</v>
      </c>
      <c r="CW17">
        <f>IF(P17=0,0,COUNTIF(Transect5_imgsummary!E17:I17,"MAST")*100/P17)</f>
        <v>0</v>
      </c>
      <c r="CX17">
        <f>IF(P17=0,0,COUNTIF(Transect5_imgsummary!E17:I17,"MICDTY")*100/P17)</f>
        <v>0</v>
      </c>
      <c r="CY17">
        <f>IF(P17=0,0,COUNTIF(Transect5_imgsummary!E17:I17,"NEOM")*100/P17)</f>
        <v>0</v>
      </c>
      <c r="CZ17">
        <f>IF(P17=0,0,COUNTIF(Transect5_imgsummary!E17:I17,"NOIDMAC")*100/P17)</f>
        <v>0</v>
      </c>
      <c r="DA17">
        <f>IF(P17=0,0,COUNTIF(Transect5_imgsummary!E17:I17,"PAD")*100/P17)</f>
        <v>0</v>
      </c>
      <c r="DB17">
        <f>IF(P17=0,0,COUNTIF(Transect5_imgsummary!E17:I17,"SARG")*100/P17)</f>
        <v>0</v>
      </c>
      <c r="DC17">
        <f>IF(P17=0,0,COUNTIF(Transect5_imgsummary!E17:I17,"SCHIZ")*100/P17)</f>
        <v>0</v>
      </c>
      <c r="DD17">
        <f>IF(P17=0,0,COUNTIF(Transect5_imgsummary!E17:I17,"TURB")*100/P17)</f>
        <v>0</v>
      </c>
      <c r="DE17">
        <f>IF(P17=0,0,COUNTIF(Transect5_imgsummary!E17:I17,"TYDM")*100/P17)</f>
        <v>0</v>
      </c>
      <c r="DG17">
        <f>IF(P17=0,0,COUNTIF(Transect5_imgsummary!E17:I17,"AMP")*100/P17)</f>
        <v>0</v>
      </c>
      <c r="DH17">
        <f>IF(P17=0,0,COUNTIF(Transect5_imgsummary!E17:I17,"BCA1")*100/P17)</f>
        <v>0</v>
      </c>
      <c r="DI17">
        <f>IF(P17=0,0,COUNTIF(Transect5_imgsummary!E17:I17,"JAN")*100/P17)</f>
        <v>0</v>
      </c>
      <c r="DK17">
        <f>IF(P17=0,0,COUNTIF(Transect5_imgsummary!E17:I17,"CCA1")*100/P17)</f>
        <v>0</v>
      </c>
      <c r="DM17">
        <f>IF(P17=0,0,COUNTIF(Transect5_imgsummary!E17:I17,"Sand")*100/P17)</f>
        <v>0</v>
      </c>
      <c r="DO17">
        <f>IF(P17=0,0,COUNTIF(Transect5_imgsummary!E17:I17,"FCA1")*100/P17)</f>
        <v>0</v>
      </c>
      <c r="DQ17">
        <f>IF(P17=0,0,COUNTIF(Transect5_imgsummary!E17:I17,"CHRYOBRN")*100/P17)</f>
        <v>0</v>
      </c>
      <c r="DS17" s="29">
        <f>IF(P17=0,0,COUNTIF(Transect5_imgsummary!E17:I17,"TURF")*100/P17)</f>
        <v>20</v>
      </c>
      <c r="DU17">
        <f>COUNTIF(Transect5_imgsummary!E17:I17,"Shadow")*100/5</f>
        <v>0</v>
      </c>
      <c r="DV17">
        <f>COUNTIF(Transect5_imgsummary!E17:I17,"Tape")*100/5</f>
        <v>0</v>
      </c>
      <c r="DW17">
        <f>COUNTIF(Transect5_imgsummary!E17:I17,"Wand")*100/5</f>
        <v>0</v>
      </c>
      <c r="DY17">
        <f>IF(P17=0,0,COUNTIF(Transect5_imgsummary!O17:S17,"BC")*100/P17)</f>
        <v>0</v>
      </c>
    </row>
    <row r="18" spans="1:129">
      <c r="A18">
        <v>16</v>
      </c>
      <c r="B18" t="s">
        <v>613</v>
      </c>
      <c r="F18" s="29">
        <f>IF(P18=0,0,COUNTIF(Transect5_imgsummary!J18:N18,"C")*100/P18)</f>
        <v>60</v>
      </c>
      <c r="G18">
        <f>IF(P18=0,0,COUNTIF(Transect5_imgsummary!J18:N18,"OI")*100/P18)</f>
        <v>0</v>
      </c>
      <c r="H18">
        <f>IF(P18=0,0,COUNTIF(Transect5_imgsummary!J18:N18,"MA")*100/P18)</f>
        <v>0</v>
      </c>
      <c r="I18">
        <f>IF(P18=0,0,COUNTIF(Transect5_imgsummary!J18:N18,"BCA")*100/P18)</f>
        <v>0</v>
      </c>
      <c r="J18" s="29">
        <f>IF(P18=0,0,COUNTIF(Transect5_imgsummary!J18:N18,"CCA")*100/P18)</f>
        <v>40</v>
      </c>
      <c r="K18">
        <f>IF(P18=0,0,COUNTIF(Transect5_imgsummary!J18:N18,"SD")*100/P18)</f>
        <v>0</v>
      </c>
      <c r="L18">
        <f>IF(P18=0,0,COUNTIF(Transect5_imgsummary!J18:N18,"FCA")*100/P18)</f>
        <v>0</v>
      </c>
      <c r="M18">
        <f>IF(P18=0,0,COUNTIF(Transect5_imgsummary!J18:N18,"CHRYS")*100/P18)</f>
        <v>0</v>
      </c>
      <c r="N18">
        <f>IF(P18=0,0,COUNTIF(Transect5_imgsummary!J18:N18,"T")*100/P18)</f>
        <v>0</v>
      </c>
      <c r="O18">
        <f>IF(P18=0,0,COUNTIF(Transect5_imgsummary!J18:N18,"TWS")*100/P18)</f>
        <v>0</v>
      </c>
      <c r="P18">
        <f>5-COUNTIF(Transect5_imgsummary!J18:N18,"TWS")</f>
        <v>5</v>
      </c>
      <c r="S18">
        <f>IF(P18=0,0,COUNTIF(Transect5_imgsummary!E18:I18,"ACAN")*100/P18)</f>
        <v>0</v>
      </c>
      <c r="T18">
        <f>IF(P18=0,0,COUNTIF(Transect5_imgsummary!E18:I18,"ACROP")*100/P18)</f>
        <v>0</v>
      </c>
      <c r="U18">
        <f>IF(P18=0,0,COUNTIF(Transect5_imgsummary!E18:I18,"ACROPARB")*100/P18)</f>
        <v>0</v>
      </c>
      <c r="V18">
        <f>IF(P18=0,0,COUNTIF(Transect5_imgsummary!E18:I18,"ACROST")*100/P18)</f>
        <v>0</v>
      </c>
      <c r="W18">
        <f>IF(P18=0,0,COUNTIF(Transect5_imgsummary!E18:I18,"ACROTBL")*100/P18)</f>
        <v>0</v>
      </c>
      <c r="X18">
        <f>IF(P18=0,0,COUNTIF(Transect5_imgsummary!E18:I18,"ASTRP")*100/P18)</f>
        <v>0</v>
      </c>
      <c r="Y18">
        <f>IF(P18=0,0,COUNTIF(Transect5_imgsummary!E18:I18,"CAUL")*100/P18)</f>
        <v>0</v>
      </c>
      <c r="Z18">
        <f>IF(P18=0,0,COUNTIF(Transect5_imgsummary!E18:I18,"COSC")*100/P18)</f>
        <v>0</v>
      </c>
      <c r="AA18">
        <f>IF(P18=0,0,COUNTIF(Transect5_imgsummary!E18:I18,"CTEN")*100/P18)</f>
        <v>0</v>
      </c>
      <c r="AB18">
        <f>IF(P18=0,0,COUNTIF(Transect5_imgsummary!E18:I18,"CYPH")*100/P18)</f>
        <v>0</v>
      </c>
      <c r="AC18">
        <f>IF(P18=0,0,COUNTIF(Transect5_imgsummary!E18:I18,"DIPLO")*100/P18)</f>
        <v>0</v>
      </c>
      <c r="AD18" s="29">
        <f>IF(P18=0,0,COUNTIF(Transect5_imgsummary!E18:I18,"ECHPO")*100/P18)</f>
        <v>60</v>
      </c>
      <c r="AE18">
        <f>IF(P18=0,0,COUNTIF(Transect5_imgsummary!E18:I18,"ECHPHY")*100/P18)</f>
        <v>0</v>
      </c>
      <c r="AF18">
        <f>IF(P18=0,0,COUNTIF(Transect5_imgsummary!E18:I18,"EUPH")*100/P18)</f>
        <v>0</v>
      </c>
      <c r="AG18">
        <f>IF(P18=0,0,COUNTIF(Transect5_imgsummary!E18:I18,"FAV")*100/P18)</f>
        <v>0</v>
      </c>
      <c r="AH18">
        <f>IF(P18=0,0,COUNTIF(Transect5_imgsummary!E18:I18,"FAVT")*100/P18)</f>
        <v>0</v>
      </c>
      <c r="AI18">
        <f>IF(P18=0,0,COUNTIF(Transect5_imgsummary!E18:I18,"FUNG")*100/P18)</f>
        <v>0</v>
      </c>
      <c r="AJ18">
        <f>IF(P18=0,0,COUNTIF(Transect5_imgsummary!E18:I18,"GAL")*100/P18)</f>
        <v>0</v>
      </c>
      <c r="AK18">
        <f>IF(P18=0,0,COUNTIF(Transect5_imgsummary!E18:I18,"GARD")*100/P18)</f>
        <v>0</v>
      </c>
      <c r="AL18">
        <f>IF(P18=0,0,COUNTIF(Transect5_imgsummary!E18:I18,"GON")*100/P18)</f>
        <v>0</v>
      </c>
      <c r="AM18">
        <f>IF(P18=0,0,COUNTIF(Transect5_imgsummary!E18:I18,"GONIO")*100/P18)</f>
        <v>0</v>
      </c>
      <c r="AN18">
        <f>IF(P18=0,0,COUNTIF(Transect5_imgsummary!E18:I18,"HELIO")*100/P18)</f>
        <v>0</v>
      </c>
      <c r="AO18">
        <f>IF(P18=0,0,COUNTIF(Transect5_imgsummary!E18:I18,"HERP")*100/P18)</f>
        <v>0</v>
      </c>
      <c r="AP18">
        <f>IF(P18=0,0,COUNTIF(Transect5_imgsummary!E18:I18,"HYD")*100/P18)</f>
        <v>0</v>
      </c>
      <c r="AQ18">
        <f>IF(P18=0,0,COUNTIF(Transect5_imgsummary!E18:I18,"ISOP")*100/P18)</f>
        <v>0</v>
      </c>
      <c r="AR18">
        <f>IF(P18=0,0,COUNTIF(Transect5_imgsummary!E18:I18,"LEPT")*100/P18)</f>
        <v>0</v>
      </c>
      <c r="AS18">
        <f>IF(P18=0,0,COUNTIF(Transect5_imgsummary!E18:I18,"LEPTOR")*100/P18)</f>
        <v>0</v>
      </c>
      <c r="AT18">
        <f>IF(P18=0,0,COUNTIF(Transect5_imgsummary!E18:I18,"LEPTOS")*100/P18)</f>
        <v>0</v>
      </c>
      <c r="AU18">
        <f>IF(P18=0,0,COUNTIF(Transect5_imgsummary!E18:I18,"LOBOPH")*100/P18)</f>
        <v>0</v>
      </c>
      <c r="AV18">
        <f>IF(P18=0,0,COUNTIF(Transect5_imgsummary!E18:I18,"MERU")*100/P18)</f>
        <v>0</v>
      </c>
      <c r="AW18">
        <f>IF(P18=0,0,COUNTIF(Transect5_imgsummary!E18:I18,"MILL")*100/P18)</f>
        <v>0</v>
      </c>
      <c r="AX18">
        <f>IF(P18=0,0,COUNTIF(Transect5_imgsummary!E18:I18,"MONT")*100/P18)</f>
        <v>0</v>
      </c>
      <c r="AY18">
        <f>IF(P18=0,0,COUNTIF(Transect5_imgsummary!E18:I18,"MONTI")*100/P18)</f>
        <v>0</v>
      </c>
      <c r="AZ18">
        <f>IF(P18=0,0,COUNTIF(Transect5_imgsummary!E18:I18,"MYCED")*100/P18)</f>
        <v>0</v>
      </c>
      <c r="BA18">
        <f>IF(P18=0,0,COUNTIF(Transect5_imgsummary!E18:I18,"OULO")*100/P18)</f>
        <v>0</v>
      </c>
      <c r="BB18">
        <f>IF(P18=0,0,COUNTIF(Transect5_imgsummary!E18:I18,"OXYP")*100/P18)</f>
        <v>0</v>
      </c>
      <c r="BC18">
        <f>IF(P18=0,0,COUNTIF(Transect5_imgsummary!E18:I18,"PLSIA")*100/P18)</f>
        <v>0</v>
      </c>
      <c r="BD18">
        <f>IF(P18=0,0,COUNTIF(Transect5_imgsummary!E18:I18,"PACHY")*100/P18)</f>
        <v>0</v>
      </c>
      <c r="BE18">
        <f>IF(P18=0,0,COUNTIF(Transect5_imgsummary!E18:I18,"PAV")*100/P18)</f>
        <v>0</v>
      </c>
      <c r="BF18">
        <f>IF(P18=0,0,COUNTIF(Transect5_imgsummary!E18:I18,"PECT")*100/P18)</f>
        <v>0</v>
      </c>
      <c r="BG18">
        <f>IF(P18=0,0,COUNTIF(Transect5_imgsummary!E18:I18,"PHYSO")*100/P18)</f>
        <v>0</v>
      </c>
      <c r="BH18">
        <f>IF(P18=0,0,COUNTIF(Transect5_imgsummary!E18:I18,"PLAT")*100/P18)</f>
        <v>0</v>
      </c>
      <c r="BI18">
        <f>IF(P18=0,0,COUNTIF(Transect5_imgsummary!E18:I18,"PLERO")*100/P18)</f>
        <v>0</v>
      </c>
      <c r="BJ18">
        <f>IF(P18=0,0,COUNTIF(Transect5_imgsummary!E18:I18,"POC")*100/P18)</f>
        <v>0</v>
      </c>
      <c r="BK18">
        <f>IF(P18=0,0,COUNTIF(Transect5_imgsummary!E18:I18,"POR")*100/P18)</f>
        <v>0</v>
      </c>
      <c r="BL18">
        <f>IF(P18=0,0,COUNTIF(Transect5_imgsummary!E18:I18,"PORCYL")*100/P18)</f>
        <v>0</v>
      </c>
      <c r="BM18">
        <f>IF(P18=0,0,COUNTIF(Transect5_imgsummary!E18:I18,"PORMAS")*100/P18)</f>
        <v>0</v>
      </c>
      <c r="BN18">
        <f>IF(P18=0,0,COUNTIF(Transect5_imgsummary!E18:I18,"PORRUS")*100/P18)</f>
        <v>0</v>
      </c>
      <c r="BO18">
        <f>IF(P18=0,0,COUNTIF(Transect5_imgsummary!E18:I18,"PSAM")*100/P18)</f>
        <v>0</v>
      </c>
      <c r="BP18">
        <f>IF(P18=0,0,COUNTIF(Transect5_imgsummary!E18:I18,"SANDO")*100/P18)</f>
        <v>0</v>
      </c>
      <c r="BQ18">
        <f>IF(P18=0,0,COUNTIF(Transect5_imgsummary!E18:I18,"SCAP")*100/P18)</f>
        <v>0</v>
      </c>
      <c r="BR18">
        <f>IF(P18=0,0,COUNTIF(Transect5_imgsummary!E18:I18,"SERIA")*100/P18)</f>
        <v>0</v>
      </c>
      <c r="BS18">
        <f>IF(P18=0,0,COUNTIF(Transect5_imgsummary!E18:I18,"STYLC")*100/P18)</f>
        <v>0</v>
      </c>
      <c r="BT18">
        <f>IF(P18=0,0,COUNTIF(Transect5_imgsummary!E18:I18,"STYLO")*100/P18)</f>
        <v>0</v>
      </c>
      <c r="BU18">
        <f>IF(P18=0,0,COUNTIF(Transect5_imgsummary!E18:I18,"SYMP")*100/P18)</f>
        <v>0</v>
      </c>
      <c r="BV18">
        <f>IF(P18=0,0,COUNTIF(Transect5_imgsummary!E18:I18,"TURBIN")*100/P18)</f>
        <v>0</v>
      </c>
      <c r="BX18">
        <f>IF(P18=0,0,COUNTIF(Transect5_imgsummary!E18:I18,"ANEM")*100/P18)</f>
        <v>0</v>
      </c>
      <c r="BY18">
        <f>IF(P18=0,0,COUNTIF(Transect5_imgsummary!E18:I18,"ASC")*100/P18)</f>
        <v>0</v>
      </c>
      <c r="BZ18">
        <f>IF(P18=0,0,COUNTIF(Transect5_imgsummary!E18:I18,"CUPS")*100/P18)</f>
        <v>0</v>
      </c>
      <c r="CA18">
        <f>IF(P18=0,0,COUNTIF(Transect5_imgsummary!E18:I18,"DISCO")*100/P18)</f>
        <v>0</v>
      </c>
      <c r="CB18">
        <f>IF(P18=0,0,COUNTIF(Transect5_imgsummary!E18:I18,"DYS")*100/P18)</f>
        <v>0</v>
      </c>
      <c r="CC18">
        <f>IF(P18=0,0,COUNTIF(Transect5_imgsummary!E18:I18,"G")*100/P18)</f>
        <v>0</v>
      </c>
      <c r="CD18">
        <f>IF(P18=0,0,COUNTIF(Transect5_imgsummary!E18:I18,"NoIDINV")*100/P18)</f>
        <v>0</v>
      </c>
      <c r="CE18">
        <f>IF(P18=0,0,COUNTIF(Transect5_imgsummary!E18:I18,"OLV")*100/P18)</f>
        <v>0</v>
      </c>
      <c r="CF18">
        <f>IF(P18=0,0,COUNTIF(Transect5_imgsummary!E18:I18,"SC")*100/P18)</f>
        <v>0</v>
      </c>
      <c r="CG18">
        <f>IF(P18=0,0,COUNTIF(Transect5_imgsummary!E18:I18,"S")*100/P18)</f>
        <v>0</v>
      </c>
      <c r="CH18">
        <f>IF(P18=0,0,COUNTIF(Transect5_imgsummary!E18:I18,"TERPS")*100/P18)</f>
        <v>0</v>
      </c>
      <c r="CI18">
        <f>IF(P18=0,0,COUNTIF(Transect5_imgsummary!E18:I18,"Z")*100/P18)</f>
        <v>0</v>
      </c>
      <c r="CK18">
        <f>IF(P18=0,0,COUNTIF(Transect5_imgsummary!E18:I18,"ASP")*100/P18)</f>
        <v>0</v>
      </c>
      <c r="CL18">
        <f>IF(P18=0,0,COUNTIF(Transect5_imgsummary!E18:I18,"BG")*100/P18)</f>
        <v>0</v>
      </c>
      <c r="CM18">
        <f>IF(P18=0,0,COUNTIF(Transect5_imgsummary!E18:I18,"Bood")*100/P18)</f>
        <v>0</v>
      </c>
      <c r="CN18">
        <f>IF(P18=0,0,COUNTIF(Transect5_imgsummary!E18:I18,"BRYP")*100/P18)</f>
        <v>0</v>
      </c>
      <c r="CO18">
        <f>IF(P18=0,0,COUNTIF(Transect5_imgsummary!E18:I18,"CLP")*100/P18)</f>
        <v>0</v>
      </c>
      <c r="CP18">
        <f>IF(P18=0,0,COUNTIF(Transect5_imgsummary!E18:I18,"CHLDES")*100/P18)</f>
        <v>0</v>
      </c>
      <c r="CQ18">
        <f>IF(P18=0,0,COUNTIF(Transect5_imgsummary!E18:I18,"DYCTY")*100/P18)</f>
        <v>0</v>
      </c>
      <c r="CR18">
        <f>IF(P18=0,0,COUNTIF(Transect5_imgsummary!E18:I18,"DICT")*100/P18)</f>
        <v>0</v>
      </c>
      <c r="CS18">
        <f>IF(P18=0,0,COUNTIF(Transect5_imgsummary!E18:I18,"GLXU")*100/P18)</f>
        <v>0</v>
      </c>
      <c r="CT18">
        <f>IF(P18=0,0,COUNTIF(Transect5_imgsummary!E18:I18,"HALI")*100/P18)</f>
        <v>0</v>
      </c>
      <c r="CU18">
        <f>IF(P18=0,0,COUNTIF(Transect5_imgsummary!E18:I18,"LIAG")*100/P18)</f>
        <v>0</v>
      </c>
      <c r="CV18">
        <f>IF(P18=0,0,COUNTIF(Transect5_imgsummary!E18:I18,"LOBO")*100/P18)</f>
        <v>0</v>
      </c>
      <c r="CW18">
        <f>IF(P18=0,0,COUNTIF(Transect5_imgsummary!E18:I18,"MAST")*100/P18)</f>
        <v>0</v>
      </c>
      <c r="CX18">
        <f>IF(P18=0,0,COUNTIF(Transect5_imgsummary!E18:I18,"MICDTY")*100/P18)</f>
        <v>0</v>
      </c>
      <c r="CY18">
        <f>IF(P18=0,0,COUNTIF(Transect5_imgsummary!E18:I18,"NEOM")*100/P18)</f>
        <v>0</v>
      </c>
      <c r="CZ18">
        <f>IF(P18=0,0,COUNTIF(Transect5_imgsummary!E18:I18,"NOIDMAC")*100/P18)</f>
        <v>0</v>
      </c>
      <c r="DA18">
        <f>IF(P18=0,0,COUNTIF(Transect5_imgsummary!E18:I18,"PAD")*100/P18)</f>
        <v>0</v>
      </c>
      <c r="DB18">
        <f>IF(P18=0,0,COUNTIF(Transect5_imgsummary!E18:I18,"SARG")*100/P18)</f>
        <v>0</v>
      </c>
      <c r="DC18">
        <f>IF(P18=0,0,COUNTIF(Transect5_imgsummary!E18:I18,"SCHIZ")*100/P18)</f>
        <v>0</v>
      </c>
      <c r="DD18">
        <f>IF(P18=0,0,COUNTIF(Transect5_imgsummary!E18:I18,"TURB")*100/P18)</f>
        <v>0</v>
      </c>
      <c r="DE18">
        <f>IF(P18=0,0,COUNTIF(Transect5_imgsummary!E18:I18,"TYDM")*100/P18)</f>
        <v>0</v>
      </c>
      <c r="DG18">
        <f>IF(P18=0,0,COUNTIF(Transect5_imgsummary!E18:I18,"AMP")*100/P18)</f>
        <v>0</v>
      </c>
      <c r="DH18">
        <f>IF(P18=0,0,COUNTIF(Transect5_imgsummary!E18:I18,"BCA1")*100/P18)</f>
        <v>0</v>
      </c>
      <c r="DI18">
        <f>IF(P18=0,0,COUNTIF(Transect5_imgsummary!E18:I18,"JAN")*100/P18)</f>
        <v>0</v>
      </c>
      <c r="DK18" s="29">
        <f>IF(P18=0,0,COUNTIF(Transect5_imgsummary!E18:I18,"CCA1")*100/P18)</f>
        <v>40</v>
      </c>
      <c r="DM18">
        <f>IF(P18=0,0,COUNTIF(Transect5_imgsummary!E18:I18,"Sand")*100/P18)</f>
        <v>0</v>
      </c>
      <c r="DO18">
        <f>IF(P18=0,0,COUNTIF(Transect5_imgsummary!E18:I18,"FCA1")*100/P18)</f>
        <v>0</v>
      </c>
      <c r="DQ18">
        <f>IF(P18=0,0,COUNTIF(Transect5_imgsummary!E18:I18,"CHRYOBRN")*100/P18)</f>
        <v>0</v>
      </c>
      <c r="DS18">
        <f>IF(P18=0,0,COUNTIF(Transect5_imgsummary!E18:I18,"TURF")*100/P18)</f>
        <v>0</v>
      </c>
      <c r="DU18">
        <f>COUNTIF(Transect5_imgsummary!E18:I18,"Shadow")*100/5</f>
        <v>0</v>
      </c>
      <c r="DV18">
        <f>COUNTIF(Transect5_imgsummary!E18:I18,"Tape")*100/5</f>
        <v>0</v>
      </c>
      <c r="DW18">
        <f>COUNTIF(Transect5_imgsummary!E18:I18,"Wand")*100/5</f>
        <v>0</v>
      </c>
      <c r="DY18">
        <f>IF(P18=0,0,COUNTIF(Transect5_imgsummary!O18:S18,"BC")*100/P18)</f>
        <v>0</v>
      </c>
    </row>
    <row r="19" spans="1:129">
      <c r="A19">
        <v>17</v>
      </c>
      <c r="B19" t="s">
        <v>614</v>
      </c>
      <c r="F19" s="29">
        <f>IF(P19=0,0,COUNTIF(Transect5_imgsummary!J19:N19,"C")*100/P19)</f>
        <v>40</v>
      </c>
      <c r="G19">
        <f>IF(P19=0,0,COUNTIF(Transect5_imgsummary!J19:N19,"OI")*100/P19)</f>
        <v>0</v>
      </c>
      <c r="H19">
        <f>IF(P19=0,0,COUNTIF(Transect5_imgsummary!J19:N19,"MA")*100/P19)</f>
        <v>0</v>
      </c>
      <c r="I19">
        <f>IF(P19=0,0,COUNTIF(Transect5_imgsummary!J19:N19,"BCA")*100/P19)</f>
        <v>0</v>
      </c>
      <c r="J19" s="29">
        <f>IF(P19=0,0,COUNTIF(Transect5_imgsummary!J19:N19,"CCA")*100/P19)</f>
        <v>20</v>
      </c>
      <c r="K19">
        <f>IF(P19=0,0,COUNTIF(Transect5_imgsummary!J19:N19,"SD")*100/P19)</f>
        <v>0</v>
      </c>
      <c r="L19">
        <f>IF(P19=0,0,COUNTIF(Transect5_imgsummary!J19:N19,"FCA")*100/P19)</f>
        <v>0</v>
      </c>
      <c r="M19">
        <f>IF(P19=0,0,COUNTIF(Transect5_imgsummary!J19:N19,"CHRYS")*100/P19)</f>
        <v>0</v>
      </c>
      <c r="N19" s="29">
        <f>IF(P19=0,0,COUNTIF(Transect5_imgsummary!J19:N19,"T")*100/P19)</f>
        <v>40</v>
      </c>
      <c r="O19">
        <f>IF(P19=0,0,COUNTIF(Transect5_imgsummary!J19:N19,"TWS")*100/P19)</f>
        <v>0</v>
      </c>
      <c r="P19">
        <f>5-COUNTIF(Transect5_imgsummary!J19:N19,"TWS")</f>
        <v>5</v>
      </c>
      <c r="S19">
        <f>IF(P19=0,0,COUNTIF(Transect5_imgsummary!E19:I19,"ACAN")*100/P19)</f>
        <v>0</v>
      </c>
      <c r="T19">
        <f>IF(P19=0,0,COUNTIF(Transect5_imgsummary!E19:I19,"ACROP")*100/P19)</f>
        <v>0</v>
      </c>
      <c r="U19">
        <f>IF(P19=0,0,COUNTIF(Transect5_imgsummary!E19:I19,"ACROPARB")*100/P19)</f>
        <v>0</v>
      </c>
      <c r="V19">
        <f>IF(P19=0,0,COUNTIF(Transect5_imgsummary!E19:I19,"ACROST")*100/P19)</f>
        <v>0</v>
      </c>
      <c r="W19">
        <f>IF(P19=0,0,COUNTIF(Transect5_imgsummary!E19:I19,"ACROTBL")*100/P19)</f>
        <v>0</v>
      </c>
      <c r="X19">
        <f>IF(P19=0,0,COUNTIF(Transect5_imgsummary!E19:I19,"ASTRP")*100/P19)</f>
        <v>0</v>
      </c>
      <c r="Y19">
        <f>IF(P19=0,0,COUNTIF(Transect5_imgsummary!E19:I19,"CAUL")*100/P19)</f>
        <v>0</v>
      </c>
      <c r="Z19">
        <f>IF(P19=0,0,COUNTIF(Transect5_imgsummary!E19:I19,"COSC")*100/P19)</f>
        <v>0</v>
      </c>
      <c r="AA19">
        <f>IF(P19=0,0,COUNTIF(Transect5_imgsummary!E19:I19,"CTEN")*100/P19)</f>
        <v>0</v>
      </c>
      <c r="AB19">
        <f>IF(P19=0,0,COUNTIF(Transect5_imgsummary!E19:I19,"CYPH")*100/P19)</f>
        <v>0</v>
      </c>
      <c r="AC19">
        <f>IF(P19=0,0,COUNTIF(Transect5_imgsummary!E19:I19,"DIPLO")*100/P19)</f>
        <v>0</v>
      </c>
      <c r="AD19" s="29">
        <f>IF(P19=0,0,COUNTIF(Transect5_imgsummary!E19:I19,"ECHPO")*100/P19)</f>
        <v>20</v>
      </c>
      <c r="AE19">
        <f>IF(P19=0,0,COUNTIF(Transect5_imgsummary!E19:I19,"ECHPHY")*100/P19)</f>
        <v>0</v>
      </c>
      <c r="AF19">
        <f>IF(P19=0,0,COUNTIF(Transect5_imgsummary!E19:I19,"EUPH")*100/P19)</f>
        <v>0</v>
      </c>
      <c r="AG19">
        <f>IF(P19=0,0,COUNTIF(Transect5_imgsummary!E19:I19,"FAV")*100/P19)</f>
        <v>0</v>
      </c>
      <c r="AH19">
        <f>IF(P19=0,0,COUNTIF(Transect5_imgsummary!E19:I19,"FAVT")*100/P19)</f>
        <v>0</v>
      </c>
      <c r="AI19">
        <f>IF(P19=0,0,COUNTIF(Transect5_imgsummary!E19:I19,"FUNG")*100/P19)</f>
        <v>0</v>
      </c>
      <c r="AJ19">
        <f>IF(P19=0,0,COUNTIF(Transect5_imgsummary!E19:I19,"GAL")*100/P19)</f>
        <v>0</v>
      </c>
      <c r="AK19">
        <f>IF(P19=0,0,COUNTIF(Transect5_imgsummary!E19:I19,"GARD")*100/P19)</f>
        <v>0</v>
      </c>
      <c r="AL19">
        <f>IF(P19=0,0,COUNTIF(Transect5_imgsummary!E19:I19,"GON")*100/P19)</f>
        <v>0</v>
      </c>
      <c r="AM19">
        <f>IF(P19=0,0,COUNTIF(Transect5_imgsummary!E19:I19,"GONIO")*100/P19)</f>
        <v>0</v>
      </c>
      <c r="AN19">
        <f>IF(P19=0,0,COUNTIF(Transect5_imgsummary!E19:I19,"HELIO")*100/P19)</f>
        <v>0</v>
      </c>
      <c r="AO19">
        <f>IF(P19=0,0,COUNTIF(Transect5_imgsummary!E19:I19,"HERP")*100/P19)</f>
        <v>0</v>
      </c>
      <c r="AP19">
        <f>IF(P19=0,0,COUNTIF(Transect5_imgsummary!E19:I19,"HYD")*100/P19)</f>
        <v>0</v>
      </c>
      <c r="AQ19">
        <f>IF(P19=0,0,COUNTIF(Transect5_imgsummary!E19:I19,"ISOP")*100/P19)</f>
        <v>0</v>
      </c>
      <c r="AR19">
        <f>IF(P19=0,0,COUNTIF(Transect5_imgsummary!E19:I19,"LEPT")*100/P19)</f>
        <v>0</v>
      </c>
      <c r="AS19">
        <f>IF(P19=0,0,COUNTIF(Transect5_imgsummary!E19:I19,"LEPTOR")*100/P19)</f>
        <v>0</v>
      </c>
      <c r="AT19">
        <f>IF(P19=0,0,COUNTIF(Transect5_imgsummary!E19:I19,"LEPTOS")*100/P19)</f>
        <v>0</v>
      </c>
      <c r="AU19">
        <f>IF(P19=0,0,COUNTIF(Transect5_imgsummary!E19:I19,"LOBOPH")*100/P19)</f>
        <v>0</v>
      </c>
      <c r="AV19" s="29">
        <f>IF(P19=0,0,COUNTIF(Transect5_imgsummary!E19:I19,"MERU")*100/P19)</f>
        <v>20</v>
      </c>
      <c r="AW19">
        <f>IF(P19=0,0,COUNTIF(Transect5_imgsummary!E19:I19,"MILL")*100/P19)</f>
        <v>0</v>
      </c>
      <c r="AX19">
        <f>IF(P19=0,0,COUNTIF(Transect5_imgsummary!E19:I19,"MONT")*100/P19)</f>
        <v>0</v>
      </c>
      <c r="AY19">
        <f>IF(P19=0,0,COUNTIF(Transect5_imgsummary!E19:I19,"MONTI")*100/P19)</f>
        <v>0</v>
      </c>
      <c r="AZ19">
        <f>IF(P19=0,0,COUNTIF(Transect5_imgsummary!E19:I19,"MYCED")*100/P19)</f>
        <v>0</v>
      </c>
      <c r="BA19">
        <f>IF(P19=0,0,COUNTIF(Transect5_imgsummary!E19:I19,"OULO")*100/P19)</f>
        <v>0</v>
      </c>
      <c r="BB19">
        <f>IF(P19=0,0,COUNTIF(Transect5_imgsummary!E19:I19,"OXYP")*100/P19)</f>
        <v>0</v>
      </c>
      <c r="BC19">
        <f>IF(P19=0,0,COUNTIF(Transect5_imgsummary!E19:I19,"PLSIA")*100/P19)</f>
        <v>0</v>
      </c>
      <c r="BD19">
        <f>IF(P19=0,0,COUNTIF(Transect5_imgsummary!E19:I19,"PACHY")*100/P19)</f>
        <v>0</v>
      </c>
      <c r="BE19">
        <f>IF(P19=0,0,COUNTIF(Transect5_imgsummary!E19:I19,"PAV")*100/P19)</f>
        <v>0</v>
      </c>
      <c r="BF19">
        <f>IF(P19=0,0,COUNTIF(Transect5_imgsummary!E19:I19,"PECT")*100/P19)</f>
        <v>0</v>
      </c>
      <c r="BG19">
        <f>IF(P19=0,0,COUNTIF(Transect5_imgsummary!E19:I19,"PHYSO")*100/P19)</f>
        <v>0</v>
      </c>
      <c r="BH19">
        <f>IF(P19=0,0,COUNTIF(Transect5_imgsummary!E19:I19,"PLAT")*100/P19)</f>
        <v>0</v>
      </c>
      <c r="BI19">
        <f>IF(P19=0,0,COUNTIF(Transect5_imgsummary!E19:I19,"PLERO")*100/P19)</f>
        <v>0</v>
      </c>
      <c r="BJ19">
        <f>IF(P19=0,0,COUNTIF(Transect5_imgsummary!E19:I19,"POC")*100/P19)</f>
        <v>0</v>
      </c>
      <c r="BK19">
        <f>IF(P19=0,0,COUNTIF(Transect5_imgsummary!E19:I19,"POR")*100/P19)</f>
        <v>0</v>
      </c>
      <c r="BL19">
        <f>IF(P19=0,0,COUNTIF(Transect5_imgsummary!E19:I19,"PORCYL")*100/P19)</f>
        <v>0</v>
      </c>
      <c r="BM19">
        <f>IF(P19=0,0,COUNTIF(Transect5_imgsummary!E19:I19,"PORMAS")*100/P19)</f>
        <v>0</v>
      </c>
      <c r="BN19">
        <f>IF(P19=0,0,COUNTIF(Transect5_imgsummary!E19:I19,"PORRUS")*100/P19)</f>
        <v>0</v>
      </c>
      <c r="BO19">
        <f>IF(P19=0,0,COUNTIF(Transect5_imgsummary!E19:I19,"PSAM")*100/P19)</f>
        <v>0</v>
      </c>
      <c r="BP19">
        <f>IF(P19=0,0,COUNTIF(Transect5_imgsummary!E19:I19,"SANDO")*100/P19)</f>
        <v>0</v>
      </c>
      <c r="BQ19">
        <f>IF(P19=0,0,COUNTIF(Transect5_imgsummary!E19:I19,"SCAP")*100/P19)</f>
        <v>0</v>
      </c>
      <c r="BR19">
        <f>IF(P19=0,0,COUNTIF(Transect5_imgsummary!E19:I19,"SERIA")*100/P19)</f>
        <v>0</v>
      </c>
      <c r="BS19">
        <f>IF(P19=0,0,COUNTIF(Transect5_imgsummary!E19:I19,"STYLC")*100/P19)</f>
        <v>0</v>
      </c>
      <c r="BT19">
        <f>IF(P19=0,0,COUNTIF(Transect5_imgsummary!E19:I19,"STYLO")*100/P19)</f>
        <v>0</v>
      </c>
      <c r="BU19">
        <f>IF(P19=0,0,COUNTIF(Transect5_imgsummary!E19:I19,"SYMP")*100/P19)</f>
        <v>0</v>
      </c>
      <c r="BV19">
        <f>IF(P19=0,0,COUNTIF(Transect5_imgsummary!E19:I19,"TURBIN")*100/P19)</f>
        <v>0</v>
      </c>
      <c r="BX19">
        <f>IF(P19=0,0,COUNTIF(Transect5_imgsummary!E19:I19,"ANEM")*100/P19)</f>
        <v>0</v>
      </c>
      <c r="BY19">
        <f>IF(P19=0,0,COUNTIF(Transect5_imgsummary!E19:I19,"ASC")*100/P19)</f>
        <v>0</v>
      </c>
      <c r="BZ19">
        <f>IF(P19=0,0,COUNTIF(Transect5_imgsummary!E19:I19,"CUPS")*100/P19)</f>
        <v>0</v>
      </c>
      <c r="CA19">
        <f>IF(P19=0,0,COUNTIF(Transect5_imgsummary!E19:I19,"DISCO")*100/P19)</f>
        <v>0</v>
      </c>
      <c r="CB19">
        <f>IF(P19=0,0,COUNTIF(Transect5_imgsummary!E19:I19,"DYS")*100/P19)</f>
        <v>0</v>
      </c>
      <c r="CC19">
        <f>IF(P19=0,0,COUNTIF(Transect5_imgsummary!E19:I19,"G")*100/P19)</f>
        <v>0</v>
      </c>
      <c r="CD19">
        <f>IF(P19=0,0,COUNTIF(Transect5_imgsummary!E19:I19,"NoIDINV")*100/P19)</f>
        <v>0</v>
      </c>
      <c r="CE19">
        <f>IF(P19=0,0,COUNTIF(Transect5_imgsummary!E19:I19,"OLV")*100/P19)</f>
        <v>0</v>
      </c>
      <c r="CF19">
        <f>IF(P19=0,0,COUNTIF(Transect5_imgsummary!E19:I19,"SC")*100/P19)</f>
        <v>0</v>
      </c>
      <c r="CG19">
        <f>IF(P19=0,0,COUNTIF(Transect5_imgsummary!E19:I19,"S")*100/P19)</f>
        <v>0</v>
      </c>
      <c r="CH19">
        <f>IF(P19=0,0,COUNTIF(Transect5_imgsummary!E19:I19,"TERPS")*100/P19)</f>
        <v>0</v>
      </c>
      <c r="CI19">
        <f>IF(P19=0,0,COUNTIF(Transect5_imgsummary!E19:I19,"Z")*100/P19)</f>
        <v>0</v>
      </c>
      <c r="CK19">
        <f>IF(P19=0,0,COUNTIF(Transect5_imgsummary!E19:I19,"ASP")*100/P19)</f>
        <v>0</v>
      </c>
      <c r="CL19">
        <f>IF(P19=0,0,COUNTIF(Transect5_imgsummary!E19:I19,"BG")*100/P19)</f>
        <v>0</v>
      </c>
      <c r="CM19">
        <f>IF(P19=0,0,COUNTIF(Transect5_imgsummary!E19:I19,"Bood")*100/P19)</f>
        <v>0</v>
      </c>
      <c r="CN19">
        <f>IF(P19=0,0,COUNTIF(Transect5_imgsummary!E19:I19,"BRYP")*100/P19)</f>
        <v>0</v>
      </c>
      <c r="CO19">
        <f>IF(P19=0,0,COUNTIF(Transect5_imgsummary!E19:I19,"CLP")*100/P19)</f>
        <v>0</v>
      </c>
      <c r="CP19">
        <f>IF(P19=0,0,COUNTIF(Transect5_imgsummary!E19:I19,"CHLDES")*100/P19)</f>
        <v>0</v>
      </c>
      <c r="CQ19">
        <f>IF(P19=0,0,COUNTIF(Transect5_imgsummary!E19:I19,"DYCTY")*100/P19)</f>
        <v>0</v>
      </c>
      <c r="CR19">
        <f>IF(P19=0,0,COUNTIF(Transect5_imgsummary!E19:I19,"DICT")*100/P19)</f>
        <v>0</v>
      </c>
      <c r="CS19">
        <f>IF(P19=0,0,COUNTIF(Transect5_imgsummary!E19:I19,"GLXU")*100/P19)</f>
        <v>0</v>
      </c>
      <c r="CT19">
        <f>IF(P19=0,0,COUNTIF(Transect5_imgsummary!E19:I19,"HALI")*100/P19)</f>
        <v>0</v>
      </c>
      <c r="CU19">
        <f>IF(P19=0,0,COUNTIF(Transect5_imgsummary!E19:I19,"LIAG")*100/P19)</f>
        <v>0</v>
      </c>
      <c r="CV19">
        <f>IF(P19=0,0,COUNTIF(Transect5_imgsummary!E19:I19,"LOBO")*100/P19)</f>
        <v>0</v>
      </c>
      <c r="CW19">
        <f>IF(P19=0,0,COUNTIF(Transect5_imgsummary!E19:I19,"MAST")*100/P19)</f>
        <v>0</v>
      </c>
      <c r="CX19">
        <f>IF(P19=0,0,COUNTIF(Transect5_imgsummary!E19:I19,"MICDTY")*100/P19)</f>
        <v>0</v>
      </c>
      <c r="CY19">
        <f>IF(P19=0,0,COUNTIF(Transect5_imgsummary!E19:I19,"NEOM")*100/P19)</f>
        <v>0</v>
      </c>
      <c r="CZ19">
        <f>IF(P19=0,0,COUNTIF(Transect5_imgsummary!E19:I19,"NOIDMAC")*100/P19)</f>
        <v>0</v>
      </c>
      <c r="DA19">
        <f>IF(P19=0,0,COUNTIF(Transect5_imgsummary!E19:I19,"PAD")*100/P19)</f>
        <v>0</v>
      </c>
      <c r="DB19">
        <f>IF(P19=0,0,COUNTIF(Transect5_imgsummary!E19:I19,"SARG")*100/P19)</f>
        <v>0</v>
      </c>
      <c r="DC19">
        <f>IF(P19=0,0,COUNTIF(Transect5_imgsummary!E19:I19,"SCHIZ")*100/P19)</f>
        <v>0</v>
      </c>
      <c r="DD19">
        <f>IF(P19=0,0,COUNTIF(Transect5_imgsummary!E19:I19,"TURB")*100/P19)</f>
        <v>0</v>
      </c>
      <c r="DE19">
        <f>IF(P19=0,0,COUNTIF(Transect5_imgsummary!E19:I19,"TYDM")*100/P19)</f>
        <v>0</v>
      </c>
      <c r="DG19">
        <f>IF(P19=0,0,COUNTIF(Transect5_imgsummary!E19:I19,"AMP")*100/P19)</f>
        <v>0</v>
      </c>
      <c r="DH19">
        <f>IF(P19=0,0,COUNTIF(Transect5_imgsummary!E19:I19,"BCA1")*100/P19)</f>
        <v>0</v>
      </c>
      <c r="DI19">
        <f>IF(P19=0,0,COUNTIF(Transect5_imgsummary!E19:I19,"JAN")*100/P19)</f>
        <v>0</v>
      </c>
      <c r="DK19" s="29">
        <f>IF(P19=0,0,COUNTIF(Transect5_imgsummary!E19:I19,"CCA1")*100/P19)</f>
        <v>20</v>
      </c>
      <c r="DM19">
        <f>IF(P19=0,0,COUNTIF(Transect5_imgsummary!E19:I19,"Sand")*100/P19)</f>
        <v>0</v>
      </c>
      <c r="DO19">
        <f>IF(P19=0,0,COUNTIF(Transect5_imgsummary!E19:I19,"FCA1")*100/P19)</f>
        <v>0</v>
      </c>
      <c r="DQ19">
        <f>IF(P19=0,0,COUNTIF(Transect5_imgsummary!E19:I19,"CHRYOBRN")*100/P19)</f>
        <v>0</v>
      </c>
      <c r="DS19" s="29">
        <f>IF(P19=0,0,COUNTIF(Transect5_imgsummary!E19:I19,"TURF")*100/P19)</f>
        <v>40</v>
      </c>
      <c r="DU19">
        <f>COUNTIF(Transect5_imgsummary!E19:I19,"Shadow")*100/5</f>
        <v>0</v>
      </c>
      <c r="DV19">
        <f>COUNTIF(Transect5_imgsummary!E19:I19,"Tape")*100/5</f>
        <v>0</v>
      </c>
      <c r="DW19">
        <f>COUNTIF(Transect5_imgsummary!E19:I19,"Wand")*100/5</f>
        <v>0</v>
      </c>
      <c r="DY19">
        <f>IF(P19=0,0,COUNTIF(Transect5_imgsummary!O19:S19,"BC")*100/P19)</f>
        <v>0</v>
      </c>
    </row>
    <row r="20" spans="1:129">
      <c r="A20">
        <v>18</v>
      </c>
      <c r="B20" t="s">
        <v>615</v>
      </c>
      <c r="F20" s="29">
        <f>IF(P20=0,0,COUNTIF(Transect5_imgsummary!J20:N20,"C")*100/P20)</f>
        <v>40</v>
      </c>
      <c r="G20">
        <f>IF(P20=0,0,COUNTIF(Transect5_imgsummary!J20:N20,"OI")*100/P20)</f>
        <v>0</v>
      </c>
      <c r="H20">
        <f>IF(P20=0,0,COUNTIF(Transect5_imgsummary!J20:N20,"MA")*100/P20)</f>
        <v>0</v>
      </c>
      <c r="I20">
        <f>IF(P20=0,0,COUNTIF(Transect5_imgsummary!J20:N20,"BCA")*100/P20)</f>
        <v>0</v>
      </c>
      <c r="J20">
        <f>IF(P20=0,0,COUNTIF(Transect5_imgsummary!J20:N20,"CCA")*100/P20)</f>
        <v>0</v>
      </c>
      <c r="K20">
        <f>IF(P20=0,0,COUNTIF(Transect5_imgsummary!J20:N20,"SD")*100/P20)</f>
        <v>0</v>
      </c>
      <c r="L20" s="29">
        <f>IF(P20=0,0,COUNTIF(Transect5_imgsummary!J20:N20,"FCA")*100/P20)</f>
        <v>20</v>
      </c>
      <c r="M20">
        <f>IF(P20=0,0,COUNTIF(Transect5_imgsummary!J20:N20,"CHRYS")*100/P20)</f>
        <v>0</v>
      </c>
      <c r="N20" s="29">
        <f>IF(P20=0,0,COUNTIF(Transect5_imgsummary!J20:N20,"T")*100/P20)</f>
        <v>40</v>
      </c>
      <c r="O20">
        <f>IF(P20=0,0,COUNTIF(Transect5_imgsummary!J20:N20,"TWS")*100/P20)</f>
        <v>0</v>
      </c>
      <c r="P20">
        <f>5-COUNTIF(Transect5_imgsummary!J20:N20,"TWS")</f>
        <v>5</v>
      </c>
      <c r="S20">
        <f>IF(P20=0,0,COUNTIF(Transect5_imgsummary!E20:I20,"ACAN")*100/P20)</f>
        <v>0</v>
      </c>
      <c r="T20">
        <f>IF(P20=0,0,COUNTIF(Transect5_imgsummary!E20:I20,"ACROP")*100/P20)</f>
        <v>0</v>
      </c>
      <c r="U20">
        <f>IF(P20=0,0,COUNTIF(Transect5_imgsummary!E20:I20,"ACROPARB")*100/P20)</f>
        <v>0</v>
      </c>
      <c r="V20">
        <f>IF(P20=0,0,COUNTIF(Transect5_imgsummary!E20:I20,"ACROST")*100/P20)</f>
        <v>0</v>
      </c>
      <c r="W20">
        <f>IF(P20=0,0,COUNTIF(Transect5_imgsummary!E20:I20,"ACROTBL")*100/P20)</f>
        <v>0</v>
      </c>
      <c r="X20">
        <f>IF(P20=0,0,COUNTIF(Transect5_imgsummary!E20:I20,"ASTRP")*100/P20)</f>
        <v>0</v>
      </c>
      <c r="Y20">
        <f>IF(P20=0,0,COUNTIF(Transect5_imgsummary!E20:I20,"CAUL")*100/P20)</f>
        <v>0</v>
      </c>
      <c r="Z20">
        <f>IF(P20=0,0,COUNTIF(Transect5_imgsummary!E20:I20,"COSC")*100/P20)</f>
        <v>0</v>
      </c>
      <c r="AA20">
        <f>IF(P20=0,0,COUNTIF(Transect5_imgsummary!E20:I20,"CTEN")*100/P20)</f>
        <v>0</v>
      </c>
      <c r="AB20">
        <f>IF(P20=0,0,COUNTIF(Transect5_imgsummary!E20:I20,"CYPH")*100/P20)</f>
        <v>0</v>
      </c>
      <c r="AC20">
        <f>IF(P20=0,0,COUNTIF(Transect5_imgsummary!E20:I20,"DIPLO")*100/P20)</f>
        <v>0</v>
      </c>
      <c r="AD20">
        <f>IF(P20=0,0,COUNTIF(Transect5_imgsummary!E20:I20,"ECHPO")*100/P20)</f>
        <v>0</v>
      </c>
      <c r="AE20">
        <f>IF(P20=0,0,COUNTIF(Transect5_imgsummary!E20:I20,"ECHPHY")*100/P20)</f>
        <v>0</v>
      </c>
      <c r="AF20">
        <f>IF(P20=0,0,COUNTIF(Transect5_imgsummary!E20:I20,"EUPH")*100/P20)</f>
        <v>0</v>
      </c>
      <c r="AG20">
        <f>IF(P20=0,0,COUNTIF(Transect5_imgsummary!E20:I20,"FAV")*100/P20)</f>
        <v>0</v>
      </c>
      <c r="AH20">
        <f>IF(P20=0,0,COUNTIF(Transect5_imgsummary!E20:I20,"FAVT")*100/P20)</f>
        <v>0</v>
      </c>
      <c r="AI20">
        <f>IF(P20=0,0,COUNTIF(Transect5_imgsummary!E20:I20,"FUNG")*100/P20)</f>
        <v>0</v>
      </c>
      <c r="AJ20">
        <f>IF(P20=0,0,COUNTIF(Transect5_imgsummary!E20:I20,"GAL")*100/P20)</f>
        <v>0</v>
      </c>
      <c r="AK20">
        <f>IF(P20=0,0,COUNTIF(Transect5_imgsummary!E20:I20,"GARD")*100/P20)</f>
        <v>0</v>
      </c>
      <c r="AL20">
        <f>IF(P20=0,0,COUNTIF(Transect5_imgsummary!E20:I20,"GON")*100/P20)</f>
        <v>0</v>
      </c>
      <c r="AM20">
        <f>IF(P20=0,0,COUNTIF(Transect5_imgsummary!E20:I20,"GONIO")*100/P20)</f>
        <v>0</v>
      </c>
      <c r="AN20">
        <f>IF(P20=0,0,COUNTIF(Transect5_imgsummary!E20:I20,"HELIO")*100/P20)</f>
        <v>0</v>
      </c>
      <c r="AO20">
        <f>IF(P20=0,0,COUNTIF(Transect5_imgsummary!E20:I20,"HERP")*100/P20)</f>
        <v>0</v>
      </c>
      <c r="AP20" s="29">
        <f>IF(P20=0,0,COUNTIF(Transect5_imgsummary!E20:I20,"HYD")*100/P20)</f>
        <v>40</v>
      </c>
      <c r="AQ20">
        <f>IF(P20=0,0,COUNTIF(Transect5_imgsummary!E20:I20,"ISOP")*100/P20)</f>
        <v>0</v>
      </c>
      <c r="AR20">
        <f>IF(P20=0,0,COUNTIF(Transect5_imgsummary!E20:I20,"LEPT")*100/P20)</f>
        <v>0</v>
      </c>
      <c r="AS20">
        <f>IF(P20=0,0,COUNTIF(Transect5_imgsummary!E20:I20,"LEPTOR")*100/P20)</f>
        <v>0</v>
      </c>
      <c r="AT20">
        <f>IF(P20=0,0,COUNTIF(Transect5_imgsummary!E20:I20,"LEPTOS")*100/P20)</f>
        <v>0</v>
      </c>
      <c r="AU20">
        <f>IF(P20=0,0,COUNTIF(Transect5_imgsummary!E20:I20,"LOBOPH")*100/P20)</f>
        <v>0</v>
      </c>
      <c r="AV20">
        <f>IF(P20=0,0,COUNTIF(Transect5_imgsummary!E20:I20,"MERU")*100/P20)</f>
        <v>0</v>
      </c>
      <c r="AW20">
        <f>IF(P20=0,0,COUNTIF(Transect5_imgsummary!E20:I20,"MILL")*100/P20)</f>
        <v>0</v>
      </c>
      <c r="AX20">
        <f>IF(P20=0,0,COUNTIF(Transect5_imgsummary!E20:I20,"MONT")*100/P20)</f>
        <v>0</v>
      </c>
      <c r="AY20">
        <f>IF(P20=0,0,COUNTIF(Transect5_imgsummary!E20:I20,"MONTI")*100/P20)</f>
        <v>0</v>
      </c>
      <c r="AZ20">
        <f>IF(P20=0,0,COUNTIF(Transect5_imgsummary!E20:I20,"MYCED")*100/P20)</f>
        <v>0</v>
      </c>
      <c r="BA20">
        <f>IF(P20=0,0,COUNTIF(Transect5_imgsummary!E20:I20,"OULO")*100/P20)</f>
        <v>0</v>
      </c>
      <c r="BB20">
        <f>IF(P20=0,0,COUNTIF(Transect5_imgsummary!E20:I20,"OXYP")*100/P20)</f>
        <v>0</v>
      </c>
      <c r="BC20">
        <f>IF(P20=0,0,COUNTIF(Transect5_imgsummary!E20:I20,"PLSIA")*100/P20)</f>
        <v>0</v>
      </c>
      <c r="BD20">
        <f>IF(P20=0,0,COUNTIF(Transect5_imgsummary!E20:I20,"PACHY")*100/P20)</f>
        <v>0</v>
      </c>
      <c r="BE20">
        <f>IF(P20=0,0,COUNTIF(Transect5_imgsummary!E20:I20,"PAV")*100/P20)</f>
        <v>0</v>
      </c>
      <c r="BF20">
        <f>IF(P20=0,0,COUNTIF(Transect5_imgsummary!E20:I20,"PECT")*100/P20)</f>
        <v>0</v>
      </c>
      <c r="BG20">
        <f>IF(P20=0,0,COUNTIF(Transect5_imgsummary!E20:I20,"PHYSO")*100/P20)</f>
        <v>0</v>
      </c>
      <c r="BH20">
        <f>IF(P20=0,0,COUNTIF(Transect5_imgsummary!E20:I20,"PLAT")*100/P20)</f>
        <v>0</v>
      </c>
      <c r="BI20">
        <f>IF(P20=0,0,COUNTIF(Transect5_imgsummary!E20:I20,"PLERO")*100/P20)</f>
        <v>0</v>
      </c>
      <c r="BJ20">
        <f>IF(P20=0,0,COUNTIF(Transect5_imgsummary!E20:I20,"POC")*100/P20)</f>
        <v>0</v>
      </c>
      <c r="BK20">
        <f>IF(P20=0,0,COUNTIF(Transect5_imgsummary!E20:I20,"POR")*100/P20)</f>
        <v>0</v>
      </c>
      <c r="BL20">
        <f>IF(P20=0,0,COUNTIF(Transect5_imgsummary!E20:I20,"PORCYL")*100/P20)</f>
        <v>0</v>
      </c>
      <c r="BM20">
        <f>IF(P20=0,0,COUNTIF(Transect5_imgsummary!E20:I20,"PORMAS")*100/P20)</f>
        <v>0</v>
      </c>
      <c r="BN20">
        <f>IF(P20=0,0,COUNTIF(Transect5_imgsummary!E20:I20,"PORRUS")*100/P20)</f>
        <v>0</v>
      </c>
      <c r="BO20">
        <f>IF(P20=0,0,COUNTIF(Transect5_imgsummary!E20:I20,"PSAM")*100/P20)</f>
        <v>0</v>
      </c>
      <c r="BP20">
        <f>IF(P20=0,0,COUNTIF(Transect5_imgsummary!E20:I20,"SANDO")*100/P20)</f>
        <v>0</v>
      </c>
      <c r="BQ20">
        <f>IF(P20=0,0,COUNTIF(Transect5_imgsummary!E20:I20,"SCAP")*100/P20)</f>
        <v>0</v>
      </c>
      <c r="BR20">
        <f>IF(P20=0,0,COUNTIF(Transect5_imgsummary!E20:I20,"SERIA")*100/P20)</f>
        <v>0</v>
      </c>
      <c r="BS20">
        <f>IF(P20=0,0,COUNTIF(Transect5_imgsummary!E20:I20,"STYLC")*100/P20)</f>
        <v>0</v>
      </c>
      <c r="BT20">
        <f>IF(P20=0,0,COUNTIF(Transect5_imgsummary!E20:I20,"STYLO")*100/P20)</f>
        <v>0</v>
      </c>
      <c r="BU20">
        <f>IF(P20=0,0,COUNTIF(Transect5_imgsummary!E20:I20,"SYMP")*100/P20)</f>
        <v>0</v>
      </c>
      <c r="BV20">
        <f>IF(P20=0,0,COUNTIF(Transect5_imgsummary!E20:I20,"TURBIN")*100/P20)</f>
        <v>0</v>
      </c>
      <c r="BX20">
        <f>IF(P20=0,0,COUNTIF(Transect5_imgsummary!E20:I20,"ANEM")*100/P20)</f>
        <v>0</v>
      </c>
      <c r="BY20">
        <f>IF(P20=0,0,COUNTIF(Transect5_imgsummary!E20:I20,"ASC")*100/P20)</f>
        <v>0</v>
      </c>
      <c r="BZ20">
        <f>IF(P20=0,0,COUNTIF(Transect5_imgsummary!E20:I20,"CUPS")*100/P20)</f>
        <v>0</v>
      </c>
      <c r="CA20">
        <f>IF(P20=0,0,COUNTIF(Transect5_imgsummary!E20:I20,"DISCO")*100/P20)</f>
        <v>0</v>
      </c>
      <c r="CB20">
        <f>IF(P20=0,0,COUNTIF(Transect5_imgsummary!E20:I20,"DYS")*100/P20)</f>
        <v>0</v>
      </c>
      <c r="CC20">
        <f>IF(P20=0,0,COUNTIF(Transect5_imgsummary!E20:I20,"G")*100/P20)</f>
        <v>0</v>
      </c>
      <c r="CD20">
        <f>IF(P20=0,0,COUNTIF(Transect5_imgsummary!E20:I20,"NoIDINV")*100/P20)</f>
        <v>0</v>
      </c>
      <c r="CE20">
        <f>IF(P20=0,0,COUNTIF(Transect5_imgsummary!E20:I20,"OLV")*100/P20)</f>
        <v>0</v>
      </c>
      <c r="CF20">
        <f>IF(P20=0,0,COUNTIF(Transect5_imgsummary!E20:I20,"SC")*100/P20)</f>
        <v>0</v>
      </c>
      <c r="CG20">
        <f>IF(P20=0,0,COUNTIF(Transect5_imgsummary!E20:I20,"S")*100/P20)</f>
        <v>0</v>
      </c>
      <c r="CH20">
        <f>IF(P20=0,0,COUNTIF(Transect5_imgsummary!E20:I20,"TERPS")*100/P20)</f>
        <v>0</v>
      </c>
      <c r="CI20">
        <f>IF(P20=0,0,COUNTIF(Transect5_imgsummary!E20:I20,"Z")*100/P20)</f>
        <v>0</v>
      </c>
      <c r="CK20">
        <f>IF(P20=0,0,COUNTIF(Transect5_imgsummary!E20:I20,"ASP")*100/P20)</f>
        <v>0</v>
      </c>
      <c r="CL20">
        <f>IF(P20=0,0,COUNTIF(Transect5_imgsummary!E20:I20,"BG")*100/P20)</f>
        <v>0</v>
      </c>
      <c r="CM20">
        <f>IF(P20=0,0,COUNTIF(Transect5_imgsummary!E20:I20,"Bood")*100/P20)</f>
        <v>0</v>
      </c>
      <c r="CN20">
        <f>IF(P20=0,0,COUNTIF(Transect5_imgsummary!E20:I20,"BRYP")*100/P20)</f>
        <v>0</v>
      </c>
      <c r="CO20">
        <f>IF(P20=0,0,COUNTIF(Transect5_imgsummary!E20:I20,"CLP")*100/P20)</f>
        <v>0</v>
      </c>
      <c r="CP20">
        <f>IF(P20=0,0,COUNTIF(Transect5_imgsummary!E20:I20,"CHLDES")*100/P20)</f>
        <v>0</v>
      </c>
      <c r="CQ20">
        <f>IF(P20=0,0,COUNTIF(Transect5_imgsummary!E20:I20,"DYCTY")*100/P20)</f>
        <v>0</v>
      </c>
      <c r="CR20">
        <f>IF(P20=0,0,COUNTIF(Transect5_imgsummary!E20:I20,"DICT")*100/P20)</f>
        <v>0</v>
      </c>
      <c r="CS20">
        <f>IF(P20=0,0,COUNTIF(Transect5_imgsummary!E20:I20,"GLXU")*100/P20)</f>
        <v>0</v>
      </c>
      <c r="CT20">
        <f>IF(P20=0,0,COUNTIF(Transect5_imgsummary!E20:I20,"HALI")*100/P20)</f>
        <v>0</v>
      </c>
      <c r="CU20">
        <f>IF(P20=0,0,COUNTIF(Transect5_imgsummary!E20:I20,"LIAG")*100/P20)</f>
        <v>0</v>
      </c>
      <c r="CV20">
        <f>IF(P20=0,0,COUNTIF(Transect5_imgsummary!E20:I20,"LOBO")*100/P20)</f>
        <v>0</v>
      </c>
      <c r="CW20">
        <f>IF(P20=0,0,COUNTIF(Transect5_imgsummary!E20:I20,"MAST")*100/P20)</f>
        <v>0</v>
      </c>
      <c r="CX20">
        <f>IF(P20=0,0,COUNTIF(Transect5_imgsummary!E20:I20,"MICDTY")*100/P20)</f>
        <v>0</v>
      </c>
      <c r="CY20">
        <f>IF(P20=0,0,COUNTIF(Transect5_imgsummary!E20:I20,"NEOM")*100/P20)</f>
        <v>0</v>
      </c>
      <c r="CZ20">
        <f>IF(P20=0,0,COUNTIF(Transect5_imgsummary!E20:I20,"NOIDMAC")*100/P20)</f>
        <v>0</v>
      </c>
      <c r="DA20">
        <f>IF(P20=0,0,COUNTIF(Transect5_imgsummary!E20:I20,"PAD")*100/P20)</f>
        <v>0</v>
      </c>
      <c r="DB20">
        <f>IF(P20=0,0,COUNTIF(Transect5_imgsummary!E20:I20,"SARG")*100/P20)</f>
        <v>0</v>
      </c>
      <c r="DC20">
        <f>IF(P20=0,0,COUNTIF(Transect5_imgsummary!E20:I20,"SCHIZ")*100/P20)</f>
        <v>0</v>
      </c>
      <c r="DD20">
        <f>IF(P20=0,0,COUNTIF(Transect5_imgsummary!E20:I20,"TURB")*100/P20)</f>
        <v>0</v>
      </c>
      <c r="DE20">
        <f>IF(P20=0,0,COUNTIF(Transect5_imgsummary!E20:I20,"TYDM")*100/P20)</f>
        <v>0</v>
      </c>
      <c r="DG20">
        <f>IF(P20=0,0,COUNTIF(Transect5_imgsummary!E20:I20,"AMP")*100/P20)</f>
        <v>0</v>
      </c>
      <c r="DH20">
        <f>IF(P20=0,0,COUNTIF(Transect5_imgsummary!E20:I20,"BCA1")*100/P20)</f>
        <v>0</v>
      </c>
      <c r="DI20">
        <f>IF(P20=0,0,COUNTIF(Transect5_imgsummary!E20:I20,"JAN")*100/P20)</f>
        <v>0</v>
      </c>
      <c r="DK20">
        <f>IF(P20=0,0,COUNTIF(Transect5_imgsummary!E20:I20,"CCA1")*100/P20)</f>
        <v>0</v>
      </c>
      <c r="DM20">
        <f>IF(P20=0,0,COUNTIF(Transect5_imgsummary!E20:I20,"Sand")*100/P20)</f>
        <v>0</v>
      </c>
      <c r="DO20" s="29">
        <f>IF(P20=0,0,COUNTIF(Transect5_imgsummary!E20:I20,"FCA1")*100/P20)</f>
        <v>20</v>
      </c>
      <c r="DQ20">
        <f>IF(P20=0,0,COUNTIF(Transect5_imgsummary!E20:I20,"CHRYOBRN")*100/P20)</f>
        <v>0</v>
      </c>
      <c r="DS20" s="29">
        <f>IF(P20=0,0,COUNTIF(Transect5_imgsummary!E20:I20,"TURF")*100/P20)</f>
        <v>40</v>
      </c>
      <c r="DU20">
        <f>COUNTIF(Transect5_imgsummary!E20:I20,"Shadow")*100/5</f>
        <v>0</v>
      </c>
      <c r="DV20">
        <f>COUNTIF(Transect5_imgsummary!E20:I20,"Tape")*100/5</f>
        <v>0</v>
      </c>
      <c r="DW20">
        <f>COUNTIF(Transect5_imgsummary!E20:I20,"Wand")*100/5</f>
        <v>0</v>
      </c>
      <c r="DY20">
        <f>IF(P20=0,0,COUNTIF(Transect5_imgsummary!O20:S20,"BC")*100/P20)</f>
        <v>0</v>
      </c>
    </row>
    <row r="21" spans="1:129">
      <c r="A21">
        <v>19</v>
      </c>
      <c r="B21" t="s">
        <v>616</v>
      </c>
      <c r="F21" s="29">
        <f>IF(P21=0,0,COUNTIF(Transect5_imgsummary!J21:N21,"C")*100/P21)</f>
        <v>40</v>
      </c>
      <c r="G21">
        <f>IF(P21=0,0,COUNTIF(Transect5_imgsummary!J21:N21,"OI")*100/P21)</f>
        <v>0</v>
      </c>
      <c r="H21">
        <f>IF(P21=0,0,COUNTIF(Transect5_imgsummary!J21:N21,"MA")*100/P21)</f>
        <v>0</v>
      </c>
      <c r="I21" s="29">
        <f>IF(P21=0,0,COUNTIF(Transect5_imgsummary!J21:N21,"BCA")*100/P21)</f>
        <v>20</v>
      </c>
      <c r="J21" s="29">
        <f>IF(P21=0,0,COUNTIF(Transect5_imgsummary!J21:N21,"CCA")*100/P21)</f>
        <v>20</v>
      </c>
      <c r="K21">
        <f>IF(P21=0,0,COUNTIF(Transect5_imgsummary!J21:N21,"SD")*100/P21)</f>
        <v>0</v>
      </c>
      <c r="L21">
        <f>IF(P21=0,0,COUNTIF(Transect5_imgsummary!J21:N21,"FCA")*100/P21)</f>
        <v>0</v>
      </c>
      <c r="M21">
        <f>IF(P21=0,0,COUNTIF(Transect5_imgsummary!J21:N21,"CHRYS")*100/P21)</f>
        <v>0</v>
      </c>
      <c r="N21" s="29">
        <f>IF(P21=0,0,COUNTIF(Transect5_imgsummary!J21:N21,"T")*100/P21)</f>
        <v>20</v>
      </c>
      <c r="O21">
        <f>IF(P21=0,0,COUNTIF(Transect5_imgsummary!J21:N21,"TWS")*100/P21)</f>
        <v>0</v>
      </c>
      <c r="P21">
        <f>5-COUNTIF(Transect5_imgsummary!J21:N21,"TWS")</f>
        <v>5</v>
      </c>
      <c r="S21">
        <f>IF(P21=0,0,COUNTIF(Transect5_imgsummary!E21:I21,"ACAN")*100/P21)</f>
        <v>0</v>
      </c>
      <c r="T21">
        <f>IF(P21=0,0,COUNTIF(Transect5_imgsummary!E21:I21,"ACROP")*100/P21)</f>
        <v>0</v>
      </c>
      <c r="U21">
        <f>IF(P21=0,0,COUNTIF(Transect5_imgsummary!E21:I21,"ACROPARB")*100/P21)</f>
        <v>0</v>
      </c>
      <c r="V21">
        <f>IF(P21=0,0,COUNTIF(Transect5_imgsummary!E21:I21,"ACROST")*100/P21)</f>
        <v>0</v>
      </c>
      <c r="W21">
        <f>IF(P21=0,0,COUNTIF(Transect5_imgsummary!E21:I21,"ACROTBL")*100/P21)</f>
        <v>0</v>
      </c>
      <c r="X21">
        <f>IF(P21=0,0,COUNTIF(Transect5_imgsummary!E21:I21,"ASTRP")*100/P21)</f>
        <v>0</v>
      </c>
      <c r="Y21">
        <f>IF(P21=0,0,COUNTIF(Transect5_imgsummary!E21:I21,"CAUL")*100/P21)</f>
        <v>0</v>
      </c>
      <c r="Z21">
        <f>IF(P21=0,0,COUNTIF(Transect5_imgsummary!E21:I21,"COSC")*100/P21)</f>
        <v>0</v>
      </c>
      <c r="AA21">
        <f>IF(P21=0,0,COUNTIF(Transect5_imgsummary!E21:I21,"CTEN")*100/P21)</f>
        <v>0</v>
      </c>
      <c r="AB21">
        <f>IF(P21=0,0,COUNTIF(Transect5_imgsummary!E21:I21,"CYPH")*100/P21)</f>
        <v>0</v>
      </c>
      <c r="AC21">
        <f>IF(P21=0,0,COUNTIF(Transect5_imgsummary!E21:I21,"DIPLO")*100/P21)</f>
        <v>0</v>
      </c>
      <c r="AD21">
        <f>IF(P21=0,0,COUNTIF(Transect5_imgsummary!E21:I21,"ECHPO")*100/P21)</f>
        <v>0</v>
      </c>
      <c r="AE21">
        <f>IF(P21=0,0,COUNTIF(Transect5_imgsummary!E21:I21,"ECHPHY")*100/P21)</f>
        <v>0</v>
      </c>
      <c r="AF21">
        <f>IF(P21=0,0,COUNTIF(Transect5_imgsummary!E21:I21,"EUPH")*100/P21)</f>
        <v>0</v>
      </c>
      <c r="AG21">
        <f>IF(P21=0,0,COUNTIF(Transect5_imgsummary!E21:I21,"FAV")*100/P21)</f>
        <v>0</v>
      </c>
      <c r="AH21">
        <f>IF(P21=0,0,COUNTIF(Transect5_imgsummary!E21:I21,"FAVT")*100/P21)</f>
        <v>0</v>
      </c>
      <c r="AI21">
        <f>IF(P21=0,0,COUNTIF(Transect5_imgsummary!E21:I21,"FUNG")*100/P21)</f>
        <v>0</v>
      </c>
      <c r="AJ21">
        <f>IF(P21=0,0,COUNTIF(Transect5_imgsummary!E21:I21,"GAL")*100/P21)</f>
        <v>0</v>
      </c>
      <c r="AK21">
        <f>IF(P21=0,0,COUNTIF(Transect5_imgsummary!E21:I21,"GARD")*100/P21)</f>
        <v>0</v>
      </c>
      <c r="AL21">
        <f>IF(P21=0,0,COUNTIF(Transect5_imgsummary!E21:I21,"GON")*100/P21)</f>
        <v>0</v>
      </c>
      <c r="AM21">
        <f>IF(P21=0,0,COUNTIF(Transect5_imgsummary!E21:I21,"GONIO")*100/P21)</f>
        <v>0</v>
      </c>
      <c r="AN21">
        <f>IF(P21=0,0,COUNTIF(Transect5_imgsummary!E21:I21,"HELIO")*100/P21)</f>
        <v>0</v>
      </c>
      <c r="AO21">
        <f>IF(P21=0,0,COUNTIF(Transect5_imgsummary!E21:I21,"HERP")*100/P21)</f>
        <v>0</v>
      </c>
      <c r="AP21" s="29">
        <f>IF(P21=0,0,COUNTIF(Transect5_imgsummary!E21:I21,"HYD")*100/P21)</f>
        <v>20</v>
      </c>
      <c r="AQ21">
        <f>IF(P21=0,0,COUNTIF(Transect5_imgsummary!E21:I21,"ISOP")*100/P21)</f>
        <v>0</v>
      </c>
      <c r="AR21">
        <f>IF(P21=0,0,COUNTIF(Transect5_imgsummary!E21:I21,"LEPT")*100/P21)</f>
        <v>0</v>
      </c>
      <c r="AS21">
        <f>IF(P21=0,0,COUNTIF(Transect5_imgsummary!E21:I21,"LEPTOR")*100/P21)</f>
        <v>0</v>
      </c>
      <c r="AT21">
        <f>IF(P21=0,0,COUNTIF(Transect5_imgsummary!E21:I21,"LEPTOS")*100/P21)</f>
        <v>0</v>
      </c>
      <c r="AU21">
        <f>IF(P21=0,0,COUNTIF(Transect5_imgsummary!E21:I21,"LOBOPH")*100/P21)</f>
        <v>0</v>
      </c>
      <c r="AV21" s="29">
        <f>IF(P21=0,0,COUNTIF(Transect5_imgsummary!E21:I21,"MERU")*100/P21)</f>
        <v>20</v>
      </c>
      <c r="AW21">
        <f>IF(P21=0,0,COUNTIF(Transect5_imgsummary!E21:I21,"MILL")*100/P21)</f>
        <v>0</v>
      </c>
      <c r="AX21">
        <f>IF(P21=0,0,COUNTIF(Transect5_imgsummary!E21:I21,"MONT")*100/P21)</f>
        <v>0</v>
      </c>
      <c r="AY21">
        <f>IF(P21=0,0,COUNTIF(Transect5_imgsummary!E21:I21,"MONTI")*100/P21)</f>
        <v>0</v>
      </c>
      <c r="AZ21">
        <f>IF(P21=0,0,COUNTIF(Transect5_imgsummary!E21:I21,"MYCED")*100/P21)</f>
        <v>0</v>
      </c>
      <c r="BA21">
        <f>IF(P21=0,0,COUNTIF(Transect5_imgsummary!E21:I21,"OULO")*100/P21)</f>
        <v>0</v>
      </c>
      <c r="BB21">
        <f>IF(P21=0,0,COUNTIF(Transect5_imgsummary!E21:I21,"OXYP")*100/P21)</f>
        <v>0</v>
      </c>
      <c r="BC21">
        <f>IF(P21=0,0,COUNTIF(Transect5_imgsummary!E21:I21,"PLSIA")*100/P21)</f>
        <v>0</v>
      </c>
      <c r="BD21">
        <f>IF(P21=0,0,COUNTIF(Transect5_imgsummary!E21:I21,"PACHY")*100/P21)</f>
        <v>0</v>
      </c>
      <c r="BE21">
        <f>IF(P21=0,0,COUNTIF(Transect5_imgsummary!E21:I21,"PAV")*100/P21)</f>
        <v>0</v>
      </c>
      <c r="BF21">
        <f>IF(P21=0,0,COUNTIF(Transect5_imgsummary!E21:I21,"PECT")*100/P21)</f>
        <v>0</v>
      </c>
      <c r="BG21">
        <f>IF(P21=0,0,COUNTIF(Transect5_imgsummary!E21:I21,"PHYSO")*100/P21)</f>
        <v>0</v>
      </c>
      <c r="BH21">
        <f>IF(P21=0,0,COUNTIF(Transect5_imgsummary!E21:I21,"PLAT")*100/P21)</f>
        <v>0</v>
      </c>
      <c r="BI21">
        <f>IF(P21=0,0,COUNTIF(Transect5_imgsummary!E21:I21,"PLERO")*100/P21)</f>
        <v>0</v>
      </c>
      <c r="BJ21">
        <f>IF(P21=0,0,COUNTIF(Transect5_imgsummary!E21:I21,"POC")*100/P21)</f>
        <v>0</v>
      </c>
      <c r="BK21">
        <f>IF(P21=0,0,COUNTIF(Transect5_imgsummary!E21:I21,"POR")*100/P21)</f>
        <v>0</v>
      </c>
      <c r="BL21">
        <f>IF(P21=0,0,COUNTIF(Transect5_imgsummary!E21:I21,"PORCYL")*100/P21)</f>
        <v>0</v>
      </c>
      <c r="BM21">
        <f>IF(P21=0,0,COUNTIF(Transect5_imgsummary!E21:I21,"PORMAS")*100/P21)</f>
        <v>0</v>
      </c>
      <c r="BN21">
        <f>IF(P21=0,0,COUNTIF(Transect5_imgsummary!E21:I21,"PORRUS")*100/P21)</f>
        <v>0</v>
      </c>
      <c r="BO21">
        <f>IF(P21=0,0,COUNTIF(Transect5_imgsummary!E21:I21,"PSAM")*100/P21)</f>
        <v>0</v>
      </c>
      <c r="BP21">
        <f>IF(P21=0,0,COUNTIF(Transect5_imgsummary!E21:I21,"SANDO")*100/P21)</f>
        <v>0</v>
      </c>
      <c r="BQ21">
        <f>IF(P21=0,0,COUNTIF(Transect5_imgsummary!E21:I21,"SCAP")*100/P21)</f>
        <v>0</v>
      </c>
      <c r="BR21">
        <f>IF(P21=0,0,COUNTIF(Transect5_imgsummary!E21:I21,"SERIA")*100/P21)</f>
        <v>0</v>
      </c>
      <c r="BS21">
        <f>IF(P21=0,0,COUNTIF(Transect5_imgsummary!E21:I21,"STYLC")*100/P21)</f>
        <v>0</v>
      </c>
      <c r="BT21">
        <f>IF(P21=0,0,COUNTIF(Transect5_imgsummary!E21:I21,"STYLO")*100/P21)</f>
        <v>0</v>
      </c>
      <c r="BU21">
        <f>IF(P21=0,0,COUNTIF(Transect5_imgsummary!E21:I21,"SYMP")*100/P21)</f>
        <v>0</v>
      </c>
      <c r="BV21">
        <f>IF(P21=0,0,COUNTIF(Transect5_imgsummary!E21:I21,"TURBIN")*100/P21)</f>
        <v>0</v>
      </c>
      <c r="BX21">
        <f>IF(P21=0,0,COUNTIF(Transect5_imgsummary!E21:I21,"ANEM")*100/P21)</f>
        <v>0</v>
      </c>
      <c r="BY21">
        <f>IF(P21=0,0,COUNTIF(Transect5_imgsummary!E21:I21,"ASC")*100/P21)</f>
        <v>0</v>
      </c>
      <c r="BZ21">
        <f>IF(P21=0,0,COUNTIF(Transect5_imgsummary!E21:I21,"CUPS")*100/P21)</f>
        <v>0</v>
      </c>
      <c r="CA21">
        <f>IF(P21=0,0,COUNTIF(Transect5_imgsummary!E21:I21,"DISCO")*100/P21)</f>
        <v>0</v>
      </c>
      <c r="CB21">
        <f>IF(P21=0,0,COUNTIF(Transect5_imgsummary!E21:I21,"DYS")*100/P21)</f>
        <v>0</v>
      </c>
      <c r="CC21">
        <f>IF(P21=0,0,COUNTIF(Transect5_imgsummary!E21:I21,"G")*100/P21)</f>
        <v>0</v>
      </c>
      <c r="CD21">
        <f>IF(P21=0,0,COUNTIF(Transect5_imgsummary!E21:I21,"NoIDINV")*100/P21)</f>
        <v>0</v>
      </c>
      <c r="CE21">
        <f>IF(P21=0,0,COUNTIF(Transect5_imgsummary!E21:I21,"OLV")*100/P21)</f>
        <v>0</v>
      </c>
      <c r="CF21">
        <f>IF(P21=0,0,COUNTIF(Transect5_imgsummary!E21:I21,"SC")*100/P21)</f>
        <v>0</v>
      </c>
      <c r="CG21">
        <f>IF(P21=0,0,COUNTIF(Transect5_imgsummary!E21:I21,"S")*100/P21)</f>
        <v>0</v>
      </c>
      <c r="CH21">
        <f>IF(P21=0,0,COUNTIF(Transect5_imgsummary!E21:I21,"TERPS")*100/P21)</f>
        <v>0</v>
      </c>
      <c r="CI21">
        <f>IF(P21=0,0,COUNTIF(Transect5_imgsummary!E21:I21,"Z")*100/P21)</f>
        <v>0</v>
      </c>
      <c r="CK21">
        <f>IF(P21=0,0,COUNTIF(Transect5_imgsummary!E21:I21,"ASP")*100/P21)</f>
        <v>0</v>
      </c>
      <c r="CL21">
        <f>IF(P21=0,0,COUNTIF(Transect5_imgsummary!E21:I21,"BG")*100/P21)</f>
        <v>0</v>
      </c>
      <c r="CM21">
        <f>IF(P21=0,0,COUNTIF(Transect5_imgsummary!E21:I21,"Bood")*100/P21)</f>
        <v>0</v>
      </c>
      <c r="CN21">
        <f>IF(P21=0,0,COUNTIF(Transect5_imgsummary!E21:I21,"BRYP")*100/P21)</f>
        <v>0</v>
      </c>
      <c r="CO21">
        <f>IF(P21=0,0,COUNTIF(Transect5_imgsummary!E21:I21,"CLP")*100/P21)</f>
        <v>0</v>
      </c>
      <c r="CP21">
        <f>IF(P21=0,0,COUNTIF(Transect5_imgsummary!E21:I21,"CHLDES")*100/P21)</f>
        <v>0</v>
      </c>
      <c r="CQ21">
        <f>IF(P21=0,0,COUNTIF(Transect5_imgsummary!E21:I21,"DYCTY")*100/P21)</f>
        <v>0</v>
      </c>
      <c r="CR21">
        <f>IF(P21=0,0,COUNTIF(Transect5_imgsummary!E21:I21,"DICT")*100/P21)</f>
        <v>0</v>
      </c>
      <c r="CS21">
        <f>IF(P21=0,0,COUNTIF(Transect5_imgsummary!E21:I21,"GLXU")*100/P21)</f>
        <v>0</v>
      </c>
      <c r="CT21">
        <f>IF(P21=0,0,COUNTIF(Transect5_imgsummary!E21:I21,"HALI")*100/P21)</f>
        <v>0</v>
      </c>
      <c r="CU21">
        <f>IF(P21=0,0,COUNTIF(Transect5_imgsummary!E21:I21,"LIAG")*100/P21)</f>
        <v>0</v>
      </c>
      <c r="CV21">
        <f>IF(P21=0,0,COUNTIF(Transect5_imgsummary!E21:I21,"LOBO")*100/P21)</f>
        <v>0</v>
      </c>
      <c r="CW21">
        <f>IF(P21=0,0,COUNTIF(Transect5_imgsummary!E21:I21,"MAST")*100/P21)</f>
        <v>0</v>
      </c>
      <c r="CX21">
        <f>IF(P21=0,0,COUNTIF(Transect5_imgsummary!E21:I21,"MICDTY")*100/P21)</f>
        <v>0</v>
      </c>
      <c r="CY21">
        <f>IF(P21=0,0,COUNTIF(Transect5_imgsummary!E21:I21,"NEOM")*100/P21)</f>
        <v>0</v>
      </c>
      <c r="CZ21">
        <f>IF(P21=0,0,COUNTIF(Transect5_imgsummary!E21:I21,"NOIDMAC")*100/P21)</f>
        <v>0</v>
      </c>
      <c r="DA21">
        <f>IF(P21=0,0,COUNTIF(Transect5_imgsummary!E21:I21,"PAD")*100/P21)</f>
        <v>0</v>
      </c>
      <c r="DB21">
        <f>IF(P21=0,0,COUNTIF(Transect5_imgsummary!E21:I21,"SARG")*100/P21)</f>
        <v>0</v>
      </c>
      <c r="DC21">
        <f>IF(P21=0,0,COUNTIF(Transect5_imgsummary!E21:I21,"SCHIZ")*100/P21)</f>
        <v>0</v>
      </c>
      <c r="DD21">
        <f>IF(P21=0,0,COUNTIF(Transect5_imgsummary!E21:I21,"TURB")*100/P21)</f>
        <v>0</v>
      </c>
      <c r="DE21">
        <f>IF(P21=0,0,COUNTIF(Transect5_imgsummary!E21:I21,"TYDM")*100/P21)</f>
        <v>0</v>
      </c>
      <c r="DG21">
        <f>IF(P21=0,0,COUNTIF(Transect5_imgsummary!E21:I21,"AMP")*100/P21)</f>
        <v>0</v>
      </c>
      <c r="DH21" s="29">
        <f>IF(P21=0,0,COUNTIF(Transect5_imgsummary!E21:I21,"BCA1")*100/P21)</f>
        <v>20</v>
      </c>
      <c r="DI21">
        <f>IF(P21=0,0,COUNTIF(Transect5_imgsummary!E21:I21,"JAN")*100/P21)</f>
        <v>0</v>
      </c>
      <c r="DK21" s="29">
        <f>IF(P21=0,0,COUNTIF(Transect5_imgsummary!E21:I21,"CCA1")*100/P21)</f>
        <v>20</v>
      </c>
      <c r="DM21">
        <f>IF(P21=0,0,COUNTIF(Transect5_imgsummary!E21:I21,"Sand")*100/P21)</f>
        <v>0</v>
      </c>
      <c r="DO21">
        <f>IF(P21=0,0,COUNTIF(Transect5_imgsummary!E21:I21,"FCA1")*100/P21)</f>
        <v>0</v>
      </c>
      <c r="DQ21">
        <f>IF(P21=0,0,COUNTIF(Transect5_imgsummary!E21:I21,"CHRYOBRN")*100/P21)</f>
        <v>0</v>
      </c>
      <c r="DS21" s="29">
        <f>IF(P21=0,0,COUNTIF(Transect5_imgsummary!E21:I21,"TURF")*100/P21)</f>
        <v>20</v>
      </c>
      <c r="DU21">
        <f>COUNTIF(Transect5_imgsummary!E21:I21,"Shadow")*100/5</f>
        <v>0</v>
      </c>
      <c r="DV21">
        <f>COUNTIF(Transect5_imgsummary!E21:I21,"Tape")*100/5</f>
        <v>0</v>
      </c>
      <c r="DW21">
        <f>COUNTIF(Transect5_imgsummary!E21:I21,"Wand")*100/5</f>
        <v>0</v>
      </c>
      <c r="DY21">
        <f>IF(P21=0,0,COUNTIF(Transect5_imgsummary!O21:S21,"BC")*100/P21)</f>
        <v>0</v>
      </c>
    </row>
    <row r="22" spans="1:129">
      <c r="A22">
        <v>20</v>
      </c>
      <c r="B22" t="s">
        <v>617</v>
      </c>
      <c r="F22" s="29">
        <f>IF(P22=0,0,COUNTIF(Transect5_imgsummary!J22:N22,"C")*100/P22)</f>
        <v>60</v>
      </c>
      <c r="G22">
        <f>IF(P22=0,0,COUNTIF(Transect5_imgsummary!J22:N22,"OI")*100/P22)</f>
        <v>0</v>
      </c>
      <c r="H22">
        <f>IF(P22=0,0,COUNTIF(Transect5_imgsummary!J22:N22,"MA")*100/P22)</f>
        <v>0</v>
      </c>
      <c r="I22">
        <f>IF(P22=0,0,COUNTIF(Transect5_imgsummary!J22:N22,"BCA")*100/P22)</f>
        <v>0</v>
      </c>
      <c r="J22">
        <f>IF(P22=0,0,COUNTIF(Transect5_imgsummary!J22:N22,"CCA")*100/P22)</f>
        <v>0</v>
      </c>
      <c r="K22">
        <f>IF(P22=0,0,COUNTIF(Transect5_imgsummary!J22:N22,"SD")*100/P22)</f>
        <v>0</v>
      </c>
      <c r="L22">
        <f>IF(P22=0,0,COUNTIF(Transect5_imgsummary!J22:N22,"FCA")*100/P22)</f>
        <v>0</v>
      </c>
      <c r="M22">
        <f>IF(P22=0,0,COUNTIF(Transect5_imgsummary!J22:N22,"CHRYS")*100/P22)</f>
        <v>0</v>
      </c>
      <c r="N22" s="29">
        <f>IF(P22=0,0,COUNTIF(Transect5_imgsummary!J22:N22,"T")*100/P22)</f>
        <v>40</v>
      </c>
      <c r="O22">
        <f>IF(P22=0,0,COUNTIF(Transect5_imgsummary!J22:N22,"TWS")*100/P22)</f>
        <v>0</v>
      </c>
      <c r="P22">
        <f>5-COUNTIF(Transect5_imgsummary!J22:N22,"TWS")</f>
        <v>5</v>
      </c>
      <c r="S22">
        <f>IF(P22=0,0,COUNTIF(Transect5_imgsummary!E22:I22,"ACAN")*100/P22)</f>
        <v>0</v>
      </c>
      <c r="T22">
        <f>IF(P22=0,0,COUNTIF(Transect5_imgsummary!E22:I22,"ACROP")*100/P22)</f>
        <v>0</v>
      </c>
      <c r="U22">
        <f>IF(P22=0,0,COUNTIF(Transect5_imgsummary!E22:I22,"ACROPARB")*100/P22)</f>
        <v>0</v>
      </c>
      <c r="V22">
        <f>IF(P22=0,0,COUNTIF(Transect5_imgsummary!E22:I22,"ACROST")*100/P22)</f>
        <v>0</v>
      </c>
      <c r="W22">
        <f>IF(P22=0,0,COUNTIF(Transect5_imgsummary!E22:I22,"ACROTBL")*100/P22)</f>
        <v>0</v>
      </c>
      <c r="X22">
        <f>IF(P22=0,0,COUNTIF(Transect5_imgsummary!E22:I22,"ASTRP")*100/P22)</f>
        <v>0</v>
      </c>
      <c r="Y22">
        <f>IF(P22=0,0,COUNTIF(Transect5_imgsummary!E22:I22,"CAUL")*100/P22)</f>
        <v>0</v>
      </c>
      <c r="Z22">
        <f>IF(P22=0,0,COUNTIF(Transect5_imgsummary!E22:I22,"COSC")*100/P22)</f>
        <v>0</v>
      </c>
      <c r="AA22">
        <f>IF(P22=0,0,COUNTIF(Transect5_imgsummary!E22:I22,"CTEN")*100/P22)</f>
        <v>0</v>
      </c>
      <c r="AB22">
        <f>IF(P22=0,0,COUNTIF(Transect5_imgsummary!E22:I22,"CYPH")*100/P22)</f>
        <v>0</v>
      </c>
      <c r="AC22">
        <f>IF(P22=0,0,COUNTIF(Transect5_imgsummary!E22:I22,"DIPLO")*100/P22)</f>
        <v>0</v>
      </c>
      <c r="AD22" s="29">
        <f>IF(P22=0,0,COUNTIF(Transect5_imgsummary!E22:I22,"ECHPO")*100/P22)</f>
        <v>20</v>
      </c>
      <c r="AE22">
        <f>IF(P22=0,0,COUNTIF(Transect5_imgsummary!E22:I22,"ECHPHY")*100/P22)</f>
        <v>0</v>
      </c>
      <c r="AF22">
        <f>IF(P22=0,0,COUNTIF(Transect5_imgsummary!E22:I22,"EUPH")*100/P22)</f>
        <v>0</v>
      </c>
      <c r="AG22">
        <f>IF(P22=0,0,COUNTIF(Transect5_imgsummary!E22:I22,"FAV")*100/P22)</f>
        <v>0</v>
      </c>
      <c r="AH22">
        <f>IF(P22=0,0,COUNTIF(Transect5_imgsummary!E22:I22,"FAVT")*100/P22)</f>
        <v>0</v>
      </c>
      <c r="AI22">
        <f>IF(P22=0,0,COUNTIF(Transect5_imgsummary!E22:I22,"FUNG")*100/P22)</f>
        <v>0</v>
      </c>
      <c r="AJ22">
        <f>IF(P22=0,0,COUNTIF(Transect5_imgsummary!E22:I22,"GAL")*100/P22)</f>
        <v>0</v>
      </c>
      <c r="AK22">
        <f>IF(P22=0,0,COUNTIF(Transect5_imgsummary!E22:I22,"GARD")*100/P22)</f>
        <v>0</v>
      </c>
      <c r="AL22">
        <f>IF(P22=0,0,COUNTIF(Transect5_imgsummary!E22:I22,"GON")*100/P22)</f>
        <v>0</v>
      </c>
      <c r="AM22">
        <f>IF(P22=0,0,COUNTIF(Transect5_imgsummary!E22:I22,"GONIO")*100/P22)</f>
        <v>0</v>
      </c>
      <c r="AN22">
        <f>IF(P22=0,0,COUNTIF(Transect5_imgsummary!E22:I22,"HELIO")*100/P22)</f>
        <v>0</v>
      </c>
      <c r="AO22">
        <f>IF(P22=0,0,COUNTIF(Transect5_imgsummary!E22:I22,"HERP")*100/P22)</f>
        <v>0</v>
      </c>
      <c r="AP22">
        <f>IF(P22=0,0,COUNTIF(Transect5_imgsummary!E22:I22,"HYD")*100/P22)</f>
        <v>0</v>
      </c>
      <c r="AQ22">
        <f>IF(P22=0,0,COUNTIF(Transect5_imgsummary!E22:I22,"ISOP")*100/P22)</f>
        <v>0</v>
      </c>
      <c r="AR22">
        <f>IF(P22=0,0,COUNTIF(Transect5_imgsummary!E22:I22,"LEPT")*100/P22)</f>
        <v>0</v>
      </c>
      <c r="AS22">
        <f>IF(P22=0,0,COUNTIF(Transect5_imgsummary!E22:I22,"LEPTOR")*100/P22)</f>
        <v>0</v>
      </c>
      <c r="AT22">
        <f>IF(P22=0,0,COUNTIF(Transect5_imgsummary!E22:I22,"LEPTOS")*100/P22)</f>
        <v>0</v>
      </c>
      <c r="AU22">
        <f>IF(P22=0,0,COUNTIF(Transect5_imgsummary!E22:I22,"LOBOPH")*100/P22)</f>
        <v>0</v>
      </c>
      <c r="AV22" s="29">
        <f>IF(P22=0,0,COUNTIF(Transect5_imgsummary!E22:I22,"MERU")*100/P22)</f>
        <v>20</v>
      </c>
      <c r="AW22">
        <f>IF(P22=0,0,COUNTIF(Transect5_imgsummary!E22:I22,"MILL")*100/P22)</f>
        <v>0</v>
      </c>
      <c r="AX22">
        <f>IF(P22=0,0,COUNTIF(Transect5_imgsummary!E22:I22,"MONT")*100/P22)</f>
        <v>0</v>
      </c>
      <c r="AY22">
        <f>IF(P22=0,0,COUNTIF(Transect5_imgsummary!E22:I22,"MONTI")*100/P22)</f>
        <v>0</v>
      </c>
      <c r="AZ22">
        <f>IF(P22=0,0,COUNTIF(Transect5_imgsummary!E22:I22,"MYCED")*100/P22)</f>
        <v>0</v>
      </c>
      <c r="BA22">
        <f>IF(P22=0,0,COUNTIF(Transect5_imgsummary!E22:I22,"OULO")*100/P22)</f>
        <v>0</v>
      </c>
      <c r="BB22">
        <f>IF(P22=0,0,COUNTIF(Transect5_imgsummary!E22:I22,"OXYP")*100/P22)</f>
        <v>0</v>
      </c>
      <c r="BC22">
        <f>IF(P22=0,0,COUNTIF(Transect5_imgsummary!E22:I22,"PLSIA")*100/P22)</f>
        <v>0</v>
      </c>
      <c r="BD22">
        <f>IF(P22=0,0,COUNTIF(Transect5_imgsummary!E22:I22,"PACHY")*100/P22)</f>
        <v>0</v>
      </c>
      <c r="BE22">
        <f>IF(P22=0,0,COUNTIF(Transect5_imgsummary!E22:I22,"PAV")*100/P22)</f>
        <v>0</v>
      </c>
      <c r="BF22">
        <f>IF(P22=0,0,COUNTIF(Transect5_imgsummary!E22:I22,"PECT")*100/P22)</f>
        <v>0</v>
      </c>
      <c r="BG22">
        <f>IF(P22=0,0,COUNTIF(Transect5_imgsummary!E22:I22,"PHYSO")*100/P22)</f>
        <v>0</v>
      </c>
      <c r="BH22">
        <f>IF(P22=0,0,COUNTIF(Transect5_imgsummary!E22:I22,"PLAT")*100/P22)</f>
        <v>0</v>
      </c>
      <c r="BI22">
        <f>IF(P22=0,0,COUNTIF(Transect5_imgsummary!E22:I22,"PLERO")*100/P22)</f>
        <v>0</v>
      </c>
      <c r="BJ22">
        <f>IF(P22=0,0,COUNTIF(Transect5_imgsummary!E22:I22,"POC")*100/P22)</f>
        <v>0</v>
      </c>
      <c r="BK22">
        <f>IF(P22=0,0,COUNTIF(Transect5_imgsummary!E22:I22,"POR")*100/P22)</f>
        <v>0</v>
      </c>
      <c r="BL22">
        <f>IF(P22=0,0,COUNTIF(Transect5_imgsummary!E22:I22,"PORCYL")*100/P22)</f>
        <v>0</v>
      </c>
      <c r="BM22">
        <f>IF(P22=0,0,COUNTIF(Transect5_imgsummary!E22:I22,"PORMAS")*100/P22)</f>
        <v>0</v>
      </c>
      <c r="BN22">
        <f>IF(P22=0,0,COUNTIF(Transect5_imgsummary!E22:I22,"PORRUS")*100/P22)</f>
        <v>0</v>
      </c>
      <c r="BO22">
        <f>IF(P22=0,0,COUNTIF(Transect5_imgsummary!E22:I22,"PSAM")*100/P22)</f>
        <v>0</v>
      </c>
      <c r="BP22">
        <f>IF(P22=0,0,COUNTIF(Transect5_imgsummary!E22:I22,"SANDO")*100/P22)</f>
        <v>0</v>
      </c>
      <c r="BQ22">
        <f>IF(P22=0,0,COUNTIF(Transect5_imgsummary!E22:I22,"SCAP")*100/P22)</f>
        <v>0</v>
      </c>
      <c r="BR22">
        <f>IF(P22=0,0,COUNTIF(Transect5_imgsummary!E22:I22,"SERIA")*100/P22)</f>
        <v>0</v>
      </c>
      <c r="BS22">
        <f>IF(P22=0,0,COUNTIF(Transect5_imgsummary!E22:I22,"STYLC")*100/P22)</f>
        <v>0</v>
      </c>
      <c r="BT22" s="29">
        <f>IF(P22=0,0,COUNTIF(Transect5_imgsummary!E22:I22,"STYLO")*100/P22)</f>
        <v>20</v>
      </c>
      <c r="BU22">
        <f>IF(P22=0,0,COUNTIF(Transect5_imgsummary!E22:I22,"SYMP")*100/P22)</f>
        <v>0</v>
      </c>
      <c r="BV22">
        <f>IF(P22=0,0,COUNTIF(Transect5_imgsummary!E22:I22,"TURBIN")*100/P22)</f>
        <v>0</v>
      </c>
      <c r="BX22">
        <f>IF(P22=0,0,COUNTIF(Transect5_imgsummary!E22:I22,"ANEM")*100/P22)</f>
        <v>0</v>
      </c>
      <c r="BY22">
        <f>IF(P22=0,0,COUNTIF(Transect5_imgsummary!E22:I22,"ASC")*100/P22)</f>
        <v>0</v>
      </c>
      <c r="BZ22">
        <f>IF(P22=0,0,COUNTIF(Transect5_imgsummary!E22:I22,"CUPS")*100/P22)</f>
        <v>0</v>
      </c>
      <c r="CA22">
        <f>IF(P22=0,0,COUNTIF(Transect5_imgsummary!E22:I22,"DISCO")*100/P22)</f>
        <v>0</v>
      </c>
      <c r="CB22">
        <f>IF(P22=0,0,COUNTIF(Transect5_imgsummary!E22:I22,"DYS")*100/P22)</f>
        <v>0</v>
      </c>
      <c r="CC22">
        <f>IF(P22=0,0,COUNTIF(Transect5_imgsummary!E22:I22,"G")*100/P22)</f>
        <v>0</v>
      </c>
      <c r="CD22">
        <f>IF(P22=0,0,COUNTIF(Transect5_imgsummary!E22:I22,"NoIDINV")*100/P22)</f>
        <v>0</v>
      </c>
      <c r="CE22">
        <f>IF(P22=0,0,COUNTIF(Transect5_imgsummary!E22:I22,"OLV")*100/P22)</f>
        <v>0</v>
      </c>
      <c r="CF22">
        <f>IF(P22=0,0,COUNTIF(Transect5_imgsummary!E22:I22,"SC")*100/P22)</f>
        <v>0</v>
      </c>
      <c r="CG22">
        <f>IF(P22=0,0,COUNTIF(Transect5_imgsummary!E22:I22,"S")*100/P22)</f>
        <v>0</v>
      </c>
      <c r="CH22">
        <f>IF(P22=0,0,COUNTIF(Transect5_imgsummary!E22:I22,"TERPS")*100/P22)</f>
        <v>0</v>
      </c>
      <c r="CI22">
        <f>IF(P22=0,0,COUNTIF(Transect5_imgsummary!E22:I22,"Z")*100/P22)</f>
        <v>0</v>
      </c>
      <c r="CK22">
        <f>IF(P22=0,0,COUNTIF(Transect5_imgsummary!E22:I22,"ASP")*100/P22)</f>
        <v>0</v>
      </c>
      <c r="CL22">
        <f>IF(P22=0,0,COUNTIF(Transect5_imgsummary!E22:I22,"BG")*100/P22)</f>
        <v>0</v>
      </c>
      <c r="CM22">
        <f>IF(P22=0,0,COUNTIF(Transect5_imgsummary!E22:I22,"Bood")*100/P22)</f>
        <v>0</v>
      </c>
      <c r="CN22">
        <f>IF(P22=0,0,COUNTIF(Transect5_imgsummary!E22:I22,"BRYP")*100/P22)</f>
        <v>0</v>
      </c>
      <c r="CO22">
        <f>IF(P22=0,0,COUNTIF(Transect5_imgsummary!E22:I22,"CLP")*100/P22)</f>
        <v>0</v>
      </c>
      <c r="CP22">
        <f>IF(P22=0,0,COUNTIF(Transect5_imgsummary!E22:I22,"CHLDES")*100/P22)</f>
        <v>0</v>
      </c>
      <c r="CQ22">
        <f>IF(P22=0,0,COUNTIF(Transect5_imgsummary!E22:I22,"DYCTY")*100/P22)</f>
        <v>0</v>
      </c>
      <c r="CR22">
        <f>IF(P22=0,0,COUNTIF(Transect5_imgsummary!E22:I22,"DICT")*100/P22)</f>
        <v>0</v>
      </c>
      <c r="CS22">
        <f>IF(P22=0,0,COUNTIF(Transect5_imgsummary!E22:I22,"GLXU")*100/P22)</f>
        <v>0</v>
      </c>
      <c r="CT22">
        <f>IF(P22=0,0,COUNTIF(Transect5_imgsummary!E22:I22,"HALI")*100/P22)</f>
        <v>0</v>
      </c>
      <c r="CU22">
        <f>IF(P22=0,0,COUNTIF(Transect5_imgsummary!E22:I22,"LIAG")*100/P22)</f>
        <v>0</v>
      </c>
      <c r="CV22">
        <f>IF(P22=0,0,COUNTIF(Transect5_imgsummary!E22:I22,"LOBO")*100/P22)</f>
        <v>0</v>
      </c>
      <c r="CW22">
        <f>IF(P22=0,0,COUNTIF(Transect5_imgsummary!E22:I22,"MAST")*100/P22)</f>
        <v>0</v>
      </c>
      <c r="CX22">
        <f>IF(P22=0,0,COUNTIF(Transect5_imgsummary!E22:I22,"MICDTY")*100/P22)</f>
        <v>0</v>
      </c>
      <c r="CY22">
        <f>IF(P22=0,0,COUNTIF(Transect5_imgsummary!E22:I22,"NEOM")*100/P22)</f>
        <v>0</v>
      </c>
      <c r="CZ22">
        <f>IF(P22=0,0,COUNTIF(Transect5_imgsummary!E22:I22,"NOIDMAC")*100/P22)</f>
        <v>0</v>
      </c>
      <c r="DA22">
        <f>IF(P22=0,0,COUNTIF(Transect5_imgsummary!E22:I22,"PAD")*100/P22)</f>
        <v>0</v>
      </c>
      <c r="DB22">
        <f>IF(P22=0,0,COUNTIF(Transect5_imgsummary!E22:I22,"SARG")*100/P22)</f>
        <v>0</v>
      </c>
      <c r="DC22">
        <f>IF(P22=0,0,COUNTIF(Transect5_imgsummary!E22:I22,"SCHIZ")*100/P22)</f>
        <v>0</v>
      </c>
      <c r="DD22">
        <f>IF(P22=0,0,COUNTIF(Transect5_imgsummary!E22:I22,"TURB")*100/P22)</f>
        <v>0</v>
      </c>
      <c r="DE22">
        <f>IF(P22=0,0,COUNTIF(Transect5_imgsummary!E22:I22,"TYDM")*100/P22)</f>
        <v>0</v>
      </c>
      <c r="DG22">
        <f>IF(P22=0,0,COUNTIF(Transect5_imgsummary!E22:I22,"AMP")*100/P22)</f>
        <v>0</v>
      </c>
      <c r="DH22">
        <f>IF(P22=0,0,COUNTIF(Transect5_imgsummary!E22:I22,"BCA1")*100/P22)</f>
        <v>0</v>
      </c>
      <c r="DI22">
        <f>IF(P22=0,0,COUNTIF(Transect5_imgsummary!E22:I22,"JAN")*100/P22)</f>
        <v>0</v>
      </c>
      <c r="DK22">
        <f>IF(P22=0,0,COUNTIF(Transect5_imgsummary!E22:I22,"CCA1")*100/P22)</f>
        <v>0</v>
      </c>
      <c r="DM22">
        <f>IF(P22=0,0,COUNTIF(Transect5_imgsummary!E22:I22,"Sand")*100/P22)</f>
        <v>0</v>
      </c>
      <c r="DO22">
        <f>IF(P22=0,0,COUNTIF(Transect5_imgsummary!E22:I22,"FCA1")*100/P22)</f>
        <v>0</v>
      </c>
      <c r="DQ22">
        <f>IF(P22=0,0,COUNTIF(Transect5_imgsummary!E22:I22,"CHRYOBRN")*100/P22)</f>
        <v>0</v>
      </c>
      <c r="DS22" s="29">
        <f>IF(P22=0,0,COUNTIF(Transect5_imgsummary!E22:I22,"TURF")*100/P22)</f>
        <v>40</v>
      </c>
      <c r="DU22">
        <f>COUNTIF(Transect5_imgsummary!E22:I22,"Shadow")*100/5</f>
        <v>0</v>
      </c>
      <c r="DV22">
        <f>COUNTIF(Transect5_imgsummary!E22:I22,"Tape")*100/5</f>
        <v>0</v>
      </c>
      <c r="DW22">
        <f>COUNTIF(Transect5_imgsummary!E22:I22,"Wand")*100/5</f>
        <v>0</v>
      </c>
      <c r="DY22">
        <f>IF(P22=0,0,COUNTIF(Transect5_imgsummary!O22:S22,"BC")*100/P22)</f>
        <v>0</v>
      </c>
    </row>
    <row r="23" spans="1:129">
      <c r="A23">
        <v>21</v>
      </c>
      <c r="B23" t="s">
        <v>618</v>
      </c>
      <c r="F23" s="29">
        <f>IF(P23=0,0,COUNTIF(Transect5_imgsummary!J23:N23,"C")*100/P23)</f>
        <v>40</v>
      </c>
      <c r="G23">
        <f>IF(P23=0,0,COUNTIF(Transect5_imgsummary!J23:N23,"OI")*100/P23)</f>
        <v>0</v>
      </c>
      <c r="H23">
        <f>IF(P23=0,0,COUNTIF(Transect5_imgsummary!J23:N23,"MA")*100/P23)</f>
        <v>0</v>
      </c>
      <c r="I23">
        <f>IF(P23=0,0,COUNTIF(Transect5_imgsummary!J23:N23,"BCA")*100/P23)</f>
        <v>0</v>
      </c>
      <c r="J23" s="29">
        <f>IF(P23=0,0,COUNTIF(Transect5_imgsummary!J23:N23,"CCA")*100/P23)</f>
        <v>20</v>
      </c>
      <c r="K23">
        <f>IF(P23=0,0,COUNTIF(Transect5_imgsummary!J23:N23,"SD")*100/P23)</f>
        <v>0</v>
      </c>
      <c r="L23" s="29">
        <f>IF(P23=0,0,COUNTIF(Transect5_imgsummary!J23:N23,"FCA")*100/P23)</f>
        <v>40</v>
      </c>
      <c r="M23">
        <f>IF(P23=0,0,COUNTIF(Transect5_imgsummary!J23:N23,"CHRYS")*100/P23)</f>
        <v>0</v>
      </c>
      <c r="N23">
        <f>IF(P23=0,0,COUNTIF(Transect5_imgsummary!J23:N23,"T")*100/P23)</f>
        <v>0</v>
      </c>
      <c r="O23">
        <f>IF(P23=0,0,COUNTIF(Transect5_imgsummary!J23:N23,"TWS")*100/P23)</f>
        <v>0</v>
      </c>
      <c r="P23">
        <f>5-COUNTIF(Transect5_imgsummary!J23:N23,"TWS")</f>
        <v>5</v>
      </c>
      <c r="S23">
        <f>IF(P23=0,0,COUNTIF(Transect5_imgsummary!E23:I23,"ACAN")*100/P23)</f>
        <v>0</v>
      </c>
      <c r="T23">
        <f>IF(P23=0,0,COUNTIF(Transect5_imgsummary!E23:I23,"ACROP")*100/P23)</f>
        <v>0</v>
      </c>
      <c r="U23">
        <f>IF(P23=0,0,COUNTIF(Transect5_imgsummary!E23:I23,"ACROPARB")*100/P23)</f>
        <v>0</v>
      </c>
      <c r="V23">
        <f>IF(P23=0,0,COUNTIF(Transect5_imgsummary!E23:I23,"ACROST")*100/P23)</f>
        <v>0</v>
      </c>
      <c r="W23">
        <f>IF(P23=0,0,COUNTIF(Transect5_imgsummary!E23:I23,"ACROTBL")*100/P23)</f>
        <v>0</v>
      </c>
      <c r="X23">
        <f>IF(P23=0,0,COUNTIF(Transect5_imgsummary!E23:I23,"ASTRP")*100/P23)</f>
        <v>0</v>
      </c>
      <c r="Y23">
        <f>IF(P23=0,0,COUNTIF(Transect5_imgsummary!E23:I23,"CAUL")*100/P23)</f>
        <v>0</v>
      </c>
      <c r="Z23">
        <f>IF(P23=0,0,COUNTIF(Transect5_imgsummary!E23:I23,"COSC")*100/P23)</f>
        <v>0</v>
      </c>
      <c r="AA23">
        <f>IF(P23=0,0,COUNTIF(Transect5_imgsummary!E23:I23,"CTEN")*100/P23)</f>
        <v>0</v>
      </c>
      <c r="AB23">
        <f>IF(P23=0,0,COUNTIF(Transect5_imgsummary!E23:I23,"CYPH")*100/P23)</f>
        <v>0</v>
      </c>
      <c r="AC23">
        <f>IF(P23=0,0,COUNTIF(Transect5_imgsummary!E23:I23,"DIPLO")*100/P23)</f>
        <v>0</v>
      </c>
      <c r="AD23">
        <f>IF(P23=0,0,COUNTIF(Transect5_imgsummary!E23:I23,"ECHPO")*100/P23)</f>
        <v>0</v>
      </c>
      <c r="AE23">
        <f>IF(P23=0,0,COUNTIF(Transect5_imgsummary!E23:I23,"ECHPHY")*100/P23)</f>
        <v>0</v>
      </c>
      <c r="AF23">
        <f>IF(P23=0,0,COUNTIF(Transect5_imgsummary!E23:I23,"EUPH")*100/P23)</f>
        <v>0</v>
      </c>
      <c r="AG23">
        <f>IF(P23=0,0,COUNTIF(Transect5_imgsummary!E23:I23,"FAV")*100/P23)</f>
        <v>0</v>
      </c>
      <c r="AH23">
        <f>IF(P23=0,0,COUNTIF(Transect5_imgsummary!E23:I23,"FAVT")*100/P23)</f>
        <v>0</v>
      </c>
      <c r="AI23">
        <f>IF(P23=0,0,COUNTIF(Transect5_imgsummary!E23:I23,"FUNG")*100/P23)</f>
        <v>0</v>
      </c>
      <c r="AJ23">
        <f>IF(P23=0,0,COUNTIF(Transect5_imgsummary!E23:I23,"GAL")*100/P23)</f>
        <v>0</v>
      </c>
      <c r="AK23">
        <f>IF(P23=0,0,COUNTIF(Transect5_imgsummary!E23:I23,"GARD")*100/P23)</f>
        <v>0</v>
      </c>
      <c r="AL23">
        <f>IF(P23=0,0,COUNTIF(Transect5_imgsummary!E23:I23,"GON")*100/P23)</f>
        <v>0</v>
      </c>
      <c r="AM23">
        <f>IF(P23=0,0,COUNTIF(Transect5_imgsummary!E23:I23,"GONIO")*100/P23)</f>
        <v>0</v>
      </c>
      <c r="AN23">
        <f>IF(P23=0,0,COUNTIF(Transect5_imgsummary!E23:I23,"HELIO")*100/P23)</f>
        <v>0</v>
      </c>
      <c r="AO23">
        <f>IF(P23=0,0,COUNTIF(Transect5_imgsummary!E23:I23,"HERP")*100/P23)</f>
        <v>0</v>
      </c>
      <c r="AP23">
        <f>IF(P23=0,0,COUNTIF(Transect5_imgsummary!E23:I23,"HYD")*100/P23)</f>
        <v>0</v>
      </c>
      <c r="AQ23">
        <f>IF(P23=0,0,COUNTIF(Transect5_imgsummary!E23:I23,"ISOP")*100/P23)</f>
        <v>0</v>
      </c>
      <c r="AR23">
        <f>IF(P23=0,0,COUNTIF(Transect5_imgsummary!E23:I23,"LEPT")*100/P23)</f>
        <v>0</v>
      </c>
      <c r="AS23">
        <f>IF(P23=0,0,COUNTIF(Transect5_imgsummary!E23:I23,"LEPTOR")*100/P23)</f>
        <v>0</v>
      </c>
      <c r="AT23">
        <f>IF(P23=0,0,COUNTIF(Transect5_imgsummary!E23:I23,"LEPTOS")*100/P23)</f>
        <v>0</v>
      </c>
      <c r="AU23">
        <f>IF(P23=0,0,COUNTIF(Transect5_imgsummary!E23:I23,"LOBOPH")*100/P23)</f>
        <v>0</v>
      </c>
      <c r="AV23" s="29">
        <f>IF(P23=0,0,COUNTIF(Transect5_imgsummary!E23:I23,"MERU")*100/P23)</f>
        <v>40</v>
      </c>
      <c r="AW23">
        <f>IF(P23=0,0,COUNTIF(Transect5_imgsummary!E23:I23,"MILL")*100/P23)</f>
        <v>0</v>
      </c>
      <c r="AX23">
        <f>IF(P23=0,0,COUNTIF(Transect5_imgsummary!E23:I23,"MONT")*100/P23)</f>
        <v>0</v>
      </c>
      <c r="AY23">
        <f>IF(P23=0,0,COUNTIF(Transect5_imgsummary!E23:I23,"MONTI")*100/P23)</f>
        <v>0</v>
      </c>
      <c r="AZ23">
        <f>IF(P23=0,0,COUNTIF(Transect5_imgsummary!E23:I23,"MYCED")*100/P23)</f>
        <v>0</v>
      </c>
      <c r="BA23">
        <f>IF(P23=0,0,COUNTIF(Transect5_imgsummary!E23:I23,"OULO")*100/P23)</f>
        <v>0</v>
      </c>
      <c r="BB23">
        <f>IF(P23=0,0,COUNTIF(Transect5_imgsummary!E23:I23,"OXYP")*100/P23)</f>
        <v>0</v>
      </c>
      <c r="BC23">
        <f>IF(P23=0,0,COUNTIF(Transect5_imgsummary!E23:I23,"PLSIA")*100/P23)</f>
        <v>0</v>
      </c>
      <c r="BD23">
        <f>IF(P23=0,0,COUNTIF(Transect5_imgsummary!E23:I23,"PACHY")*100/P23)</f>
        <v>0</v>
      </c>
      <c r="BE23">
        <f>IF(P23=0,0,COUNTIF(Transect5_imgsummary!E23:I23,"PAV")*100/P23)</f>
        <v>0</v>
      </c>
      <c r="BF23">
        <f>IF(P23=0,0,COUNTIF(Transect5_imgsummary!E23:I23,"PECT")*100/P23)</f>
        <v>0</v>
      </c>
      <c r="BG23">
        <f>IF(P23=0,0,COUNTIF(Transect5_imgsummary!E23:I23,"PHYSO")*100/P23)</f>
        <v>0</v>
      </c>
      <c r="BH23">
        <f>IF(P23=0,0,COUNTIF(Transect5_imgsummary!E23:I23,"PLAT")*100/P23)</f>
        <v>0</v>
      </c>
      <c r="BI23">
        <f>IF(P23=0,0,COUNTIF(Transect5_imgsummary!E23:I23,"PLERO")*100/P23)</f>
        <v>0</v>
      </c>
      <c r="BJ23">
        <f>IF(P23=0,0,COUNTIF(Transect5_imgsummary!E23:I23,"POC")*100/P23)</f>
        <v>0</v>
      </c>
      <c r="BK23">
        <f>IF(P23=0,0,COUNTIF(Transect5_imgsummary!E23:I23,"POR")*100/P23)</f>
        <v>0</v>
      </c>
      <c r="BL23">
        <f>IF(P23=0,0,COUNTIF(Transect5_imgsummary!E23:I23,"PORCYL")*100/P23)</f>
        <v>0</v>
      </c>
      <c r="BM23">
        <f>IF(P23=0,0,COUNTIF(Transect5_imgsummary!E23:I23,"PORMAS")*100/P23)</f>
        <v>0</v>
      </c>
      <c r="BN23">
        <f>IF(P23=0,0,COUNTIF(Transect5_imgsummary!E23:I23,"PORRUS")*100/P23)</f>
        <v>0</v>
      </c>
      <c r="BO23">
        <f>IF(P23=0,0,COUNTIF(Transect5_imgsummary!E23:I23,"PSAM")*100/P23)</f>
        <v>0</v>
      </c>
      <c r="BP23">
        <f>IF(P23=0,0,COUNTIF(Transect5_imgsummary!E23:I23,"SANDO")*100/P23)</f>
        <v>0</v>
      </c>
      <c r="BQ23">
        <f>IF(P23=0,0,COUNTIF(Transect5_imgsummary!E23:I23,"SCAP")*100/P23)</f>
        <v>0</v>
      </c>
      <c r="BR23">
        <f>IF(P23=0,0,COUNTIF(Transect5_imgsummary!E23:I23,"SERIA")*100/P23)</f>
        <v>0</v>
      </c>
      <c r="BS23">
        <f>IF(P23=0,0,COUNTIF(Transect5_imgsummary!E23:I23,"STYLC")*100/P23)</f>
        <v>0</v>
      </c>
      <c r="BT23">
        <f>IF(P23=0,0,COUNTIF(Transect5_imgsummary!E23:I23,"STYLO")*100/P23)</f>
        <v>0</v>
      </c>
      <c r="BU23">
        <f>IF(P23=0,0,COUNTIF(Transect5_imgsummary!E23:I23,"SYMP")*100/P23)</f>
        <v>0</v>
      </c>
      <c r="BV23">
        <f>IF(P23=0,0,COUNTIF(Transect5_imgsummary!E23:I23,"TURBIN")*100/P23)</f>
        <v>0</v>
      </c>
      <c r="BX23">
        <f>IF(P23=0,0,COUNTIF(Transect5_imgsummary!E23:I23,"ANEM")*100/P23)</f>
        <v>0</v>
      </c>
      <c r="BY23">
        <f>IF(P23=0,0,COUNTIF(Transect5_imgsummary!E23:I23,"ASC")*100/P23)</f>
        <v>0</v>
      </c>
      <c r="BZ23">
        <f>IF(P23=0,0,COUNTIF(Transect5_imgsummary!E23:I23,"CUPS")*100/P23)</f>
        <v>0</v>
      </c>
      <c r="CA23">
        <f>IF(P23=0,0,COUNTIF(Transect5_imgsummary!E23:I23,"DISCO")*100/P23)</f>
        <v>0</v>
      </c>
      <c r="CB23">
        <f>IF(P23=0,0,COUNTIF(Transect5_imgsummary!E23:I23,"DYS")*100/P23)</f>
        <v>0</v>
      </c>
      <c r="CC23">
        <f>IF(P23=0,0,COUNTIF(Transect5_imgsummary!E23:I23,"G")*100/P23)</f>
        <v>0</v>
      </c>
      <c r="CD23">
        <f>IF(P23=0,0,COUNTIF(Transect5_imgsummary!E23:I23,"NoIDINV")*100/P23)</f>
        <v>0</v>
      </c>
      <c r="CE23">
        <f>IF(P23=0,0,COUNTIF(Transect5_imgsummary!E23:I23,"OLV")*100/P23)</f>
        <v>0</v>
      </c>
      <c r="CF23">
        <f>IF(P23=0,0,COUNTIF(Transect5_imgsummary!E23:I23,"SC")*100/P23)</f>
        <v>0</v>
      </c>
      <c r="CG23">
        <f>IF(P23=0,0,COUNTIF(Transect5_imgsummary!E23:I23,"S")*100/P23)</f>
        <v>0</v>
      </c>
      <c r="CH23">
        <f>IF(P23=0,0,COUNTIF(Transect5_imgsummary!E23:I23,"TERPS")*100/P23)</f>
        <v>0</v>
      </c>
      <c r="CI23">
        <f>IF(P23=0,0,COUNTIF(Transect5_imgsummary!E23:I23,"Z")*100/P23)</f>
        <v>0</v>
      </c>
      <c r="CK23">
        <f>IF(P23=0,0,COUNTIF(Transect5_imgsummary!E23:I23,"ASP")*100/P23)</f>
        <v>0</v>
      </c>
      <c r="CL23">
        <f>IF(P23=0,0,COUNTIF(Transect5_imgsummary!E23:I23,"BG")*100/P23)</f>
        <v>0</v>
      </c>
      <c r="CM23">
        <f>IF(P23=0,0,COUNTIF(Transect5_imgsummary!E23:I23,"Bood")*100/P23)</f>
        <v>0</v>
      </c>
      <c r="CN23">
        <f>IF(P23=0,0,COUNTIF(Transect5_imgsummary!E23:I23,"BRYP")*100/P23)</f>
        <v>0</v>
      </c>
      <c r="CO23">
        <f>IF(P23=0,0,COUNTIF(Transect5_imgsummary!E23:I23,"CLP")*100/P23)</f>
        <v>0</v>
      </c>
      <c r="CP23">
        <f>IF(P23=0,0,COUNTIF(Transect5_imgsummary!E23:I23,"CHLDES")*100/P23)</f>
        <v>0</v>
      </c>
      <c r="CQ23">
        <f>IF(P23=0,0,COUNTIF(Transect5_imgsummary!E23:I23,"DYCTY")*100/P23)</f>
        <v>0</v>
      </c>
      <c r="CR23">
        <f>IF(P23=0,0,COUNTIF(Transect5_imgsummary!E23:I23,"DICT")*100/P23)</f>
        <v>0</v>
      </c>
      <c r="CS23">
        <f>IF(P23=0,0,COUNTIF(Transect5_imgsummary!E23:I23,"GLXU")*100/P23)</f>
        <v>0</v>
      </c>
      <c r="CT23">
        <f>IF(P23=0,0,COUNTIF(Transect5_imgsummary!E23:I23,"HALI")*100/P23)</f>
        <v>0</v>
      </c>
      <c r="CU23">
        <f>IF(P23=0,0,COUNTIF(Transect5_imgsummary!E23:I23,"LIAG")*100/P23)</f>
        <v>0</v>
      </c>
      <c r="CV23">
        <f>IF(P23=0,0,COUNTIF(Transect5_imgsummary!E23:I23,"LOBO")*100/P23)</f>
        <v>0</v>
      </c>
      <c r="CW23">
        <f>IF(P23=0,0,COUNTIF(Transect5_imgsummary!E23:I23,"MAST")*100/P23)</f>
        <v>0</v>
      </c>
      <c r="CX23">
        <f>IF(P23=0,0,COUNTIF(Transect5_imgsummary!E23:I23,"MICDTY")*100/P23)</f>
        <v>0</v>
      </c>
      <c r="CY23">
        <f>IF(P23=0,0,COUNTIF(Transect5_imgsummary!E23:I23,"NEOM")*100/P23)</f>
        <v>0</v>
      </c>
      <c r="CZ23">
        <f>IF(P23=0,0,COUNTIF(Transect5_imgsummary!E23:I23,"NOIDMAC")*100/P23)</f>
        <v>0</v>
      </c>
      <c r="DA23">
        <f>IF(P23=0,0,COUNTIF(Transect5_imgsummary!E23:I23,"PAD")*100/P23)</f>
        <v>0</v>
      </c>
      <c r="DB23">
        <f>IF(P23=0,0,COUNTIF(Transect5_imgsummary!E23:I23,"SARG")*100/P23)</f>
        <v>0</v>
      </c>
      <c r="DC23">
        <f>IF(P23=0,0,COUNTIF(Transect5_imgsummary!E23:I23,"SCHIZ")*100/P23)</f>
        <v>0</v>
      </c>
      <c r="DD23">
        <f>IF(P23=0,0,COUNTIF(Transect5_imgsummary!E23:I23,"TURB")*100/P23)</f>
        <v>0</v>
      </c>
      <c r="DE23">
        <f>IF(P23=0,0,COUNTIF(Transect5_imgsummary!E23:I23,"TYDM")*100/P23)</f>
        <v>0</v>
      </c>
      <c r="DG23">
        <f>IF(P23=0,0,COUNTIF(Transect5_imgsummary!E23:I23,"AMP")*100/P23)</f>
        <v>0</v>
      </c>
      <c r="DH23">
        <f>IF(P23=0,0,COUNTIF(Transect5_imgsummary!E23:I23,"BCA1")*100/P23)</f>
        <v>0</v>
      </c>
      <c r="DI23">
        <f>IF(P23=0,0,COUNTIF(Transect5_imgsummary!E23:I23,"JAN")*100/P23)</f>
        <v>0</v>
      </c>
      <c r="DK23" s="29">
        <f>IF(P23=0,0,COUNTIF(Transect5_imgsummary!E23:I23,"CCA1")*100/P23)</f>
        <v>20</v>
      </c>
      <c r="DM23">
        <f>IF(P23=0,0,COUNTIF(Transect5_imgsummary!E23:I23,"Sand")*100/P23)</f>
        <v>0</v>
      </c>
      <c r="DO23" s="29">
        <f>IF(P23=0,0,COUNTIF(Transect5_imgsummary!E23:I23,"FCA1")*100/P23)</f>
        <v>40</v>
      </c>
      <c r="DQ23">
        <f>IF(P23=0,0,COUNTIF(Transect5_imgsummary!E23:I23,"CHRYOBRN")*100/P23)</f>
        <v>0</v>
      </c>
      <c r="DS23">
        <f>IF(P23=0,0,COUNTIF(Transect5_imgsummary!E23:I23,"TURF")*100/P23)</f>
        <v>0</v>
      </c>
      <c r="DU23">
        <f>COUNTIF(Transect5_imgsummary!E23:I23,"Shadow")*100/5</f>
        <v>0</v>
      </c>
      <c r="DV23">
        <f>COUNTIF(Transect5_imgsummary!E23:I23,"Tape")*100/5</f>
        <v>0</v>
      </c>
      <c r="DW23">
        <f>COUNTIF(Transect5_imgsummary!E23:I23,"Wand")*100/5</f>
        <v>0</v>
      </c>
      <c r="DY23">
        <f>IF(P23=0,0,COUNTIF(Transect5_imgsummary!O23:S23,"BC")*100/P23)</f>
        <v>0</v>
      </c>
    </row>
    <row r="24" spans="1:129">
      <c r="A24">
        <v>22</v>
      </c>
      <c r="B24" t="s">
        <v>619</v>
      </c>
      <c r="F24" s="29">
        <f>IF(P24=0,0,COUNTIF(Transect5_imgsummary!J24:N24,"C")*100/P24)</f>
        <v>40</v>
      </c>
      <c r="G24">
        <f>IF(P24=0,0,COUNTIF(Transect5_imgsummary!J24:N24,"OI")*100/P24)</f>
        <v>0</v>
      </c>
      <c r="H24">
        <f>IF(P24=0,0,COUNTIF(Transect5_imgsummary!J24:N24,"MA")*100/P24)</f>
        <v>0</v>
      </c>
      <c r="I24">
        <f>IF(P24=0,0,COUNTIF(Transect5_imgsummary!J24:N24,"BCA")*100/P24)</f>
        <v>0</v>
      </c>
      <c r="J24" s="29">
        <f>IF(P24=0,0,COUNTIF(Transect5_imgsummary!J24:N24,"CCA")*100/P24)</f>
        <v>40</v>
      </c>
      <c r="K24">
        <f>IF(P24=0,0,COUNTIF(Transect5_imgsummary!J24:N24,"SD")*100/P24)</f>
        <v>0</v>
      </c>
      <c r="L24">
        <f>IF(P24=0,0,COUNTIF(Transect5_imgsummary!J24:N24,"FCA")*100/P24)</f>
        <v>0</v>
      </c>
      <c r="M24">
        <f>IF(P24=0,0,COUNTIF(Transect5_imgsummary!J24:N24,"CHRYS")*100/P24)</f>
        <v>0</v>
      </c>
      <c r="N24" s="29">
        <f>IF(P24=0,0,COUNTIF(Transect5_imgsummary!J24:N24,"T")*100/P24)</f>
        <v>20</v>
      </c>
      <c r="O24">
        <f>IF(P24=0,0,COUNTIF(Transect5_imgsummary!J24:N24,"TWS")*100/P24)</f>
        <v>0</v>
      </c>
      <c r="P24">
        <f>5-COUNTIF(Transect5_imgsummary!J24:N24,"TWS")</f>
        <v>5</v>
      </c>
      <c r="S24">
        <f>IF(P24=0,0,COUNTIF(Transect5_imgsummary!E24:I24,"ACAN")*100/P24)</f>
        <v>0</v>
      </c>
      <c r="T24">
        <f>IF(P24=0,0,COUNTIF(Transect5_imgsummary!E24:I24,"ACROP")*100/P24)</f>
        <v>0</v>
      </c>
      <c r="U24">
        <f>IF(P24=0,0,COUNTIF(Transect5_imgsummary!E24:I24,"ACROPARB")*100/P24)</f>
        <v>0</v>
      </c>
      <c r="V24">
        <f>IF(P24=0,0,COUNTIF(Transect5_imgsummary!E24:I24,"ACROST")*100/P24)</f>
        <v>0</v>
      </c>
      <c r="W24">
        <f>IF(P24=0,0,COUNTIF(Transect5_imgsummary!E24:I24,"ACROTBL")*100/P24)</f>
        <v>0</v>
      </c>
      <c r="X24">
        <f>IF(P24=0,0,COUNTIF(Transect5_imgsummary!E24:I24,"ASTRP")*100/P24)</f>
        <v>0</v>
      </c>
      <c r="Y24">
        <f>IF(P24=0,0,COUNTIF(Transect5_imgsummary!E24:I24,"CAUL")*100/P24)</f>
        <v>0</v>
      </c>
      <c r="Z24">
        <f>IF(P24=0,0,COUNTIF(Transect5_imgsummary!E24:I24,"COSC")*100/P24)</f>
        <v>0</v>
      </c>
      <c r="AA24">
        <f>IF(P24=0,0,COUNTIF(Transect5_imgsummary!E24:I24,"CTEN")*100/P24)</f>
        <v>0</v>
      </c>
      <c r="AB24">
        <f>IF(P24=0,0,COUNTIF(Transect5_imgsummary!E24:I24,"CYPH")*100/P24)</f>
        <v>0</v>
      </c>
      <c r="AC24">
        <f>IF(P24=0,0,COUNTIF(Transect5_imgsummary!E24:I24,"DIPLO")*100/P24)</f>
        <v>0</v>
      </c>
      <c r="AD24">
        <f>IF(P24=0,0,COUNTIF(Transect5_imgsummary!E24:I24,"ECHPO")*100/P24)</f>
        <v>0</v>
      </c>
      <c r="AE24">
        <f>IF(P24=0,0,COUNTIF(Transect5_imgsummary!E24:I24,"ECHPHY")*100/P24)</f>
        <v>0</v>
      </c>
      <c r="AF24">
        <f>IF(P24=0,0,COUNTIF(Transect5_imgsummary!E24:I24,"EUPH")*100/P24)</f>
        <v>0</v>
      </c>
      <c r="AG24">
        <f>IF(P24=0,0,COUNTIF(Transect5_imgsummary!E24:I24,"FAV")*100/P24)</f>
        <v>0</v>
      </c>
      <c r="AH24">
        <f>IF(P24=0,0,COUNTIF(Transect5_imgsummary!E24:I24,"FAVT")*100/P24)</f>
        <v>0</v>
      </c>
      <c r="AI24">
        <f>IF(P24=0,0,COUNTIF(Transect5_imgsummary!E24:I24,"FUNG")*100/P24)</f>
        <v>0</v>
      </c>
      <c r="AJ24">
        <f>IF(P24=0,0,COUNTIF(Transect5_imgsummary!E24:I24,"GAL")*100/P24)</f>
        <v>0</v>
      </c>
      <c r="AK24">
        <f>IF(P24=0,0,COUNTIF(Transect5_imgsummary!E24:I24,"GARD")*100/P24)</f>
        <v>0</v>
      </c>
      <c r="AL24">
        <f>IF(P24=0,0,COUNTIF(Transect5_imgsummary!E24:I24,"GON")*100/P24)</f>
        <v>0</v>
      </c>
      <c r="AM24">
        <f>IF(P24=0,0,COUNTIF(Transect5_imgsummary!E24:I24,"GONIO")*100/P24)</f>
        <v>0</v>
      </c>
      <c r="AN24">
        <f>IF(P24=0,0,COUNTIF(Transect5_imgsummary!E24:I24,"HELIO")*100/P24)</f>
        <v>0</v>
      </c>
      <c r="AO24">
        <f>IF(P24=0,0,COUNTIF(Transect5_imgsummary!E24:I24,"HERP")*100/P24)</f>
        <v>0</v>
      </c>
      <c r="AP24">
        <f>IF(P24=0,0,COUNTIF(Transect5_imgsummary!E24:I24,"HYD")*100/P24)</f>
        <v>0</v>
      </c>
      <c r="AQ24">
        <f>IF(P24=0,0,COUNTIF(Transect5_imgsummary!E24:I24,"ISOP")*100/P24)</f>
        <v>0</v>
      </c>
      <c r="AR24">
        <f>IF(P24=0,0,COUNTIF(Transect5_imgsummary!E24:I24,"LEPT")*100/P24)</f>
        <v>0</v>
      </c>
      <c r="AS24">
        <f>IF(P24=0,0,COUNTIF(Transect5_imgsummary!E24:I24,"LEPTOR")*100/P24)</f>
        <v>0</v>
      </c>
      <c r="AT24">
        <f>IF(P24=0,0,COUNTIF(Transect5_imgsummary!E24:I24,"LEPTOS")*100/P24)</f>
        <v>0</v>
      </c>
      <c r="AU24">
        <f>IF(P24=0,0,COUNTIF(Transect5_imgsummary!E24:I24,"LOBOPH")*100/P24)</f>
        <v>0</v>
      </c>
      <c r="AV24" s="29">
        <f>IF(P24=0,0,COUNTIF(Transect5_imgsummary!E24:I24,"MERU")*100/P24)</f>
        <v>20</v>
      </c>
      <c r="AW24" s="29">
        <f>IF(P24=0,0,COUNTIF(Transect5_imgsummary!E24:I24,"MILL")*100/P24)</f>
        <v>20</v>
      </c>
      <c r="AX24">
        <f>IF(P24=0,0,COUNTIF(Transect5_imgsummary!E24:I24,"MONT")*100/P24)</f>
        <v>0</v>
      </c>
      <c r="AY24">
        <f>IF(P24=0,0,COUNTIF(Transect5_imgsummary!E24:I24,"MONTI")*100/P24)</f>
        <v>0</v>
      </c>
      <c r="AZ24">
        <f>IF(P24=0,0,COUNTIF(Transect5_imgsummary!E24:I24,"MYCED")*100/P24)</f>
        <v>0</v>
      </c>
      <c r="BA24">
        <f>IF(P24=0,0,COUNTIF(Transect5_imgsummary!E24:I24,"OULO")*100/P24)</f>
        <v>0</v>
      </c>
      <c r="BB24">
        <f>IF(P24=0,0,COUNTIF(Transect5_imgsummary!E24:I24,"OXYP")*100/P24)</f>
        <v>0</v>
      </c>
      <c r="BC24">
        <f>IF(P24=0,0,COUNTIF(Transect5_imgsummary!E24:I24,"PLSIA")*100/P24)</f>
        <v>0</v>
      </c>
      <c r="BD24">
        <f>IF(P24=0,0,COUNTIF(Transect5_imgsummary!E24:I24,"PACHY")*100/P24)</f>
        <v>0</v>
      </c>
      <c r="BE24">
        <f>IF(P24=0,0,COUNTIF(Transect5_imgsummary!E24:I24,"PAV")*100/P24)</f>
        <v>0</v>
      </c>
      <c r="BF24">
        <f>IF(P24=0,0,COUNTIF(Transect5_imgsummary!E24:I24,"PECT")*100/P24)</f>
        <v>0</v>
      </c>
      <c r="BG24">
        <f>IF(P24=0,0,COUNTIF(Transect5_imgsummary!E24:I24,"PHYSO")*100/P24)</f>
        <v>0</v>
      </c>
      <c r="BH24">
        <f>IF(P24=0,0,COUNTIF(Transect5_imgsummary!E24:I24,"PLAT")*100/P24)</f>
        <v>0</v>
      </c>
      <c r="BI24">
        <f>IF(P24=0,0,COUNTIF(Transect5_imgsummary!E24:I24,"PLERO")*100/P24)</f>
        <v>0</v>
      </c>
      <c r="BJ24">
        <f>IF(P24=0,0,COUNTIF(Transect5_imgsummary!E24:I24,"POC")*100/P24)</f>
        <v>0</v>
      </c>
      <c r="BK24">
        <f>IF(P24=0,0,COUNTIF(Transect5_imgsummary!E24:I24,"POR")*100/P24)</f>
        <v>0</v>
      </c>
      <c r="BL24">
        <f>IF(P24=0,0,COUNTIF(Transect5_imgsummary!E24:I24,"PORCYL")*100/P24)</f>
        <v>0</v>
      </c>
      <c r="BM24">
        <f>IF(P24=0,0,COUNTIF(Transect5_imgsummary!E24:I24,"PORMAS")*100/P24)</f>
        <v>0</v>
      </c>
      <c r="BN24">
        <f>IF(P24=0,0,COUNTIF(Transect5_imgsummary!E24:I24,"PORRUS")*100/P24)</f>
        <v>0</v>
      </c>
      <c r="BO24">
        <f>IF(P24=0,0,COUNTIF(Transect5_imgsummary!E24:I24,"PSAM")*100/P24)</f>
        <v>0</v>
      </c>
      <c r="BP24">
        <f>IF(P24=0,0,COUNTIF(Transect5_imgsummary!E24:I24,"SANDO")*100/P24)</f>
        <v>0</v>
      </c>
      <c r="BQ24">
        <f>IF(P24=0,0,COUNTIF(Transect5_imgsummary!E24:I24,"SCAP")*100/P24)</f>
        <v>0</v>
      </c>
      <c r="BR24">
        <f>IF(P24=0,0,COUNTIF(Transect5_imgsummary!E24:I24,"SERIA")*100/P24)</f>
        <v>0</v>
      </c>
      <c r="BS24">
        <f>IF(P24=0,0,COUNTIF(Transect5_imgsummary!E24:I24,"STYLC")*100/P24)</f>
        <v>0</v>
      </c>
      <c r="BT24">
        <f>IF(P24=0,0,COUNTIF(Transect5_imgsummary!E24:I24,"STYLO")*100/P24)</f>
        <v>0</v>
      </c>
      <c r="BU24">
        <f>IF(P24=0,0,COUNTIF(Transect5_imgsummary!E24:I24,"SYMP")*100/P24)</f>
        <v>0</v>
      </c>
      <c r="BV24">
        <f>IF(P24=0,0,COUNTIF(Transect5_imgsummary!E24:I24,"TURBIN")*100/P24)</f>
        <v>0</v>
      </c>
      <c r="BX24">
        <f>IF(P24=0,0,COUNTIF(Transect5_imgsummary!E24:I24,"ANEM")*100/P24)</f>
        <v>0</v>
      </c>
      <c r="BY24">
        <f>IF(P24=0,0,COUNTIF(Transect5_imgsummary!E24:I24,"ASC")*100/P24)</f>
        <v>0</v>
      </c>
      <c r="BZ24">
        <f>IF(P24=0,0,COUNTIF(Transect5_imgsummary!E24:I24,"CUPS")*100/P24)</f>
        <v>0</v>
      </c>
      <c r="CA24">
        <f>IF(P24=0,0,COUNTIF(Transect5_imgsummary!E24:I24,"DISCO")*100/P24)</f>
        <v>0</v>
      </c>
      <c r="CB24">
        <f>IF(P24=0,0,COUNTIF(Transect5_imgsummary!E24:I24,"DYS")*100/P24)</f>
        <v>0</v>
      </c>
      <c r="CC24">
        <f>IF(P24=0,0,COUNTIF(Transect5_imgsummary!E24:I24,"G")*100/P24)</f>
        <v>0</v>
      </c>
      <c r="CD24">
        <f>IF(P24=0,0,COUNTIF(Transect5_imgsummary!E24:I24,"NoIDINV")*100/P24)</f>
        <v>0</v>
      </c>
      <c r="CE24">
        <f>IF(P24=0,0,COUNTIF(Transect5_imgsummary!E24:I24,"OLV")*100/P24)</f>
        <v>0</v>
      </c>
      <c r="CF24">
        <f>IF(P24=0,0,COUNTIF(Transect5_imgsummary!E24:I24,"SC")*100/P24)</f>
        <v>0</v>
      </c>
      <c r="CG24">
        <f>IF(P24=0,0,COUNTIF(Transect5_imgsummary!E24:I24,"S")*100/P24)</f>
        <v>0</v>
      </c>
      <c r="CH24">
        <f>IF(P24=0,0,COUNTIF(Transect5_imgsummary!E24:I24,"TERPS")*100/P24)</f>
        <v>0</v>
      </c>
      <c r="CI24">
        <f>IF(P24=0,0,COUNTIF(Transect5_imgsummary!E24:I24,"Z")*100/P24)</f>
        <v>0</v>
      </c>
      <c r="CK24">
        <f>IF(P24=0,0,COUNTIF(Transect5_imgsummary!E24:I24,"ASP")*100/P24)</f>
        <v>0</v>
      </c>
      <c r="CL24">
        <f>IF(P24=0,0,COUNTIF(Transect5_imgsummary!E24:I24,"BG")*100/P24)</f>
        <v>0</v>
      </c>
      <c r="CM24">
        <f>IF(P24=0,0,COUNTIF(Transect5_imgsummary!E24:I24,"Bood")*100/P24)</f>
        <v>0</v>
      </c>
      <c r="CN24">
        <f>IF(P24=0,0,COUNTIF(Transect5_imgsummary!E24:I24,"BRYP")*100/P24)</f>
        <v>0</v>
      </c>
      <c r="CO24">
        <f>IF(P24=0,0,COUNTIF(Transect5_imgsummary!E24:I24,"CLP")*100/P24)</f>
        <v>0</v>
      </c>
      <c r="CP24">
        <f>IF(P24=0,0,COUNTIF(Transect5_imgsummary!E24:I24,"CHLDES")*100/P24)</f>
        <v>0</v>
      </c>
      <c r="CQ24">
        <f>IF(P24=0,0,COUNTIF(Transect5_imgsummary!E24:I24,"DYCTY")*100/P24)</f>
        <v>0</v>
      </c>
      <c r="CR24">
        <f>IF(P24=0,0,COUNTIF(Transect5_imgsummary!E24:I24,"DICT")*100/P24)</f>
        <v>0</v>
      </c>
      <c r="CS24">
        <f>IF(P24=0,0,COUNTIF(Transect5_imgsummary!E24:I24,"GLXU")*100/P24)</f>
        <v>0</v>
      </c>
      <c r="CT24">
        <f>IF(P24=0,0,COUNTIF(Transect5_imgsummary!E24:I24,"HALI")*100/P24)</f>
        <v>0</v>
      </c>
      <c r="CU24">
        <f>IF(P24=0,0,COUNTIF(Transect5_imgsummary!E24:I24,"LIAG")*100/P24)</f>
        <v>0</v>
      </c>
      <c r="CV24">
        <f>IF(P24=0,0,COUNTIF(Transect5_imgsummary!E24:I24,"LOBO")*100/P24)</f>
        <v>0</v>
      </c>
      <c r="CW24">
        <f>IF(P24=0,0,COUNTIF(Transect5_imgsummary!E24:I24,"MAST")*100/P24)</f>
        <v>0</v>
      </c>
      <c r="CX24">
        <f>IF(P24=0,0,COUNTIF(Transect5_imgsummary!E24:I24,"MICDTY")*100/P24)</f>
        <v>0</v>
      </c>
      <c r="CY24">
        <f>IF(P24=0,0,COUNTIF(Transect5_imgsummary!E24:I24,"NEOM")*100/P24)</f>
        <v>0</v>
      </c>
      <c r="CZ24">
        <f>IF(P24=0,0,COUNTIF(Transect5_imgsummary!E24:I24,"NOIDMAC")*100/P24)</f>
        <v>0</v>
      </c>
      <c r="DA24">
        <f>IF(P24=0,0,COUNTIF(Transect5_imgsummary!E24:I24,"PAD")*100/P24)</f>
        <v>0</v>
      </c>
      <c r="DB24">
        <f>IF(P24=0,0,COUNTIF(Transect5_imgsummary!E24:I24,"SARG")*100/P24)</f>
        <v>0</v>
      </c>
      <c r="DC24">
        <f>IF(P24=0,0,COUNTIF(Transect5_imgsummary!E24:I24,"SCHIZ")*100/P24)</f>
        <v>0</v>
      </c>
      <c r="DD24">
        <f>IF(P24=0,0,COUNTIF(Transect5_imgsummary!E24:I24,"TURB")*100/P24)</f>
        <v>0</v>
      </c>
      <c r="DE24">
        <f>IF(P24=0,0,COUNTIF(Transect5_imgsummary!E24:I24,"TYDM")*100/P24)</f>
        <v>0</v>
      </c>
      <c r="DG24">
        <f>IF(P24=0,0,COUNTIF(Transect5_imgsummary!E24:I24,"AMP")*100/P24)</f>
        <v>0</v>
      </c>
      <c r="DH24">
        <f>IF(P24=0,0,COUNTIF(Transect5_imgsummary!E24:I24,"BCA1")*100/P24)</f>
        <v>0</v>
      </c>
      <c r="DI24">
        <f>IF(P24=0,0,COUNTIF(Transect5_imgsummary!E24:I24,"JAN")*100/P24)</f>
        <v>0</v>
      </c>
      <c r="DK24" s="29">
        <f>IF(P24=0,0,COUNTIF(Transect5_imgsummary!E24:I24,"CCA1")*100/P24)</f>
        <v>40</v>
      </c>
      <c r="DM24">
        <f>IF(P24=0,0,COUNTIF(Transect5_imgsummary!E24:I24,"Sand")*100/P24)</f>
        <v>0</v>
      </c>
      <c r="DO24">
        <f>IF(P24=0,0,COUNTIF(Transect5_imgsummary!E24:I24,"FCA1")*100/P24)</f>
        <v>0</v>
      </c>
      <c r="DQ24">
        <f>IF(P24=0,0,COUNTIF(Transect5_imgsummary!E24:I24,"CHRYOBRN")*100/P24)</f>
        <v>0</v>
      </c>
      <c r="DS24" s="29">
        <f>IF(P24=0,0,COUNTIF(Transect5_imgsummary!E24:I24,"TURF")*100/P24)</f>
        <v>20</v>
      </c>
      <c r="DU24">
        <f>COUNTIF(Transect5_imgsummary!E24:I24,"Shadow")*100/5</f>
        <v>0</v>
      </c>
      <c r="DV24">
        <f>COUNTIF(Transect5_imgsummary!E24:I24,"Tape")*100/5</f>
        <v>0</v>
      </c>
      <c r="DW24">
        <f>COUNTIF(Transect5_imgsummary!E24:I24,"Wand")*100/5</f>
        <v>0</v>
      </c>
      <c r="DY24">
        <f>IF(P24=0,0,COUNTIF(Transect5_imgsummary!O24:S24,"BC")*100/P24)</f>
        <v>0</v>
      </c>
    </row>
    <row r="25" spans="1:129">
      <c r="A25">
        <v>23</v>
      </c>
      <c r="B25" t="s">
        <v>620</v>
      </c>
      <c r="F25" s="29">
        <f>IF(P25=0,0,COUNTIF(Transect5_imgsummary!J25:N25,"C")*100/P25)</f>
        <v>20</v>
      </c>
      <c r="G25">
        <f>IF(P25=0,0,COUNTIF(Transect5_imgsummary!J25:N25,"OI")*100/P25)</f>
        <v>0</v>
      </c>
      <c r="H25">
        <f>IF(P25=0,0,COUNTIF(Transect5_imgsummary!J25:N25,"MA")*100/P25)</f>
        <v>0</v>
      </c>
      <c r="I25" s="29">
        <f>IF(P25=0,0,COUNTIF(Transect5_imgsummary!J25:N25,"BCA")*100/P25)</f>
        <v>20</v>
      </c>
      <c r="J25" s="29">
        <f>IF(P25=0,0,COUNTIF(Transect5_imgsummary!J25:N25,"CCA")*100/P25)</f>
        <v>20</v>
      </c>
      <c r="K25">
        <f>IF(P25=0,0,COUNTIF(Transect5_imgsummary!J25:N25,"SD")*100/P25)</f>
        <v>0</v>
      </c>
      <c r="L25">
        <f>IF(P25=0,0,COUNTIF(Transect5_imgsummary!J25:N25,"FCA")*100/P25)</f>
        <v>0</v>
      </c>
      <c r="M25">
        <f>IF(P25=0,0,COUNTIF(Transect5_imgsummary!J25:N25,"CHRYS")*100/P25)</f>
        <v>0</v>
      </c>
      <c r="N25" s="29">
        <f>IF(P25=0,0,COUNTIF(Transect5_imgsummary!J25:N25,"T")*100/P25)</f>
        <v>40</v>
      </c>
      <c r="O25">
        <f>IF(P25=0,0,COUNTIF(Transect5_imgsummary!J25:N25,"TWS")*100/P25)</f>
        <v>0</v>
      </c>
      <c r="P25">
        <f>5-COUNTIF(Transect5_imgsummary!J25:N25,"TWS")</f>
        <v>5</v>
      </c>
      <c r="S25">
        <f>IF(P25=0,0,COUNTIF(Transect5_imgsummary!E25:I25,"ACAN")*100/P25)</f>
        <v>0</v>
      </c>
      <c r="T25">
        <f>IF(P25=0,0,COUNTIF(Transect5_imgsummary!E25:I25,"ACROP")*100/P25)</f>
        <v>0</v>
      </c>
      <c r="U25">
        <f>IF(P25=0,0,COUNTIF(Transect5_imgsummary!E25:I25,"ACROPARB")*100/P25)</f>
        <v>0</v>
      </c>
      <c r="V25">
        <f>IF(P25=0,0,COUNTIF(Transect5_imgsummary!E25:I25,"ACROST")*100/P25)</f>
        <v>0</v>
      </c>
      <c r="W25">
        <f>IF(P25=0,0,COUNTIF(Transect5_imgsummary!E25:I25,"ACROTBL")*100/P25)</f>
        <v>0</v>
      </c>
      <c r="X25">
        <f>IF(P25=0,0,COUNTIF(Transect5_imgsummary!E25:I25,"ASTRP")*100/P25)</f>
        <v>0</v>
      </c>
      <c r="Y25">
        <f>IF(P25=0,0,COUNTIF(Transect5_imgsummary!E25:I25,"CAUL")*100/P25)</f>
        <v>0</v>
      </c>
      <c r="Z25">
        <f>IF(P25=0,0,COUNTIF(Transect5_imgsummary!E25:I25,"COSC")*100/P25)</f>
        <v>0</v>
      </c>
      <c r="AA25">
        <f>IF(P25=0,0,COUNTIF(Transect5_imgsummary!E25:I25,"CTEN")*100/P25)</f>
        <v>0</v>
      </c>
      <c r="AB25">
        <f>IF(P25=0,0,COUNTIF(Transect5_imgsummary!E25:I25,"CYPH")*100/P25)</f>
        <v>0</v>
      </c>
      <c r="AC25">
        <f>IF(P25=0,0,COUNTIF(Transect5_imgsummary!E25:I25,"DIPLO")*100/P25)</f>
        <v>0</v>
      </c>
      <c r="AD25">
        <f>IF(P25=0,0,COUNTIF(Transect5_imgsummary!E25:I25,"ECHPO")*100/P25)</f>
        <v>0</v>
      </c>
      <c r="AE25">
        <f>IF(P25=0,0,COUNTIF(Transect5_imgsummary!E25:I25,"ECHPHY")*100/P25)</f>
        <v>0</v>
      </c>
      <c r="AF25">
        <f>IF(P25=0,0,COUNTIF(Transect5_imgsummary!E25:I25,"EUPH")*100/P25)</f>
        <v>0</v>
      </c>
      <c r="AG25">
        <f>IF(P25=0,0,COUNTIF(Transect5_imgsummary!E25:I25,"FAV")*100/P25)</f>
        <v>0</v>
      </c>
      <c r="AH25">
        <f>IF(P25=0,0,COUNTIF(Transect5_imgsummary!E25:I25,"FAVT")*100/P25)</f>
        <v>0</v>
      </c>
      <c r="AI25">
        <f>IF(P25=0,0,COUNTIF(Transect5_imgsummary!E25:I25,"FUNG")*100/P25)</f>
        <v>0</v>
      </c>
      <c r="AJ25">
        <f>IF(P25=0,0,COUNTIF(Transect5_imgsummary!E25:I25,"GAL")*100/P25)</f>
        <v>0</v>
      </c>
      <c r="AK25">
        <f>IF(P25=0,0,COUNTIF(Transect5_imgsummary!E25:I25,"GARD")*100/P25)</f>
        <v>0</v>
      </c>
      <c r="AL25">
        <f>IF(P25=0,0,COUNTIF(Transect5_imgsummary!E25:I25,"GON")*100/P25)</f>
        <v>0</v>
      </c>
      <c r="AM25">
        <f>IF(P25=0,0,COUNTIF(Transect5_imgsummary!E25:I25,"GONIO")*100/P25)</f>
        <v>0</v>
      </c>
      <c r="AN25">
        <f>IF(P25=0,0,COUNTIF(Transect5_imgsummary!E25:I25,"HELIO")*100/P25)</f>
        <v>0</v>
      </c>
      <c r="AO25">
        <f>IF(P25=0,0,COUNTIF(Transect5_imgsummary!E25:I25,"HERP")*100/P25)</f>
        <v>0</v>
      </c>
      <c r="AP25">
        <f>IF(P25=0,0,COUNTIF(Transect5_imgsummary!E25:I25,"HYD")*100/P25)</f>
        <v>0</v>
      </c>
      <c r="AQ25">
        <f>IF(P25=0,0,COUNTIF(Transect5_imgsummary!E25:I25,"ISOP")*100/P25)</f>
        <v>0</v>
      </c>
      <c r="AR25">
        <f>IF(P25=0,0,COUNTIF(Transect5_imgsummary!E25:I25,"LEPT")*100/P25)</f>
        <v>0</v>
      </c>
      <c r="AS25" s="29">
        <f>IF(P25=0,0,COUNTIF(Transect5_imgsummary!E25:I25,"LEPTOR")*100/P25)</f>
        <v>20</v>
      </c>
      <c r="AT25">
        <f>IF(P25=0,0,COUNTIF(Transect5_imgsummary!E25:I25,"LEPTOS")*100/P25)</f>
        <v>0</v>
      </c>
      <c r="AU25">
        <f>IF(P25=0,0,COUNTIF(Transect5_imgsummary!E25:I25,"LOBOPH")*100/P25)</f>
        <v>0</v>
      </c>
      <c r="AV25">
        <f>IF(P25=0,0,COUNTIF(Transect5_imgsummary!E25:I25,"MERU")*100/P25)</f>
        <v>0</v>
      </c>
      <c r="AW25">
        <f>IF(P25=0,0,COUNTIF(Transect5_imgsummary!E25:I25,"MILL")*100/P25)</f>
        <v>0</v>
      </c>
      <c r="AX25">
        <f>IF(P25=0,0,COUNTIF(Transect5_imgsummary!E25:I25,"MONT")*100/P25)</f>
        <v>0</v>
      </c>
      <c r="AY25">
        <f>IF(P25=0,0,COUNTIF(Transect5_imgsummary!E25:I25,"MONTI")*100/P25)</f>
        <v>0</v>
      </c>
      <c r="AZ25">
        <f>IF(P25=0,0,COUNTIF(Transect5_imgsummary!E25:I25,"MYCED")*100/P25)</f>
        <v>0</v>
      </c>
      <c r="BA25">
        <f>IF(P25=0,0,COUNTIF(Transect5_imgsummary!E25:I25,"OULO")*100/P25)</f>
        <v>0</v>
      </c>
      <c r="BB25">
        <f>IF(P25=0,0,COUNTIF(Transect5_imgsummary!E25:I25,"OXYP")*100/P25)</f>
        <v>0</v>
      </c>
      <c r="BC25">
        <f>IF(P25=0,0,COUNTIF(Transect5_imgsummary!E25:I25,"PLSIA")*100/P25)</f>
        <v>0</v>
      </c>
      <c r="BD25">
        <f>IF(P25=0,0,COUNTIF(Transect5_imgsummary!E25:I25,"PACHY")*100/P25)</f>
        <v>0</v>
      </c>
      <c r="BE25">
        <f>IF(P25=0,0,COUNTIF(Transect5_imgsummary!E25:I25,"PAV")*100/P25)</f>
        <v>0</v>
      </c>
      <c r="BF25">
        <f>IF(P25=0,0,COUNTIF(Transect5_imgsummary!E25:I25,"PECT")*100/P25)</f>
        <v>0</v>
      </c>
      <c r="BG25">
        <f>IF(P25=0,0,COUNTIF(Transect5_imgsummary!E25:I25,"PHYSO")*100/P25)</f>
        <v>0</v>
      </c>
      <c r="BH25">
        <f>IF(P25=0,0,COUNTIF(Transect5_imgsummary!E25:I25,"PLAT")*100/P25)</f>
        <v>0</v>
      </c>
      <c r="BI25">
        <f>IF(P25=0,0,COUNTIF(Transect5_imgsummary!E25:I25,"PLERO")*100/P25)</f>
        <v>0</v>
      </c>
      <c r="BJ25">
        <f>IF(P25=0,0,COUNTIF(Transect5_imgsummary!E25:I25,"POC")*100/P25)</f>
        <v>0</v>
      </c>
      <c r="BK25">
        <f>IF(P25=0,0,COUNTIF(Transect5_imgsummary!E25:I25,"POR")*100/P25)</f>
        <v>0</v>
      </c>
      <c r="BL25">
        <f>IF(P25=0,0,COUNTIF(Transect5_imgsummary!E25:I25,"PORCYL")*100/P25)</f>
        <v>0</v>
      </c>
      <c r="BM25">
        <f>IF(P25=0,0,COUNTIF(Transect5_imgsummary!E25:I25,"PORMAS")*100/P25)</f>
        <v>0</v>
      </c>
      <c r="BN25">
        <f>IF(P25=0,0,COUNTIF(Transect5_imgsummary!E25:I25,"PORRUS")*100/P25)</f>
        <v>0</v>
      </c>
      <c r="BO25">
        <f>IF(P25=0,0,COUNTIF(Transect5_imgsummary!E25:I25,"PSAM")*100/P25)</f>
        <v>0</v>
      </c>
      <c r="BP25">
        <f>IF(P25=0,0,COUNTIF(Transect5_imgsummary!E25:I25,"SANDO")*100/P25)</f>
        <v>0</v>
      </c>
      <c r="BQ25">
        <f>IF(P25=0,0,COUNTIF(Transect5_imgsummary!E25:I25,"SCAP")*100/P25)</f>
        <v>0</v>
      </c>
      <c r="BR25">
        <f>IF(P25=0,0,COUNTIF(Transect5_imgsummary!E25:I25,"SERIA")*100/P25)</f>
        <v>0</v>
      </c>
      <c r="BS25">
        <f>IF(P25=0,0,COUNTIF(Transect5_imgsummary!E25:I25,"STYLC")*100/P25)</f>
        <v>0</v>
      </c>
      <c r="BT25">
        <f>IF(P25=0,0,COUNTIF(Transect5_imgsummary!E25:I25,"STYLO")*100/P25)</f>
        <v>0</v>
      </c>
      <c r="BU25">
        <f>IF(P25=0,0,COUNTIF(Transect5_imgsummary!E25:I25,"SYMP")*100/P25)</f>
        <v>0</v>
      </c>
      <c r="BV25">
        <f>IF(P25=0,0,COUNTIF(Transect5_imgsummary!E25:I25,"TURBIN")*100/P25)</f>
        <v>0</v>
      </c>
      <c r="BX25">
        <f>IF(P25=0,0,COUNTIF(Transect5_imgsummary!E25:I25,"ANEM")*100/P25)</f>
        <v>0</v>
      </c>
      <c r="BY25">
        <f>IF(P25=0,0,COUNTIF(Transect5_imgsummary!E25:I25,"ASC")*100/P25)</f>
        <v>0</v>
      </c>
      <c r="BZ25">
        <f>IF(P25=0,0,COUNTIF(Transect5_imgsummary!E25:I25,"CUPS")*100/P25)</f>
        <v>0</v>
      </c>
      <c r="CA25">
        <f>IF(P25=0,0,COUNTIF(Transect5_imgsummary!E25:I25,"DISCO")*100/P25)</f>
        <v>0</v>
      </c>
      <c r="CB25">
        <f>IF(P25=0,0,COUNTIF(Transect5_imgsummary!E25:I25,"DYS")*100/P25)</f>
        <v>0</v>
      </c>
      <c r="CC25">
        <f>IF(P25=0,0,COUNTIF(Transect5_imgsummary!E25:I25,"G")*100/P25)</f>
        <v>0</v>
      </c>
      <c r="CD25">
        <f>IF(P25=0,0,COUNTIF(Transect5_imgsummary!E25:I25,"NoIDINV")*100/P25)</f>
        <v>0</v>
      </c>
      <c r="CE25">
        <f>IF(P25=0,0,COUNTIF(Transect5_imgsummary!E25:I25,"OLV")*100/P25)</f>
        <v>0</v>
      </c>
      <c r="CF25">
        <f>IF(P25=0,0,COUNTIF(Transect5_imgsummary!E25:I25,"SC")*100/P25)</f>
        <v>0</v>
      </c>
      <c r="CG25">
        <f>IF(P25=0,0,COUNTIF(Transect5_imgsummary!E25:I25,"S")*100/P25)</f>
        <v>0</v>
      </c>
      <c r="CH25">
        <f>IF(P25=0,0,COUNTIF(Transect5_imgsummary!E25:I25,"TERPS")*100/P25)</f>
        <v>0</v>
      </c>
      <c r="CI25">
        <f>IF(P25=0,0,COUNTIF(Transect5_imgsummary!E25:I25,"Z")*100/P25)</f>
        <v>0</v>
      </c>
      <c r="CK25">
        <f>IF(P25=0,0,COUNTIF(Transect5_imgsummary!E25:I25,"ASP")*100/P25)</f>
        <v>0</v>
      </c>
      <c r="CL25">
        <f>IF(P25=0,0,COUNTIF(Transect5_imgsummary!E25:I25,"BG")*100/P25)</f>
        <v>0</v>
      </c>
      <c r="CM25">
        <f>IF(P25=0,0,COUNTIF(Transect5_imgsummary!E25:I25,"Bood")*100/P25)</f>
        <v>0</v>
      </c>
      <c r="CN25">
        <f>IF(P25=0,0,COUNTIF(Transect5_imgsummary!E25:I25,"BRYP")*100/P25)</f>
        <v>0</v>
      </c>
      <c r="CO25">
        <f>IF(P25=0,0,COUNTIF(Transect5_imgsummary!E25:I25,"CLP")*100/P25)</f>
        <v>0</v>
      </c>
      <c r="CP25">
        <f>IF(P25=0,0,COUNTIF(Transect5_imgsummary!E25:I25,"CHLDES")*100/P25)</f>
        <v>0</v>
      </c>
      <c r="CQ25">
        <f>IF(P25=0,0,COUNTIF(Transect5_imgsummary!E25:I25,"DYCTY")*100/P25)</f>
        <v>0</v>
      </c>
      <c r="CR25">
        <f>IF(P25=0,0,COUNTIF(Transect5_imgsummary!E25:I25,"DICT")*100/P25)</f>
        <v>0</v>
      </c>
      <c r="CS25">
        <f>IF(P25=0,0,COUNTIF(Transect5_imgsummary!E25:I25,"GLXU")*100/P25)</f>
        <v>0</v>
      </c>
      <c r="CT25">
        <f>IF(P25=0,0,COUNTIF(Transect5_imgsummary!E25:I25,"HALI")*100/P25)</f>
        <v>0</v>
      </c>
      <c r="CU25">
        <f>IF(P25=0,0,COUNTIF(Transect5_imgsummary!E25:I25,"LIAG")*100/P25)</f>
        <v>0</v>
      </c>
      <c r="CV25">
        <f>IF(P25=0,0,COUNTIF(Transect5_imgsummary!E25:I25,"LOBO")*100/P25)</f>
        <v>0</v>
      </c>
      <c r="CW25">
        <f>IF(P25=0,0,COUNTIF(Transect5_imgsummary!E25:I25,"MAST")*100/P25)</f>
        <v>0</v>
      </c>
      <c r="CX25">
        <f>IF(P25=0,0,COUNTIF(Transect5_imgsummary!E25:I25,"MICDTY")*100/P25)</f>
        <v>0</v>
      </c>
      <c r="CY25">
        <f>IF(P25=0,0,COUNTIF(Transect5_imgsummary!E25:I25,"NEOM")*100/P25)</f>
        <v>0</v>
      </c>
      <c r="CZ25">
        <f>IF(P25=0,0,COUNTIF(Transect5_imgsummary!E25:I25,"NOIDMAC")*100/P25)</f>
        <v>0</v>
      </c>
      <c r="DA25">
        <f>IF(P25=0,0,COUNTIF(Transect5_imgsummary!E25:I25,"PAD")*100/P25)</f>
        <v>0</v>
      </c>
      <c r="DB25">
        <f>IF(P25=0,0,COUNTIF(Transect5_imgsummary!E25:I25,"SARG")*100/P25)</f>
        <v>0</v>
      </c>
      <c r="DC25">
        <f>IF(P25=0,0,COUNTIF(Transect5_imgsummary!E25:I25,"SCHIZ")*100/P25)</f>
        <v>0</v>
      </c>
      <c r="DD25">
        <f>IF(P25=0,0,COUNTIF(Transect5_imgsummary!E25:I25,"TURB")*100/P25)</f>
        <v>0</v>
      </c>
      <c r="DE25">
        <f>IF(P25=0,0,COUNTIF(Transect5_imgsummary!E25:I25,"TYDM")*100/P25)</f>
        <v>0</v>
      </c>
      <c r="DG25">
        <f>IF(P25=0,0,COUNTIF(Transect5_imgsummary!E25:I25,"AMP")*100/P25)</f>
        <v>0</v>
      </c>
      <c r="DH25" s="29">
        <f>IF(P25=0,0,COUNTIF(Transect5_imgsummary!E25:I25,"BCA1")*100/P25)</f>
        <v>20</v>
      </c>
      <c r="DI25">
        <f>IF(P25=0,0,COUNTIF(Transect5_imgsummary!E25:I25,"JAN")*100/P25)</f>
        <v>0</v>
      </c>
      <c r="DK25" s="29">
        <f>IF(P25=0,0,COUNTIF(Transect5_imgsummary!E25:I25,"CCA1")*100/P25)</f>
        <v>20</v>
      </c>
      <c r="DM25">
        <f>IF(P25=0,0,COUNTIF(Transect5_imgsummary!E25:I25,"Sand")*100/P25)</f>
        <v>0</v>
      </c>
      <c r="DO25">
        <f>IF(P25=0,0,COUNTIF(Transect5_imgsummary!E25:I25,"FCA1")*100/P25)</f>
        <v>0</v>
      </c>
      <c r="DQ25">
        <f>IF(P25=0,0,COUNTIF(Transect5_imgsummary!E25:I25,"CHRYOBRN")*100/P25)</f>
        <v>0</v>
      </c>
      <c r="DS25" s="29">
        <f>IF(P25=0,0,COUNTIF(Transect5_imgsummary!E25:I25,"TURF")*100/P25)</f>
        <v>40</v>
      </c>
      <c r="DU25">
        <f>COUNTIF(Transect5_imgsummary!E25:I25,"Shadow")*100/5</f>
        <v>0</v>
      </c>
      <c r="DV25">
        <f>COUNTIF(Transect5_imgsummary!E25:I25,"Tape")*100/5</f>
        <v>0</v>
      </c>
      <c r="DW25">
        <f>COUNTIF(Transect5_imgsummary!E25:I25,"Wand")*100/5</f>
        <v>0</v>
      </c>
      <c r="DY25">
        <f>IF(P25=0,0,COUNTIF(Transect5_imgsummary!O25:S25,"BC")*100/P25)</f>
        <v>0</v>
      </c>
    </row>
    <row r="26" spans="1:129">
      <c r="A26">
        <v>24</v>
      </c>
      <c r="B26" t="s">
        <v>621</v>
      </c>
      <c r="F26" s="29">
        <f>IF(P26=0,0,COUNTIF(Transect5_imgsummary!J26:N26,"C")*100/P26)</f>
        <v>100</v>
      </c>
      <c r="G26">
        <f>IF(P26=0,0,COUNTIF(Transect5_imgsummary!J26:N26,"OI")*100/P26)</f>
        <v>0</v>
      </c>
      <c r="H26">
        <f>IF(P26=0,0,COUNTIF(Transect5_imgsummary!J26:N26,"MA")*100/P26)</f>
        <v>0</v>
      </c>
      <c r="I26">
        <f>IF(P26=0,0,COUNTIF(Transect5_imgsummary!J26:N26,"BCA")*100/P26)</f>
        <v>0</v>
      </c>
      <c r="J26">
        <f>IF(P26=0,0,COUNTIF(Transect5_imgsummary!J26:N26,"CCA")*100/P26)</f>
        <v>0</v>
      </c>
      <c r="K26">
        <f>IF(P26=0,0,COUNTIF(Transect5_imgsummary!J26:N26,"SD")*100/P26)</f>
        <v>0</v>
      </c>
      <c r="L26">
        <f>IF(P26=0,0,COUNTIF(Transect5_imgsummary!J26:N26,"FCA")*100/P26)</f>
        <v>0</v>
      </c>
      <c r="M26">
        <f>IF(P26=0,0,COUNTIF(Transect5_imgsummary!J26:N26,"CHRYS")*100/P26)</f>
        <v>0</v>
      </c>
      <c r="N26">
        <f>IF(P26=0,0,COUNTIF(Transect5_imgsummary!J26:N26,"T")*100/P26)</f>
        <v>0</v>
      </c>
      <c r="O26">
        <f>IF(P26=0,0,COUNTIF(Transect5_imgsummary!J26:N26,"TWS")*100/P26)</f>
        <v>0</v>
      </c>
      <c r="P26">
        <f>5-COUNTIF(Transect5_imgsummary!J26:N26,"TWS")</f>
        <v>5</v>
      </c>
      <c r="S26">
        <f>IF(P26=0,0,COUNTIF(Transect5_imgsummary!E26:I26,"ACAN")*100/P26)</f>
        <v>0</v>
      </c>
      <c r="T26">
        <f>IF(P26=0,0,COUNTIF(Transect5_imgsummary!E26:I26,"ACROP")*100/P26)</f>
        <v>0</v>
      </c>
      <c r="U26">
        <f>IF(P26=0,0,COUNTIF(Transect5_imgsummary!E26:I26,"ACROPARB")*100/P26)</f>
        <v>0</v>
      </c>
      <c r="V26">
        <f>IF(P26=0,0,COUNTIF(Transect5_imgsummary!E26:I26,"ACROST")*100/P26)</f>
        <v>0</v>
      </c>
      <c r="W26">
        <f>IF(P26=0,0,COUNTIF(Transect5_imgsummary!E26:I26,"ACROTBL")*100/P26)</f>
        <v>0</v>
      </c>
      <c r="X26">
        <f>IF(P26=0,0,COUNTIF(Transect5_imgsummary!E26:I26,"ASTRP")*100/P26)</f>
        <v>0</v>
      </c>
      <c r="Y26">
        <f>IF(P26=0,0,COUNTIF(Transect5_imgsummary!E26:I26,"CAUL")*100/P26)</f>
        <v>0</v>
      </c>
      <c r="Z26">
        <f>IF(P26=0,0,COUNTIF(Transect5_imgsummary!E26:I26,"COSC")*100/P26)</f>
        <v>0</v>
      </c>
      <c r="AA26">
        <f>IF(P26=0,0,COUNTIF(Transect5_imgsummary!E26:I26,"CTEN")*100/P26)</f>
        <v>0</v>
      </c>
      <c r="AB26">
        <f>IF(P26=0,0,COUNTIF(Transect5_imgsummary!E26:I26,"CYPH")*100/P26)</f>
        <v>0</v>
      </c>
      <c r="AC26">
        <f>IF(P26=0,0,COUNTIF(Transect5_imgsummary!E26:I26,"DIPLO")*100/P26)</f>
        <v>0</v>
      </c>
      <c r="AD26">
        <f>IF(P26=0,0,COUNTIF(Transect5_imgsummary!E26:I26,"ECHPO")*100/P26)</f>
        <v>0</v>
      </c>
      <c r="AE26">
        <f>IF(P26=0,0,COUNTIF(Transect5_imgsummary!E26:I26,"ECHPHY")*100/P26)</f>
        <v>0</v>
      </c>
      <c r="AF26">
        <f>IF(P26=0,0,COUNTIF(Transect5_imgsummary!E26:I26,"EUPH")*100/P26)</f>
        <v>0</v>
      </c>
      <c r="AG26">
        <f>IF(P26=0,0,COUNTIF(Transect5_imgsummary!E26:I26,"FAV")*100/P26)</f>
        <v>0</v>
      </c>
      <c r="AH26">
        <f>IF(P26=0,0,COUNTIF(Transect5_imgsummary!E26:I26,"FAVT")*100/P26)</f>
        <v>0</v>
      </c>
      <c r="AI26">
        <f>IF(P26=0,0,COUNTIF(Transect5_imgsummary!E26:I26,"FUNG")*100/P26)</f>
        <v>0</v>
      </c>
      <c r="AJ26">
        <f>IF(P26=0,0,COUNTIF(Transect5_imgsummary!E26:I26,"GAL")*100/P26)</f>
        <v>0</v>
      </c>
      <c r="AK26">
        <f>IF(P26=0,0,COUNTIF(Transect5_imgsummary!E26:I26,"GARD")*100/P26)</f>
        <v>0</v>
      </c>
      <c r="AL26">
        <f>IF(P26=0,0,COUNTIF(Transect5_imgsummary!E26:I26,"GON")*100/P26)</f>
        <v>0</v>
      </c>
      <c r="AM26">
        <f>IF(P26=0,0,COUNTIF(Transect5_imgsummary!E26:I26,"GONIO")*100/P26)</f>
        <v>0</v>
      </c>
      <c r="AN26">
        <f>IF(P26=0,0,COUNTIF(Transect5_imgsummary!E26:I26,"HELIO")*100/P26)</f>
        <v>0</v>
      </c>
      <c r="AO26">
        <f>IF(P26=0,0,COUNTIF(Transect5_imgsummary!E26:I26,"HERP")*100/P26)</f>
        <v>0</v>
      </c>
      <c r="AP26">
        <f>IF(P26=0,0,COUNTIF(Transect5_imgsummary!E26:I26,"HYD")*100/P26)</f>
        <v>0</v>
      </c>
      <c r="AQ26">
        <f>IF(P26=0,0,COUNTIF(Transect5_imgsummary!E26:I26,"ISOP")*100/P26)</f>
        <v>0</v>
      </c>
      <c r="AR26">
        <f>IF(P26=0,0,COUNTIF(Transect5_imgsummary!E26:I26,"LEPT")*100/P26)</f>
        <v>0</v>
      </c>
      <c r="AS26">
        <f>IF(P26=0,0,COUNTIF(Transect5_imgsummary!E26:I26,"LEPTOR")*100/P26)</f>
        <v>0</v>
      </c>
      <c r="AT26">
        <f>IF(P26=0,0,COUNTIF(Transect5_imgsummary!E26:I26,"LEPTOS")*100/P26)</f>
        <v>0</v>
      </c>
      <c r="AU26">
        <f>IF(P26=0,0,COUNTIF(Transect5_imgsummary!E26:I26,"LOBOPH")*100/P26)</f>
        <v>0</v>
      </c>
      <c r="AV26" s="29">
        <f>IF(P26=0,0,COUNTIF(Transect5_imgsummary!E26:I26,"MERU")*100/P26)</f>
        <v>100</v>
      </c>
      <c r="AW26">
        <f>IF(P26=0,0,COUNTIF(Transect5_imgsummary!E26:I26,"MILL")*100/P26)</f>
        <v>0</v>
      </c>
      <c r="AX26">
        <f>IF(P26=0,0,COUNTIF(Transect5_imgsummary!E26:I26,"MONT")*100/P26)</f>
        <v>0</v>
      </c>
      <c r="AY26">
        <f>IF(P26=0,0,COUNTIF(Transect5_imgsummary!E26:I26,"MONTI")*100/P26)</f>
        <v>0</v>
      </c>
      <c r="AZ26">
        <f>IF(P26=0,0,COUNTIF(Transect5_imgsummary!E26:I26,"MYCED")*100/P26)</f>
        <v>0</v>
      </c>
      <c r="BA26">
        <f>IF(P26=0,0,COUNTIF(Transect5_imgsummary!E26:I26,"OULO")*100/P26)</f>
        <v>0</v>
      </c>
      <c r="BB26">
        <f>IF(P26=0,0,COUNTIF(Transect5_imgsummary!E26:I26,"OXYP")*100/P26)</f>
        <v>0</v>
      </c>
      <c r="BC26">
        <f>IF(P26=0,0,COUNTIF(Transect5_imgsummary!E26:I26,"PLSIA")*100/P26)</f>
        <v>0</v>
      </c>
      <c r="BD26">
        <f>IF(P26=0,0,COUNTIF(Transect5_imgsummary!E26:I26,"PACHY")*100/P26)</f>
        <v>0</v>
      </c>
      <c r="BE26">
        <f>IF(P26=0,0,COUNTIF(Transect5_imgsummary!E26:I26,"PAV")*100/P26)</f>
        <v>0</v>
      </c>
      <c r="BF26">
        <f>IF(P26=0,0,COUNTIF(Transect5_imgsummary!E26:I26,"PECT")*100/P26)</f>
        <v>0</v>
      </c>
      <c r="BG26">
        <f>IF(P26=0,0,COUNTIF(Transect5_imgsummary!E26:I26,"PHYSO")*100/P26)</f>
        <v>0</v>
      </c>
      <c r="BH26">
        <f>IF(P26=0,0,COUNTIF(Transect5_imgsummary!E26:I26,"PLAT")*100/P26)</f>
        <v>0</v>
      </c>
      <c r="BI26">
        <f>IF(P26=0,0,COUNTIF(Transect5_imgsummary!E26:I26,"PLERO")*100/P26)</f>
        <v>0</v>
      </c>
      <c r="BJ26">
        <f>IF(P26=0,0,COUNTIF(Transect5_imgsummary!E26:I26,"POC")*100/P26)</f>
        <v>0</v>
      </c>
      <c r="BK26">
        <f>IF(P26=0,0,COUNTIF(Transect5_imgsummary!E26:I26,"POR")*100/P26)</f>
        <v>0</v>
      </c>
      <c r="BL26">
        <f>IF(P26=0,0,COUNTIF(Transect5_imgsummary!E26:I26,"PORCYL")*100/P26)</f>
        <v>0</v>
      </c>
      <c r="BM26">
        <f>IF(P26=0,0,COUNTIF(Transect5_imgsummary!E26:I26,"PORMAS")*100/P26)</f>
        <v>0</v>
      </c>
      <c r="BN26">
        <f>IF(P26=0,0,COUNTIF(Transect5_imgsummary!E26:I26,"PORRUS")*100/P26)</f>
        <v>0</v>
      </c>
      <c r="BO26">
        <f>IF(P26=0,0,COUNTIF(Transect5_imgsummary!E26:I26,"PSAM")*100/P26)</f>
        <v>0</v>
      </c>
      <c r="BP26">
        <f>IF(P26=0,0,COUNTIF(Transect5_imgsummary!E26:I26,"SANDO")*100/P26)</f>
        <v>0</v>
      </c>
      <c r="BQ26">
        <f>IF(P26=0,0,COUNTIF(Transect5_imgsummary!E26:I26,"SCAP")*100/P26)</f>
        <v>0</v>
      </c>
      <c r="BR26">
        <f>IF(P26=0,0,COUNTIF(Transect5_imgsummary!E26:I26,"SERIA")*100/P26)</f>
        <v>0</v>
      </c>
      <c r="BS26">
        <f>IF(P26=0,0,COUNTIF(Transect5_imgsummary!E26:I26,"STYLC")*100/P26)</f>
        <v>0</v>
      </c>
      <c r="BT26">
        <f>IF(P26=0,0,COUNTIF(Transect5_imgsummary!E26:I26,"STYLO")*100/P26)</f>
        <v>0</v>
      </c>
      <c r="BU26">
        <f>IF(P26=0,0,COUNTIF(Transect5_imgsummary!E26:I26,"SYMP")*100/P26)</f>
        <v>0</v>
      </c>
      <c r="BV26">
        <f>IF(P26=0,0,COUNTIF(Transect5_imgsummary!E26:I26,"TURBIN")*100/P26)</f>
        <v>0</v>
      </c>
      <c r="BX26">
        <f>IF(P26=0,0,COUNTIF(Transect5_imgsummary!E26:I26,"ANEM")*100/P26)</f>
        <v>0</v>
      </c>
      <c r="BY26">
        <f>IF(P26=0,0,COUNTIF(Transect5_imgsummary!E26:I26,"ASC")*100/P26)</f>
        <v>0</v>
      </c>
      <c r="BZ26">
        <f>IF(P26=0,0,COUNTIF(Transect5_imgsummary!E26:I26,"CUPS")*100/P26)</f>
        <v>0</v>
      </c>
      <c r="CA26">
        <f>IF(P26=0,0,COUNTIF(Transect5_imgsummary!E26:I26,"DISCO")*100/P26)</f>
        <v>0</v>
      </c>
      <c r="CB26">
        <f>IF(P26=0,0,COUNTIF(Transect5_imgsummary!E26:I26,"DYS")*100/P26)</f>
        <v>0</v>
      </c>
      <c r="CC26">
        <f>IF(P26=0,0,COUNTIF(Transect5_imgsummary!E26:I26,"G")*100/P26)</f>
        <v>0</v>
      </c>
      <c r="CD26">
        <f>IF(P26=0,0,COUNTIF(Transect5_imgsummary!E26:I26,"NoIDINV")*100/P26)</f>
        <v>0</v>
      </c>
      <c r="CE26">
        <f>IF(P26=0,0,COUNTIF(Transect5_imgsummary!E26:I26,"OLV")*100/P26)</f>
        <v>0</v>
      </c>
      <c r="CF26">
        <f>IF(P26=0,0,COUNTIF(Transect5_imgsummary!E26:I26,"SC")*100/P26)</f>
        <v>0</v>
      </c>
      <c r="CG26">
        <f>IF(P26=0,0,COUNTIF(Transect5_imgsummary!E26:I26,"S")*100/P26)</f>
        <v>0</v>
      </c>
      <c r="CH26">
        <f>IF(P26=0,0,COUNTIF(Transect5_imgsummary!E26:I26,"TERPS")*100/P26)</f>
        <v>0</v>
      </c>
      <c r="CI26">
        <f>IF(P26=0,0,COUNTIF(Transect5_imgsummary!E26:I26,"Z")*100/P26)</f>
        <v>0</v>
      </c>
      <c r="CK26">
        <f>IF(P26=0,0,COUNTIF(Transect5_imgsummary!E26:I26,"ASP")*100/P26)</f>
        <v>0</v>
      </c>
      <c r="CL26">
        <f>IF(P26=0,0,COUNTIF(Transect5_imgsummary!E26:I26,"BG")*100/P26)</f>
        <v>0</v>
      </c>
      <c r="CM26">
        <f>IF(P26=0,0,COUNTIF(Transect5_imgsummary!E26:I26,"Bood")*100/P26)</f>
        <v>0</v>
      </c>
      <c r="CN26">
        <f>IF(P26=0,0,COUNTIF(Transect5_imgsummary!E26:I26,"BRYP")*100/P26)</f>
        <v>0</v>
      </c>
      <c r="CO26">
        <f>IF(P26=0,0,COUNTIF(Transect5_imgsummary!E26:I26,"CLP")*100/P26)</f>
        <v>0</v>
      </c>
      <c r="CP26">
        <f>IF(P26=0,0,COUNTIF(Transect5_imgsummary!E26:I26,"CHLDES")*100/P26)</f>
        <v>0</v>
      </c>
      <c r="CQ26">
        <f>IF(P26=0,0,COUNTIF(Transect5_imgsummary!E26:I26,"DYCTY")*100/P26)</f>
        <v>0</v>
      </c>
      <c r="CR26">
        <f>IF(P26=0,0,COUNTIF(Transect5_imgsummary!E26:I26,"DICT")*100/P26)</f>
        <v>0</v>
      </c>
      <c r="CS26">
        <f>IF(P26=0,0,COUNTIF(Transect5_imgsummary!E26:I26,"GLXU")*100/P26)</f>
        <v>0</v>
      </c>
      <c r="CT26">
        <f>IF(P26=0,0,COUNTIF(Transect5_imgsummary!E26:I26,"HALI")*100/P26)</f>
        <v>0</v>
      </c>
      <c r="CU26">
        <f>IF(P26=0,0,COUNTIF(Transect5_imgsummary!E26:I26,"LIAG")*100/P26)</f>
        <v>0</v>
      </c>
      <c r="CV26">
        <f>IF(P26=0,0,COUNTIF(Transect5_imgsummary!E26:I26,"LOBO")*100/P26)</f>
        <v>0</v>
      </c>
      <c r="CW26">
        <f>IF(P26=0,0,COUNTIF(Transect5_imgsummary!E26:I26,"MAST")*100/P26)</f>
        <v>0</v>
      </c>
      <c r="CX26">
        <f>IF(P26=0,0,COUNTIF(Transect5_imgsummary!E26:I26,"MICDTY")*100/P26)</f>
        <v>0</v>
      </c>
      <c r="CY26">
        <f>IF(P26=0,0,COUNTIF(Transect5_imgsummary!E26:I26,"NEOM")*100/P26)</f>
        <v>0</v>
      </c>
      <c r="CZ26">
        <f>IF(P26=0,0,COUNTIF(Transect5_imgsummary!E26:I26,"NOIDMAC")*100/P26)</f>
        <v>0</v>
      </c>
      <c r="DA26">
        <f>IF(P26=0,0,COUNTIF(Transect5_imgsummary!E26:I26,"PAD")*100/P26)</f>
        <v>0</v>
      </c>
      <c r="DB26">
        <f>IF(P26=0,0,COUNTIF(Transect5_imgsummary!E26:I26,"SARG")*100/P26)</f>
        <v>0</v>
      </c>
      <c r="DC26">
        <f>IF(P26=0,0,COUNTIF(Transect5_imgsummary!E26:I26,"SCHIZ")*100/P26)</f>
        <v>0</v>
      </c>
      <c r="DD26">
        <f>IF(P26=0,0,COUNTIF(Transect5_imgsummary!E26:I26,"TURB")*100/P26)</f>
        <v>0</v>
      </c>
      <c r="DE26">
        <f>IF(P26=0,0,COUNTIF(Transect5_imgsummary!E26:I26,"TYDM")*100/P26)</f>
        <v>0</v>
      </c>
      <c r="DG26">
        <f>IF(P26=0,0,COUNTIF(Transect5_imgsummary!E26:I26,"AMP")*100/P26)</f>
        <v>0</v>
      </c>
      <c r="DH26">
        <f>IF(P26=0,0,COUNTIF(Transect5_imgsummary!E26:I26,"BCA1")*100/P26)</f>
        <v>0</v>
      </c>
      <c r="DI26">
        <f>IF(P26=0,0,COUNTIF(Transect5_imgsummary!E26:I26,"JAN")*100/P26)</f>
        <v>0</v>
      </c>
      <c r="DK26">
        <f>IF(P26=0,0,COUNTIF(Transect5_imgsummary!E26:I26,"CCA1")*100/P26)</f>
        <v>0</v>
      </c>
      <c r="DM26">
        <f>IF(P26=0,0,COUNTIF(Transect5_imgsummary!E26:I26,"Sand")*100/P26)</f>
        <v>0</v>
      </c>
      <c r="DO26">
        <f>IF(P26=0,0,COUNTIF(Transect5_imgsummary!E26:I26,"FCA1")*100/P26)</f>
        <v>0</v>
      </c>
      <c r="DQ26">
        <f>IF(P26=0,0,COUNTIF(Transect5_imgsummary!E26:I26,"CHRYOBRN")*100/P26)</f>
        <v>0</v>
      </c>
      <c r="DS26">
        <f>IF(P26=0,0,COUNTIF(Transect5_imgsummary!E26:I26,"TURF")*100/P26)</f>
        <v>0</v>
      </c>
      <c r="DU26">
        <f>COUNTIF(Transect5_imgsummary!E26:I26,"Shadow")*100/5</f>
        <v>0</v>
      </c>
      <c r="DV26">
        <f>COUNTIF(Transect5_imgsummary!E26:I26,"Tape")*100/5</f>
        <v>0</v>
      </c>
      <c r="DW26">
        <f>COUNTIF(Transect5_imgsummary!E26:I26,"Wand")*100/5</f>
        <v>0</v>
      </c>
      <c r="DY26">
        <f>IF(P26=0,0,COUNTIF(Transect5_imgsummary!O26:S26,"BC")*100/P26)</f>
        <v>0</v>
      </c>
    </row>
    <row r="27" spans="1:129">
      <c r="A27">
        <v>25</v>
      </c>
      <c r="B27" t="s">
        <v>622</v>
      </c>
      <c r="F27" s="29">
        <f>IF(P27=0,0,COUNTIF(Transect5_imgsummary!J27:N27,"C")*100/P27)</f>
        <v>60</v>
      </c>
      <c r="G27">
        <f>IF(P27=0,0,COUNTIF(Transect5_imgsummary!J27:N27,"OI")*100/P27)</f>
        <v>0</v>
      </c>
      <c r="H27">
        <f>IF(P27=0,0,COUNTIF(Transect5_imgsummary!J27:N27,"MA")*100/P27)</f>
        <v>0</v>
      </c>
      <c r="I27">
        <f>IF(P27=0,0,COUNTIF(Transect5_imgsummary!J27:N27,"BCA")*100/P27)</f>
        <v>0</v>
      </c>
      <c r="J27">
        <f>IF(P27=0,0,COUNTIF(Transect5_imgsummary!J27:N27,"CCA")*100/P27)</f>
        <v>0</v>
      </c>
      <c r="K27">
        <f>IF(P27=0,0,COUNTIF(Transect5_imgsummary!J27:N27,"SD")*100/P27)</f>
        <v>0</v>
      </c>
      <c r="L27">
        <f>IF(P27=0,0,COUNTIF(Transect5_imgsummary!J27:N27,"FCA")*100/P27)</f>
        <v>0</v>
      </c>
      <c r="M27">
        <f>IF(P27=0,0,COUNTIF(Transect5_imgsummary!J27:N27,"CHRYS")*100/P27)</f>
        <v>0</v>
      </c>
      <c r="N27" s="29">
        <f>IF(P27=0,0,COUNTIF(Transect5_imgsummary!J27:N27,"T")*100/P27)</f>
        <v>40</v>
      </c>
      <c r="O27">
        <f>IF(P27=0,0,COUNTIF(Transect5_imgsummary!J27:N27,"TWS")*100/P27)</f>
        <v>0</v>
      </c>
      <c r="P27">
        <f>5-COUNTIF(Transect5_imgsummary!J27:N27,"TWS")</f>
        <v>5</v>
      </c>
      <c r="S27">
        <f>IF(P27=0,0,COUNTIF(Transect5_imgsummary!E27:I27,"ACAN")*100/P27)</f>
        <v>0</v>
      </c>
      <c r="T27">
        <f>IF(P27=0,0,COUNTIF(Transect5_imgsummary!E27:I27,"ACROP")*100/P27)</f>
        <v>0</v>
      </c>
      <c r="U27">
        <f>IF(P27=0,0,COUNTIF(Transect5_imgsummary!E27:I27,"ACROPARB")*100/P27)</f>
        <v>0</v>
      </c>
      <c r="V27">
        <f>IF(P27=0,0,COUNTIF(Transect5_imgsummary!E27:I27,"ACROST")*100/P27)</f>
        <v>0</v>
      </c>
      <c r="W27">
        <f>IF(P27=0,0,COUNTIF(Transect5_imgsummary!E27:I27,"ACROTBL")*100/P27)</f>
        <v>0</v>
      </c>
      <c r="X27">
        <f>IF(P27=0,0,COUNTIF(Transect5_imgsummary!E27:I27,"ASTRP")*100/P27)</f>
        <v>0</v>
      </c>
      <c r="Y27">
        <f>IF(P27=0,0,COUNTIF(Transect5_imgsummary!E27:I27,"CAUL")*100/P27)</f>
        <v>0</v>
      </c>
      <c r="Z27">
        <f>IF(P27=0,0,COUNTIF(Transect5_imgsummary!E27:I27,"COSC")*100/P27)</f>
        <v>0</v>
      </c>
      <c r="AA27">
        <f>IF(P27=0,0,COUNTIF(Transect5_imgsummary!E27:I27,"CTEN")*100/P27)</f>
        <v>0</v>
      </c>
      <c r="AB27">
        <f>IF(P27=0,0,COUNTIF(Transect5_imgsummary!E27:I27,"CYPH")*100/P27)</f>
        <v>0</v>
      </c>
      <c r="AC27">
        <f>IF(P27=0,0,COUNTIF(Transect5_imgsummary!E27:I27,"DIPLO")*100/P27)</f>
        <v>0</v>
      </c>
      <c r="AD27">
        <f>IF(P27=0,0,COUNTIF(Transect5_imgsummary!E27:I27,"ECHPO")*100/P27)</f>
        <v>0</v>
      </c>
      <c r="AE27">
        <f>IF(P27=0,0,COUNTIF(Transect5_imgsummary!E27:I27,"ECHPHY")*100/P27)</f>
        <v>0</v>
      </c>
      <c r="AF27">
        <f>IF(P27=0,0,COUNTIF(Transect5_imgsummary!E27:I27,"EUPH")*100/P27)</f>
        <v>0</v>
      </c>
      <c r="AG27">
        <f>IF(P27=0,0,COUNTIF(Transect5_imgsummary!E27:I27,"FAV")*100/P27)</f>
        <v>0</v>
      </c>
      <c r="AH27">
        <f>IF(P27=0,0,COUNTIF(Transect5_imgsummary!E27:I27,"FAVT")*100/P27)</f>
        <v>0</v>
      </c>
      <c r="AI27">
        <f>IF(P27=0,0,COUNTIF(Transect5_imgsummary!E27:I27,"FUNG")*100/P27)</f>
        <v>0</v>
      </c>
      <c r="AJ27">
        <f>IF(P27=0,0,COUNTIF(Transect5_imgsummary!E27:I27,"GAL")*100/P27)</f>
        <v>0</v>
      </c>
      <c r="AK27">
        <f>IF(P27=0,0,COUNTIF(Transect5_imgsummary!E27:I27,"GARD")*100/P27)</f>
        <v>0</v>
      </c>
      <c r="AL27">
        <f>IF(P27=0,0,COUNTIF(Transect5_imgsummary!E27:I27,"GON")*100/P27)</f>
        <v>0</v>
      </c>
      <c r="AM27" s="29">
        <f>IF(P27=0,0,COUNTIF(Transect5_imgsummary!E27:I27,"GONIO")*100/P27)</f>
        <v>20</v>
      </c>
      <c r="AN27">
        <f>IF(P27=0,0,COUNTIF(Transect5_imgsummary!E27:I27,"HELIO")*100/P27)</f>
        <v>0</v>
      </c>
      <c r="AO27">
        <f>IF(P27=0,0,COUNTIF(Transect5_imgsummary!E27:I27,"HERP")*100/P27)</f>
        <v>0</v>
      </c>
      <c r="AP27" s="29">
        <f>IF(P27=0,0,COUNTIF(Transect5_imgsummary!E27:I27,"HYD")*100/P27)</f>
        <v>20</v>
      </c>
      <c r="AQ27">
        <f>IF(P27=0,0,COUNTIF(Transect5_imgsummary!E27:I27,"ISOP")*100/P27)</f>
        <v>0</v>
      </c>
      <c r="AR27">
        <f>IF(P27=0,0,COUNTIF(Transect5_imgsummary!E27:I27,"LEPT")*100/P27)</f>
        <v>0</v>
      </c>
      <c r="AS27">
        <f>IF(P27=0,0,COUNTIF(Transect5_imgsummary!E27:I27,"LEPTOR")*100/P27)</f>
        <v>0</v>
      </c>
      <c r="AT27">
        <f>IF(P27=0,0,COUNTIF(Transect5_imgsummary!E27:I27,"LEPTOS")*100/P27)</f>
        <v>0</v>
      </c>
      <c r="AU27">
        <f>IF(P27=0,0,COUNTIF(Transect5_imgsummary!E27:I27,"LOBOPH")*100/P27)</f>
        <v>0</v>
      </c>
      <c r="AV27" s="29">
        <f>IF(P27=0,0,COUNTIF(Transect5_imgsummary!E27:I27,"MERU")*100/P27)</f>
        <v>20</v>
      </c>
      <c r="AW27">
        <f>IF(P27=0,0,COUNTIF(Transect5_imgsummary!E27:I27,"MILL")*100/P27)</f>
        <v>0</v>
      </c>
      <c r="AX27">
        <f>IF(P27=0,0,COUNTIF(Transect5_imgsummary!E27:I27,"MONT")*100/P27)</f>
        <v>0</v>
      </c>
      <c r="AY27">
        <f>IF(P27=0,0,COUNTIF(Transect5_imgsummary!E27:I27,"MONTI")*100/P27)</f>
        <v>0</v>
      </c>
      <c r="AZ27">
        <f>IF(P27=0,0,COUNTIF(Transect5_imgsummary!E27:I27,"MYCED")*100/P27)</f>
        <v>0</v>
      </c>
      <c r="BA27">
        <f>IF(P27=0,0,COUNTIF(Transect5_imgsummary!E27:I27,"OULO")*100/P27)</f>
        <v>0</v>
      </c>
      <c r="BB27">
        <f>IF(P27=0,0,COUNTIF(Transect5_imgsummary!E27:I27,"OXYP")*100/P27)</f>
        <v>0</v>
      </c>
      <c r="BC27">
        <f>IF(P27=0,0,COUNTIF(Transect5_imgsummary!E27:I27,"PLSIA")*100/P27)</f>
        <v>0</v>
      </c>
      <c r="BD27">
        <f>IF(P27=0,0,COUNTIF(Transect5_imgsummary!E27:I27,"PACHY")*100/P27)</f>
        <v>0</v>
      </c>
      <c r="BE27">
        <f>IF(P27=0,0,COUNTIF(Transect5_imgsummary!E27:I27,"PAV")*100/P27)</f>
        <v>0</v>
      </c>
      <c r="BF27">
        <f>IF(P27=0,0,COUNTIF(Transect5_imgsummary!E27:I27,"PECT")*100/P27)</f>
        <v>0</v>
      </c>
      <c r="BG27">
        <f>IF(P27=0,0,COUNTIF(Transect5_imgsummary!E27:I27,"PHYSO")*100/P27)</f>
        <v>0</v>
      </c>
      <c r="BH27">
        <f>IF(P27=0,0,COUNTIF(Transect5_imgsummary!E27:I27,"PLAT")*100/P27)</f>
        <v>0</v>
      </c>
      <c r="BI27">
        <f>IF(P27=0,0,COUNTIF(Transect5_imgsummary!E27:I27,"PLERO")*100/P27)</f>
        <v>0</v>
      </c>
      <c r="BJ27">
        <f>IF(P27=0,0,COUNTIF(Transect5_imgsummary!E27:I27,"POC")*100/P27)</f>
        <v>0</v>
      </c>
      <c r="BK27">
        <f>IF(P27=0,0,COUNTIF(Transect5_imgsummary!E27:I27,"POR")*100/P27)</f>
        <v>0</v>
      </c>
      <c r="BL27">
        <f>IF(P27=0,0,COUNTIF(Transect5_imgsummary!E27:I27,"PORCYL")*100/P27)</f>
        <v>0</v>
      </c>
      <c r="BM27">
        <f>IF(P27=0,0,COUNTIF(Transect5_imgsummary!E27:I27,"PORMAS")*100/P27)</f>
        <v>0</v>
      </c>
      <c r="BN27">
        <f>IF(P27=0,0,COUNTIF(Transect5_imgsummary!E27:I27,"PORRUS")*100/P27)</f>
        <v>0</v>
      </c>
      <c r="BO27">
        <f>IF(P27=0,0,COUNTIF(Transect5_imgsummary!E27:I27,"PSAM")*100/P27)</f>
        <v>0</v>
      </c>
      <c r="BP27">
        <f>IF(P27=0,0,COUNTIF(Transect5_imgsummary!E27:I27,"SANDO")*100/P27)</f>
        <v>0</v>
      </c>
      <c r="BQ27">
        <f>IF(P27=0,0,COUNTIF(Transect5_imgsummary!E27:I27,"SCAP")*100/P27)</f>
        <v>0</v>
      </c>
      <c r="BR27">
        <f>IF(P27=0,0,COUNTIF(Transect5_imgsummary!E27:I27,"SERIA")*100/P27)</f>
        <v>0</v>
      </c>
      <c r="BS27">
        <f>IF(P27=0,0,COUNTIF(Transect5_imgsummary!E27:I27,"STYLC")*100/P27)</f>
        <v>0</v>
      </c>
      <c r="BT27">
        <f>IF(P27=0,0,COUNTIF(Transect5_imgsummary!E27:I27,"STYLO")*100/P27)</f>
        <v>0</v>
      </c>
      <c r="BU27">
        <f>IF(P27=0,0,COUNTIF(Transect5_imgsummary!E27:I27,"SYMP")*100/P27)</f>
        <v>0</v>
      </c>
      <c r="BV27">
        <f>IF(P27=0,0,COUNTIF(Transect5_imgsummary!E27:I27,"TURBIN")*100/P27)</f>
        <v>0</v>
      </c>
      <c r="BX27">
        <f>IF(P27=0,0,COUNTIF(Transect5_imgsummary!E27:I27,"ANEM")*100/P27)</f>
        <v>0</v>
      </c>
      <c r="BY27">
        <f>IF(P27=0,0,COUNTIF(Transect5_imgsummary!E27:I27,"ASC")*100/P27)</f>
        <v>0</v>
      </c>
      <c r="BZ27">
        <f>IF(P27=0,0,COUNTIF(Transect5_imgsummary!E27:I27,"CUPS")*100/P27)</f>
        <v>0</v>
      </c>
      <c r="CA27">
        <f>IF(P27=0,0,COUNTIF(Transect5_imgsummary!E27:I27,"DISCO")*100/P27)</f>
        <v>0</v>
      </c>
      <c r="CB27">
        <f>IF(P27=0,0,COUNTIF(Transect5_imgsummary!E27:I27,"DYS")*100/P27)</f>
        <v>0</v>
      </c>
      <c r="CC27">
        <f>IF(P27=0,0,COUNTIF(Transect5_imgsummary!E27:I27,"G")*100/P27)</f>
        <v>0</v>
      </c>
      <c r="CD27">
        <f>IF(P27=0,0,COUNTIF(Transect5_imgsummary!E27:I27,"NoIDINV")*100/P27)</f>
        <v>0</v>
      </c>
      <c r="CE27">
        <f>IF(P27=0,0,COUNTIF(Transect5_imgsummary!E27:I27,"OLV")*100/P27)</f>
        <v>0</v>
      </c>
      <c r="CF27">
        <f>IF(P27=0,0,COUNTIF(Transect5_imgsummary!E27:I27,"SC")*100/P27)</f>
        <v>0</v>
      </c>
      <c r="CG27">
        <f>IF(P27=0,0,COUNTIF(Transect5_imgsummary!E27:I27,"S")*100/P27)</f>
        <v>0</v>
      </c>
      <c r="CH27">
        <f>IF(P27=0,0,COUNTIF(Transect5_imgsummary!E27:I27,"TERPS")*100/P27)</f>
        <v>0</v>
      </c>
      <c r="CI27">
        <f>IF(P27=0,0,COUNTIF(Transect5_imgsummary!E27:I27,"Z")*100/P27)</f>
        <v>0</v>
      </c>
      <c r="CK27">
        <f>IF(P27=0,0,COUNTIF(Transect5_imgsummary!E27:I27,"ASP")*100/P27)</f>
        <v>0</v>
      </c>
      <c r="CL27">
        <f>IF(P27=0,0,COUNTIF(Transect5_imgsummary!E27:I27,"BG")*100/P27)</f>
        <v>0</v>
      </c>
      <c r="CM27">
        <f>IF(P27=0,0,COUNTIF(Transect5_imgsummary!E27:I27,"Bood")*100/P27)</f>
        <v>0</v>
      </c>
      <c r="CN27">
        <f>IF(P27=0,0,COUNTIF(Transect5_imgsummary!E27:I27,"BRYP")*100/P27)</f>
        <v>0</v>
      </c>
      <c r="CO27">
        <f>IF(P27=0,0,COUNTIF(Transect5_imgsummary!E27:I27,"CLP")*100/P27)</f>
        <v>0</v>
      </c>
      <c r="CP27">
        <f>IF(P27=0,0,COUNTIF(Transect5_imgsummary!E27:I27,"CHLDES")*100/P27)</f>
        <v>0</v>
      </c>
      <c r="CQ27">
        <f>IF(P27=0,0,COUNTIF(Transect5_imgsummary!E27:I27,"DYCTY")*100/P27)</f>
        <v>0</v>
      </c>
      <c r="CR27">
        <f>IF(P27=0,0,COUNTIF(Transect5_imgsummary!E27:I27,"DICT")*100/P27)</f>
        <v>0</v>
      </c>
      <c r="CS27">
        <f>IF(P27=0,0,COUNTIF(Transect5_imgsummary!E27:I27,"GLXU")*100/P27)</f>
        <v>0</v>
      </c>
      <c r="CT27">
        <f>IF(P27=0,0,COUNTIF(Transect5_imgsummary!E27:I27,"HALI")*100/P27)</f>
        <v>0</v>
      </c>
      <c r="CU27">
        <f>IF(P27=0,0,COUNTIF(Transect5_imgsummary!E27:I27,"LIAG")*100/P27)</f>
        <v>0</v>
      </c>
      <c r="CV27">
        <f>IF(P27=0,0,COUNTIF(Transect5_imgsummary!E27:I27,"LOBO")*100/P27)</f>
        <v>0</v>
      </c>
      <c r="CW27">
        <f>IF(P27=0,0,COUNTIF(Transect5_imgsummary!E27:I27,"MAST")*100/P27)</f>
        <v>0</v>
      </c>
      <c r="CX27">
        <f>IF(P27=0,0,COUNTIF(Transect5_imgsummary!E27:I27,"MICDTY")*100/P27)</f>
        <v>0</v>
      </c>
      <c r="CY27">
        <f>IF(P27=0,0,COUNTIF(Transect5_imgsummary!E27:I27,"NEOM")*100/P27)</f>
        <v>0</v>
      </c>
      <c r="CZ27">
        <f>IF(P27=0,0,COUNTIF(Transect5_imgsummary!E27:I27,"NOIDMAC")*100/P27)</f>
        <v>0</v>
      </c>
      <c r="DA27">
        <f>IF(P27=0,0,COUNTIF(Transect5_imgsummary!E27:I27,"PAD")*100/P27)</f>
        <v>0</v>
      </c>
      <c r="DB27">
        <f>IF(P27=0,0,COUNTIF(Transect5_imgsummary!E27:I27,"SARG")*100/P27)</f>
        <v>0</v>
      </c>
      <c r="DC27">
        <f>IF(P27=0,0,COUNTIF(Transect5_imgsummary!E27:I27,"SCHIZ")*100/P27)</f>
        <v>0</v>
      </c>
      <c r="DD27">
        <f>IF(P27=0,0,COUNTIF(Transect5_imgsummary!E27:I27,"TURB")*100/P27)</f>
        <v>0</v>
      </c>
      <c r="DE27">
        <f>IF(P27=0,0,COUNTIF(Transect5_imgsummary!E27:I27,"TYDM")*100/P27)</f>
        <v>0</v>
      </c>
      <c r="DG27">
        <f>IF(P27=0,0,COUNTIF(Transect5_imgsummary!E27:I27,"AMP")*100/P27)</f>
        <v>0</v>
      </c>
      <c r="DH27">
        <f>IF(P27=0,0,COUNTIF(Transect5_imgsummary!E27:I27,"BCA1")*100/P27)</f>
        <v>0</v>
      </c>
      <c r="DI27">
        <f>IF(P27=0,0,COUNTIF(Transect5_imgsummary!E27:I27,"JAN")*100/P27)</f>
        <v>0</v>
      </c>
      <c r="DK27">
        <f>IF(P27=0,0,COUNTIF(Transect5_imgsummary!E27:I27,"CCA1")*100/P27)</f>
        <v>0</v>
      </c>
      <c r="DM27">
        <f>IF(P27=0,0,COUNTIF(Transect5_imgsummary!E27:I27,"Sand")*100/P27)</f>
        <v>0</v>
      </c>
      <c r="DO27">
        <f>IF(P27=0,0,COUNTIF(Transect5_imgsummary!E27:I27,"FCA1")*100/P27)</f>
        <v>0</v>
      </c>
      <c r="DQ27">
        <f>IF(P27=0,0,COUNTIF(Transect5_imgsummary!E27:I27,"CHRYOBRN")*100/P27)</f>
        <v>0</v>
      </c>
      <c r="DS27" s="29">
        <f>IF(P27=0,0,COUNTIF(Transect5_imgsummary!E27:I27,"TURF")*100/P27)</f>
        <v>40</v>
      </c>
      <c r="DU27">
        <f>COUNTIF(Transect5_imgsummary!E27:I27,"Shadow")*100/5</f>
        <v>0</v>
      </c>
      <c r="DV27">
        <f>COUNTIF(Transect5_imgsummary!E27:I27,"Tape")*100/5</f>
        <v>0</v>
      </c>
      <c r="DW27">
        <f>COUNTIF(Transect5_imgsummary!E27:I27,"Wand")*100/5</f>
        <v>0</v>
      </c>
      <c r="DY27">
        <f>IF(P27=0,0,COUNTIF(Transect5_imgsummary!O27:S27,"BC")*100/P27)</f>
        <v>0</v>
      </c>
    </row>
    <row r="28" spans="1:129">
      <c r="A28">
        <v>26</v>
      </c>
      <c r="B28" t="s">
        <v>623</v>
      </c>
      <c r="F28" s="29">
        <f>IF(P28=0,0,COUNTIF(Transect5_imgsummary!J28:N28,"C")*100/P28)</f>
        <v>40</v>
      </c>
      <c r="G28">
        <f>IF(P28=0,0,COUNTIF(Transect5_imgsummary!J28:N28,"OI")*100/P28)</f>
        <v>0</v>
      </c>
      <c r="H28">
        <f>IF(P28=0,0,COUNTIF(Transect5_imgsummary!J28:N28,"MA")*100/P28)</f>
        <v>0</v>
      </c>
      <c r="I28">
        <f>IF(P28=0,0,COUNTIF(Transect5_imgsummary!J28:N28,"BCA")*100/P28)</f>
        <v>0</v>
      </c>
      <c r="J28" s="29">
        <f>IF(P28=0,0,COUNTIF(Transect5_imgsummary!J28:N28,"CCA")*100/P28)</f>
        <v>40</v>
      </c>
      <c r="K28">
        <f>IF(P28=0,0,COUNTIF(Transect5_imgsummary!J28:N28,"SD")*100/P28)</f>
        <v>0</v>
      </c>
      <c r="L28">
        <f>IF(P28=0,0,COUNTIF(Transect5_imgsummary!J28:N28,"FCA")*100/P28)</f>
        <v>0</v>
      </c>
      <c r="M28">
        <f>IF(P28=0,0,COUNTIF(Transect5_imgsummary!J28:N28,"CHRYS")*100/P28)</f>
        <v>0</v>
      </c>
      <c r="N28" s="29">
        <f>IF(P28=0,0,COUNTIF(Transect5_imgsummary!J28:N28,"T")*100/P28)</f>
        <v>20</v>
      </c>
      <c r="O28">
        <f>IF(P28=0,0,COUNTIF(Transect5_imgsummary!J28:N28,"TWS")*100/P28)</f>
        <v>0</v>
      </c>
      <c r="P28">
        <f>5-COUNTIF(Transect5_imgsummary!J28:N28,"TWS")</f>
        <v>5</v>
      </c>
      <c r="S28">
        <f>IF(P28=0,0,COUNTIF(Transect5_imgsummary!E28:I28,"ACAN")*100/P28)</f>
        <v>0</v>
      </c>
      <c r="T28">
        <f>IF(P28=0,0,COUNTIF(Transect5_imgsummary!E28:I28,"ACROP")*100/P28)</f>
        <v>0</v>
      </c>
      <c r="U28">
        <f>IF(P28=0,0,COUNTIF(Transect5_imgsummary!E28:I28,"ACROPARB")*100/P28)</f>
        <v>0</v>
      </c>
      <c r="V28">
        <f>IF(P28=0,0,COUNTIF(Transect5_imgsummary!E28:I28,"ACROST")*100/P28)</f>
        <v>0</v>
      </c>
      <c r="W28">
        <f>IF(P28=0,0,COUNTIF(Transect5_imgsummary!E28:I28,"ACROTBL")*100/P28)</f>
        <v>0</v>
      </c>
      <c r="X28">
        <f>IF(P28=0,0,COUNTIF(Transect5_imgsummary!E28:I28,"ASTRP")*100/P28)</f>
        <v>0</v>
      </c>
      <c r="Y28">
        <f>IF(P28=0,0,COUNTIF(Transect5_imgsummary!E28:I28,"CAUL")*100/P28)</f>
        <v>0</v>
      </c>
      <c r="Z28">
        <f>IF(P28=0,0,COUNTIF(Transect5_imgsummary!E28:I28,"COSC")*100/P28)</f>
        <v>0</v>
      </c>
      <c r="AA28">
        <f>IF(P28=0,0,COUNTIF(Transect5_imgsummary!E28:I28,"CTEN")*100/P28)</f>
        <v>0</v>
      </c>
      <c r="AB28">
        <f>IF(P28=0,0,COUNTIF(Transect5_imgsummary!E28:I28,"CYPH")*100/P28)</f>
        <v>0</v>
      </c>
      <c r="AC28">
        <f>IF(P28=0,0,COUNTIF(Transect5_imgsummary!E28:I28,"DIPLO")*100/P28)</f>
        <v>0</v>
      </c>
      <c r="AD28" s="29">
        <f>IF(P28=0,0,COUNTIF(Transect5_imgsummary!E28:I28,"ECHPO")*100/P28)</f>
        <v>20</v>
      </c>
      <c r="AE28">
        <f>IF(P28=0,0,COUNTIF(Transect5_imgsummary!E28:I28,"ECHPHY")*100/P28)</f>
        <v>0</v>
      </c>
      <c r="AF28">
        <f>IF(P28=0,0,COUNTIF(Transect5_imgsummary!E28:I28,"EUPH")*100/P28)</f>
        <v>0</v>
      </c>
      <c r="AG28">
        <f>IF(P28=0,0,COUNTIF(Transect5_imgsummary!E28:I28,"FAV")*100/P28)</f>
        <v>0</v>
      </c>
      <c r="AH28">
        <f>IF(P28=0,0,COUNTIF(Transect5_imgsummary!E28:I28,"FAVT")*100/P28)</f>
        <v>0</v>
      </c>
      <c r="AI28">
        <f>IF(P28=0,0,COUNTIF(Transect5_imgsummary!E28:I28,"FUNG")*100/P28)</f>
        <v>0</v>
      </c>
      <c r="AJ28">
        <f>IF(P28=0,0,COUNTIF(Transect5_imgsummary!E28:I28,"GAL")*100/P28)</f>
        <v>0</v>
      </c>
      <c r="AK28">
        <f>IF(P28=0,0,COUNTIF(Transect5_imgsummary!E28:I28,"GARD")*100/P28)</f>
        <v>0</v>
      </c>
      <c r="AL28">
        <f>IF(P28=0,0,COUNTIF(Transect5_imgsummary!E28:I28,"GON")*100/P28)</f>
        <v>0</v>
      </c>
      <c r="AM28">
        <f>IF(P28=0,0,COUNTIF(Transect5_imgsummary!E28:I28,"GONIO")*100/P28)</f>
        <v>0</v>
      </c>
      <c r="AN28">
        <f>IF(P28=0,0,COUNTIF(Transect5_imgsummary!E28:I28,"HELIO")*100/P28)</f>
        <v>0</v>
      </c>
      <c r="AO28">
        <f>IF(P28=0,0,COUNTIF(Transect5_imgsummary!E28:I28,"HERP")*100/P28)</f>
        <v>0</v>
      </c>
      <c r="AP28">
        <f>IF(P28=0,0,COUNTIF(Transect5_imgsummary!E28:I28,"HYD")*100/P28)</f>
        <v>0</v>
      </c>
      <c r="AQ28">
        <f>IF(P28=0,0,COUNTIF(Transect5_imgsummary!E28:I28,"ISOP")*100/P28)</f>
        <v>0</v>
      </c>
      <c r="AR28">
        <f>IF(P28=0,0,COUNTIF(Transect5_imgsummary!E28:I28,"LEPT")*100/P28)</f>
        <v>0</v>
      </c>
      <c r="AS28">
        <f>IF(P28=0,0,COUNTIF(Transect5_imgsummary!E28:I28,"LEPTOR")*100/P28)</f>
        <v>0</v>
      </c>
      <c r="AT28">
        <f>IF(P28=0,0,COUNTIF(Transect5_imgsummary!E28:I28,"LEPTOS")*100/P28)</f>
        <v>0</v>
      </c>
      <c r="AU28">
        <f>IF(P28=0,0,COUNTIF(Transect5_imgsummary!E28:I28,"LOBOPH")*100/P28)</f>
        <v>0</v>
      </c>
      <c r="AV28" s="29">
        <f>IF(P28=0,0,COUNTIF(Transect5_imgsummary!E28:I28,"MERU")*100/P28)</f>
        <v>20</v>
      </c>
      <c r="AW28">
        <f>IF(P28=0,0,COUNTIF(Transect5_imgsummary!E28:I28,"MILL")*100/P28)</f>
        <v>0</v>
      </c>
      <c r="AX28">
        <f>IF(P28=0,0,COUNTIF(Transect5_imgsummary!E28:I28,"MONT")*100/P28)</f>
        <v>0</v>
      </c>
      <c r="AY28">
        <f>IF(P28=0,0,COUNTIF(Transect5_imgsummary!E28:I28,"MONTI")*100/P28)</f>
        <v>0</v>
      </c>
      <c r="AZ28">
        <f>IF(P28=0,0,COUNTIF(Transect5_imgsummary!E28:I28,"MYCED")*100/P28)</f>
        <v>0</v>
      </c>
      <c r="BA28">
        <f>IF(P28=0,0,COUNTIF(Transect5_imgsummary!E28:I28,"OULO")*100/P28)</f>
        <v>0</v>
      </c>
      <c r="BB28">
        <f>IF(P28=0,0,COUNTIF(Transect5_imgsummary!E28:I28,"OXYP")*100/P28)</f>
        <v>0</v>
      </c>
      <c r="BC28">
        <f>IF(P28=0,0,COUNTIF(Transect5_imgsummary!E28:I28,"PLSIA")*100/P28)</f>
        <v>0</v>
      </c>
      <c r="BD28">
        <f>IF(P28=0,0,COUNTIF(Transect5_imgsummary!E28:I28,"PACHY")*100/P28)</f>
        <v>0</v>
      </c>
      <c r="BE28">
        <f>IF(P28=0,0,COUNTIF(Transect5_imgsummary!E28:I28,"PAV")*100/P28)</f>
        <v>0</v>
      </c>
      <c r="BF28">
        <f>IF(P28=0,0,COUNTIF(Transect5_imgsummary!E28:I28,"PECT")*100/P28)</f>
        <v>0</v>
      </c>
      <c r="BG28">
        <f>IF(P28=0,0,COUNTIF(Transect5_imgsummary!E28:I28,"PHYSO")*100/P28)</f>
        <v>0</v>
      </c>
      <c r="BH28">
        <f>IF(P28=0,0,COUNTIF(Transect5_imgsummary!E28:I28,"PLAT")*100/P28)</f>
        <v>0</v>
      </c>
      <c r="BI28">
        <f>IF(P28=0,0,COUNTIF(Transect5_imgsummary!E28:I28,"PLERO")*100/P28)</f>
        <v>0</v>
      </c>
      <c r="BJ28">
        <f>IF(P28=0,0,COUNTIF(Transect5_imgsummary!E28:I28,"POC")*100/P28)</f>
        <v>0</v>
      </c>
      <c r="BK28">
        <f>IF(P28=0,0,COUNTIF(Transect5_imgsummary!E28:I28,"POR")*100/P28)</f>
        <v>0</v>
      </c>
      <c r="BL28">
        <f>IF(P28=0,0,COUNTIF(Transect5_imgsummary!E28:I28,"PORCYL")*100/P28)</f>
        <v>0</v>
      </c>
      <c r="BM28">
        <f>IF(P28=0,0,COUNTIF(Transect5_imgsummary!E28:I28,"PORMAS")*100/P28)</f>
        <v>0</v>
      </c>
      <c r="BN28">
        <f>IF(P28=0,0,COUNTIF(Transect5_imgsummary!E28:I28,"PORRUS")*100/P28)</f>
        <v>0</v>
      </c>
      <c r="BO28">
        <f>IF(P28=0,0,COUNTIF(Transect5_imgsummary!E28:I28,"PSAM")*100/P28)</f>
        <v>0</v>
      </c>
      <c r="BP28">
        <f>IF(P28=0,0,COUNTIF(Transect5_imgsummary!E28:I28,"SANDO")*100/P28)</f>
        <v>0</v>
      </c>
      <c r="BQ28">
        <f>IF(P28=0,0,COUNTIF(Transect5_imgsummary!E28:I28,"SCAP")*100/P28)</f>
        <v>0</v>
      </c>
      <c r="BR28">
        <f>IF(P28=0,0,COUNTIF(Transect5_imgsummary!E28:I28,"SERIA")*100/P28)</f>
        <v>0</v>
      </c>
      <c r="BS28">
        <f>IF(P28=0,0,COUNTIF(Transect5_imgsummary!E28:I28,"STYLC")*100/P28)</f>
        <v>0</v>
      </c>
      <c r="BT28">
        <f>IF(P28=0,0,COUNTIF(Transect5_imgsummary!E28:I28,"STYLO")*100/P28)</f>
        <v>0</v>
      </c>
      <c r="BU28">
        <f>IF(P28=0,0,COUNTIF(Transect5_imgsummary!E28:I28,"SYMP")*100/P28)</f>
        <v>0</v>
      </c>
      <c r="BV28">
        <f>IF(P28=0,0,COUNTIF(Transect5_imgsummary!E28:I28,"TURBIN")*100/P28)</f>
        <v>0</v>
      </c>
      <c r="BX28">
        <f>IF(P28=0,0,COUNTIF(Transect5_imgsummary!E28:I28,"ANEM")*100/P28)</f>
        <v>0</v>
      </c>
      <c r="BY28">
        <f>IF(P28=0,0,COUNTIF(Transect5_imgsummary!E28:I28,"ASC")*100/P28)</f>
        <v>0</v>
      </c>
      <c r="BZ28">
        <f>IF(P28=0,0,COUNTIF(Transect5_imgsummary!E28:I28,"CUPS")*100/P28)</f>
        <v>0</v>
      </c>
      <c r="CA28">
        <f>IF(P28=0,0,COUNTIF(Transect5_imgsummary!E28:I28,"DISCO")*100/P28)</f>
        <v>0</v>
      </c>
      <c r="CB28">
        <f>IF(P28=0,0,COUNTIF(Transect5_imgsummary!E28:I28,"DYS")*100/P28)</f>
        <v>0</v>
      </c>
      <c r="CC28">
        <f>IF(P28=0,0,COUNTIF(Transect5_imgsummary!E28:I28,"G")*100/P28)</f>
        <v>0</v>
      </c>
      <c r="CD28">
        <f>IF(P28=0,0,COUNTIF(Transect5_imgsummary!E28:I28,"NoIDINV")*100/P28)</f>
        <v>0</v>
      </c>
      <c r="CE28">
        <f>IF(P28=0,0,COUNTIF(Transect5_imgsummary!E28:I28,"OLV")*100/P28)</f>
        <v>0</v>
      </c>
      <c r="CF28">
        <f>IF(P28=0,0,COUNTIF(Transect5_imgsummary!E28:I28,"SC")*100/P28)</f>
        <v>0</v>
      </c>
      <c r="CG28">
        <f>IF(P28=0,0,COUNTIF(Transect5_imgsummary!E28:I28,"S")*100/P28)</f>
        <v>0</v>
      </c>
      <c r="CH28">
        <f>IF(P28=0,0,COUNTIF(Transect5_imgsummary!E28:I28,"TERPS")*100/P28)</f>
        <v>0</v>
      </c>
      <c r="CI28">
        <f>IF(P28=0,0,COUNTIF(Transect5_imgsummary!E28:I28,"Z")*100/P28)</f>
        <v>0</v>
      </c>
      <c r="CK28">
        <f>IF(P28=0,0,COUNTIF(Transect5_imgsummary!E28:I28,"ASP")*100/P28)</f>
        <v>0</v>
      </c>
      <c r="CL28">
        <f>IF(P28=0,0,COUNTIF(Transect5_imgsummary!E28:I28,"BG")*100/P28)</f>
        <v>0</v>
      </c>
      <c r="CM28">
        <f>IF(P28=0,0,COUNTIF(Transect5_imgsummary!E28:I28,"Bood")*100/P28)</f>
        <v>0</v>
      </c>
      <c r="CN28">
        <f>IF(P28=0,0,COUNTIF(Transect5_imgsummary!E28:I28,"BRYP")*100/P28)</f>
        <v>0</v>
      </c>
      <c r="CO28">
        <f>IF(P28=0,0,COUNTIF(Transect5_imgsummary!E28:I28,"CLP")*100/P28)</f>
        <v>0</v>
      </c>
      <c r="CP28">
        <f>IF(P28=0,0,COUNTIF(Transect5_imgsummary!E28:I28,"CHLDES")*100/P28)</f>
        <v>0</v>
      </c>
      <c r="CQ28">
        <f>IF(P28=0,0,COUNTIF(Transect5_imgsummary!E28:I28,"DYCTY")*100/P28)</f>
        <v>0</v>
      </c>
      <c r="CR28">
        <f>IF(P28=0,0,COUNTIF(Transect5_imgsummary!E28:I28,"DICT")*100/P28)</f>
        <v>0</v>
      </c>
      <c r="CS28">
        <f>IF(P28=0,0,COUNTIF(Transect5_imgsummary!E28:I28,"GLXU")*100/P28)</f>
        <v>0</v>
      </c>
      <c r="CT28">
        <f>IF(P28=0,0,COUNTIF(Transect5_imgsummary!E28:I28,"HALI")*100/P28)</f>
        <v>0</v>
      </c>
      <c r="CU28">
        <f>IF(P28=0,0,COUNTIF(Transect5_imgsummary!E28:I28,"LIAG")*100/P28)</f>
        <v>0</v>
      </c>
      <c r="CV28">
        <f>IF(P28=0,0,COUNTIF(Transect5_imgsummary!E28:I28,"LOBO")*100/P28)</f>
        <v>0</v>
      </c>
      <c r="CW28">
        <f>IF(P28=0,0,COUNTIF(Transect5_imgsummary!E28:I28,"MAST")*100/P28)</f>
        <v>0</v>
      </c>
      <c r="CX28">
        <f>IF(P28=0,0,COUNTIF(Transect5_imgsummary!E28:I28,"MICDTY")*100/P28)</f>
        <v>0</v>
      </c>
      <c r="CY28">
        <f>IF(P28=0,0,COUNTIF(Transect5_imgsummary!E28:I28,"NEOM")*100/P28)</f>
        <v>0</v>
      </c>
      <c r="CZ28">
        <f>IF(P28=0,0,COUNTIF(Transect5_imgsummary!E28:I28,"NOIDMAC")*100/P28)</f>
        <v>0</v>
      </c>
      <c r="DA28">
        <f>IF(P28=0,0,COUNTIF(Transect5_imgsummary!E28:I28,"PAD")*100/P28)</f>
        <v>0</v>
      </c>
      <c r="DB28">
        <f>IF(P28=0,0,COUNTIF(Transect5_imgsummary!E28:I28,"SARG")*100/P28)</f>
        <v>0</v>
      </c>
      <c r="DC28">
        <f>IF(P28=0,0,COUNTIF(Transect5_imgsummary!E28:I28,"SCHIZ")*100/P28)</f>
        <v>0</v>
      </c>
      <c r="DD28">
        <f>IF(P28=0,0,COUNTIF(Transect5_imgsummary!E28:I28,"TURB")*100/P28)</f>
        <v>0</v>
      </c>
      <c r="DE28">
        <f>IF(P28=0,0,COUNTIF(Transect5_imgsummary!E28:I28,"TYDM")*100/P28)</f>
        <v>0</v>
      </c>
      <c r="DG28">
        <f>IF(P28=0,0,COUNTIF(Transect5_imgsummary!E28:I28,"AMP")*100/P28)</f>
        <v>0</v>
      </c>
      <c r="DH28">
        <f>IF(P28=0,0,COUNTIF(Transect5_imgsummary!E28:I28,"BCA1")*100/P28)</f>
        <v>0</v>
      </c>
      <c r="DI28">
        <f>IF(P28=0,0,COUNTIF(Transect5_imgsummary!E28:I28,"JAN")*100/P28)</f>
        <v>0</v>
      </c>
      <c r="DK28" s="29">
        <f>IF(P28=0,0,COUNTIF(Transect5_imgsummary!E28:I28,"CCA1")*100/P28)</f>
        <v>40</v>
      </c>
      <c r="DM28">
        <f>IF(P28=0,0,COUNTIF(Transect5_imgsummary!E28:I28,"Sand")*100/P28)</f>
        <v>0</v>
      </c>
      <c r="DO28">
        <f>IF(P28=0,0,COUNTIF(Transect5_imgsummary!E28:I28,"FCA1")*100/P28)</f>
        <v>0</v>
      </c>
      <c r="DQ28">
        <f>IF(P28=0,0,COUNTIF(Transect5_imgsummary!E28:I28,"CHRYOBRN")*100/P28)</f>
        <v>0</v>
      </c>
      <c r="DS28" s="29">
        <f>IF(P28=0,0,COUNTIF(Transect5_imgsummary!E28:I28,"TURF")*100/P28)</f>
        <v>20</v>
      </c>
      <c r="DU28">
        <f>COUNTIF(Transect5_imgsummary!E28:I28,"Shadow")*100/5</f>
        <v>0</v>
      </c>
      <c r="DV28">
        <f>COUNTIF(Transect5_imgsummary!E28:I28,"Tape")*100/5</f>
        <v>0</v>
      </c>
      <c r="DW28">
        <f>COUNTIF(Transect5_imgsummary!E28:I28,"Wand")*100/5</f>
        <v>0</v>
      </c>
      <c r="DY28">
        <f>IF(P28=0,0,COUNTIF(Transect5_imgsummary!O28:S28,"BC")*100/P28)</f>
        <v>0</v>
      </c>
    </row>
    <row r="29" spans="1:129">
      <c r="A29">
        <v>27</v>
      </c>
      <c r="B29" t="s">
        <v>624</v>
      </c>
      <c r="F29" s="29">
        <f>IF(P29=0,0,COUNTIF(Transect5_imgsummary!J29:N29,"C")*100/P29)</f>
        <v>20</v>
      </c>
      <c r="G29">
        <f>IF(P29=0,0,COUNTIF(Transect5_imgsummary!J29:N29,"OI")*100/P29)</f>
        <v>0</v>
      </c>
      <c r="H29">
        <f>IF(P29=0,0,COUNTIF(Transect5_imgsummary!J29:N29,"MA")*100/P29)</f>
        <v>0</v>
      </c>
      <c r="I29">
        <f>IF(P29=0,0,COUNTIF(Transect5_imgsummary!J29:N29,"BCA")*100/P29)</f>
        <v>0</v>
      </c>
      <c r="J29" s="29">
        <f>IF(P29=0,0,COUNTIF(Transect5_imgsummary!J29:N29,"CCA")*100/P29)</f>
        <v>60</v>
      </c>
      <c r="K29">
        <f>IF(P29=0,0,COUNTIF(Transect5_imgsummary!J29:N29,"SD")*100/P29)</f>
        <v>0</v>
      </c>
      <c r="L29">
        <f>IF(P29=0,0,COUNTIF(Transect5_imgsummary!J29:N29,"FCA")*100/P29)</f>
        <v>0</v>
      </c>
      <c r="M29">
        <f>IF(P29=0,0,COUNTIF(Transect5_imgsummary!J29:N29,"CHRYS")*100/P29)</f>
        <v>0</v>
      </c>
      <c r="N29" s="29">
        <f>IF(P29=0,0,COUNTIF(Transect5_imgsummary!J29:N29,"T")*100/P29)</f>
        <v>20</v>
      </c>
      <c r="O29">
        <f>IF(P29=0,0,COUNTIF(Transect5_imgsummary!J29:N29,"TWS")*100/P29)</f>
        <v>0</v>
      </c>
      <c r="P29">
        <f>5-COUNTIF(Transect5_imgsummary!J29:N29,"TWS")</f>
        <v>5</v>
      </c>
      <c r="S29">
        <f>IF(P29=0,0,COUNTIF(Transect5_imgsummary!E29:I29,"ACAN")*100/P29)</f>
        <v>0</v>
      </c>
      <c r="T29">
        <f>IF(P29=0,0,COUNTIF(Transect5_imgsummary!E29:I29,"ACROP")*100/P29)</f>
        <v>0</v>
      </c>
      <c r="U29">
        <f>IF(P29=0,0,COUNTIF(Transect5_imgsummary!E29:I29,"ACROPARB")*100/P29)</f>
        <v>0</v>
      </c>
      <c r="V29">
        <f>IF(P29=0,0,COUNTIF(Transect5_imgsummary!E29:I29,"ACROST")*100/P29)</f>
        <v>0</v>
      </c>
      <c r="W29">
        <f>IF(P29=0,0,COUNTIF(Transect5_imgsummary!E29:I29,"ACROTBL")*100/P29)</f>
        <v>0</v>
      </c>
      <c r="X29">
        <f>IF(P29=0,0,COUNTIF(Transect5_imgsummary!E29:I29,"ASTRP")*100/P29)</f>
        <v>0</v>
      </c>
      <c r="Y29">
        <f>IF(P29=0,0,COUNTIF(Transect5_imgsummary!E29:I29,"CAUL")*100/P29)</f>
        <v>0</v>
      </c>
      <c r="Z29">
        <f>IF(P29=0,0,COUNTIF(Transect5_imgsummary!E29:I29,"COSC")*100/P29)</f>
        <v>0</v>
      </c>
      <c r="AA29">
        <f>IF(P29=0,0,COUNTIF(Transect5_imgsummary!E29:I29,"CTEN")*100/P29)</f>
        <v>0</v>
      </c>
      <c r="AB29">
        <f>IF(P29=0,0,COUNTIF(Transect5_imgsummary!E29:I29,"CYPH")*100/P29)</f>
        <v>0</v>
      </c>
      <c r="AC29">
        <f>IF(P29=0,0,COUNTIF(Transect5_imgsummary!E29:I29,"DIPLO")*100/P29)</f>
        <v>0</v>
      </c>
      <c r="AD29">
        <f>IF(P29=0,0,COUNTIF(Transect5_imgsummary!E29:I29,"ECHPO")*100/P29)</f>
        <v>0</v>
      </c>
      <c r="AE29">
        <f>IF(P29=0,0,COUNTIF(Transect5_imgsummary!E29:I29,"ECHPHY")*100/P29)</f>
        <v>0</v>
      </c>
      <c r="AF29">
        <f>IF(P29=0,0,COUNTIF(Transect5_imgsummary!E29:I29,"EUPH")*100/P29)</f>
        <v>0</v>
      </c>
      <c r="AG29">
        <f>IF(P29=0,0,COUNTIF(Transect5_imgsummary!E29:I29,"FAV")*100/P29)</f>
        <v>0</v>
      </c>
      <c r="AH29">
        <f>IF(P29=0,0,COUNTIF(Transect5_imgsummary!E29:I29,"FAVT")*100/P29)</f>
        <v>0</v>
      </c>
      <c r="AI29">
        <f>IF(P29=0,0,COUNTIF(Transect5_imgsummary!E29:I29,"FUNG")*100/P29)</f>
        <v>0</v>
      </c>
      <c r="AJ29">
        <f>IF(P29=0,0,COUNTIF(Transect5_imgsummary!E29:I29,"GAL")*100/P29)</f>
        <v>0</v>
      </c>
      <c r="AK29">
        <f>IF(P29=0,0,COUNTIF(Transect5_imgsummary!E29:I29,"GARD")*100/P29)</f>
        <v>0</v>
      </c>
      <c r="AL29">
        <f>IF(P29=0,0,COUNTIF(Transect5_imgsummary!E29:I29,"GON")*100/P29)</f>
        <v>0</v>
      </c>
      <c r="AM29">
        <f>IF(P29=0,0,COUNTIF(Transect5_imgsummary!E29:I29,"GONIO")*100/P29)</f>
        <v>0</v>
      </c>
      <c r="AN29">
        <f>IF(P29=0,0,COUNTIF(Transect5_imgsummary!E29:I29,"HELIO")*100/P29)</f>
        <v>0</v>
      </c>
      <c r="AO29">
        <f>IF(P29=0,0,COUNTIF(Transect5_imgsummary!E29:I29,"HERP")*100/P29)</f>
        <v>0</v>
      </c>
      <c r="AP29">
        <f>IF(P29=0,0,COUNTIF(Transect5_imgsummary!E29:I29,"HYD")*100/P29)</f>
        <v>0</v>
      </c>
      <c r="AQ29">
        <f>IF(P29=0,0,COUNTIF(Transect5_imgsummary!E29:I29,"ISOP")*100/P29)</f>
        <v>0</v>
      </c>
      <c r="AR29">
        <f>IF(P29=0,0,COUNTIF(Transect5_imgsummary!E29:I29,"LEPT")*100/P29)</f>
        <v>0</v>
      </c>
      <c r="AS29">
        <f>IF(P29=0,0,COUNTIF(Transect5_imgsummary!E29:I29,"LEPTOR")*100/P29)</f>
        <v>0</v>
      </c>
      <c r="AT29">
        <f>IF(P29=0,0,COUNTIF(Transect5_imgsummary!E29:I29,"LEPTOS")*100/P29)</f>
        <v>0</v>
      </c>
      <c r="AU29">
        <f>IF(P29=0,0,COUNTIF(Transect5_imgsummary!E29:I29,"LOBOPH")*100/P29)</f>
        <v>0</v>
      </c>
      <c r="AV29">
        <f>IF(P29=0,0,COUNTIF(Transect5_imgsummary!E29:I29,"MERU")*100/P29)</f>
        <v>0</v>
      </c>
      <c r="AW29">
        <f>IF(P29=0,0,COUNTIF(Transect5_imgsummary!E29:I29,"MILL")*100/P29)</f>
        <v>0</v>
      </c>
      <c r="AX29">
        <f>IF(P29=0,0,COUNTIF(Transect5_imgsummary!E29:I29,"MONT")*100/P29)</f>
        <v>0</v>
      </c>
      <c r="AY29">
        <f>IF(P29=0,0,COUNTIF(Transect5_imgsummary!E29:I29,"MONTI")*100/P29)</f>
        <v>0</v>
      </c>
      <c r="AZ29">
        <f>IF(P29=0,0,COUNTIF(Transect5_imgsummary!E29:I29,"MYCED")*100/P29)</f>
        <v>0</v>
      </c>
      <c r="BA29">
        <f>IF(P29=0,0,COUNTIF(Transect5_imgsummary!E29:I29,"OULO")*100/P29)</f>
        <v>0</v>
      </c>
      <c r="BB29">
        <f>IF(P29=0,0,COUNTIF(Transect5_imgsummary!E29:I29,"OXYP")*100/P29)</f>
        <v>0</v>
      </c>
      <c r="BC29">
        <f>IF(P29=0,0,COUNTIF(Transect5_imgsummary!E29:I29,"PLSIA")*100/P29)</f>
        <v>0</v>
      </c>
      <c r="BD29">
        <f>IF(P29=0,0,COUNTIF(Transect5_imgsummary!E29:I29,"PACHY")*100/P29)</f>
        <v>0</v>
      </c>
      <c r="BE29">
        <f>IF(P29=0,0,COUNTIF(Transect5_imgsummary!E29:I29,"PAV")*100/P29)</f>
        <v>0</v>
      </c>
      <c r="BF29">
        <f>IF(P29=0,0,COUNTIF(Transect5_imgsummary!E29:I29,"PECT")*100/P29)</f>
        <v>0</v>
      </c>
      <c r="BG29">
        <f>IF(P29=0,0,COUNTIF(Transect5_imgsummary!E29:I29,"PHYSO")*100/P29)</f>
        <v>0</v>
      </c>
      <c r="BH29">
        <f>IF(P29=0,0,COUNTIF(Transect5_imgsummary!E29:I29,"PLAT")*100/P29)</f>
        <v>0</v>
      </c>
      <c r="BI29">
        <f>IF(P29=0,0,COUNTIF(Transect5_imgsummary!E29:I29,"PLERO")*100/P29)</f>
        <v>0</v>
      </c>
      <c r="BJ29">
        <f>IF(P29=0,0,COUNTIF(Transect5_imgsummary!E29:I29,"POC")*100/P29)</f>
        <v>0</v>
      </c>
      <c r="BK29">
        <f>IF(P29=0,0,COUNTIF(Transect5_imgsummary!E29:I29,"POR")*100/P29)</f>
        <v>0</v>
      </c>
      <c r="BL29">
        <f>IF(P29=0,0,COUNTIF(Transect5_imgsummary!E29:I29,"PORCYL")*100/P29)</f>
        <v>0</v>
      </c>
      <c r="BM29">
        <f>IF(P29=0,0,COUNTIF(Transect5_imgsummary!E29:I29,"PORMAS")*100/P29)</f>
        <v>0</v>
      </c>
      <c r="BN29">
        <f>IF(P29=0,0,COUNTIF(Transect5_imgsummary!E29:I29,"PORRUS")*100/P29)</f>
        <v>0</v>
      </c>
      <c r="BO29">
        <f>IF(P29=0,0,COUNTIF(Transect5_imgsummary!E29:I29,"PSAM")*100/P29)</f>
        <v>0</v>
      </c>
      <c r="BP29">
        <f>IF(P29=0,0,COUNTIF(Transect5_imgsummary!E29:I29,"SANDO")*100/P29)</f>
        <v>0</v>
      </c>
      <c r="BQ29">
        <f>IF(P29=0,0,COUNTIF(Transect5_imgsummary!E29:I29,"SCAP")*100/P29)</f>
        <v>0</v>
      </c>
      <c r="BR29">
        <f>IF(P29=0,0,COUNTIF(Transect5_imgsummary!E29:I29,"SERIA")*100/P29)</f>
        <v>0</v>
      </c>
      <c r="BS29">
        <f>IF(P29=0,0,COUNTIF(Transect5_imgsummary!E29:I29,"STYLC")*100/P29)</f>
        <v>0</v>
      </c>
      <c r="BT29" s="29">
        <f>IF(P29=0,0,COUNTIF(Transect5_imgsummary!E29:I29,"STYLO")*100/P29)</f>
        <v>20</v>
      </c>
      <c r="BU29">
        <f>IF(P29=0,0,COUNTIF(Transect5_imgsummary!E29:I29,"SYMP")*100/P29)</f>
        <v>0</v>
      </c>
      <c r="BV29">
        <f>IF(P29=0,0,COUNTIF(Transect5_imgsummary!E29:I29,"TURBIN")*100/P29)</f>
        <v>0</v>
      </c>
      <c r="BX29">
        <f>IF(P29=0,0,COUNTIF(Transect5_imgsummary!E29:I29,"ANEM")*100/P29)</f>
        <v>0</v>
      </c>
      <c r="BY29">
        <f>IF(P29=0,0,COUNTIF(Transect5_imgsummary!E29:I29,"ASC")*100/P29)</f>
        <v>0</v>
      </c>
      <c r="BZ29">
        <f>IF(P29=0,0,COUNTIF(Transect5_imgsummary!E29:I29,"CUPS")*100/P29)</f>
        <v>0</v>
      </c>
      <c r="CA29">
        <f>IF(P29=0,0,COUNTIF(Transect5_imgsummary!E29:I29,"DISCO")*100/P29)</f>
        <v>0</v>
      </c>
      <c r="CB29">
        <f>IF(P29=0,0,COUNTIF(Transect5_imgsummary!E29:I29,"DYS")*100/P29)</f>
        <v>0</v>
      </c>
      <c r="CC29">
        <f>IF(P29=0,0,COUNTIF(Transect5_imgsummary!E29:I29,"G")*100/P29)</f>
        <v>0</v>
      </c>
      <c r="CD29">
        <f>IF(P29=0,0,COUNTIF(Transect5_imgsummary!E29:I29,"NoIDINV")*100/P29)</f>
        <v>0</v>
      </c>
      <c r="CE29">
        <f>IF(P29=0,0,COUNTIF(Transect5_imgsummary!E29:I29,"OLV")*100/P29)</f>
        <v>0</v>
      </c>
      <c r="CF29">
        <f>IF(P29=0,0,COUNTIF(Transect5_imgsummary!E29:I29,"SC")*100/P29)</f>
        <v>0</v>
      </c>
      <c r="CG29">
        <f>IF(P29=0,0,COUNTIF(Transect5_imgsummary!E29:I29,"S")*100/P29)</f>
        <v>0</v>
      </c>
      <c r="CH29">
        <f>IF(P29=0,0,COUNTIF(Transect5_imgsummary!E29:I29,"TERPS")*100/P29)</f>
        <v>0</v>
      </c>
      <c r="CI29">
        <f>IF(P29=0,0,COUNTIF(Transect5_imgsummary!E29:I29,"Z")*100/P29)</f>
        <v>0</v>
      </c>
      <c r="CK29">
        <f>IF(P29=0,0,COUNTIF(Transect5_imgsummary!E29:I29,"ASP")*100/P29)</f>
        <v>0</v>
      </c>
      <c r="CL29">
        <f>IF(P29=0,0,COUNTIF(Transect5_imgsummary!E29:I29,"BG")*100/P29)</f>
        <v>0</v>
      </c>
      <c r="CM29">
        <f>IF(P29=0,0,COUNTIF(Transect5_imgsummary!E29:I29,"Bood")*100/P29)</f>
        <v>0</v>
      </c>
      <c r="CN29">
        <f>IF(P29=0,0,COUNTIF(Transect5_imgsummary!E29:I29,"BRYP")*100/P29)</f>
        <v>0</v>
      </c>
      <c r="CO29">
        <f>IF(P29=0,0,COUNTIF(Transect5_imgsummary!E29:I29,"CLP")*100/P29)</f>
        <v>0</v>
      </c>
      <c r="CP29">
        <f>IF(P29=0,0,COUNTIF(Transect5_imgsummary!E29:I29,"CHLDES")*100/P29)</f>
        <v>0</v>
      </c>
      <c r="CQ29">
        <f>IF(P29=0,0,COUNTIF(Transect5_imgsummary!E29:I29,"DYCTY")*100/P29)</f>
        <v>0</v>
      </c>
      <c r="CR29">
        <f>IF(P29=0,0,COUNTIF(Transect5_imgsummary!E29:I29,"DICT")*100/P29)</f>
        <v>0</v>
      </c>
      <c r="CS29">
        <f>IF(P29=0,0,COUNTIF(Transect5_imgsummary!E29:I29,"GLXU")*100/P29)</f>
        <v>0</v>
      </c>
      <c r="CT29">
        <f>IF(P29=0,0,COUNTIF(Transect5_imgsummary!E29:I29,"HALI")*100/P29)</f>
        <v>0</v>
      </c>
      <c r="CU29">
        <f>IF(P29=0,0,COUNTIF(Transect5_imgsummary!E29:I29,"LIAG")*100/P29)</f>
        <v>0</v>
      </c>
      <c r="CV29">
        <f>IF(P29=0,0,COUNTIF(Transect5_imgsummary!E29:I29,"LOBO")*100/P29)</f>
        <v>0</v>
      </c>
      <c r="CW29">
        <f>IF(P29=0,0,COUNTIF(Transect5_imgsummary!E29:I29,"MAST")*100/P29)</f>
        <v>0</v>
      </c>
      <c r="CX29">
        <f>IF(P29=0,0,COUNTIF(Transect5_imgsummary!E29:I29,"MICDTY")*100/P29)</f>
        <v>0</v>
      </c>
      <c r="CY29">
        <f>IF(P29=0,0,COUNTIF(Transect5_imgsummary!E29:I29,"NEOM")*100/P29)</f>
        <v>0</v>
      </c>
      <c r="CZ29">
        <f>IF(P29=0,0,COUNTIF(Transect5_imgsummary!E29:I29,"NOIDMAC")*100/P29)</f>
        <v>0</v>
      </c>
      <c r="DA29">
        <f>IF(P29=0,0,COUNTIF(Transect5_imgsummary!E29:I29,"PAD")*100/P29)</f>
        <v>0</v>
      </c>
      <c r="DB29">
        <f>IF(P29=0,0,COUNTIF(Transect5_imgsummary!E29:I29,"SARG")*100/P29)</f>
        <v>0</v>
      </c>
      <c r="DC29">
        <f>IF(P29=0,0,COUNTIF(Transect5_imgsummary!E29:I29,"SCHIZ")*100/P29)</f>
        <v>0</v>
      </c>
      <c r="DD29">
        <f>IF(P29=0,0,COUNTIF(Transect5_imgsummary!E29:I29,"TURB")*100/P29)</f>
        <v>0</v>
      </c>
      <c r="DE29">
        <f>IF(P29=0,0,COUNTIF(Transect5_imgsummary!E29:I29,"TYDM")*100/P29)</f>
        <v>0</v>
      </c>
      <c r="DG29">
        <f>IF(P29=0,0,COUNTIF(Transect5_imgsummary!E29:I29,"AMP")*100/P29)</f>
        <v>0</v>
      </c>
      <c r="DH29">
        <f>IF(P29=0,0,COUNTIF(Transect5_imgsummary!E29:I29,"BCA1")*100/P29)</f>
        <v>0</v>
      </c>
      <c r="DI29">
        <f>IF(P29=0,0,COUNTIF(Transect5_imgsummary!E29:I29,"JAN")*100/P29)</f>
        <v>0</v>
      </c>
      <c r="DK29" s="29">
        <f>IF(P29=0,0,COUNTIF(Transect5_imgsummary!E29:I29,"CCA1")*100/P29)</f>
        <v>60</v>
      </c>
      <c r="DM29">
        <f>IF(P29=0,0,COUNTIF(Transect5_imgsummary!E29:I29,"Sand")*100/P29)</f>
        <v>0</v>
      </c>
      <c r="DO29">
        <f>IF(P29=0,0,COUNTIF(Transect5_imgsummary!E29:I29,"FCA1")*100/P29)</f>
        <v>0</v>
      </c>
      <c r="DQ29">
        <f>IF(P29=0,0,COUNTIF(Transect5_imgsummary!E29:I29,"CHRYOBRN")*100/P29)</f>
        <v>0</v>
      </c>
      <c r="DS29" s="29">
        <f>IF(P29=0,0,COUNTIF(Transect5_imgsummary!E29:I29,"TURF")*100/P29)</f>
        <v>20</v>
      </c>
      <c r="DU29">
        <f>COUNTIF(Transect5_imgsummary!E29:I29,"Shadow")*100/5</f>
        <v>0</v>
      </c>
      <c r="DV29">
        <f>COUNTIF(Transect5_imgsummary!E29:I29,"Tape")*100/5</f>
        <v>0</v>
      </c>
      <c r="DW29">
        <f>COUNTIF(Transect5_imgsummary!E29:I29,"Wand")*100/5</f>
        <v>0</v>
      </c>
      <c r="DY29">
        <f>IF(P29=0,0,COUNTIF(Transect5_imgsummary!O29:S29,"BC")*100/P29)</f>
        <v>0</v>
      </c>
    </row>
    <row r="30" spans="1:129">
      <c r="A30">
        <v>28</v>
      </c>
      <c r="B30" t="s">
        <v>625</v>
      </c>
      <c r="F30" s="29">
        <f>IF(P30=0,0,COUNTIF(Transect5_imgsummary!J30:N30,"C")*100/P30)</f>
        <v>20</v>
      </c>
      <c r="G30">
        <f>IF(P30=0,0,COUNTIF(Transect5_imgsummary!J30:N30,"OI")*100/P30)</f>
        <v>0</v>
      </c>
      <c r="H30">
        <f>IF(P30=0,0,COUNTIF(Transect5_imgsummary!J30:N30,"MA")*100/P30)</f>
        <v>0</v>
      </c>
      <c r="I30">
        <f>IF(P30=0,0,COUNTIF(Transect5_imgsummary!J30:N30,"BCA")*100/P30)</f>
        <v>0</v>
      </c>
      <c r="J30" s="29">
        <f>IF(P30=0,0,COUNTIF(Transect5_imgsummary!J30:N30,"CCA")*100/P30)</f>
        <v>60</v>
      </c>
      <c r="K30">
        <f>IF(P30=0,0,COUNTIF(Transect5_imgsummary!J30:N30,"SD")*100/P30)</f>
        <v>0</v>
      </c>
      <c r="L30">
        <f>IF(P30=0,0,COUNTIF(Transect5_imgsummary!J30:N30,"FCA")*100/P30)</f>
        <v>0</v>
      </c>
      <c r="M30">
        <f>IF(P30=0,0,COUNTIF(Transect5_imgsummary!J30:N30,"CHRYS")*100/P30)</f>
        <v>0</v>
      </c>
      <c r="N30" s="29">
        <f>IF(P30=0,0,COUNTIF(Transect5_imgsummary!J30:N30,"T")*100/P30)</f>
        <v>20</v>
      </c>
      <c r="O30">
        <f>IF(P30=0,0,COUNTIF(Transect5_imgsummary!J30:N30,"TWS")*100/P30)</f>
        <v>0</v>
      </c>
      <c r="P30">
        <f>5-COUNTIF(Transect5_imgsummary!J30:N30,"TWS")</f>
        <v>5</v>
      </c>
      <c r="S30">
        <f>IF(P30=0,0,COUNTIF(Transect5_imgsummary!E30:I30,"ACAN")*100/P30)</f>
        <v>0</v>
      </c>
      <c r="T30">
        <f>IF(P30=0,0,COUNTIF(Transect5_imgsummary!E30:I30,"ACROP")*100/P30)</f>
        <v>0</v>
      </c>
      <c r="U30">
        <f>IF(P30=0,0,COUNTIF(Transect5_imgsummary!E30:I30,"ACROPARB")*100/P30)</f>
        <v>0</v>
      </c>
      <c r="V30">
        <f>IF(P30=0,0,COUNTIF(Transect5_imgsummary!E30:I30,"ACROST")*100/P30)</f>
        <v>0</v>
      </c>
      <c r="W30">
        <f>IF(P30=0,0,COUNTIF(Transect5_imgsummary!E30:I30,"ACROTBL")*100/P30)</f>
        <v>0</v>
      </c>
      <c r="X30">
        <f>IF(P30=0,0,COUNTIF(Transect5_imgsummary!E30:I30,"ASTRP")*100/P30)</f>
        <v>0</v>
      </c>
      <c r="Y30">
        <f>IF(P30=0,0,COUNTIF(Transect5_imgsummary!E30:I30,"CAUL")*100/P30)</f>
        <v>0</v>
      </c>
      <c r="Z30">
        <f>IF(P30=0,0,COUNTIF(Transect5_imgsummary!E30:I30,"COSC")*100/P30)</f>
        <v>0</v>
      </c>
      <c r="AA30">
        <f>IF(P30=0,0,COUNTIF(Transect5_imgsummary!E30:I30,"CTEN")*100/P30)</f>
        <v>0</v>
      </c>
      <c r="AB30">
        <f>IF(P30=0,0,COUNTIF(Transect5_imgsummary!E30:I30,"CYPH")*100/P30)</f>
        <v>0</v>
      </c>
      <c r="AC30">
        <f>IF(P30=0,0,COUNTIF(Transect5_imgsummary!E30:I30,"DIPLO")*100/P30)</f>
        <v>0</v>
      </c>
      <c r="AD30">
        <f>IF(P30=0,0,COUNTIF(Transect5_imgsummary!E30:I30,"ECHPO")*100/P30)</f>
        <v>0</v>
      </c>
      <c r="AE30">
        <f>IF(P30=0,0,COUNTIF(Transect5_imgsummary!E30:I30,"ECHPHY")*100/P30)</f>
        <v>0</v>
      </c>
      <c r="AF30">
        <f>IF(P30=0,0,COUNTIF(Transect5_imgsummary!E30:I30,"EUPH")*100/P30)</f>
        <v>0</v>
      </c>
      <c r="AG30">
        <f>IF(P30=0,0,COUNTIF(Transect5_imgsummary!E30:I30,"FAV")*100/P30)</f>
        <v>0</v>
      </c>
      <c r="AH30">
        <f>IF(P30=0,0,COUNTIF(Transect5_imgsummary!E30:I30,"FAVT")*100/P30)</f>
        <v>0</v>
      </c>
      <c r="AI30">
        <f>IF(P30=0,0,COUNTIF(Transect5_imgsummary!E30:I30,"FUNG")*100/P30)</f>
        <v>0</v>
      </c>
      <c r="AJ30">
        <f>IF(P30=0,0,COUNTIF(Transect5_imgsummary!E30:I30,"GAL")*100/P30)</f>
        <v>0</v>
      </c>
      <c r="AK30">
        <f>IF(P30=0,0,COUNTIF(Transect5_imgsummary!E30:I30,"GARD")*100/P30)</f>
        <v>0</v>
      </c>
      <c r="AL30">
        <f>IF(P30=0,0,COUNTIF(Transect5_imgsummary!E30:I30,"GON")*100/P30)</f>
        <v>0</v>
      </c>
      <c r="AM30">
        <f>IF(P30=0,0,COUNTIF(Transect5_imgsummary!E30:I30,"GONIO")*100/P30)</f>
        <v>0</v>
      </c>
      <c r="AN30">
        <f>IF(P30=0,0,COUNTIF(Transect5_imgsummary!E30:I30,"HELIO")*100/P30)</f>
        <v>0</v>
      </c>
      <c r="AO30">
        <f>IF(P30=0,0,COUNTIF(Transect5_imgsummary!E30:I30,"HERP")*100/P30)</f>
        <v>0</v>
      </c>
      <c r="AP30">
        <f>IF(P30=0,0,COUNTIF(Transect5_imgsummary!E30:I30,"HYD")*100/P30)</f>
        <v>0</v>
      </c>
      <c r="AQ30" s="29">
        <f>IF(P30=0,0,COUNTIF(Transect5_imgsummary!E30:I30,"ISOP")*100/P30)</f>
        <v>20</v>
      </c>
      <c r="AR30">
        <f>IF(P30=0,0,COUNTIF(Transect5_imgsummary!E30:I30,"LEPT")*100/P30)</f>
        <v>0</v>
      </c>
      <c r="AS30">
        <f>IF(P30=0,0,COUNTIF(Transect5_imgsummary!E30:I30,"LEPTOR")*100/P30)</f>
        <v>0</v>
      </c>
      <c r="AT30">
        <f>IF(P30=0,0,COUNTIF(Transect5_imgsummary!E30:I30,"LEPTOS")*100/P30)</f>
        <v>0</v>
      </c>
      <c r="AU30">
        <f>IF(P30=0,0,COUNTIF(Transect5_imgsummary!E30:I30,"LOBOPH")*100/P30)</f>
        <v>0</v>
      </c>
      <c r="AV30">
        <f>IF(P30=0,0,COUNTIF(Transect5_imgsummary!E30:I30,"MERU")*100/P30)</f>
        <v>0</v>
      </c>
      <c r="AW30">
        <f>IF(P30=0,0,COUNTIF(Transect5_imgsummary!E30:I30,"MILL")*100/P30)</f>
        <v>0</v>
      </c>
      <c r="AX30">
        <f>IF(P30=0,0,COUNTIF(Transect5_imgsummary!E30:I30,"MONT")*100/P30)</f>
        <v>0</v>
      </c>
      <c r="AY30">
        <f>IF(P30=0,0,COUNTIF(Transect5_imgsummary!E30:I30,"MONTI")*100/P30)</f>
        <v>0</v>
      </c>
      <c r="AZ30">
        <f>IF(P30=0,0,COUNTIF(Transect5_imgsummary!E30:I30,"MYCED")*100/P30)</f>
        <v>0</v>
      </c>
      <c r="BA30">
        <f>IF(P30=0,0,COUNTIF(Transect5_imgsummary!E30:I30,"OULO")*100/P30)</f>
        <v>0</v>
      </c>
      <c r="BB30">
        <f>IF(P30=0,0,COUNTIF(Transect5_imgsummary!E30:I30,"OXYP")*100/P30)</f>
        <v>0</v>
      </c>
      <c r="BC30">
        <f>IF(P30=0,0,COUNTIF(Transect5_imgsummary!E30:I30,"PLSIA")*100/P30)</f>
        <v>0</v>
      </c>
      <c r="BD30">
        <f>IF(P30=0,0,COUNTIF(Transect5_imgsummary!E30:I30,"PACHY")*100/P30)</f>
        <v>0</v>
      </c>
      <c r="BE30">
        <f>IF(P30=0,0,COUNTIF(Transect5_imgsummary!E30:I30,"PAV")*100/P30)</f>
        <v>0</v>
      </c>
      <c r="BF30">
        <f>IF(P30=0,0,COUNTIF(Transect5_imgsummary!E30:I30,"PECT")*100/P30)</f>
        <v>0</v>
      </c>
      <c r="BG30">
        <f>IF(P30=0,0,COUNTIF(Transect5_imgsummary!E30:I30,"PHYSO")*100/P30)</f>
        <v>0</v>
      </c>
      <c r="BH30">
        <f>IF(P30=0,0,COUNTIF(Transect5_imgsummary!E30:I30,"PLAT")*100/P30)</f>
        <v>0</v>
      </c>
      <c r="BI30">
        <f>IF(P30=0,0,COUNTIF(Transect5_imgsummary!E30:I30,"PLERO")*100/P30)</f>
        <v>0</v>
      </c>
      <c r="BJ30">
        <f>IF(P30=0,0,COUNTIF(Transect5_imgsummary!E30:I30,"POC")*100/P30)</f>
        <v>0</v>
      </c>
      <c r="BK30">
        <f>IF(P30=0,0,COUNTIF(Transect5_imgsummary!E30:I30,"POR")*100/P30)</f>
        <v>0</v>
      </c>
      <c r="BL30">
        <f>IF(P30=0,0,COUNTIF(Transect5_imgsummary!E30:I30,"PORCYL")*100/P30)</f>
        <v>0</v>
      </c>
      <c r="BM30">
        <f>IF(P30=0,0,COUNTIF(Transect5_imgsummary!E30:I30,"PORMAS")*100/P30)</f>
        <v>0</v>
      </c>
      <c r="BN30">
        <f>IF(P30=0,0,COUNTIF(Transect5_imgsummary!E30:I30,"PORRUS")*100/P30)</f>
        <v>0</v>
      </c>
      <c r="BO30">
        <f>IF(P30=0,0,COUNTIF(Transect5_imgsummary!E30:I30,"PSAM")*100/P30)</f>
        <v>0</v>
      </c>
      <c r="BP30">
        <f>IF(P30=0,0,COUNTIF(Transect5_imgsummary!E30:I30,"SANDO")*100/P30)</f>
        <v>0</v>
      </c>
      <c r="BQ30">
        <f>IF(P30=0,0,COUNTIF(Transect5_imgsummary!E30:I30,"SCAP")*100/P30)</f>
        <v>0</v>
      </c>
      <c r="BR30">
        <f>IF(P30=0,0,COUNTIF(Transect5_imgsummary!E30:I30,"SERIA")*100/P30)</f>
        <v>0</v>
      </c>
      <c r="BS30">
        <f>IF(P30=0,0,COUNTIF(Transect5_imgsummary!E30:I30,"STYLC")*100/P30)</f>
        <v>0</v>
      </c>
      <c r="BT30">
        <f>IF(P30=0,0,COUNTIF(Transect5_imgsummary!E30:I30,"STYLO")*100/P30)</f>
        <v>0</v>
      </c>
      <c r="BU30">
        <f>IF(P30=0,0,COUNTIF(Transect5_imgsummary!E30:I30,"SYMP")*100/P30)</f>
        <v>0</v>
      </c>
      <c r="BV30">
        <f>IF(P30=0,0,COUNTIF(Transect5_imgsummary!E30:I30,"TURBIN")*100/P30)</f>
        <v>0</v>
      </c>
      <c r="BX30">
        <f>IF(P30=0,0,COUNTIF(Transect5_imgsummary!E30:I30,"ANEM")*100/P30)</f>
        <v>0</v>
      </c>
      <c r="BY30">
        <f>IF(P30=0,0,COUNTIF(Transect5_imgsummary!E30:I30,"ASC")*100/P30)</f>
        <v>0</v>
      </c>
      <c r="BZ30">
        <f>IF(P30=0,0,COUNTIF(Transect5_imgsummary!E30:I30,"CUPS")*100/P30)</f>
        <v>0</v>
      </c>
      <c r="CA30">
        <f>IF(P30=0,0,COUNTIF(Transect5_imgsummary!E30:I30,"DISCO")*100/P30)</f>
        <v>0</v>
      </c>
      <c r="CB30">
        <f>IF(P30=0,0,COUNTIF(Transect5_imgsummary!E30:I30,"DYS")*100/P30)</f>
        <v>0</v>
      </c>
      <c r="CC30">
        <f>IF(P30=0,0,COUNTIF(Transect5_imgsummary!E30:I30,"G")*100/P30)</f>
        <v>0</v>
      </c>
      <c r="CD30">
        <f>IF(P30=0,0,COUNTIF(Transect5_imgsummary!E30:I30,"NoIDINV")*100/P30)</f>
        <v>0</v>
      </c>
      <c r="CE30">
        <f>IF(P30=0,0,COUNTIF(Transect5_imgsummary!E30:I30,"OLV")*100/P30)</f>
        <v>0</v>
      </c>
      <c r="CF30">
        <f>IF(P30=0,0,COUNTIF(Transect5_imgsummary!E30:I30,"SC")*100/P30)</f>
        <v>0</v>
      </c>
      <c r="CG30">
        <f>IF(P30=0,0,COUNTIF(Transect5_imgsummary!E30:I30,"S")*100/P30)</f>
        <v>0</v>
      </c>
      <c r="CH30">
        <f>IF(P30=0,0,COUNTIF(Transect5_imgsummary!E30:I30,"TERPS")*100/P30)</f>
        <v>0</v>
      </c>
      <c r="CI30">
        <f>IF(P30=0,0,COUNTIF(Transect5_imgsummary!E30:I30,"Z")*100/P30)</f>
        <v>0</v>
      </c>
      <c r="CK30">
        <f>IF(P30=0,0,COUNTIF(Transect5_imgsummary!E30:I30,"ASP")*100/P30)</f>
        <v>0</v>
      </c>
      <c r="CL30">
        <f>IF(P30=0,0,COUNTIF(Transect5_imgsummary!E30:I30,"BG")*100/P30)</f>
        <v>0</v>
      </c>
      <c r="CM30">
        <f>IF(P30=0,0,COUNTIF(Transect5_imgsummary!E30:I30,"Bood")*100/P30)</f>
        <v>0</v>
      </c>
      <c r="CN30">
        <f>IF(P30=0,0,COUNTIF(Transect5_imgsummary!E30:I30,"BRYP")*100/P30)</f>
        <v>0</v>
      </c>
      <c r="CO30">
        <f>IF(P30=0,0,COUNTIF(Transect5_imgsummary!E30:I30,"CLP")*100/P30)</f>
        <v>0</v>
      </c>
      <c r="CP30">
        <f>IF(P30=0,0,COUNTIF(Transect5_imgsummary!E30:I30,"CHLDES")*100/P30)</f>
        <v>0</v>
      </c>
      <c r="CQ30">
        <f>IF(P30=0,0,COUNTIF(Transect5_imgsummary!E30:I30,"DYCTY")*100/P30)</f>
        <v>0</v>
      </c>
      <c r="CR30">
        <f>IF(P30=0,0,COUNTIF(Transect5_imgsummary!E30:I30,"DICT")*100/P30)</f>
        <v>0</v>
      </c>
      <c r="CS30">
        <f>IF(P30=0,0,COUNTIF(Transect5_imgsummary!E30:I30,"GLXU")*100/P30)</f>
        <v>0</v>
      </c>
      <c r="CT30">
        <f>IF(P30=0,0,COUNTIF(Transect5_imgsummary!E30:I30,"HALI")*100/P30)</f>
        <v>0</v>
      </c>
      <c r="CU30">
        <f>IF(P30=0,0,COUNTIF(Transect5_imgsummary!E30:I30,"LIAG")*100/P30)</f>
        <v>0</v>
      </c>
      <c r="CV30">
        <f>IF(P30=0,0,COUNTIF(Transect5_imgsummary!E30:I30,"LOBO")*100/P30)</f>
        <v>0</v>
      </c>
      <c r="CW30">
        <f>IF(P30=0,0,COUNTIF(Transect5_imgsummary!E30:I30,"MAST")*100/P30)</f>
        <v>0</v>
      </c>
      <c r="CX30">
        <f>IF(P30=0,0,COUNTIF(Transect5_imgsummary!E30:I30,"MICDTY")*100/P30)</f>
        <v>0</v>
      </c>
      <c r="CY30">
        <f>IF(P30=0,0,COUNTIF(Transect5_imgsummary!E30:I30,"NEOM")*100/P30)</f>
        <v>0</v>
      </c>
      <c r="CZ30">
        <f>IF(P30=0,0,COUNTIF(Transect5_imgsummary!E30:I30,"NOIDMAC")*100/P30)</f>
        <v>0</v>
      </c>
      <c r="DA30">
        <f>IF(P30=0,0,COUNTIF(Transect5_imgsummary!E30:I30,"PAD")*100/P30)</f>
        <v>0</v>
      </c>
      <c r="DB30">
        <f>IF(P30=0,0,COUNTIF(Transect5_imgsummary!E30:I30,"SARG")*100/P30)</f>
        <v>0</v>
      </c>
      <c r="DC30">
        <f>IF(P30=0,0,COUNTIF(Transect5_imgsummary!E30:I30,"SCHIZ")*100/P30)</f>
        <v>0</v>
      </c>
      <c r="DD30">
        <f>IF(P30=0,0,COUNTIF(Transect5_imgsummary!E30:I30,"TURB")*100/P30)</f>
        <v>0</v>
      </c>
      <c r="DE30">
        <f>IF(P30=0,0,COUNTIF(Transect5_imgsummary!E30:I30,"TYDM")*100/P30)</f>
        <v>0</v>
      </c>
      <c r="DG30">
        <f>IF(P30=0,0,COUNTIF(Transect5_imgsummary!E30:I30,"AMP")*100/P30)</f>
        <v>0</v>
      </c>
      <c r="DH30">
        <f>IF(P30=0,0,COUNTIF(Transect5_imgsummary!E30:I30,"BCA1")*100/P30)</f>
        <v>0</v>
      </c>
      <c r="DI30">
        <f>IF(P30=0,0,COUNTIF(Transect5_imgsummary!E30:I30,"JAN")*100/P30)</f>
        <v>0</v>
      </c>
      <c r="DK30" s="29">
        <f>IF(P30=0,0,COUNTIF(Transect5_imgsummary!E30:I30,"CCA1")*100/P30)</f>
        <v>60</v>
      </c>
      <c r="DM30">
        <f>IF(P30=0,0,COUNTIF(Transect5_imgsummary!E30:I30,"Sand")*100/P30)</f>
        <v>0</v>
      </c>
      <c r="DO30">
        <f>IF(P30=0,0,COUNTIF(Transect5_imgsummary!E30:I30,"FCA1")*100/P30)</f>
        <v>0</v>
      </c>
      <c r="DQ30">
        <f>IF(P30=0,0,COUNTIF(Transect5_imgsummary!E30:I30,"CHRYOBRN")*100/P30)</f>
        <v>0</v>
      </c>
      <c r="DS30" s="29">
        <f>IF(P30=0,0,COUNTIF(Transect5_imgsummary!E30:I30,"TURF")*100/P30)</f>
        <v>20</v>
      </c>
      <c r="DU30">
        <f>COUNTIF(Transect5_imgsummary!E30:I30,"Shadow")*100/5</f>
        <v>0</v>
      </c>
      <c r="DV30">
        <f>COUNTIF(Transect5_imgsummary!E30:I30,"Tape")*100/5</f>
        <v>0</v>
      </c>
      <c r="DW30">
        <f>COUNTIF(Transect5_imgsummary!E30:I30,"Wand")*100/5</f>
        <v>0</v>
      </c>
      <c r="DY30">
        <f>IF(P30=0,0,COUNTIF(Transect5_imgsummary!O30:S30,"BC")*100/P30)</f>
        <v>0</v>
      </c>
    </row>
    <row r="31" spans="1:129">
      <c r="A31">
        <v>29</v>
      </c>
      <c r="B31" t="s">
        <v>626</v>
      </c>
      <c r="F31" s="29">
        <f>IF(P31=0,0,COUNTIF(Transect5_imgsummary!J31:N31,"C")*100/P31)</f>
        <v>80</v>
      </c>
      <c r="G31">
        <f>IF(P31=0,0,COUNTIF(Transect5_imgsummary!J31:N31,"OI")*100/P31)</f>
        <v>0</v>
      </c>
      <c r="H31">
        <f>IF(P31=0,0,COUNTIF(Transect5_imgsummary!J31:N31,"MA")*100/P31)</f>
        <v>0</v>
      </c>
      <c r="I31">
        <f>IF(P31=0,0,COUNTIF(Transect5_imgsummary!J31:N31,"BCA")*100/P31)</f>
        <v>0</v>
      </c>
      <c r="J31" s="29">
        <f>IF(P31=0,0,COUNTIF(Transect5_imgsummary!J31:N31,"CCA")*100/P31)</f>
        <v>20</v>
      </c>
      <c r="K31">
        <f>IF(P31=0,0,COUNTIF(Transect5_imgsummary!J31:N31,"SD")*100/P31)</f>
        <v>0</v>
      </c>
      <c r="L31">
        <f>IF(P31=0,0,COUNTIF(Transect5_imgsummary!J31:N31,"FCA")*100/P31)</f>
        <v>0</v>
      </c>
      <c r="M31">
        <f>IF(P31=0,0,COUNTIF(Transect5_imgsummary!J31:N31,"CHRYS")*100/P31)</f>
        <v>0</v>
      </c>
      <c r="N31">
        <f>IF(P31=0,0,COUNTIF(Transect5_imgsummary!J31:N31,"T")*100/P31)</f>
        <v>0</v>
      </c>
      <c r="O31">
        <f>IF(P31=0,0,COUNTIF(Transect5_imgsummary!J31:N31,"TWS")*100/P31)</f>
        <v>0</v>
      </c>
      <c r="P31">
        <f>5-COUNTIF(Transect5_imgsummary!J31:N31,"TWS")</f>
        <v>5</v>
      </c>
      <c r="S31">
        <f>IF(P31=0,0,COUNTIF(Transect5_imgsummary!E31:I31,"ACAN")*100/P31)</f>
        <v>0</v>
      </c>
      <c r="T31" s="29">
        <f>IF(P31=0,0,COUNTIF(Transect5_imgsummary!E31:I31,"ACROP")*100/P31)</f>
        <v>60</v>
      </c>
      <c r="U31">
        <f>IF(P31=0,0,COUNTIF(Transect5_imgsummary!E31:I31,"ACROPARB")*100/P31)</f>
        <v>0</v>
      </c>
      <c r="V31" s="29">
        <f>IF(P31=0,0,COUNTIF(Transect5_imgsummary!E31:I31,"ACROST")*100/P31)</f>
        <v>20</v>
      </c>
      <c r="W31">
        <f>IF(P31=0,0,COUNTIF(Transect5_imgsummary!E31:I31,"ACROTBL")*100/P31)</f>
        <v>0</v>
      </c>
      <c r="X31">
        <f>IF(P31=0,0,COUNTIF(Transect5_imgsummary!E31:I31,"ASTRP")*100/P31)</f>
        <v>0</v>
      </c>
      <c r="Y31">
        <f>IF(P31=0,0,COUNTIF(Transect5_imgsummary!E31:I31,"CAUL")*100/P31)</f>
        <v>0</v>
      </c>
      <c r="Z31">
        <f>IF(P31=0,0,COUNTIF(Transect5_imgsummary!E31:I31,"COSC")*100/P31)</f>
        <v>0</v>
      </c>
      <c r="AA31">
        <f>IF(P31=0,0,COUNTIF(Transect5_imgsummary!E31:I31,"CTEN")*100/P31)</f>
        <v>0</v>
      </c>
      <c r="AB31">
        <f>IF(P31=0,0,COUNTIF(Transect5_imgsummary!E31:I31,"CYPH")*100/P31)</f>
        <v>0</v>
      </c>
      <c r="AC31">
        <f>IF(P31=0,0,COUNTIF(Transect5_imgsummary!E31:I31,"DIPLO")*100/P31)</f>
        <v>0</v>
      </c>
      <c r="AD31">
        <f>IF(P31=0,0,COUNTIF(Transect5_imgsummary!E31:I31,"ECHPO")*100/P31)</f>
        <v>0</v>
      </c>
      <c r="AE31">
        <f>IF(P31=0,0,COUNTIF(Transect5_imgsummary!E31:I31,"ECHPHY")*100/P31)</f>
        <v>0</v>
      </c>
      <c r="AF31">
        <f>IF(P31=0,0,COUNTIF(Transect5_imgsummary!E31:I31,"EUPH")*100/P31)</f>
        <v>0</v>
      </c>
      <c r="AG31">
        <f>IF(P31=0,0,COUNTIF(Transect5_imgsummary!E31:I31,"FAV")*100/P31)</f>
        <v>0</v>
      </c>
      <c r="AH31">
        <f>IF(P31=0,0,COUNTIF(Transect5_imgsummary!E31:I31,"FAVT")*100/P31)</f>
        <v>0</v>
      </c>
      <c r="AI31">
        <f>IF(P31=0,0,COUNTIF(Transect5_imgsummary!E31:I31,"FUNG")*100/P31)</f>
        <v>0</v>
      </c>
      <c r="AJ31">
        <f>IF(P31=0,0,COUNTIF(Transect5_imgsummary!E31:I31,"GAL")*100/P31)</f>
        <v>0</v>
      </c>
      <c r="AK31">
        <f>IF(P31=0,0,COUNTIF(Transect5_imgsummary!E31:I31,"GARD")*100/P31)</f>
        <v>0</v>
      </c>
      <c r="AL31">
        <f>IF(P31=0,0,COUNTIF(Transect5_imgsummary!E31:I31,"GON")*100/P31)</f>
        <v>0</v>
      </c>
      <c r="AM31">
        <f>IF(P31=0,0,COUNTIF(Transect5_imgsummary!E31:I31,"GONIO")*100/P31)</f>
        <v>0</v>
      </c>
      <c r="AN31">
        <f>IF(P31=0,0,COUNTIF(Transect5_imgsummary!E31:I31,"HELIO")*100/P31)</f>
        <v>0</v>
      </c>
      <c r="AO31">
        <f>IF(P31=0,0,COUNTIF(Transect5_imgsummary!E31:I31,"HERP")*100/P31)</f>
        <v>0</v>
      </c>
      <c r="AP31">
        <f>IF(P31=0,0,COUNTIF(Transect5_imgsummary!E31:I31,"HYD")*100/P31)</f>
        <v>0</v>
      </c>
      <c r="AQ31">
        <f>IF(P31=0,0,COUNTIF(Transect5_imgsummary!E31:I31,"ISOP")*100/P31)</f>
        <v>0</v>
      </c>
      <c r="AR31">
        <f>IF(P31=0,0,COUNTIF(Transect5_imgsummary!E31:I31,"LEPT")*100/P31)</f>
        <v>0</v>
      </c>
      <c r="AS31">
        <f>IF(P31=0,0,COUNTIF(Transect5_imgsummary!E31:I31,"LEPTOR")*100/P31)</f>
        <v>0</v>
      </c>
      <c r="AT31">
        <f>IF(P31=0,0,COUNTIF(Transect5_imgsummary!E31:I31,"LEPTOS")*100/P31)</f>
        <v>0</v>
      </c>
      <c r="AU31">
        <f>IF(P31=0,0,COUNTIF(Transect5_imgsummary!E31:I31,"LOBOPH")*100/P31)</f>
        <v>0</v>
      </c>
      <c r="AV31">
        <f>IF(P31=0,0,COUNTIF(Transect5_imgsummary!E31:I31,"MERU")*100/P31)</f>
        <v>0</v>
      </c>
      <c r="AW31">
        <f>IF(P31=0,0,COUNTIF(Transect5_imgsummary!E31:I31,"MILL")*100/P31)</f>
        <v>0</v>
      </c>
      <c r="AX31">
        <f>IF(P31=0,0,COUNTIF(Transect5_imgsummary!E31:I31,"MONT")*100/P31)</f>
        <v>0</v>
      </c>
      <c r="AY31">
        <f>IF(P31=0,0,COUNTIF(Transect5_imgsummary!E31:I31,"MONTI")*100/P31)</f>
        <v>0</v>
      </c>
      <c r="AZ31">
        <f>IF(P31=0,0,COUNTIF(Transect5_imgsummary!E31:I31,"MYCED")*100/P31)</f>
        <v>0</v>
      </c>
      <c r="BA31">
        <f>IF(P31=0,0,COUNTIF(Transect5_imgsummary!E31:I31,"OULO")*100/P31)</f>
        <v>0</v>
      </c>
      <c r="BB31">
        <f>IF(P31=0,0,COUNTIF(Transect5_imgsummary!E31:I31,"OXYP")*100/P31)</f>
        <v>0</v>
      </c>
      <c r="BC31">
        <f>IF(P31=0,0,COUNTIF(Transect5_imgsummary!E31:I31,"PLSIA")*100/P31)</f>
        <v>0</v>
      </c>
      <c r="BD31">
        <f>IF(P31=0,0,COUNTIF(Transect5_imgsummary!E31:I31,"PACHY")*100/P31)</f>
        <v>0</v>
      </c>
      <c r="BE31">
        <f>IF(P31=0,0,COUNTIF(Transect5_imgsummary!E31:I31,"PAV")*100/P31)</f>
        <v>0</v>
      </c>
      <c r="BF31">
        <f>IF(P31=0,0,COUNTIF(Transect5_imgsummary!E31:I31,"PECT")*100/P31)</f>
        <v>0</v>
      </c>
      <c r="BG31">
        <f>IF(P31=0,0,COUNTIF(Transect5_imgsummary!E31:I31,"PHYSO")*100/P31)</f>
        <v>0</v>
      </c>
      <c r="BH31">
        <f>IF(P31=0,0,COUNTIF(Transect5_imgsummary!E31:I31,"PLAT")*100/P31)</f>
        <v>0</v>
      </c>
      <c r="BI31">
        <f>IF(P31=0,0,COUNTIF(Transect5_imgsummary!E31:I31,"PLERO")*100/P31)</f>
        <v>0</v>
      </c>
      <c r="BJ31">
        <f>IF(P31=0,0,COUNTIF(Transect5_imgsummary!E31:I31,"POC")*100/P31)</f>
        <v>0</v>
      </c>
      <c r="BK31">
        <f>IF(P31=0,0,COUNTIF(Transect5_imgsummary!E31:I31,"POR")*100/P31)</f>
        <v>0</v>
      </c>
      <c r="BL31">
        <f>IF(P31=0,0,COUNTIF(Transect5_imgsummary!E31:I31,"PORCYL")*100/P31)</f>
        <v>0</v>
      </c>
      <c r="BM31">
        <f>IF(P31=0,0,COUNTIF(Transect5_imgsummary!E31:I31,"PORMAS")*100/P31)</f>
        <v>0</v>
      </c>
      <c r="BN31">
        <f>IF(P31=0,0,COUNTIF(Transect5_imgsummary!E31:I31,"PORRUS")*100/P31)</f>
        <v>0</v>
      </c>
      <c r="BO31">
        <f>IF(P31=0,0,COUNTIF(Transect5_imgsummary!E31:I31,"PSAM")*100/P31)</f>
        <v>0</v>
      </c>
      <c r="BP31">
        <f>IF(P31=0,0,COUNTIF(Transect5_imgsummary!E31:I31,"SANDO")*100/P31)</f>
        <v>0</v>
      </c>
      <c r="BQ31">
        <f>IF(P31=0,0,COUNTIF(Transect5_imgsummary!E31:I31,"SCAP")*100/P31)</f>
        <v>0</v>
      </c>
      <c r="BR31">
        <f>IF(P31=0,0,COUNTIF(Transect5_imgsummary!E31:I31,"SERIA")*100/P31)</f>
        <v>0</v>
      </c>
      <c r="BS31">
        <f>IF(P31=0,0,COUNTIF(Transect5_imgsummary!E31:I31,"STYLC")*100/P31)</f>
        <v>0</v>
      </c>
      <c r="BT31">
        <f>IF(P31=0,0,COUNTIF(Transect5_imgsummary!E31:I31,"STYLO")*100/P31)</f>
        <v>0</v>
      </c>
      <c r="BU31">
        <f>IF(P31=0,0,COUNTIF(Transect5_imgsummary!E31:I31,"SYMP")*100/P31)</f>
        <v>0</v>
      </c>
      <c r="BV31">
        <f>IF(P31=0,0,COUNTIF(Transect5_imgsummary!E31:I31,"TURBIN")*100/P31)</f>
        <v>0</v>
      </c>
      <c r="BX31">
        <f>IF(P31=0,0,COUNTIF(Transect5_imgsummary!E31:I31,"ANEM")*100/P31)</f>
        <v>0</v>
      </c>
      <c r="BY31">
        <f>IF(P31=0,0,COUNTIF(Transect5_imgsummary!E31:I31,"ASC")*100/P31)</f>
        <v>0</v>
      </c>
      <c r="BZ31">
        <f>IF(P31=0,0,COUNTIF(Transect5_imgsummary!E31:I31,"CUPS")*100/P31)</f>
        <v>0</v>
      </c>
      <c r="CA31">
        <f>IF(P31=0,0,COUNTIF(Transect5_imgsummary!E31:I31,"DISCO")*100/P31)</f>
        <v>0</v>
      </c>
      <c r="CB31">
        <f>IF(P31=0,0,COUNTIF(Transect5_imgsummary!E31:I31,"DYS")*100/P31)</f>
        <v>0</v>
      </c>
      <c r="CC31">
        <f>IF(P31=0,0,COUNTIF(Transect5_imgsummary!E31:I31,"G")*100/P31)</f>
        <v>0</v>
      </c>
      <c r="CD31">
        <f>IF(P31=0,0,COUNTIF(Transect5_imgsummary!E31:I31,"NoIDINV")*100/P31)</f>
        <v>0</v>
      </c>
      <c r="CE31">
        <f>IF(P31=0,0,COUNTIF(Transect5_imgsummary!E31:I31,"OLV")*100/P31)</f>
        <v>0</v>
      </c>
      <c r="CF31">
        <f>IF(P31=0,0,COUNTIF(Transect5_imgsummary!E31:I31,"SC")*100/P31)</f>
        <v>0</v>
      </c>
      <c r="CG31">
        <f>IF(P31=0,0,COUNTIF(Transect5_imgsummary!E31:I31,"S")*100/P31)</f>
        <v>0</v>
      </c>
      <c r="CH31">
        <f>IF(P31=0,0,COUNTIF(Transect5_imgsummary!E31:I31,"TERPS")*100/P31)</f>
        <v>0</v>
      </c>
      <c r="CI31">
        <f>IF(P31=0,0,COUNTIF(Transect5_imgsummary!E31:I31,"Z")*100/P31)</f>
        <v>0</v>
      </c>
      <c r="CK31">
        <f>IF(P31=0,0,COUNTIF(Transect5_imgsummary!E31:I31,"ASP")*100/P31)</f>
        <v>0</v>
      </c>
      <c r="CL31">
        <f>IF(P31=0,0,COUNTIF(Transect5_imgsummary!E31:I31,"BG")*100/P31)</f>
        <v>0</v>
      </c>
      <c r="CM31">
        <f>IF(P31=0,0,COUNTIF(Transect5_imgsummary!E31:I31,"Bood")*100/P31)</f>
        <v>0</v>
      </c>
      <c r="CN31">
        <f>IF(P31=0,0,COUNTIF(Transect5_imgsummary!E31:I31,"BRYP")*100/P31)</f>
        <v>0</v>
      </c>
      <c r="CO31">
        <f>IF(P31=0,0,COUNTIF(Transect5_imgsummary!E31:I31,"CLP")*100/P31)</f>
        <v>0</v>
      </c>
      <c r="CP31">
        <f>IF(P31=0,0,COUNTIF(Transect5_imgsummary!E31:I31,"CHLDES")*100/P31)</f>
        <v>0</v>
      </c>
      <c r="CQ31">
        <f>IF(P31=0,0,COUNTIF(Transect5_imgsummary!E31:I31,"DYCTY")*100/P31)</f>
        <v>0</v>
      </c>
      <c r="CR31">
        <f>IF(P31=0,0,COUNTIF(Transect5_imgsummary!E31:I31,"DICT")*100/P31)</f>
        <v>0</v>
      </c>
      <c r="CS31">
        <f>IF(P31=0,0,COUNTIF(Transect5_imgsummary!E31:I31,"GLXU")*100/P31)</f>
        <v>0</v>
      </c>
      <c r="CT31">
        <f>IF(P31=0,0,COUNTIF(Transect5_imgsummary!E31:I31,"HALI")*100/P31)</f>
        <v>0</v>
      </c>
      <c r="CU31">
        <f>IF(P31=0,0,COUNTIF(Transect5_imgsummary!E31:I31,"LIAG")*100/P31)</f>
        <v>0</v>
      </c>
      <c r="CV31">
        <f>IF(P31=0,0,COUNTIF(Transect5_imgsummary!E31:I31,"LOBO")*100/P31)</f>
        <v>0</v>
      </c>
      <c r="CW31">
        <f>IF(P31=0,0,COUNTIF(Transect5_imgsummary!E31:I31,"MAST")*100/P31)</f>
        <v>0</v>
      </c>
      <c r="CX31">
        <f>IF(P31=0,0,COUNTIF(Transect5_imgsummary!E31:I31,"MICDTY")*100/P31)</f>
        <v>0</v>
      </c>
      <c r="CY31">
        <f>IF(P31=0,0,COUNTIF(Transect5_imgsummary!E31:I31,"NEOM")*100/P31)</f>
        <v>0</v>
      </c>
      <c r="CZ31">
        <f>IF(P31=0,0,COUNTIF(Transect5_imgsummary!E31:I31,"NOIDMAC")*100/P31)</f>
        <v>0</v>
      </c>
      <c r="DA31">
        <f>IF(P31=0,0,COUNTIF(Transect5_imgsummary!E31:I31,"PAD")*100/P31)</f>
        <v>0</v>
      </c>
      <c r="DB31">
        <f>IF(P31=0,0,COUNTIF(Transect5_imgsummary!E31:I31,"SARG")*100/P31)</f>
        <v>0</v>
      </c>
      <c r="DC31">
        <f>IF(P31=0,0,COUNTIF(Transect5_imgsummary!E31:I31,"SCHIZ")*100/P31)</f>
        <v>0</v>
      </c>
      <c r="DD31">
        <f>IF(P31=0,0,COUNTIF(Transect5_imgsummary!E31:I31,"TURB")*100/P31)</f>
        <v>0</v>
      </c>
      <c r="DE31">
        <f>IF(P31=0,0,COUNTIF(Transect5_imgsummary!E31:I31,"TYDM")*100/P31)</f>
        <v>0</v>
      </c>
      <c r="DG31">
        <f>IF(P31=0,0,COUNTIF(Transect5_imgsummary!E31:I31,"AMP")*100/P31)</f>
        <v>0</v>
      </c>
      <c r="DH31">
        <f>IF(P31=0,0,COUNTIF(Transect5_imgsummary!E31:I31,"BCA1")*100/P31)</f>
        <v>0</v>
      </c>
      <c r="DI31">
        <f>IF(P31=0,0,COUNTIF(Transect5_imgsummary!E31:I31,"JAN")*100/P31)</f>
        <v>0</v>
      </c>
      <c r="DK31" s="29">
        <f>IF(P31=0,0,COUNTIF(Transect5_imgsummary!E31:I31,"CCA1")*100/P31)</f>
        <v>20</v>
      </c>
      <c r="DM31">
        <f>IF(P31=0,0,COUNTIF(Transect5_imgsummary!E31:I31,"Sand")*100/P31)</f>
        <v>0</v>
      </c>
      <c r="DO31">
        <f>IF(P31=0,0,COUNTIF(Transect5_imgsummary!E31:I31,"FCA1")*100/P31)</f>
        <v>0</v>
      </c>
      <c r="DQ31">
        <f>IF(P31=0,0,COUNTIF(Transect5_imgsummary!E31:I31,"CHRYOBRN")*100/P31)</f>
        <v>0</v>
      </c>
      <c r="DS31">
        <f>IF(P31=0,0,COUNTIF(Transect5_imgsummary!E31:I31,"TURF")*100/P31)</f>
        <v>0</v>
      </c>
      <c r="DU31">
        <f>COUNTIF(Transect5_imgsummary!E31:I31,"Shadow")*100/5</f>
        <v>0</v>
      </c>
      <c r="DV31">
        <f>COUNTIF(Transect5_imgsummary!E31:I31,"Tape")*100/5</f>
        <v>0</v>
      </c>
      <c r="DW31">
        <f>COUNTIF(Transect5_imgsummary!E31:I31,"Wand")*100/5</f>
        <v>0</v>
      </c>
      <c r="DY31">
        <f>IF(P31=0,0,COUNTIF(Transect5_imgsummary!O31:S31,"BC")*100/P31)</f>
        <v>0</v>
      </c>
    </row>
    <row r="32" spans="1:129">
      <c r="A32">
        <v>30</v>
      </c>
      <c r="B32" t="s">
        <v>627</v>
      </c>
      <c r="F32" s="29">
        <f>IF(P32=0,0,COUNTIF(Transect5_imgsummary!J32:N32,"C")*100/P32)</f>
        <v>60</v>
      </c>
      <c r="G32">
        <f>IF(P32=0,0,COUNTIF(Transect5_imgsummary!J32:N32,"OI")*100/P32)</f>
        <v>0</v>
      </c>
      <c r="H32">
        <f>IF(P32=0,0,COUNTIF(Transect5_imgsummary!J32:N32,"MA")*100/P32)</f>
        <v>0</v>
      </c>
      <c r="I32" s="29">
        <f>IF(P32=0,0,COUNTIF(Transect5_imgsummary!J32:N32,"BCA")*100/P32)</f>
        <v>20</v>
      </c>
      <c r="J32" s="29">
        <f>IF(P32=0,0,COUNTIF(Transect5_imgsummary!J32:N32,"CCA")*100/P32)</f>
        <v>20</v>
      </c>
      <c r="K32">
        <f>IF(P32=0,0,COUNTIF(Transect5_imgsummary!J32:N32,"SD")*100/P32)</f>
        <v>0</v>
      </c>
      <c r="L32">
        <f>IF(P32=0,0,COUNTIF(Transect5_imgsummary!J32:N32,"FCA")*100/P32)</f>
        <v>0</v>
      </c>
      <c r="M32">
        <f>IF(P32=0,0,COUNTIF(Transect5_imgsummary!J32:N32,"CHRYS")*100/P32)</f>
        <v>0</v>
      </c>
      <c r="N32">
        <f>IF(P32=0,0,COUNTIF(Transect5_imgsummary!J32:N32,"T")*100/P32)</f>
        <v>0</v>
      </c>
      <c r="O32">
        <f>IF(P32=0,0,COUNTIF(Transect5_imgsummary!J32:N32,"TWS")*100/P32)</f>
        <v>0</v>
      </c>
      <c r="P32">
        <f>5-COUNTIF(Transect5_imgsummary!J32:N32,"TWS")</f>
        <v>5</v>
      </c>
      <c r="S32">
        <f>IF(P32=0,0,COUNTIF(Transect5_imgsummary!E32:I32,"ACAN")*100/P32)</f>
        <v>0</v>
      </c>
      <c r="T32">
        <f>IF(P32=0,0,COUNTIF(Transect5_imgsummary!E32:I32,"ACROP")*100/P32)</f>
        <v>0</v>
      </c>
      <c r="U32">
        <f>IF(P32=0,0,COUNTIF(Transect5_imgsummary!E32:I32,"ACROPARB")*100/P32)</f>
        <v>0</v>
      </c>
      <c r="V32">
        <f>IF(P32=0,0,COUNTIF(Transect5_imgsummary!E32:I32,"ACROST")*100/P32)</f>
        <v>0</v>
      </c>
      <c r="W32">
        <f>IF(P32=0,0,COUNTIF(Transect5_imgsummary!E32:I32,"ACROTBL")*100/P32)</f>
        <v>0</v>
      </c>
      <c r="X32">
        <f>IF(P32=0,0,COUNTIF(Transect5_imgsummary!E32:I32,"ASTRP")*100/P32)</f>
        <v>0</v>
      </c>
      <c r="Y32">
        <f>IF(P32=0,0,COUNTIF(Transect5_imgsummary!E32:I32,"CAUL")*100/P32)</f>
        <v>0</v>
      </c>
      <c r="Z32">
        <f>IF(P32=0,0,COUNTIF(Transect5_imgsummary!E32:I32,"COSC")*100/P32)</f>
        <v>0</v>
      </c>
      <c r="AA32">
        <f>IF(P32=0,0,COUNTIF(Transect5_imgsummary!E32:I32,"CTEN")*100/P32)</f>
        <v>0</v>
      </c>
      <c r="AB32">
        <f>IF(P32=0,0,COUNTIF(Transect5_imgsummary!E32:I32,"CYPH")*100/P32)</f>
        <v>0</v>
      </c>
      <c r="AC32">
        <f>IF(P32=0,0,COUNTIF(Transect5_imgsummary!E32:I32,"DIPLO")*100/P32)</f>
        <v>0</v>
      </c>
      <c r="AD32">
        <f>IF(P32=0,0,COUNTIF(Transect5_imgsummary!E32:I32,"ECHPO")*100/P32)</f>
        <v>0</v>
      </c>
      <c r="AE32">
        <f>IF(P32=0,0,COUNTIF(Transect5_imgsummary!E32:I32,"ECHPHY")*100/P32)</f>
        <v>0</v>
      </c>
      <c r="AF32">
        <f>IF(P32=0,0,COUNTIF(Transect5_imgsummary!E32:I32,"EUPH")*100/P32)</f>
        <v>0</v>
      </c>
      <c r="AG32">
        <f>IF(P32=0,0,COUNTIF(Transect5_imgsummary!E32:I32,"FAV")*100/P32)</f>
        <v>0</v>
      </c>
      <c r="AH32">
        <f>IF(P32=0,0,COUNTIF(Transect5_imgsummary!E32:I32,"FAVT")*100/P32)</f>
        <v>0</v>
      </c>
      <c r="AI32">
        <f>IF(P32=0,0,COUNTIF(Transect5_imgsummary!E32:I32,"FUNG")*100/P32)</f>
        <v>0</v>
      </c>
      <c r="AJ32">
        <f>IF(P32=0,0,COUNTIF(Transect5_imgsummary!E32:I32,"GAL")*100/P32)</f>
        <v>0</v>
      </c>
      <c r="AK32">
        <f>IF(P32=0,0,COUNTIF(Transect5_imgsummary!E32:I32,"GARD")*100/P32)</f>
        <v>0</v>
      </c>
      <c r="AL32">
        <f>IF(P32=0,0,COUNTIF(Transect5_imgsummary!E32:I32,"GON")*100/P32)</f>
        <v>0</v>
      </c>
      <c r="AM32">
        <f>IF(P32=0,0,COUNTIF(Transect5_imgsummary!E32:I32,"GONIO")*100/P32)</f>
        <v>0</v>
      </c>
      <c r="AN32">
        <f>IF(P32=0,0,COUNTIF(Transect5_imgsummary!E32:I32,"HELIO")*100/P32)</f>
        <v>0</v>
      </c>
      <c r="AO32">
        <f>IF(P32=0,0,COUNTIF(Transect5_imgsummary!E32:I32,"HERP")*100/P32)</f>
        <v>0</v>
      </c>
      <c r="AP32">
        <f>IF(P32=0,0,COUNTIF(Transect5_imgsummary!E32:I32,"HYD")*100/P32)</f>
        <v>0</v>
      </c>
      <c r="AQ32">
        <f>IF(P32=0,0,COUNTIF(Transect5_imgsummary!E32:I32,"ISOP")*100/P32)</f>
        <v>0</v>
      </c>
      <c r="AR32">
        <f>IF(P32=0,0,COUNTIF(Transect5_imgsummary!E32:I32,"LEPT")*100/P32)</f>
        <v>0</v>
      </c>
      <c r="AS32">
        <f>IF(P32=0,0,COUNTIF(Transect5_imgsummary!E32:I32,"LEPTOR")*100/P32)</f>
        <v>0</v>
      </c>
      <c r="AT32">
        <f>IF(P32=0,0,COUNTIF(Transect5_imgsummary!E32:I32,"LEPTOS")*100/P32)</f>
        <v>0</v>
      </c>
      <c r="AU32">
        <f>IF(P32=0,0,COUNTIF(Transect5_imgsummary!E32:I32,"LOBOPH")*100/P32)</f>
        <v>0</v>
      </c>
      <c r="AV32" s="29">
        <f>IF(P32=0,0,COUNTIF(Transect5_imgsummary!E32:I32,"MERU")*100/P32)</f>
        <v>40</v>
      </c>
      <c r="AW32">
        <f>IF(P32=0,0,COUNTIF(Transect5_imgsummary!E32:I32,"MILL")*100/P32)</f>
        <v>0</v>
      </c>
      <c r="AX32">
        <f>IF(P32=0,0,COUNTIF(Transect5_imgsummary!E32:I32,"MONT")*100/P32)</f>
        <v>0</v>
      </c>
      <c r="AY32">
        <f>IF(P32=0,0,COUNTIF(Transect5_imgsummary!E32:I32,"MONTI")*100/P32)</f>
        <v>0</v>
      </c>
      <c r="AZ32">
        <f>IF(P32=0,0,COUNTIF(Transect5_imgsummary!E32:I32,"MYCED")*100/P32)</f>
        <v>0</v>
      </c>
      <c r="BA32">
        <f>IF(P32=0,0,COUNTIF(Transect5_imgsummary!E32:I32,"OULO")*100/P32)</f>
        <v>0</v>
      </c>
      <c r="BB32">
        <f>IF(P32=0,0,COUNTIF(Transect5_imgsummary!E32:I32,"OXYP")*100/P32)</f>
        <v>0</v>
      </c>
      <c r="BC32">
        <f>IF(P32=0,0,COUNTIF(Transect5_imgsummary!E32:I32,"PLSIA")*100/P32)</f>
        <v>0</v>
      </c>
      <c r="BD32">
        <f>IF(P32=0,0,COUNTIF(Transect5_imgsummary!E32:I32,"PACHY")*100/P32)</f>
        <v>0</v>
      </c>
      <c r="BE32">
        <f>IF(P32=0,0,COUNTIF(Transect5_imgsummary!E32:I32,"PAV")*100/P32)</f>
        <v>0</v>
      </c>
      <c r="BF32">
        <f>IF(P32=0,0,COUNTIF(Transect5_imgsummary!E32:I32,"PECT")*100/P32)</f>
        <v>0</v>
      </c>
      <c r="BG32">
        <f>IF(P32=0,0,COUNTIF(Transect5_imgsummary!E32:I32,"PHYSO")*100/P32)</f>
        <v>0</v>
      </c>
      <c r="BH32">
        <f>IF(P32=0,0,COUNTIF(Transect5_imgsummary!E32:I32,"PLAT")*100/P32)</f>
        <v>0</v>
      </c>
      <c r="BI32">
        <f>IF(P32=0,0,COUNTIF(Transect5_imgsummary!E32:I32,"PLERO")*100/P32)</f>
        <v>0</v>
      </c>
      <c r="BJ32">
        <f>IF(P32=0,0,COUNTIF(Transect5_imgsummary!E32:I32,"POC")*100/P32)</f>
        <v>0</v>
      </c>
      <c r="BK32" s="29">
        <f>IF(P32=0,0,COUNTIF(Transect5_imgsummary!E32:I32,"POR")*100/P32)</f>
        <v>20</v>
      </c>
      <c r="BL32">
        <f>IF(P32=0,0,COUNTIF(Transect5_imgsummary!E32:I32,"PORCYL")*100/P32)</f>
        <v>0</v>
      </c>
      <c r="BM32">
        <f>IF(P32=0,0,COUNTIF(Transect5_imgsummary!E32:I32,"PORMAS")*100/P32)</f>
        <v>0</v>
      </c>
      <c r="BN32">
        <f>IF(P32=0,0,COUNTIF(Transect5_imgsummary!E32:I32,"PORRUS")*100/P32)</f>
        <v>0</v>
      </c>
      <c r="BO32">
        <f>IF(P32=0,0,COUNTIF(Transect5_imgsummary!E32:I32,"PSAM")*100/P32)</f>
        <v>0</v>
      </c>
      <c r="BP32">
        <f>IF(P32=0,0,COUNTIF(Transect5_imgsummary!E32:I32,"SANDO")*100/P32)</f>
        <v>0</v>
      </c>
      <c r="BQ32">
        <f>IF(P32=0,0,COUNTIF(Transect5_imgsummary!E32:I32,"SCAP")*100/P32)</f>
        <v>0</v>
      </c>
      <c r="BR32">
        <f>IF(P32=0,0,COUNTIF(Transect5_imgsummary!E32:I32,"SERIA")*100/P32)</f>
        <v>0</v>
      </c>
      <c r="BS32">
        <f>IF(P32=0,0,COUNTIF(Transect5_imgsummary!E32:I32,"STYLC")*100/P32)</f>
        <v>0</v>
      </c>
      <c r="BT32">
        <f>IF(P32=0,0,COUNTIF(Transect5_imgsummary!E32:I32,"STYLO")*100/P32)</f>
        <v>0</v>
      </c>
      <c r="BU32">
        <f>IF(P32=0,0,COUNTIF(Transect5_imgsummary!E32:I32,"SYMP")*100/P32)</f>
        <v>0</v>
      </c>
      <c r="BV32">
        <f>IF(P32=0,0,COUNTIF(Transect5_imgsummary!E32:I32,"TURBIN")*100/P32)</f>
        <v>0</v>
      </c>
      <c r="BX32">
        <f>IF(P32=0,0,COUNTIF(Transect5_imgsummary!E32:I32,"ANEM")*100/P32)</f>
        <v>0</v>
      </c>
      <c r="BY32">
        <f>IF(P32=0,0,COUNTIF(Transect5_imgsummary!E32:I32,"ASC")*100/P32)</f>
        <v>0</v>
      </c>
      <c r="BZ32">
        <f>IF(P32=0,0,COUNTIF(Transect5_imgsummary!E32:I32,"CUPS")*100/P32)</f>
        <v>0</v>
      </c>
      <c r="CA32">
        <f>IF(P32=0,0,COUNTIF(Transect5_imgsummary!E32:I32,"DISCO")*100/P32)</f>
        <v>0</v>
      </c>
      <c r="CB32">
        <f>IF(P32=0,0,COUNTIF(Transect5_imgsummary!E32:I32,"DYS")*100/P32)</f>
        <v>0</v>
      </c>
      <c r="CC32">
        <f>IF(P32=0,0,COUNTIF(Transect5_imgsummary!E32:I32,"G")*100/P32)</f>
        <v>0</v>
      </c>
      <c r="CD32">
        <f>IF(P32=0,0,COUNTIF(Transect5_imgsummary!E32:I32,"NoIDINV")*100/P32)</f>
        <v>0</v>
      </c>
      <c r="CE32">
        <f>IF(P32=0,0,COUNTIF(Transect5_imgsummary!E32:I32,"OLV")*100/P32)</f>
        <v>0</v>
      </c>
      <c r="CF32">
        <f>IF(P32=0,0,COUNTIF(Transect5_imgsummary!E32:I32,"SC")*100/P32)</f>
        <v>0</v>
      </c>
      <c r="CG32">
        <f>IF(P32=0,0,COUNTIF(Transect5_imgsummary!E32:I32,"S")*100/P32)</f>
        <v>0</v>
      </c>
      <c r="CH32">
        <f>IF(P32=0,0,COUNTIF(Transect5_imgsummary!E32:I32,"TERPS")*100/P32)</f>
        <v>0</v>
      </c>
      <c r="CI32">
        <f>IF(P32=0,0,COUNTIF(Transect5_imgsummary!E32:I32,"Z")*100/P32)</f>
        <v>0</v>
      </c>
      <c r="CK32">
        <f>IF(P32=0,0,COUNTIF(Transect5_imgsummary!E32:I32,"ASP")*100/P32)</f>
        <v>0</v>
      </c>
      <c r="CL32">
        <f>IF(P32=0,0,COUNTIF(Transect5_imgsummary!E32:I32,"BG")*100/P32)</f>
        <v>0</v>
      </c>
      <c r="CM32">
        <f>IF(P32=0,0,COUNTIF(Transect5_imgsummary!E32:I32,"Bood")*100/P32)</f>
        <v>0</v>
      </c>
      <c r="CN32">
        <f>IF(P32=0,0,COUNTIF(Transect5_imgsummary!E32:I32,"BRYP")*100/P32)</f>
        <v>0</v>
      </c>
      <c r="CO32">
        <f>IF(P32=0,0,COUNTIF(Transect5_imgsummary!E32:I32,"CLP")*100/P32)</f>
        <v>0</v>
      </c>
      <c r="CP32">
        <f>IF(P32=0,0,COUNTIF(Transect5_imgsummary!E32:I32,"CHLDES")*100/P32)</f>
        <v>0</v>
      </c>
      <c r="CQ32">
        <f>IF(P32=0,0,COUNTIF(Transect5_imgsummary!E32:I32,"DYCTY")*100/P32)</f>
        <v>0</v>
      </c>
      <c r="CR32">
        <f>IF(P32=0,0,COUNTIF(Transect5_imgsummary!E32:I32,"DICT")*100/P32)</f>
        <v>0</v>
      </c>
      <c r="CS32">
        <f>IF(P32=0,0,COUNTIF(Transect5_imgsummary!E32:I32,"GLXU")*100/P32)</f>
        <v>0</v>
      </c>
      <c r="CT32">
        <f>IF(P32=0,0,COUNTIF(Transect5_imgsummary!E32:I32,"HALI")*100/P32)</f>
        <v>0</v>
      </c>
      <c r="CU32">
        <f>IF(P32=0,0,COUNTIF(Transect5_imgsummary!E32:I32,"LIAG")*100/P32)</f>
        <v>0</v>
      </c>
      <c r="CV32">
        <f>IF(P32=0,0,COUNTIF(Transect5_imgsummary!E32:I32,"LOBO")*100/P32)</f>
        <v>0</v>
      </c>
      <c r="CW32">
        <f>IF(P32=0,0,COUNTIF(Transect5_imgsummary!E32:I32,"MAST")*100/P32)</f>
        <v>0</v>
      </c>
      <c r="CX32">
        <f>IF(P32=0,0,COUNTIF(Transect5_imgsummary!E32:I32,"MICDTY")*100/P32)</f>
        <v>0</v>
      </c>
      <c r="CY32">
        <f>IF(P32=0,0,COUNTIF(Transect5_imgsummary!E32:I32,"NEOM")*100/P32)</f>
        <v>0</v>
      </c>
      <c r="CZ32">
        <f>IF(P32=0,0,COUNTIF(Transect5_imgsummary!E32:I32,"NOIDMAC")*100/P32)</f>
        <v>0</v>
      </c>
      <c r="DA32">
        <f>IF(P32=0,0,COUNTIF(Transect5_imgsummary!E32:I32,"PAD")*100/P32)</f>
        <v>0</v>
      </c>
      <c r="DB32">
        <f>IF(P32=0,0,COUNTIF(Transect5_imgsummary!E32:I32,"SARG")*100/P32)</f>
        <v>0</v>
      </c>
      <c r="DC32">
        <f>IF(P32=0,0,COUNTIF(Transect5_imgsummary!E32:I32,"SCHIZ")*100/P32)</f>
        <v>0</v>
      </c>
      <c r="DD32">
        <f>IF(P32=0,0,COUNTIF(Transect5_imgsummary!E32:I32,"TURB")*100/P32)</f>
        <v>0</v>
      </c>
      <c r="DE32">
        <f>IF(P32=0,0,COUNTIF(Transect5_imgsummary!E32:I32,"TYDM")*100/P32)</f>
        <v>0</v>
      </c>
      <c r="DG32">
        <f>IF(P32=0,0,COUNTIF(Transect5_imgsummary!E32:I32,"AMP")*100/P32)</f>
        <v>0</v>
      </c>
      <c r="DH32" s="29">
        <f>IF(P32=0,0,COUNTIF(Transect5_imgsummary!E32:I32,"BCA1")*100/P32)</f>
        <v>20</v>
      </c>
      <c r="DI32">
        <f>IF(P32=0,0,COUNTIF(Transect5_imgsummary!E32:I32,"JAN")*100/P32)</f>
        <v>0</v>
      </c>
      <c r="DK32" s="29">
        <f>IF(P32=0,0,COUNTIF(Transect5_imgsummary!E32:I32,"CCA1")*100/P32)</f>
        <v>20</v>
      </c>
      <c r="DM32">
        <f>IF(P32=0,0,COUNTIF(Transect5_imgsummary!E32:I32,"Sand")*100/P32)</f>
        <v>0</v>
      </c>
      <c r="DO32">
        <f>IF(P32=0,0,COUNTIF(Transect5_imgsummary!E32:I32,"FCA1")*100/P32)</f>
        <v>0</v>
      </c>
      <c r="DQ32">
        <f>IF(P32=0,0,COUNTIF(Transect5_imgsummary!E32:I32,"CHRYOBRN")*100/P32)</f>
        <v>0</v>
      </c>
      <c r="DS32">
        <f>IF(P32=0,0,COUNTIF(Transect5_imgsummary!E32:I32,"TURF")*100/P32)</f>
        <v>0</v>
      </c>
      <c r="DU32">
        <f>COUNTIF(Transect5_imgsummary!E32:I32,"Shadow")*100/5</f>
        <v>0</v>
      </c>
      <c r="DV32">
        <f>COUNTIF(Transect5_imgsummary!E32:I32,"Tape")*100/5</f>
        <v>0</v>
      </c>
      <c r="DW32">
        <f>COUNTIF(Transect5_imgsummary!E32:I32,"Wand")*100/5</f>
        <v>0</v>
      </c>
      <c r="DY32">
        <f>IF(P32=0,0,COUNTIF(Transect5_imgsummary!O32:S32,"BC")*100/P32)</f>
        <v>0</v>
      </c>
    </row>
    <row r="33" spans="1:129">
      <c r="A33">
        <v>31</v>
      </c>
      <c r="B33" t="s">
        <v>628</v>
      </c>
      <c r="F33" s="29">
        <f>IF(P33=0,0,COUNTIF(Transect5_imgsummary!J33:N33,"C")*100/P33)</f>
        <v>60</v>
      </c>
      <c r="G33">
        <f>IF(P33=0,0,COUNTIF(Transect5_imgsummary!J33:N33,"OI")*100/P33)</f>
        <v>0</v>
      </c>
      <c r="H33">
        <f>IF(P33=0,0,COUNTIF(Transect5_imgsummary!J33:N33,"MA")*100/P33)</f>
        <v>0</v>
      </c>
      <c r="I33">
        <f>IF(P33=0,0,COUNTIF(Transect5_imgsummary!J33:N33,"BCA")*100/P33)</f>
        <v>0</v>
      </c>
      <c r="J33" s="29">
        <f>IF(P33=0,0,COUNTIF(Transect5_imgsummary!J33:N33,"CCA")*100/P33)</f>
        <v>20</v>
      </c>
      <c r="K33">
        <f>IF(P33=0,0,COUNTIF(Transect5_imgsummary!J33:N33,"SD")*100/P33)</f>
        <v>0</v>
      </c>
      <c r="L33">
        <f>IF(P33=0,0,COUNTIF(Transect5_imgsummary!J33:N33,"FCA")*100/P33)</f>
        <v>0</v>
      </c>
      <c r="M33">
        <f>IF(P33=0,0,COUNTIF(Transect5_imgsummary!J33:N33,"CHRYS")*100/P33)</f>
        <v>0</v>
      </c>
      <c r="N33" s="29">
        <f>IF(P33=0,0,COUNTIF(Transect5_imgsummary!J33:N33,"T")*100/P33)</f>
        <v>20</v>
      </c>
      <c r="O33">
        <f>IF(P33=0,0,COUNTIF(Transect5_imgsummary!J33:N33,"TWS")*100/P33)</f>
        <v>0</v>
      </c>
      <c r="P33">
        <f>5-COUNTIF(Transect5_imgsummary!J33:N33,"TWS")</f>
        <v>5</v>
      </c>
      <c r="S33">
        <f>IF(P33=0,0,COUNTIF(Transect5_imgsummary!E33:I33,"ACAN")*100/P33)</f>
        <v>0</v>
      </c>
      <c r="T33">
        <f>IF(P33=0,0,COUNTIF(Transect5_imgsummary!E33:I33,"ACROP")*100/P33)</f>
        <v>0</v>
      </c>
      <c r="U33">
        <f>IF(P33=0,0,COUNTIF(Transect5_imgsummary!E33:I33,"ACROPARB")*100/P33)</f>
        <v>0</v>
      </c>
      <c r="V33">
        <f>IF(P33=0,0,COUNTIF(Transect5_imgsummary!E33:I33,"ACROST")*100/P33)</f>
        <v>0</v>
      </c>
      <c r="W33">
        <f>IF(P33=0,0,COUNTIF(Transect5_imgsummary!E33:I33,"ACROTBL")*100/P33)</f>
        <v>0</v>
      </c>
      <c r="X33">
        <f>IF(P33=0,0,COUNTIF(Transect5_imgsummary!E33:I33,"ASTRP")*100/P33)</f>
        <v>0</v>
      </c>
      <c r="Y33">
        <f>IF(P33=0,0,COUNTIF(Transect5_imgsummary!E33:I33,"CAUL")*100/P33)</f>
        <v>0</v>
      </c>
      <c r="Z33">
        <f>IF(P33=0,0,COUNTIF(Transect5_imgsummary!E33:I33,"COSC")*100/P33)</f>
        <v>0</v>
      </c>
      <c r="AA33">
        <f>IF(P33=0,0,COUNTIF(Transect5_imgsummary!E33:I33,"CTEN")*100/P33)</f>
        <v>0</v>
      </c>
      <c r="AB33">
        <f>IF(P33=0,0,COUNTIF(Transect5_imgsummary!E33:I33,"CYPH")*100/P33)</f>
        <v>0</v>
      </c>
      <c r="AC33">
        <f>IF(P33=0,0,COUNTIF(Transect5_imgsummary!E33:I33,"DIPLO")*100/P33)</f>
        <v>0</v>
      </c>
      <c r="AD33">
        <f>IF(P33=0,0,COUNTIF(Transect5_imgsummary!E33:I33,"ECHPO")*100/P33)</f>
        <v>0</v>
      </c>
      <c r="AE33">
        <f>IF(P33=0,0,COUNTIF(Transect5_imgsummary!E33:I33,"ECHPHY")*100/P33)</f>
        <v>0</v>
      </c>
      <c r="AF33">
        <f>IF(P33=0,0,COUNTIF(Transect5_imgsummary!E33:I33,"EUPH")*100/P33)</f>
        <v>0</v>
      </c>
      <c r="AG33">
        <f>IF(P33=0,0,COUNTIF(Transect5_imgsummary!E33:I33,"FAV")*100/P33)</f>
        <v>0</v>
      </c>
      <c r="AH33">
        <f>IF(P33=0,0,COUNTIF(Transect5_imgsummary!E33:I33,"FAVT")*100/P33)</f>
        <v>0</v>
      </c>
      <c r="AI33">
        <f>IF(P33=0,0,COUNTIF(Transect5_imgsummary!E33:I33,"FUNG")*100/P33)</f>
        <v>0</v>
      </c>
      <c r="AJ33">
        <f>IF(P33=0,0,COUNTIF(Transect5_imgsummary!E33:I33,"GAL")*100/P33)</f>
        <v>0</v>
      </c>
      <c r="AK33">
        <f>IF(P33=0,0,COUNTIF(Transect5_imgsummary!E33:I33,"GARD")*100/P33)</f>
        <v>0</v>
      </c>
      <c r="AL33">
        <f>IF(P33=0,0,COUNTIF(Transect5_imgsummary!E33:I33,"GON")*100/P33)</f>
        <v>0</v>
      </c>
      <c r="AM33">
        <f>IF(P33=0,0,COUNTIF(Transect5_imgsummary!E33:I33,"GONIO")*100/P33)</f>
        <v>0</v>
      </c>
      <c r="AN33">
        <f>IF(P33=0,0,COUNTIF(Transect5_imgsummary!E33:I33,"HELIO")*100/P33)</f>
        <v>0</v>
      </c>
      <c r="AO33">
        <f>IF(P33=0,0,COUNTIF(Transect5_imgsummary!E33:I33,"HERP")*100/P33)</f>
        <v>0</v>
      </c>
      <c r="AP33">
        <f>IF(P33=0,0,COUNTIF(Transect5_imgsummary!E33:I33,"HYD")*100/P33)</f>
        <v>0</v>
      </c>
      <c r="AQ33">
        <f>IF(P33=0,0,COUNTIF(Transect5_imgsummary!E33:I33,"ISOP")*100/P33)</f>
        <v>0</v>
      </c>
      <c r="AR33">
        <f>IF(P33=0,0,COUNTIF(Transect5_imgsummary!E33:I33,"LEPT")*100/P33)</f>
        <v>0</v>
      </c>
      <c r="AS33">
        <f>IF(P33=0,0,COUNTIF(Transect5_imgsummary!E33:I33,"LEPTOR")*100/P33)</f>
        <v>0</v>
      </c>
      <c r="AT33">
        <f>IF(P33=0,0,COUNTIF(Transect5_imgsummary!E33:I33,"LEPTOS")*100/P33)</f>
        <v>0</v>
      </c>
      <c r="AU33">
        <f>IF(P33=0,0,COUNTIF(Transect5_imgsummary!E33:I33,"LOBOPH")*100/P33)</f>
        <v>0</v>
      </c>
      <c r="AV33" s="29">
        <f>IF(P33=0,0,COUNTIF(Transect5_imgsummary!E33:I33,"MERU")*100/P33)</f>
        <v>60</v>
      </c>
      <c r="AW33">
        <f>IF(P33=0,0,COUNTIF(Transect5_imgsummary!E33:I33,"MILL")*100/P33)</f>
        <v>0</v>
      </c>
      <c r="AX33">
        <f>IF(P33=0,0,COUNTIF(Transect5_imgsummary!E33:I33,"MONT")*100/P33)</f>
        <v>0</v>
      </c>
      <c r="AY33">
        <f>IF(P33=0,0,COUNTIF(Transect5_imgsummary!E33:I33,"MONTI")*100/P33)</f>
        <v>0</v>
      </c>
      <c r="AZ33">
        <f>IF(P33=0,0,COUNTIF(Transect5_imgsummary!E33:I33,"MYCED")*100/P33)</f>
        <v>0</v>
      </c>
      <c r="BA33">
        <f>IF(P33=0,0,COUNTIF(Transect5_imgsummary!E33:I33,"OULO")*100/P33)</f>
        <v>0</v>
      </c>
      <c r="BB33">
        <f>IF(P33=0,0,COUNTIF(Transect5_imgsummary!E33:I33,"OXYP")*100/P33)</f>
        <v>0</v>
      </c>
      <c r="BC33">
        <f>IF(P33=0,0,COUNTIF(Transect5_imgsummary!E33:I33,"PLSIA")*100/P33)</f>
        <v>0</v>
      </c>
      <c r="BD33">
        <f>IF(P33=0,0,COUNTIF(Transect5_imgsummary!E33:I33,"PACHY")*100/P33)</f>
        <v>0</v>
      </c>
      <c r="BE33">
        <f>IF(P33=0,0,COUNTIF(Transect5_imgsummary!E33:I33,"PAV")*100/P33)</f>
        <v>0</v>
      </c>
      <c r="BF33">
        <f>IF(P33=0,0,COUNTIF(Transect5_imgsummary!E33:I33,"PECT")*100/P33)</f>
        <v>0</v>
      </c>
      <c r="BG33">
        <f>IF(P33=0,0,COUNTIF(Transect5_imgsummary!E33:I33,"PHYSO")*100/P33)</f>
        <v>0</v>
      </c>
      <c r="BH33">
        <f>IF(P33=0,0,COUNTIF(Transect5_imgsummary!E33:I33,"PLAT")*100/P33)</f>
        <v>0</v>
      </c>
      <c r="BI33">
        <f>IF(P33=0,0,COUNTIF(Transect5_imgsummary!E33:I33,"PLERO")*100/P33)</f>
        <v>0</v>
      </c>
      <c r="BJ33">
        <f>IF(P33=0,0,COUNTIF(Transect5_imgsummary!E33:I33,"POC")*100/P33)</f>
        <v>0</v>
      </c>
      <c r="BK33">
        <f>IF(P33=0,0,COUNTIF(Transect5_imgsummary!E33:I33,"POR")*100/P33)</f>
        <v>0</v>
      </c>
      <c r="BL33">
        <f>IF(P33=0,0,COUNTIF(Transect5_imgsummary!E33:I33,"PORCYL")*100/P33)</f>
        <v>0</v>
      </c>
      <c r="BM33">
        <f>IF(P33=0,0,COUNTIF(Transect5_imgsummary!E33:I33,"PORMAS")*100/P33)</f>
        <v>0</v>
      </c>
      <c r="BN33">
        <f>IF(P33=0,0,COUNTIF(Transect5_imgsummary!E33:I33,"PORRUS")*100/P33)</f>
        <v>0</v>
      </c>
      <c r="BO33">
        <f>IF(P33=0,0,COUNTIF(Transect5_imgsummary!E33:I33,"PSAM")*100/P33)</f>
        <v>0</v>
      </c>
      <c r="BP33">
        <f>IF(P33=0,0,COUNTIF(Transect5_imgsummary!E33:I33,"SANDO")*100/P33)</f>
        <v>0</v>
      </c>
      <c r="BQ33">
        <f>IF(P33=0,0,COUNTIF(Transect5_imgsummary!E33:I33,"SCAP")*100/P33)</f>
        <v>0</v>
      </c>
      <c r="BR33">
        <f>IF(P33=0,0,COUNTIF(Transect5_imgsummary!E33:I33,"SERIA")*100/P33)</f>
        <v>0</v>
      </c>
      <c r="BS33">
        <f>IF(P33=0,0,COUNTIF(Transect5_imgsummary!E33:I33,"STYLC")*100/P33)</f>
        <v>0</v>
      </c>
      <c r="BT33">
        <f>IF(P33=0,0,COUNTIF(Transect5_imgsummary!E33:I33,"STYLO")*100/P33)</f>
        <v>0</v>
      </c>
      <c r="BU33">
        <f>IF(P33=0,0,COUNTIF(Transect5_imgsummary!E33:I33,"SYMP")*100/P33)</f>
        <v>0</v>
      </c>
      <c r="BV33">
        <f>IF(P33=0,0,COUNTIF(Transect5_imgsummary!E33:I33,"TURBIN")*100/P33)</f>
        <v>0</v>
      </c>
      <c r="BX33">
        <f>IF(P33=0,0,COUNTIF(Transect5_imgsummary!E33:I33,"ANEM")*100/P33)</f>
        <v>0</v>
      </c>
      <c r="BY33">
        <f>IF(P33=0,0,COUNTIF(Transect5_imgsummary!E33:I33,"ASC")*100/P33)</f>
        <v>0</v>
      </c>
      <c r="BZ33">
        <f>IF(P33=0,0,COUNTIF(Transect5_imgsummary!E33:I33,"CUPS")*100/P33)</f>
        <v>0</v>
      </c>
      <c r="CA33">
        <f>IF(P33=0,0,COUNTIF(Transect5_imgsummary!E33:I33,"DISCO")*100/P33)</f>
        <v>0</v>
      </c>
      <c r="CB33">
        <f>IF(P33=0,0,COUNTIF(Transect5_imgsummary!E33:I33,"DYS")*100/P33)</f>
        <v>0</v>
      </c>
      <c r="CC33">
        <f>IF(P33=0,0,COUNTIF(Transect5_imgsummary!E33:I33,"G")*100/P33)</f>
        <v>0</v>
      </c>
      <c r="CD33">
        <f>IF(P33=0,0,COUNTIF(Transect5_imgsummary!E33:I33,"NoIDINV")*100/P33)</f>
        <v>0</v>
      </c>
      <c r="CE33">
        <f>IF(P33=0,0,COUNTIF(Transect5_imgsummary!E33:I33,"OLV")*100/P33)</f>
        <v>0</v>
      </c>
      <c r="CF33">
        <f>IF(P33=0,0,COUNTIF(Transect5_imgsummary!E33:I33,"SC")*100/P33)</f>
        <v>0</v>
      </c>
      <c r="CG33">
        <f>IF(P33=0,0,COUNTIF(Transect5_imgsummary!E33:I33,"S")*100/P33)</f>
        <v>0</v>
      </c>
      <c r="CH33">
        <f>IF(P33=0,0,COUNTIF(Transect5_imgsummary!E33:I33,"TERPS")*100/P33)</f>
        <v>0</v>
      </c>
      <c r="CI33">
        <f>IF(P33=0,0,COUNTIF(Transect5_imgsummary!E33:I33,"Z")*100/P33)</f>
        <v>0</v>
      </c>
      <c r="CK33">
        <f>IF(P33=0,0,COUNTIF(Transect5_imgsummary!E33:I33,"ASP")*100/P33)</f>
        <v>0</v>
      </c>
      <c r="CL33">
        <f>IF(P33=0,0,COUNTIF(Transect5_imgsummary!E33:I33,"BG")*100/P33)</f>
        <v>0</v>
      </c>
      <c r="CM33">
        <f>IF(P33=0,0,COUNTIF(Transect5_imgsummary!E33:I33,"Bood")*100/P33)</f>
        <v>0</v>
      </c>
      <c r="CN33">
        <f>IF(P33=0,0,COUNTIF(Transect5_imgsummary!E33:I33,"BRYP")*100/P33)</f>
        <v>0</v>
      </c>
      <c r="CO33">
        <f>IF(P33=0,0,COUNTIF(Transect5_imgsummary!E33:I33,"CLP")*100/P33)</f>
        <v>0</v>
      </c>
      <c r="CP33">
        <f>IF(P33=0,0,COUNTIF(Transect5_imgsummary!E33:I33,"CHLDES")*100/P33)</f>
        <v>0</v>
      </c>
      <c r="CQ33">
        <f>IF(P33=0,0,COUNTIF(Transect5_imgsummary!E33:I33,"DYCTY")*100/P33)</f>
        <v>0</v>
      </c>
      <c r="CR33">
        <f>IF(P33=0,0,COUNTIF(Transect5_imgsummary!E33:I33,"DICT")*100/P33)</f>
        <v>0</v>
      </c>
      <c r="CS33">
        <f>IF(P33=0,0,COUNTIF(Transect5_imgsummary!E33:I33,"GLXU")*100/P33)</f>
        <v>0</v>
      </c>
      <c r="CT33">
        <f>IF(P33=0,0,COUNTIF(Transect5_imgsummary!E33:I33,"HALI")*100/P33)</f>
        <v>0</v>
      </c>
      <c r="CU33">
        <f>IF(P33=0,0,COUNTIF(Transect5_imgsummary!E33:I33,"LIAG")*100/P33)</f>
        <v>0</v>
      </c>
      <c r="CV33">
        <f>IF(P33=0,0,COUNTIF(Transect5_imgsummary!E33:I33,"LOBO")*100/P33)</f>
        <v>0</v>
      </c>
      <c r="CW33">
        <f>IF(P33=0,0,COUNTIF(Transect5_imgsummary!E33:I33,"MAST")*100/P33)</f>
        <v>0</v>
      </c>
      <c r="CX33">
        <f>IF(P33=0,0,COUNTIF(Transect5_imgsummary!E33:I33,"MICDTY")*100/P33)</f>
        <v>0</v>
      </c>
      <c r="CY33">
        <f>IF(P33=0,0,COUNTIF(Transect5_imgsummary!E33:I33,"NEOM")*100/P33)</f>
        <v>0</v>
      </c>
      <c r="CZ33">
        <f>IF(P33=0,0,COUNTIF(Transect5_imgsummary!E33:I33,"NOIDMAC")*100/P33)</f>
        <v>0</v>
      </c>
      <c r="DA33">
        <f>IF(P33=0,0,COUNTIF(Transect5_imgsummary!E33:I33,"PAD")*100/P33)</f>
        <v>0</v>
      </c>
      <c r="DB33">
        <f>IF(P33=0,0,COUNTIF(Transect5_imgsummary!E33:I33,"SARG")*100/P33)</f>
        <v>0</v>
      </c>
      <c r="DC33">
        <f>IF(P33=0,0,COUNTIF(Transect5_imgsummary!E33:I33,"SCHIZ")*100/P33)</f>
        <v>0</v>
      </c>
      <c r="DD33">
        <f>IF(P33=0,0,COUNTIF(Transect5_imgsummary!E33:I33,"TURB")*100/P33)</f>
        <v>0</v>
      </c>
      <c r="DE33">
        <f>IF(P33=0,0,COUNTIF(Transect5_imgsummary!E33:I33,"TYDM")*100/P33)</f>
        <v>0</v>
      </c>
      <c r="DG33">
        <f>IF(P33=0,0,COUNTIF(Transect5_imgsummary!E33:I33,"AMP")*100/P33)</f>
        <v>0</v>
      </c>
      <c r="DH33">
        <f>IF(P33=0,0,COUNTIF(Transect5_imgsummary!E33:I33,"BCA1")*100/P33)</f>
        <v>0</v>
      </c>
      <c r="DI33">
        <f>IF(P33=0,0,COUNTIF(Transect5_imgsummary!E33:I33,"JAN")*100/P33)</f>
        <v>0</v>
      </c>
      <c r="DK33" s="29">
        <f>IF(P33=0,0,COUNTIF(Transect5_imgsummary!E33:I33,"CCA1")*100/P33)</f>
        <v>20</v>
      </c>
      <c r="DM33">
        <f>IF(P33=0,0,COUNTIF(Transect5_imgsummary!E33:I33,"Sand")*100/P33)</f>
        <v>0</v>
      </c>
      <c r="DO33">
        <f>IF(P33=0,0,COUNTIF(Transect5_imgsummary!E33:I33,"FCA1")*100/P33)</f>
        <v>0</v>
      </c>
      <c r="DQ33">
        <f>IF(P33=0,0,COUNTIF(Transect5_imgsummary!E33:I33,"CHRYOBRN")*100/P33)</f>
        <v>0</v>
      </c>
      <c r="DS33" s="29">
        <f>IF(P33=0,0,COUNTIF(Transect5_imgsummary!E33:I33,"TURF")*100/P33)</f>
        <v>20</v>
      </c>
      <c r="DU33">
        <f>COUNTIF(Transect5_imgsummary!E33:I33,"Shadow")*100/5</f>
        <v>0</v>
      </c>
      <c r="DV33">
        <f>COUNTIF(Transect5_imgsummary!E33:I33,"Tape")*100/5</f>
        <v>0</v>
      </c>
      <c r="DW33">
        <f>COUNTIF(Transect5_imgsummary!E33:I33,"Wand")*100/5</f>
        <v>0</v>
      </c>
      <c r="DY33">
        <f>IF(P33=0,0,COUNTIF(Transect5_imgsummary!O33:S33,"BC")*100/P33)</f>
        <v>0</v>
      </c>
    </row>
    <row r="34" spans="1:129">
      <c r="A34">
        <v>32</v>
      </c>
      <c r="B34" t="s">
        <v>629</v>
      </c>
      <c r="F34" s="29">
        <f>IF(P34=0,0,COUNTIF(Transect5_imgsummary!J34:N34,"C")*100/P34)</f>
        <v>60</v>
      </c>
      <c r="G34">
        <f>IF(P34=0,0,COUNTIF(Transect5_imgsummary!J34:N34,"OI")*100/P34)</f>
        <v>0</v>
      </c>
      <c r="H34">
        <f>IF(P34=0,0,COUNTIF(Transect5_imgsummary!J34:N34,"MA")*100/P34)</f>
        <v>0</v>
      </c>
      <c r="I34">
        <f>IF(P34=0,0,COUNTIF(Transect5_imgsummary!J34:N34,"BCA")*100/P34)</f>
        <v>0</v>
      </c>
      <c r="J34" s="29">
        <f>IF(P34=0,0,COUNTIF(Transect5_imgsummary!J34:N34,"CCA")*100/P34)</f>
        <v>20</v>
      </c>
      <c r="K34">
        <f>IF(P34=0,0,COUNTIF(Transect5_imgsummary!J34:N34,"SD")*100/P34)</f>
        <v>0</v>
      </c>
      <c r="L34">
        <f>IF(P34=0,0,COUNTIF(Transect5_imgsummary!J34:N34,"FCA")*100/P34)</f>
        <v>0</v>
      </c>
      <c r="M34">
        <f>IF(P34=0,0,COUNTIF(Transect5_imgsummary!J34:N34,"CHRYS")*100/P34)</f>
        <v>0</v>
      </c>
      <c r="N34" s="29">
        <f>IF(P34=0,0,COUNTIF(Transect5_imgsummary!J34:N34,"T")*100/P34)</f>
        <v>20</v>
      </c>
      <c r="O34">
        <f>IF(P34=0,0,COUNTIF(Transect5_imgsummary!J34:N34,"TWS")*100/P34)</f>
        <v>0</v>
      </c>
      <c r="P34">
        <f>5-COUNTIF(Transect5_imgsummary!J34:N34,"TWS")</f>
        <v>5</v>
      </c>
      <c r="S34">
        <f>IF(P34=0,0,COUNTIF(Transect5_imgsummary!E34:I34,"ACAN")*100/P34)</f>
        <v>0</v>
      </c>
      <c r="T34">
        <f>IF(P34=0,0,COUNTIF(Transect5_imgsummary!E34:I34,"ACROP")*100/P34)</f>
        <v>0</v>
      </c>
      <c r="U34">
        <f>IF(P34=0,0,COUNTIF(Transect5_imgsummary!E34:I34,"ACROPARB")*100/P34)</f>
        <v>0</v>
      </c>
      <c r="V34">
        <f>IF(P34=0,0,COUNTIF(Transect5_imgsummary!E34:I34,"ACROST")*100/P34)</f>
        <v>0</v>
      </c>
      <c r="W34">
        <f>IF(P34=0,0,COUNTIF(Transect5_imgsummary!E34:I34,"ACROTBL")*100/P34)</f>
        <v>0</v>
      </c>
      <c r="X34">
        <f>IF(P34=0,0,COUNTIF(Transect5_imgsummary!E34:I34,"ASTRP")*100/P34)</f>
        <v>0</v>
      </c>
      <c r="Y34">
        <f>IF(P34=0,0,COUNTIF(Transect5_imgsummary!E34:I34,"CAUL")*100/P34)</f>
        <v>0</v>
      </c>
      <c r="Z34">
        <f>IF(P34=0,0,COUNTIF(Transect5_imgsummary!E34:I34,"COSC")*100/P34)</f>
        <v>0</v>
      </c>
      <c r="AA34">
        <f>IF(P34=0,0,COUNTIF(Transect5_imgsummary!E34:I34,"CTEN")*100/P34)</f>
        <v>0</v>
      </c>
      <c r="AB34">
        <f>IF(P34=0,0,COUNTIF(Transect5_imgsummary!E34:I34,"CYPH")*100/P34)</f>
        <v>0</v>
      </c>
      <c r="AC34">
        <f>IF(P34=0,0,COUNTIF(Transect5_imgsummary!E34:I34,"DIPLO")*100/P34)</f>
        <v>0</v>
      </c>
      <c r="AD34">
        <f>IF(P34=0,0,COUNTIF(Transect5_imgsummary!E34:I34,"ECHPO")*100/P34)</f>
        <v>0</v>
      </c>
      <c r="AE34">
        <f>IF(P34=0,0,COUNTIF(Transect5_imgsummary!E34:I34,"ECHPHY")*100/P34)</f>
        <v>0</v>
      </c>
      <c r="AF34">
        <f>IF(P34=0,0,COUNTIF(Transect5_imgsummary!E34:I34,"EUPH")*100/P34)</f>
        <v>0</v>
      </c>
      <c r="AG34">
        <f>IF(P34=0,0,COUNTIF(Transect5_imgsummary!E34:I34,"FAV")*100/P34)</f>
        <v>0</v>
      </c>
      <c r="AH34">
        <f>IF(P34=0,0,COUNTIF(Transect5_imgsummary!E34:I34,"FAVT")*100/P34)</f>
        <v>0</v>
      </c>
      <c r="AI34">
        <f>IF(P34=0,0,COUNTIF(Transect5_imgsummary!E34:I34,"FUNG")*100/P34)</f>
        <v>0</v>
      </c>
      <c r="AJ34">
        <f>IF(P34=0,0,COUNTIF(Transect5_imgsummary!E34:I34,"GAL")*100/P34)</f>
        <v>0</v>
      </c>
      <c r="AK34">
        <f>IF(P34=0,0,COUNTIF(Transect5_imgsummary!E34:I34,"GARD")*100/P34)</f>
        <v>0</v>
      </c>
      <c r="AL34">
        <f>IF(P34=0,0,COUNTIF(Transect5_imgsummary!E34:I34,"GON")*100/P34)</f>
        <v>0</v>
      </c>
      <c r="AM34">
        <f>IF(P34=0,0,COUNTIF(Transect5_imgsummary!E34:I34,"GONIO")*100/P34)</f>
        <v>0</v>
      </c>
      <c r="AN34">
        <f>IF(P34=0,0,COUNTIF(Transect5_imgsummary!E34:I34,"HELIO")*100/P34)</f>
        <v>0</v>
      </c>
      <c r="AO34">
        <f>IF(P34=0,0,COUNTIF(Transect5_imgsummary!E34:I34,"HERP")*100/P34)</f>
        <v>0</v>
      </c>
      <c r="AP34">
        <f>IF(P34=0,0,COUNTIF(Transect5_imgsummary!E34:I34,"HYD")*100/P34)</f>
        <v>0</v>
      </c>
      <c r="AQ34">
        <f>IF(P34=0,0,COUNTIF(Transect5_imgsummary!E34:I34,"ISOP")*100/P34)</f>
        <v>0</v>
      </c>
      <c r="AR34">
        <f>IF(P34=0,0,COUNTIF(Transect5_imgsummary!E34:I34,"LEPT")*100/P34)</f>
        <v>0</v>
      </c>
      <c r="AS34">
        <f>IF(P34=0,0,COUNTIF(Transect5_imgsummary!E34:I34,"LEPTOR")*100/P34)</f>
        <v>0</v>
      </c>
      <c r="AT34">
        <f>IF(P34=0,0,COUNTIF(Transect5_imgsummary!E34:I34,"LEPTOS")*100/P34)</f>
        <v>0</v>
      </c>
      <c r="AU34">
        <f>IF(P34=0,0,COUNTIF(Transect5_imgsummary!E34:I34,"LOBOPH")*100/P34)</f>
        <v>0</v>
      </c>
      <c r="AV34" s="29">
        <f>IF(P34=0,0,COUNTIF(Transect5_imgsummary!E34:I34,"MERU")*100/P34)</f>
        <v>60</v>
      </c>
      <c r="AW34">
        <f>IF(P34=0,0,COUNTIF(Transect5_imgsummary!E34:I34,"MILL")*100/P34)</f>
        <v>0</v>
      </c>
      <c r="AX34">
        <f>IF(P34=0,0,COUNTIF(Transect5_imgsummary!E34:I34,"MONT")*100/P34)</f>
        <v>0</v>
      </c>
      <c r="AY34">
        <f>IF(P34=0,0,COUNTIF(Transect5_imgsummary!E34:I34,"MONTI")*100/P34)</f>
        <v>0</v>
      </c>
      <c r="AZ34">
        <f>IF(P34=0,0,COUNTIF(Transect5_imgsummary!E34:I34,"MYCED")*100/P34)</f>
        <v>0</v>
      </c>
      <c r="BA34">
        <f>IF(P34=0,0,COUNTIF(Transect5_imgsummary!E34:I34,"OULO")*100/P34)</f>
        <v>0</v>
      </c>
      <c r="BB34">
        <f>IF(P34=0,0,COUNTIF(Transect5_imgsummary!E34:I34,"OXYP")*100/P34)</f>
        <v>0</v>
      </c>
      <c r="BC34">
        <f>IF(P34=0,0,COUNTIF(Transect5_imgsummary!E34:I34,"PLSIA")*100/P34)</f>
        <v>0</v>
      </c>
      <c r="BD34">
        <f>IF(P34=0,0,COUNTIF(Transect5_imgsummary!E34:I34,"PACHY")*100/P34)</f>
        <v>0</v>
      </c>
      <c r="BE34">
        <f>IF(P34=0,0,COUNTIF(Transect5_imgsummary!E34:I34,"PAV")*100/P34)</f>
        <v>0</v>
      </c>
      <c r="BF34">
        <f>IF(P34=0,0,COUNTIF(Transect5_imgsummary!E34:I34,"PECT")*100/P34)</f>
        <v>0</v>
      </c>
      <c r="BG34">
        <f>IF(P34=0,0,COUNTIF(Transect5_imgsummary!E34:I34,"PHYSO")*100/P34)</f>
        <v>0</v>
      </c>
      <c r="BH34">
        <f>IF(P34=0,0,COUNTIF(Transect5_imgsummary!E34:I34,"PLAT")*100/P34)</f>
        <v>0</v>
      </c>
      <c r="BI34">
        <f>IF(P34=0,0,COUNTIF(Transect5_imgsummary!E34:I34,"PLERO")*100/P34)</f>
        <v>0</v>
      </c>
      <c r="BJ34">
        <f>IF(P34=0,0,COUNTIF(Transect5_imgsummary!E34:I34,"POC")*100/P34)</f>
        <v>0</v>
      </c>
      <c r="BK34">
        <f>IF(P34=0,0,COUNTIF(Transect5_imgsummary!E34:I34,"POR")*100/P34)</f>
        <v>0</v>
      </c>
      <c r="BL34">
        <f>IF(P34=0,0,COUNTIF(Transect5_imgsummary!E34:I34,"PORCYL")*100/P34)</f>
        <v>0</v>
      </c>
      <c r="BM34">
        <f>IF(P34=0,0,COUNTIF(Transect5_imgsummary!E34:I34,"PORMAS")*100/P34)</f>
        <v>0</v>
      </c>
      <c r="BN34">
        <f>IF(P34=0,0,COUNTIF(Transect5_imgsummary!E34:I34,"PORRUS")*100/P34)</f>
        <v>0</v>
      </c>
      <c r="BO34">
        <f>IF(P34=0,0,COUNTIF(Transect5_imgsummary!E34:I34,"PSAM")*100/P34)</f>
        <v>0</v>
      </c>
      <c r="BP34">
        <f>IF(P34=0,0,COUNTIF(Transect5_imgsummary!E34:I34,"SANDO")*100/P34)</f>
        <v>0</v>
      </c>
      <c r="BQ34">
        <f>IF(P34=0,0,COUNTIF(Transect5_imgsummary!E34:I34,"SCAP")*100/P34)</f>
        <v>0</v>
      </c>
      <c r="BR34">
        <f>IF(P34=0,0,COUNTIF(Transect5_imgsummary!E34:I34,"SERIA")*100/P34)</f>
        <v>0</v>
      </c>
      <c r="BS34">
        <f>IF(P34=0,0,COUNTIF(Transect5_imgsummary!E34:I34,"STYLC")*100/P34)</f>
        <v>0</v>
      </c>
      <c r="BT34">
        <f>IF(P34=0,0,COUNTIF(Transect5_imgsummary!E34:I34,"STYLO")*100/P34)</f>
        <v>0</v>
      </c>
      <c r="BU34">
        <f>IF(P34=0,0,COUNTIF(Transect5_imgsummary!E34:I34,"SYMP")*100/P34)</f>
        <v>0</v>
      </c>
      <c r="BV34">
        <f>IF(P34=0,0,COUNTIF(Transect5_imgsummary!E34:I34,"TURBIN")*100/P34)</f>
        <v>0</v>
      </c>
      <c r="BX34">
        <f>IF(P34=0,0,COUNTIF(Transect5_imgsummary!E34:I34,"ANEM")*100/P34)</f>
        <v>0</v>
      </c>
      <c r="BY34">
        <f>IF(P34=0,0,COUNTIF(Transect5_imgsummary!E34:I34,"ASC")*100/P34)</f>
        <v>0</v>
      </c>
      <c r="BZ34">
        <f>IF(P34=0,0,COUNTIF(Transect5_imgsummary!E34:I34,"CUPS")*100/P34)</f>
        <v>0</v>
      </c>
      <c r="CA34">
        <f>IF(P34=0,0,COUNTIF(Transect5_imgsummary!E34:I34,"DISCO")*100/P34)</f>
        <v>0</v>
      </c>
      <c r="CB34">
        <f>IF(P34=0,0,COUNTIF(Transect5_imgsummary!E34:I34,"DYS")*100/P34)</f>
        <v>0</v>
      </c>
      <c r="CC34">
        <f>IF(P34=0,0,COUNTIF(Transect5_imgsummary!E34:I34,"G")*100/P34)</f>
        <v>0</v>
      </c>
      <c r="CD34">
        <f>IF(P34=0,0,COUNTIF(Transect5_imgsummary!E34:I34,"NoIDINV")*100/P34)</f>
        <v>0</v>
      </c>
      <c r="CE34">
        <f>IF(P34=0,0,COUNTIF(Transect5_imgsummary!E34:I34,"OLV")*100/P34)</f>
        <v>0</v>
      </c>
      <c r="CF34">
        <f>IF(P34=0,0,COUNTIF(Transect5_imgsummary!E34:I34,"SC")*100/P34)</f>
        <v>0</v>
      </c>
      <c r="CG34">
        <f>IF(P34=0,0,COUNTIF(Transect5_imgsummary!E34:I34,"S")*100/P34)</f>
        <v>0</v>
      </c>
      <c r="CH34">
        <f>IF(P34=0,0,COUNTIF(Transect5_imgsummary!E34:I34,"TERPS")*100/P34)</f>
        <v>0</v>
      </c>
      <c r="CI34">
        <f>IF(P34=0,0,COUNTIF(Transect5_imgsummary!E34:I34,"Z")*100/P34)</f>
        <v>0</v>
      </c>
      <c r="CK34">
        <f>IF(P34=0,0,COUNTIF(Transect5_imgsummary!E34:I34,"ASP")*100/P34)</f>
        <v>0</v>
      </c>
      <c r="CL34">
        <f>IF(P34=0,0,COUNTIF(Transect5_imgsummary!E34:I34,"BG")*100/P34)</f>
        <v>0</v>
      </c>
      <c r="CM34">
        <f>IF(P34=0,0,COUNTIF(Transect5_imgsummary!E34:I34,"Bood")*100/P34)</f>
        <v>0</v>
      </c>
      <c r="CN34">
        <f>IF(P34=0,0,COUNTIF(Transect5_imgsummary!E34:I34,"BRYP")*100/P34)</f>
        <v>0</v>
      </c>
      <c r="CO34">
        <f>IF(P34=0,0,COUNTIF(Transect5_imgsummary!E34:I34,"CLP")*100/P34)</f>
        <v>0</v>
      </c>
      <c r="CP34">
        <f>IF(P34=0,0,COUNTIF(Transect5_imgsummary!E34:I34,"CHLDES")*100/P34)</f>
        <v>0</v>
      </c>
      <c r="CQ34">
        <f>IF(P34=0,0,COUNTIF(Transect5_imgsummary!E34:I34,"DYCTY")*100/P34)</f>
        <v>0</v>
      </c>
      <c r="CR34">
        <f>IF(P34=0,0,COUNTIF(Transect5_imgsummary!E34:I34,"DICT")*100/P34)</f>
        <v>0</v>
      </c>
      <c r="CS34">
        <f>IF(P34=0,0,COUNTIF(Transect5_imgsummary!E34:I34,"GLXU")*100/P34)</f>
        <v>0</v>
      </c>
      <c r="CT34">
        <f>IF(P34=0,0,COUNTIF(Transect5_imgsummary!E34:I34,"HALI")*100/P34)</f>
        <v>0</v>
      </c>
      <c r="CU34">
        <f>IF(P34=0,0,COUNTIF(Transect5_imgsummary!E34:I34,"LIAG")*100/P34)</f>
        <v>0</v>
      </c>
      <c r="CV34">
        <f>IF(P34=0,0,COUNTIF(Transect5_imgsummary!E34:I34,"LOBO")*100/P34)</f>
        <v>0</v>
      </c>
      <c r="CW34">
        <f>IF(P34=0,0,COUNTIF(Transect5_imgsummary!E34:I34,"MAST")*100/P34)</f>
        <v>0</v>
      </c>
      <c r="CX34">
        <f>IF(P34=0,0,COUNTIF(Transect5_imgsummary!E34:I34,"MICDTY")*100/P34)</f>
        <v>0</v>
      </c>
      <c r="CY34">
        <f>IF(P34=0,0,COUNTIF(Transect5_imgsummary!E34:I34,"NEOM")*100/P34)</f>
        <v>0</v>
      </c>
      <c r="CZ34">
        <f>IF(P34=0,0,COUNTIF(Transect5_imgsummary!E34:I34,"NOIDMAC")*100/P34)</f>
        <v>0</v>
      </c>
      <c r="DA34">
        <f>IF(P34=0,0,COUNTIF(Transect5_imgsummary!E34:I34,"PAD")*100/P34)</f>
        <v>0</v>
      </c>
      <c r="DB34">
        <f>IF(P34=0,0,COUNTIF(Transect5_imgsummary!E34:I34,"SARG")*100/P34)</f>
        <v>0</v>
      </c>
      <c r="DC34">
        <f>IF(P34=0,0,COUNTIF(Transect5_imgsummary!E34:I34,"SCHIZ")*100/P34)</f>
        <v>0</v>
      </c>
      <c r="DD34">
        <f>IF(P34=0,0,COUNTIF(Transect5_imgsummary!E34:I34,"TURB")*100/P34)</f>
        <v>0</v>
      </c>
      <c r="DE34">
        <f>IF(P34=0,0,COUNTIF(Transect5_imgsummary!E34:I34,"TYDM")*100/P34)</f>
        <v>0</v>
      </c>
      <c r="DG34">
        <f>IF(P34=0,0,COUNTIF(Transect5_imgsummary!E34:I34,"AMP")*100/P34)</f>
        <v>0</v>
      </c>
      <c r="DH34">
        <f>IF(P34=0,0,COUNTIF(Transect5_imgsummary!E34:I34,"BCA1")*100/P34)</f>
        <v>0</v>
      </c>
      <c r="DI34">
        <f>IF(P34=0,0,COUNTIF(Transect5_imgsummary!E34:I34,"JAN")*100/P34)</f>
        <v>0</v>
      </c>
      <c r="DK34" s="29">
        <f>IF(P34=0,0,COUNTIF(Transect5_imgsummary!E34:I34,"CCA1")*100/P34)</f>
        <v>20</v>
      </c>
      <c r="DM34">
        <f>IF(P34=0,0,COUNTIF(Transect5_imgsummary!E34:I34,"Sand")*100/P34)</f>
        <v>0</v>
      </c>
      <c r="DO34">
        <f>IF(P34=0,0,COUNTIF(Transect5_imgsummary!E34:I34,"FCA1")*100/P34)</f>
        <v>0</v>
      </c>
      <c r="DQ34">
        <f>IF(P34=0,0,COUNTIF(Transect5_imgsummary!E34:I34,"CHRYOBRN")*100/P34)</f>
        <v>0</v>
      </c>
      <c r="DS34" s="29">
        <f>IF(P34=0,0,COUNTIF(Transect5_imgsummary!E34:I34,"TURF")*100/P34)</f>
        <v>20</v>
      </c>
      <c r="DU34">
        <f>COUNTIF(Transect5_imgsummary!E34:I34,"Shadow")*100/5</f>
        <v>0</v>
      </c>
      <c r="DV34">
        <f>COUNTIF(Transect5_imgsummary!E34:I34,"Tape")*100/5</f>
        <v>0</v>
      </c>
      <c r="DW34">
        <f>COUNTIF(Transect5_imgsummary!E34:I34,"Wand")*100/5</f>
        <v>0</v>
      </c>
      <c r="DY34">
        <f>IF(P34=0,0,COUNTIF(Transect5_imgsummary!O34:S34,"BC")*100/P34)</f>
        <v>0</v>
      </c>
    </row>
    <row r="35" spans="1:129">
      <c r="A35">
        <v>33</v>
      </c>
      <c r="B35" t="s">
        <v>630</v>
      </c>
      <c r="F35" s="29">
        <f>IF(P35=0,0,COUNTIF(Transect5_imgsummary!J35:N35,"C")*100/P35)</f>
        <v>40</v>
      </c>
      <c r="G35">
        <f>IF(P35=0,0,COUNTIF(Transect5_imgsummary!J35:N35,"OI")*100/P35)</f>
        <v>0</v>
      </c>
      <c r="H35">
        <f>IF(P35=0,0,COUNTIF(Transect5_imgsummary!J35:N35,"MA")*100/P35)</f>
        <v>0</v>
      </c>
      <c r="I35">
        <f>IF(P35=0,0,COUNTIF(Transect5_imgsummary!J35:N35,"BCA")*100/P35)</f>
        <v>0</v>
      </c>
      <c r="J35" s="29">
        <f>IF(P35=0,0,COUNTIF(Transect5_imgsummary!J35:N35,"CCA")*100/P35)</f>
        <v>60</v>
      </c>
      <c r="K35">
        <f>IF(P35=0,0,COUNTIF(Transect5_imgsummary!J35:N35,"SD")*100/P35)</f>
        <v>0</v>
      </c>
      <c r="L35">
        <f>IF(P35=0,0,COUNTIF(Transect5_imgsummary!J35:N35,"FCA")*100/P35)</f>
        <v>0</v>
      </c>
      <c r="M35">
        <f>IF(P35=0,0,COUNTIF(Transect5_imgsummary!J35:N35,"CHRYS")*100/P35)</f>
        <v>0</v>
      </c>
      <c r="N35">
        <f>IF(P35=0,0,COUNTIF(Transect5_imgsummary!J35:N35,"T")*100/P35)</f>
        <v>0</v>
      </c>
      <c r="O35">
        <f>IF(P35=0,0,COUNTIF(Transect5_imgsummary!J35:N35,"TWS")*100/P35)</f>
        <v>0</v>
      </c>
      <c r="P35">
        <f>5-COUNTIF(Transect5_imgsummary!J35:N35,"TWS")</f>
        <v>5</v>
      </c>
      <c r="S35">
        <f>IF(P35=0,0,COUNTIF(Transect5_imgsummary!E35:I35,"ACAN")*100/P35)</f>
        <v>0</v>
      </c>
      <c r="T35">
        <f>IF(P35=0,0,COUNTIF(Transect5_imgsummary!E35:I35,"ACROP")*100/P35)</f>
        <v>0</v>
      </c>
      <c r="U35">
        <f>IF(P35=0,0,COUNTIF(Transect5_imgsummary!E35:I35,"ACROPARB")*100/P35)</f>
        <v>0</v>
      </c>
      <c r="V35">
        <f>IF(P35=0,0,COUNTIF(Transect5_imgsummary!E35:I35,"ACROST")*100/P35)</f>
        <v>0</v>
      </c>
      <c r="W35">
        <f>IF(P35=0,0,COUNTIF(Transect5_imgsummary!E35:I35,"ACROTBL")*100/P35)</f>
        <v>0</v>
      </c>
      <c r="X35">
        <f>IF(P35=0,0,COUNTIF(Transect5_imgsummary!E35:I35,"ASTRP")*100/P35)</f>
        <v>0</v>
      </c>
      <c r="Y35">
        <f>IF(P35=0,0,COUNTIF(Transect5_imgsummary!E35:I35,"CAUL")*100/P35)</f>
        <v>0</v>
      </c>
      <c r="Z35">
        <f>IF(P35=0,0,COUNTIF(Transect5_imgsummary!E35:I35,"COSC")*100/P35)</f>
        <v>0</v>
      </c>
      <c r="AA35">
        <f>IF(P35=0,0,COUNTIF(Transect5_imgsummary!E35:I35,"CTEN")*100/P35)</f>
        <v>0</v>
      </c>
      <c r="AB35">
        <f>IF(P35=0,0,COUNTIF(Transect5_imgsummary!E35:I35,"CYPH")*100/P35)</f>
        <v>0</v>
      </c>
      <c r="AC35">
        <f>IF(P35=0,0,COUNTIF(Transect5_imgsummary!E35:I35,"DIPLO")*100/P35)</f>
        <v>0</v>
      </c>
      <c r="AD35">
        <f>IF(P35=0,0,COUNTIF(Transect5_imgsummary!E35:I35,"ECHPO")*100/P35)</f>
        <v>0</v>
      </c>
      <c r="AE35">
        <f>IF(P35=0,0,COUNTIF(Transect5_imgsummary!E35:I35,"ECHPHY")*100/P35)</f>
        <v>0</v>
      </c>
      <c r="AF35">
        <f>IF(P35=0,0,COUNTIF(Transect5_imgsummary!E35:I35,"EUPH")*100/P35)</f>
        <v>0</v>
      </c>
      <c r="AG35">
        <f>IF(P35=0,0,COUNTIF(Transect5_imgsummary!E35:I35,"FAV")*100/P35)</f>
        <v>0</v>
      </c>
      <c r="AH35">
        <f>IF(P35=0,0,COUNTIF(Transect5_imgsummary!E35:I35,"FAVT")*100/P35)</f>
        <v>0</v>
      </c>
      <c r="AI35">
        <f>IF(P35=0,0,COUNTIF(Transect5_imgsummary!E35:I35,"FUNG")*100/P35)</f>
        <v>0</v>
      </c>
      <c r="AJ35">
        <f>IF(P35=0,0,COUNTIF(Transect5_imgsummary!E35:I35,"GAL")*100/P35)</f>
        <v>0</v>
      </c>
      <c r="AK35">
        <f>IF(P35=0,0,COUNTIF(Transect5_imgsummary!E35:I35,"GARD")*100/P35)</f>
        <v>0</v>
      </c>
      <c r="AL35">
        <f>IF(P35=0,0,COUNTIF(Transect5_imgsummary!E35:I35,"GON")*100/P35)</f>
        <v>0</v>
      </c>
      <c r="AM35">
        <f>IF(P35=0,0,COUNTIF(Transect5_imgsummary!E35:I35,"GONIO")*100/P35)</f>
        <v>0</v>
      </c>
      <c r="AN35">
        <f>IF(P35=0,0,COUNTIF(Transect5_imgsummary!E35:I35,"HELIO")*100/P35)</f>
        <v>0</v>
      </c>
      <c r="AO35">
        <f>IF(P35=0,0,COUNTIF(Transect5_imgsummary!E35:I35,"HERP")*100/P35)</f>
        <v>0</v>
      </c>
      <c r="AP35">
        <f>IF(P35=0,0,COUNTIF(Transect5_imgsummary!E35:I35,"HYD")*100/P35)</f>
        <v>0</v>
      </c>
      <c r="AQ35">
        <f>IF(P35=0,0,COUNTIF(Transect5_imgsummary!E35:I35,"ISOP")*100/P35)</f>
        <v>0</v>
      </c>
      <c r="AR35">
        <f>IF(P35=0,0,COUNTIF(Transect5_imgsummary!E35:I35,"LEPT")*100/P35)</f>
        <v>0</v>
      </c>
      <c r="AS35">
        <f>IF(P35=0,0,COUNTIF(Transect5_imgsummary!E35:I35,"LEPTOR")*100/P35)</f>
        <v>0</v>
      </c>
      <c r="AT35">
        <f>IF(P35=0,0,COUNTIF(Transect5_imgsummary!E35:I35,"LEPTOS")*100/P35)</f>
        <v>0</v>
      </c>
      <c r="AU35">
        <f>IF(P35=0,0,COUNTIF(Transect5_imgsummary!E35:I35,"LOBOPH")*100/P35)</f>
        <v>0</v>
      </c>
      <c r="AV35" s="29">
        <f>IF(P35=0,0,COUNTIF(Transect5_imgsummary!E35:I35,"MERU")*100/P35)</f>
        <v>40</v>
      </c>
      <c r="AW35">
        <f>IF(P35=0,0,COUNTIF(Transect5_imgsummary!E35:I35,"MILL")*100/P35)</f>
        <v>0</v>
      </c>
      <c r="AX35">
        <f>IF(P35=0,0,COUNTIF(Transect5_imgsummary!E35:I35,"MONT")*100/P35)</f>
        <v>0</v>
      </c>
      <c r="AY35">
        <f>IF(P35=0,0,COUNTIF(Transect5_imgsummary!E35:I35,"MONTI")*100/P35)</f>
        <v>0</v>
      </c>
      <c r="AZ35">
        <f>IF(P35=0,0,COUNTIF(Transect5_imgsummary!E35:I35,"MYCED")*100/P35)</f>
        <v>0</v>
      </c>
      <c r="BA35">
        <f>IF(P35=0,0,COUNTIF(Transect5_imgsummary!E35:I35,"OULO")*100/P35)</f>
        <v>0</v>
      </c>
      <c r="BB35">
        <f>IF(P35=0,0,COUNTIF(Transect5_imgsummary!E35:I35,"OXYP")*100/P35)</f>
        <v>0</v>
      </c>
      <c r="BC35">
        <f>IF(P35=0,0,COUNTIF(Transect5_imgsummary!E35:I35,"PLSIA")*100/P35)</f>
        <v>0</v>
      </c>
      <c r="BD35">
        <f>IF(P35=0,0,COUNTIF(Transect5_imgsummary!E35:I35,"PACHY")*100/P35)</f>
        <v>0</v>
      </c>
      <c r="BE35">
        <f>IF(P35=0,0,COUNTIF(Transect5_imgsummary!E35:I35,"PAV")*100/P35)</f>
        <v>0</v>
      </c>
      <c r="BF35">
        <f>IF(P35=0,0,COUNTIF(Transect5_imgsummary!E35:I35,"PECT")*100/P35)</f>
        <v>0</v>
      </c>
      <c r="BG35">
        <f>IF(P35=0,0,COUNTIF(Transect5_imgsummary!E35:I35,"PHYSO")*100/P35)</f>
        <v>0</v>
      </c>
      <c r="BH35">
        <f>IF(P35=0,0,COUNTIF(Transect5_imgsummary!E35:I35,"PLAT")*100/P35)</f>
        <v>0</v>
      </c>
      <c r="BI35">
        <f>IF(P35=0,0,COUNTIF(Transect5_imgsummary!E35:I35,"PLERO")*100/P35)</f>
        <v>0</v>
      </c>
      <c r="BJ35">
        <f>IF(P35=0,0,COUNTIF(Transect5_imgsummary!E35:I35,"POC")*100/P35)</f>
        <v>0</v>
      </c>
      <c r="BK35">
        <f>IF(P35=0,0,COUNTIF(Transect5_imgsummary!E35:I35,"POR")*100/P35)</f>
        <v>0</v>
      </c>
      <c r="BL35">
        <f>IF(P35=0,0,COUNTIF(Transect5_imgsummary!E35:I35,"PORCYL")*100/P35)</f>
        <v>0</v>
      </c>
      <c r="BM35">
        <f>IF(P35=0,0,COUNTIF(Transect5_imgsummary!E35:I35,"PORMAS")*100/P35)</f>
        <v>0</v>
      </c>
      <c r="BN35">
        <f>IF(P35=0,0,COUNTIF(Transect5_imgsummary!E35:I35,"PORRUS")*100/P35)</f>
        <v>0</v>
      </c>
      <c r="BO35">
        <f>IF(P35=0,0,COUNTIF(Transect5_imgsummary!E35:I35,"PSAM")*100/P35)</f>
        <v>0</v>
      </c>
      <c r="BP35">
        <f>IF(P35=0,0,COUNTIF(Transect5_imgsummary!E35:I35,"SANDO")*100/P35)</f>
        <v>0</v>
      </c>
      <c r="BQ35">
        <f>IF(P35=0,0,COUNTIF(Transect5_imgsummary!E35:I35,"SCAP")*100/P35)</f>
        <v>0</v>
      </c>
      <c r="BR35">
        <f>IF(P35=0,0,COUNTIF(Transect5_imgsummary!E35:I35,"SERIA")*100/P35)</f>
        <v>0</v>
      </c>
      <c r="BS35">
        <f>IF(P35=0,0,COUNTIF(Transect5_imgsummary!E35:I35,"STYLC")*100/P35)</f>
        <v>0</v>
      </c>
      <c r="BT35">
        <f>IF(P35=0,0,COUNTIF(Transect5_imgsummary!E35:I35,"STYLO")*100/P35)</f>
        <v>0</v>
      </c>
      <c r="BU35">
        <f>IF(P35=0,0,COUNTIF(Transect5_imgsummary!E35:I35,"SYMP")*100/P35)</f>
        <v>0</v>
      </c>
      <c r="BV35">
        <f>IF(P35=0,0,COUNTIF(Transect5_imgsummary!E35:I35,"TURBIN")*100/P35)</f>
        <v>0</v>
      </c>
      <c r="BX35">
        <f>IF(P35=0,0,COUNTIF(Transect5_imgsummary!E35:I35,"ANEM")*100/P35)</f>
        <v>0</v>
      </c>
      <c r="BY35">
        <f>IF(P35=0,0,COUNTIF(Transect5_imgsummary!E35:I35,"ASC")*100/P35)</f>
        <v>0</v>
      </c>
      <c r="BZ35">
        <f>IF(P35=0,0,COUNTIF(Transect5_imgsummary!E35:I35,"CUPS")*100/P35)</f>
        <v>0</v>
      </c>
      <c r="CA35">
        <f>IF(P35=0,0,COUNTIF(Transect5_imgsummary!E35:I35,"DISCO")*100/P35)</f>
        <v>0</v>
      </c>
      <c r="CB35">
        <f>IF(P35=0,0,COUNTIF(Transect5_imgsummary!E35:I35,"DYS")*100/P35)</f>
        <v>0</v>
      </c>
      <c r="CC35">
        <f>IF(P35=0,0,COUNTIF(Transect5_imgsummary!E35:I35,"G")*100/P35)</f>
        <v>0</v>
      </c>
      <c r="CD35">
        <f>IF(P35=0,0,COUNTIF(Transect5_imgsummary!E35:I35,"NoIDINV")*100/P35)</f>
        <v>0</v>
      </c>
      <c r="CE35">
        <f>IF(P35=0,0,COUNTIF(Transect5_imgsummary!E35:I35,"OLV")*100/P35)</f>
        <v>0</v>
      </c>
      <c r="CF35">
        <f>IF(P35=0,0,COUNTIF(Transect5_imgsummary!E35:I35,"SC")*100/P35)</f>
        <v>0</v>
      </c>
      <c r="CG35">
        <f>IF(P35=0,0,COUNTIF(Transect5_imgsummary!E35:I35,"S")*100/P35)</f>
        <v>0</v>
      </c>
      <c r="CH35">
        <f>IF(P35=0,0,COUNTIF(Transect5_imgsummary!E35:I35,"TERPS")*100/P35)</f>
        <v>0</v>
      </c>
      <c r="CI35">
        <f>IF(P35=0,0,COUNTIF(Transect5_imgsummary!E35:I35,"Z")*100/P35)</f>
        <v>0</v>
      </c>
      <c r="CK35">
        <f>IF(P35=0,0,COUNTIF(Transect5_imgsummary!E35:I35,"ASP")*100/P35)</f>
        <v>0</v>
      </c>
      <c r="CL35">
        <f>IF(P35=0,0,COUNTIF(Transect5_imgsummary!E35:I35,"BG")*100/P35)</f>
        <v>0</v>
      </c>
      <c r="CM35">
        <f>IF(P35=0,0,COUNTIF(Transect5_imgsummary!E35:I35,"Bood")*100/P35)</f>
        <v>0</v>
      </c>
      <c r="CN35">
        <f>IF(P35=0,0,COUNTIF(Transect5_imgsummary!E35:I35,"BRYP")*100/P35)</f>
        <v>0</v>
      </c>
      <c r="CO35">
        <f>IF(P35=0,0,COUNTIF(Transect5_imgsummary!E35:I35,"CLP")*100/P35)</f>
        <v>0</v>
      </c>
      <c r="CP35">
        <f>IF(P35=0,0,COUNTIF(Transect5_imgsummary!E35:I35,"CHLDES")*100/P35)</f>
        <v>0</v>
      </c>
      <c r="CQ35">
        <f>IF(P35=0,0,COUNTIF(Transect5_imgsummary!E35:I35,"DYCTY")*100/P35)</f>
        <v>0</v>
      </c>
      <c r="CR35">
        <f>IF(P35=0,0,COUNTIF(Transect5_imgsummary!E35:I35,"DICT")*100/P35)</f>
        <v>0</v>
      </c>
      <c r="CS35">
        <f>IF(P35=0,0,COUNTIF(Transect5_imgsummary!E35:I35,"GLXU")*100/P35)</f>
        <v>0</v>
      </c>
      <c r="CT35">
        <f>IF(P35=0,0,COUNTIF(Transect5_imgsummary!E35:I35,"HALI")*100/P35)</f>
        <v>0</v>
      </c>
      <c r="CU35">
        <f>IF(P35=0,0,COUNTIF(Transect5_imgsummary!E35:I35,"LIAG")*100/P35)</f>
        <v>0</v>
      </c>
      <c r="CV35">
        <f>IF(P35=0,0,COUNTIF(Transect5_imgsummary!E35:I35,"LOBO")*100/P35)</f>
        <v>0</v>
      </c>
      <c r="CW35">
        <f>IF(P35=0,0,COUNTIF(Transect5_imgsummary!E35:I35,"MAST")*100/P35)</f>
        <v>0</v>
      </c>
      <c r="CX35">
        <f>IF(P35=0,0,COUNTIF(Transect5_imgsummary!E35:I35,"MICDTY")*100/P35)</f>
        <v>0</v>
      </c>
      <c r="CY35">
        <f>IF(P35=0,0,COUNTIF(Transect5_imgsummary!E35:I35,"NEOM")*100/P35)</f>
        <v>0</v>
      </c>
      <c r="CZ35">
        <f>IF(P35=0,0,COUNTIF(Transect5_imgsummary!E35:I35,"NOIDMAC")*100/P35)</f>
        <v>0</v>
      </c>
      <c r="DA35">
        <f>IF(P35=0,0,COUNTIF(Transect5_imgsummary!E35:I35,"PAD")*100/P35)</f>
        <v>0</v>
      </c>
      <c r="DB35">
        <f>IF(P35=0,0,COUNTIF(Transect5_imgsummary!E35:I35,"SARG")*100/P35)</f>
        <v>0</v>
      </c>
      <c r="DC35">
        <f>IF(P35=0,0,COUNTIF(Transect5_imgsummary!E35:I35,"SCHIZ")*100/P35)</f>
        <v>0</v>
      </c>
      <c r="DD35">
        <f>IF(P35=0,0,COUNTIF(Transect5_imgsummary!E35:I35,"TURB")*100/P35)</f>
        <v>0</v>
      </c>
      <c r="DE35">
        <f>IF(P35=0,0,COUNTIF(Transect5_imgsummary!E35:I35,"TYDM")*100/P35)</f>
        <v>0</v>
      </c>
      <c r="DG35">
        <f>IF(P35=0,0,COUNTIF(Transect5_imgsummary!E35:I35,"AMP")*100/P35)</f>
        <v>0</v>
      </c>
      <c r="DH35">
        <f>IF(P35=0,0,COUNTIF(Transect5_imgsummary!E35:I35,"BCA1")*100/P35)</f>
        <v>0</v>
      </c>
      <c r="DI35">
        <f>IF(P35=0,0,COUNTIF(Transect5_imgsummary!E35:I35,"JAN")*100/P35)</f>
        <v>0</v>
      </c>
      <c r="DK35" s="29">
        <f>IF(P35=0,0,COUNTIF(Transect5_imgsummary!E35:I35,"CCA1")*100/P35)</f>
        <v>60</v>
      </c>
      <c r="DM35">
        <f>IF(P35=0,0,COUNTIF(Transect5_imgsummary!E35:I35,"Sand")*100/P35)</f>
        <v>0</v>
      </c>
      <c r="DO35">
        <f>IF(P35=0,0,COUNTIF(Transect5_imgsummary!E35:I35,"FCA1")*100/P35)</f>
        <v>0</v>
      </c>
      <c r="DQ35">
        <f>IF(P35=0,0,COUNTIF(Transect5_imgsummary!E35:I35,"CHRYOBRN")*100/P35)</f>
        <v>0</v>
      </c>
      <c r="DS35">
        <f>IF(P35=0,0,COUNTIF(Transect5_imgsummary!E35:I35,"TURF")*100/P35)</f>
        <v>0</v>
      </c>
      <c r="DU35">
        <f>COUNTIF(Transect5_imgsummary!E35:I35,"Shadow")*100/5</f>
        <v>0</v>
      </c>
      <c r="DV35">
        <f>COUNTIF(Transect5_imgsummary!E35:I35,"Tape")*100/5</f>
        <v>0</v>
      </c>
      <c r="DW35">
        <f>COUNTIF(Transect5_imgsummary!E35:I35,"Wand")*100/5</f>
        <v>0</v>
      </c>
      <c r="DY35">
        <f>IF(P35=0,0,COUNTIF(Transect5_imgsummary!O35:S35,"BC")*100/P35)</f>
        <v>0</v>
      </c>
    </row>
    <row r="36" spans="1:129">
      <c r="A36">
        <v>34</v>
      </c>
      <c r="B36" t="s">
        <v>631</v>
      </c>
      <c r="F36" s="29">
        <f>IF(P36=0,0,COUNTIF(Transect5_imgsummary!J36:N36,"C")*100/P36)</f>
        <v>100</v>
      </c>
      <c r="G36">
        <f>IF(P36=0,0,COUNTIF(Transect5_imgsummary!J36:N36,"OI")*100/P36)</f>
        <v>0</v>
      </c>
      <c r="H36">
        <f>IF(P36=0,0,COUNTIF(Transect5_imgsummary!J36:N36,"MA")*100/P36)</f>
        <v>0</v>
      </c>
      <c r="I36">
        <f>IF(P36=0,0,COUNTIF(Transect5_imgsummary!J36:N36,"BCA")*100/P36)</f>
        <v>0</v>
      </c>
      <c r="J36">
        <f>IF(P36=0,0,COUNTIF(Transect5_imgsummary!J36:N36,"CCA")*100/P36)</f>
        <v>0</v>
      </c>
      <c r="K36">
        <f>IF(P36=0,0,COUNTIF(Transect5_imgsummary!J36:N36,"SD")*100/P36)</f>
        <v>0</v>
      </c>
      <c r="L36">
        <f>IF(P36=0,0,COUNTIF(Transect5_imgsummary!J36:N36,"FCA")*100/P36)</f>
        <v>0</v>
      </c>
      <c r="M36">
        <f>IF(P36=0,0,COUNTIF(Transect5_imgsummary!J36:N36,"CHRYS")*100/P36)</f>
        <v>0</v>
      </c>
      <c r="N36">
        <f>IF(P36=0,0,COUNTIF(Transect5_imgsummary!J36:N36,"T")*100/P36)</f>
        <v>0</v>
      </c>
      <c r="O36">
        <f>IF(P36=0,0,COUNTIF(Transect5_imgsummary!J36:N36,"TWS")*100/P36)</f>
        <v>0</v>
      </c>
      <c r="P36">
        <f>5-COUNTIF(Transect5_imgsummary!J36:N36,"TWS")</f>
        <v>5</v>
      </c>
      <c r="S36">
        <f>IF(P36=0,0,COUNTIF(Transect5_imgsummary!E36:I36,"ACAN")*100/P36)</f>
        <v>0</v>
      </c>
      <c r="T36">
        <f>IF(P36=0,0,COUNTIF(Transect5_imgsummary!E36:I36,"ACROP")*100/P36)</f>
        <v>0</v>
      </c>
      <c r="U36">
        <f>IF(P36=0,0,COUNTIF(Transect5_imgsummary!E36:I36,"ACROPARB")*100/P36)</f>
        <v>0</v>
      </c>
      <c r="V36">
        <f>IF(P36=0,0,COUNTIF(Transect5_imgsummary!E36:I36,"ACROST")*100/P36)</f>
        <v>0</v>
      </c>
      <c r="W36" s="29">
        <f>IF(P36=0,0,COUNTIF(Transect5_imgsummary!E36:I36,"ACROTBL")*100/P36)</f>
        <v>100</v>
      </c>
      <c r="X36">
        <f>IF(P36=0,0,COUNTIF(Transect5_imgsummary!E36:I36,"ASTRP")*100/P36)</f>
        <v>0</v>
      </c>
      <c r="Y36">
        <f>IF(P36=0,0,COUNTIF(Transect5_imgsummary!E36:I36,"CAUL")*100/P36)</f>
        <v>0</v>
      </c>
      <c r="Z36">
        <f>IF(P36=0,0,COUNTIF(Transect5_imgsummary!E36:I36,"COSC")*100/P36)</f>
        <v>0</v>
      </c>
      <c r="AA36">
        <f>IF(P36=0,0,COUNTIF(Transect5_imgsummary!E36:I36,"CTEN")*100/P36)</f>
        <v>0</v>
      </c>
      <c r="AB36">
        <f>IF(P36=0,0,COUNTIF(Transect5_imgsummary!E36:I36,"CYPH")*100/P36)</f>
        <v>0</v>
      </c>
      <c r="AC36">
        <f>IF(P36=0,0,COUNTIF(Transect5_imgsummary!E36:I36,"DIPLO")*100/P36)</f>
        <v>0</v>
      </c>
      <c r="AD36">
        <f>IF(P36=0,0,COUNTIF(Transect5_imgsummary!E36:I36,"ECHPO")*100/P36)</f>
        <v>0</v>
      </c>
      <c r="AE36">
        <f>IF(P36=0,0,COUNTIF(Transect5_imgsummary!E36:I36,"ECHPHY")*100/P36)</f>
        <v>0</v>
      </c>
      <c r="AF36">
        <f>IF(P36=0,0,COUNTIF(Transect5_imgsummary!E36:I36,"EUPH")*100/P36)</f>
        <v>0</v>
      </c>
      <c r="AG36">
        <f>IF(P36=0,0,COUNTIF(Transect5_imgsummary!E36:I36,"FAV")*100/P36)</f>
        <v>0</v>
      </c>
      <c r="AH36">
        <f>IF(P36=0,0,COUNTIF(Transect5_imgsummary!E36:I36,"FAVT")*100/P36)</f>
        <v>0</v>
      </c>
      <c r="AI36">
        <f>IF(P36=0,0,COUNTIF(Transect5_imgsummary!E36:I36,"FUNG")*100/P36)</f>
        <v>0</v>
      </c>
      <c r="AJ36">
        <f>IF(P36=0,0,COUNTIF(Transect5_imgsummary!E36:I36,"GAL")*100/P36)</f>
        <v>0</v>
      </c>
      <c r="AK36">
        <f>IF(P36=0,0,COUNTIF(Transect5_imgsummary!E36:I36,"GARD")*100/P36)</f>
        <v>0</v>
      </c>
      <c r="AL36">
        <f>IF(P36=0,0,COUNTIF(Transect5_imgsummary!E36:I36,"GON")*100/P36)</f>
        <v>0</v>
      </c>
      <c r="AM36">
        <f>IF(P36=0,0,COUNTIF(Transect5_imgsummary!E36:I36,"GONIO")*100/P36)</f>
        <v>0</v>
      </c>
      <c r="AN36">
        <f>IF(P36=0,0,COUNTIF(Transect5_imgsummary!E36:I36,"HELIO")*100/P36)</f>
        <v>0</v>
      </c>
      <c r="AO36">
        <f>IF(P36=0,0,COUNTIF(Transect5_imgsummary!E36:I36,"HERP")*100/P36)</f>
        <v>0</v>
      </c>
      <c r="AP36">
        <f>IF(P36=0,0,COUNTIF(Transect5_imgsummary!E36:I36,"HYD")*100/P36)</f>
        <v>0</v>
      </c>
      <c r="AQ36">
        <f>IF(P36=0,0,COUNTIF(Transect5_imgsummary!E36:I36,"ISOP")*100/P36)</f>
        <v>0</v>
      </c>
      <c r="AR36">
        <f>IF(P36=0,0,COUNTIF(Transect5_imgsummary!E36:I36,"LEPT")*100/P36)</f>
        <v>0</v>
      </c>
      <c r="AS36">
        <f>IF(P36=0,0,COUNTIF(Transect5_imgsummary!E36:I36,"LEPTOR")*100/P36)</f>
        <v>0</v>
      </c>
      <c r="AT36">
        <f>IF(P36=0,0,COUNTIF(Transect5_imgsummary!E36:I36,"LEPTOS")*100/P36)</f>
        <v>0</v>
      </c>
      <c r="AU36">
        <f>IF(P36=0,0,COUNTIF(Transect5_imgsummary!E36:I36,"LOBOPH")*100/P36)</f>
        <v>0</v>
      </c>
      <c r="AV36">
        <f>IF(P36=0,0,COUNTIF(Transect5_imgsummary!E36:I36,"MERU")*100/P36)</f>
        <v>0</v>
      </c>
      <c r="AW36">
        <f>IF(P36=0,0,COUNTIF(Transect5_imgsummary!E36:I36,"MILL")*100/P36)</f>
        <v>0</v>
      </c>
      <c r="AX36">
        <f>IF(P36=0,0,COUNTIF(Transect5_imgsummary!E36:I36,"MONT")*100/P36)</f>
        <v>0</v>
      </c>
      <c r="AY36">
        <f>IF(P36=0,0,COUNTIF(Transect5_imgsummary!E36:I36,"MONTI")*100/P36)</f>
        <v>0</v>
      </c>
      <c r="AZ36">
        <f>IF(P36=0,0,COUNTIF(Transect5_imgsummary!E36:I36,"MYCED")*100/P36)</f>
        <v>0</v>
      </c>
      <c r="BA36">
        <f>IF(P36=0,0,COUNTIF(Transect5_imgsummary!E36:I36,"OULO")*100/P36)</f>
        <v>0</v>
      </c>
      <c r="BB36">
        <f>IF(P36=0,0,COUNTIF(Transect5_imgsummary!E36:I36,"OXYP")*100/P36)</f>
        <v>0</v>
      </c>
      <c r="BC36">
        <f>IF(P36=0,0,COUNTIF(Transect5_imgsummary!E36:I36,"PLSIA")*100/P36)</f>
        <v>0</v>
      </c>
      <c r="BD36">
        <f>IF(P36=0,0,COUNTIF(Transect5_imgsummary!E36:I36,"PACHY")*100/P36)</f>
        <v>0</v>
      </c>
      <c r="BE36">
        <f>IF(P36=0,0,COUNTIF(Transect5_imgsummary!E36:I36,"PAV")*100/P36)</f>
        <v>0</v>
      </c>
      <c r="BF36">
        <f>IF(P36=0,0,COUNTIF(Transect5_imgsummary!E36:I36,"PECT")*100/P36)</f>
        <v>0</v>
      </c>
      <c r="BG36">
        <f>IF(P36=0,0,COUNTIF(Transect5_imgsummary!E36:I36,"PHYSO")*100/P36)</f>
        <v>0</v>
      </c>
      <c r="BH36">
        <f>IF(P36=0,0,COUNTIF(Transect5_imgsummary!E36:I36,"PLAT")*100/P36)</f>
        <v>0</v>
      </c>
      <c r="BI36">
        <f>IF(P36=0,0,COUNTIF(Transect5_imgsummary!E36:I36,"PLERO")*100/P36)</f>
        <v>0</v>
      </c>
      <c r="BJ36">
        <f>IF(P36=0,0,COUNTIF(Transect5_imgsummary!E36:I36,"POC")*100/P36)</f>
        <v>0</v>
      </c>
      <c r="BK36">
        <f>IF(P36=0,0,COUNTIF(Transect5_imgsummary!E36:I36,"POR")*100/P36)</f>
        <v>0</v>
      </c>
      <c r="BL36">
        <f>IF(P36=0,0,COUNTIF(Transect5_imgsummary!E36:I36,"PORCYL")*100/P36)</f>
        <v>0</v>
      </c>
      <c r="BM36">
        <f>IF(P36=0,0,COUNTIF(Transect5_imgsummary!E36:I36,"PORMAS")*100/P36)</f>
        <v>0</v>
      </c>
      <c r="BN36">
        <f>IF(P36=0,0,COUNTIF(Transect5_imgsummary!E36:I36,"PORRUS")*100/P36)</f>
        <v>0</v>
      </c>
      <c r="BO36">
        <f>IF(P36=0,0,COUNTIF(Transect5_imgsummary!E36:I36,"PSAM")*100/P36)</f>
        <v>0</v>
      </c>
      <c r="BP36">
        <f>IF(P36=0,0,COUNTIF(Transect5_imgsummary!E36:I36,"SANDO")*100/P36)</f>
        <v>0</v>
      </c>
      <c r="BQ36">
        <f>IF(P36=0,0,COUNTIF(Transect5_imgsummary!E36:I36,"SCAP")*100/P36)</f>
        <v>0</v>
      </c>
      <c r="BR36">
        <f>IF(P36=0,0,COUNTIF(Transect5_imgsummary!E36:I36,"SERIA")*100/P36)</f>
        <v>0</v>
      </c>
      <c r="BS36">
        <f>IF(P36=0,0,COUNTIF(Transect5_imgsummary!E36:I36,"STYLC")*100/P36)</f>
        <v>0</v>
      </c>
      <c r="BT36">
        <f>IF(P36=0,0,COUNTIF(Transect5_imgsummary!E36:I36,"STYLO")*100/P36)</f>
        <v>0</v>
      </c>
      <c r="BU36">
        <f>IF(P36=0,0,COUNTIF(Transect5_imgsummary!E36:I36,"SYMP")*100/P36)</f>
        <v>0</v>
      </c>
      <c r="BV36">
        <f>IF(P36=0,0,COUNTIF(Transect5_imgsummary!E36:I36,"TURBIN")*100/P36)</f>
        <v>0</v>
      </c>
      <c r="BX36">
        <f>IF(P36=0,0,COUNTIF(Transect5_imgsummary!E36:I36,"ANEM")*100/P36)</f>
        <v>0</v>
      </c>
      <c r="BY36">
        <f>IF(P36=0,0,COUNTIF(Transect5_imgsummary!E36:I36,"ASC")*100/P36)</f>
        <v>0</v>
      </c>
      <c r="BZ36">
        <f>IF(P36=0,0,COUNTIF(Transect5_imgsummary!E36:I36,"CUPS")*100/P36)</f>
        <v>0</v>
      </c>
      <c r="CA36">
        <f>IF(P36=0,0,COUNTIF(Transect5_imgsummary!E36:I36,"DISCO")*100/P36)</f>
        <v>0</v>
      </c>
      <c r="CB36">
        <f>IF(P36=0,0,COUNTIF(Transect5_imgsummary!E36:I36,"DYS")*100/P36)</f>
        <v>0</v>
      </c>
      <c r="CC36">
        <f>IF(P36=0,0,COUNTIF(Transect5_imgsummary!E36:I36,"G")*100/P36)</f>
        <v>0</v>
      </c>
      <c r="CD36">
        <f>IF(P36=0,0,COUNTIF(Transect5_imgsummary!E36:I36,"NoIDINV")*100/P36)</f>
        <v>0</v>
      </c>
      <c r="CE36">
        <f>IF(P36=0,0,COUNTIF(Transect5_imgsummary!E36:I36,"OLV")*100/P36)</f>
        <v>0</v>
      </c>
      <c r="CF36">
        <f>IF(P36=0,0,COUNTIF(Transect5_imgsummary!E36:I36,"SC")*100/P36)</f>
        <v>0</v>
      </c>
      <c r="CG36">
        <f>IF(P36=0,0,COUNTIF(Transect5_imgsummary!E36:I36,"S")*100/P36)</f>
        <v>0</v>
      </c>
      <c r="CH36">
        <f>IF(P36=0,0,COUNTIF(Transect5_imgsummary!E36:I36,"TERPS")*100/P36)</f>
        <v>0</v>
      </c>
      <c r="CI36">
        <f>IF(P36=0,0,COUNTIF(Transect5_imgsummary!E36:I36,"Z")*100/P36)</f>
        <v>0</v>
      </c>
      <c r="CK36">
        <f>IF(P36=0,0,COUNTIF(Transect5_imgsummary!E36:I36,"ASP")*100/P36)</f>
        <v>0</v>
      </c>
      <c r="CL36">
        <f>IF(P36=0,0,COUNTIF(Transect5_imgsummary!E36:I36,"BG")*100/P36)</f>
        <v>0</v>
      </c>
      <c r="CM36">
        <f>IF(P36=0,0,COUNTIF(Transect5_imgsummary!E36:I36,"Bood")*100/P36)</f>
        <v>0</v>
      </c>
      <c r="CN36">
        <f>IF(P36=0,0,COUNTIF(Transect5_imgsummary!E36:I36,"BRYP")*100/P36)</f>
        <v>0</v>
      </c>
      <c r="CO36">
        <f>IF(P36=0,0,COUNTIF(Transect5_imgsummary!E36:I36,"CLP")*100/P36)</f>
        <v>0</v>
      </c>
      <c r="CP36">
        <f>IF(P36=0,0,COUNTIF(Transect5_imgsummary!E36:I36,"CHLDES")*100/P36)</f>
        <v>0</v>
      </c>
      <c r="CQ36">
        <f>IF(P36=0,0,COUNTIF(Transect5_imgsummary!E36:I36,"DYCTY")*100/P36)</f>
        <v>0</v>
      </c>
      <c r="CR36">
        <f>IF(P36=0,0,COUNTIF(Transect5_imgsummary!E36:I36,"DICT")*100/P36)</f>
        <v>0</v>
      </c>
      <c r="CS36">
        <f>IF(P36=0,0,COUNTIF(Transect5_imgsummary!E36:I36,"GLXU")*100/P36)</f>
        <v>0</v>
      </c>
      <c r="CT36">
        <f>IF(P36=0,0,COUNTIF(Transect5_imgsummary!E36:I36,"HALI")*100/P36)</f>
        <v>0</v>
      </c>
      <c r="CU36">
        <f>IF(P36=0,0,COUNTIF(Transect5_imgsummary!E36:I36,"LIAG")*100/P36)</f>
        <v>0</v>
      </c>
      <c r="CV36">
        <f>IF(P36=0,0,COUNTIF(Transect5_imgsummary!E36:I36,"LOBO")*100/P36)</f>
        <v>0</v>
      </c>
      <c r="CW36">
        <f>IF(P36=0,0,COUNTIF(Transect5_imgsummary!E36:I36,"MAST")*100/P36)</f>
        <v>0</v>
      </c>
      <c r="CX36">
        <f>IF(P36=0,0,COUNTIF(Transect5_imgsummary!E36:I36,"MICDTY")*100/P36)</f>
        <v>0</v>
      </c>
      <c r="CY36">
        <f>IF(P36=0,0,COUNTIF(Transect5_imgsummary!E36:I36,"NEOM")*100/P36)</f>
        <v>0</v>
      </c>
      <c r="CZ36">
        <f>IF(P36=0,0,COUNTIF(Transect5_imgsummary!E36:I36,"NOIDMAC")*100/P36)</f>
        <v>0</v>
      </c>
      <c r="DA36">
        <f>IF(P36=0,0,COUNTIF(Transect5_imgsummary!E36:I36,"PAD")*100/P36)</f>
        <v>0</v>
      </c>
      <c r="DB36">
        <f>IF(P36=0,0,COUNTIF(Transect5_imgsummary!E36:I36,"SARG")*100/P36)</f>
        <v>0</v>
      </c>
      <c r="DC36">
        <f>IF(P36=0,0,COUNTIF(Transect5_imgsummary!E36:I36,"SCHIZ")*100/P36)</f>
        <v>0</v>
      </c>
      <c r="DD36">
        <f>IF(P36=0,0,COUNTIF(Transect5_imgsummary!E36:I36,"TURB")*100/P36)</f>
        <v>0</v>
      </c>
      <c r="DE36">
        <f>IF(P36=0,0,COUNTIF(Transect5_imgsummary!E36:I36,"TYDM")*100/P36)</f>
        <v>0</v>
      </c>
      <c r="DG36">
        <f>IF(P36=0,0,COUNTIF(Transect5_imgsummary!E36:I36,"AMP")*100/P36)</f>
        <v>0</v>
      </c>
      <c r="DH36">
        <f>IF(P36=0,0,COUNTIF(Transect5_imgsummary!E36:I36,"BCA1")*100/P36)</f>
        <v>0</v>
      </c>
      <c r="DI36">
        <f>IF(P36=0,0,COUNTIF(Transect5_imgsummary!E36:I36,"JAN")*100/P36)</f>
        <v>0</v>
      </c>
      <c r="DK36">
        <f>IF(P36=0,0,COUNTIF(Transect5_imgsummary!E36:I36,"CCA1")*100/P36)</f>
        <v>0</v>
      </c>
      <c r="DM36">
        <f>IF(P36=0,0,COUNTIF(Transect5_imgsummary!E36:I36,"Sand")*100/P36)</f>
        <v>0</v>
      </c>
      <c r="DO36">
        <f>IF(P36=0,0,COUNTIF(Transect5_imgsummary!E36:I36,"FCA1")*100/P36)</f>
        <v>0</v>
      </c>
      <c r="DQ36">
        <f>IF(P36=0,0,COUNTIF(Transect5_imgsummary!E36:I36,"CHRYOBRN")*100/P36)</f>
        <v>0</v>
      </c>
      <c r="DS36">
        <f>IF(P36=0,0,COUNTIF(Transect5_imgsummary!E36:I36,"TURF")*100/P36)</f>
        <v>0</v>
      </c>
      <c r="DU36">
        <f>COUNTIF(Transect5_imgsummary!E36:I36,"Shadow")*100/5</f>
        <v>0</v>
      </c>
      <c r="DV36">
        <f>COUNTIF(Transect5_imgsummary!E36:I36,"Tape")*100/5</f>
        <v>0</v>
      </c>
      <c r="DW36">
        <f>COUNTIF(Transect5_imgsummary!E36:I36,"Wand")*100/5</f>
        <v>0</v>
      </c>
      <c r="DY36">
        <f>IF(P36=0,0,COUNTIF(Transect5_imgsummary!O36:S36,"BC")*100/P36)</f>
        <v>0</v>
      </c>
    </row>
    <row r="37" spans="1:129">
      <c r="A37">
        <v>35</v>
      </c>
      <c r="B37" t="s">
        <v>632</v>
      </c>
      <c r="F37" s="29">
        <f>IF(P37=0,0,COUNTIF(Transect5_imgsummary!J37:N37,"C")*100/P37)</f>
        <v>100</v>
      </c>
      <c r="G37">
        <f>IF(P37=0,0,COUNTIF(Transect5_imgsummary!J37:N37,"OI")*100/P37)</f>
        <v>0</v>
      </c>
      <c r="H37">
        <f>IF(P37=0,0,COUNTIF(Transect5_imgsummary!J37:N37,"MA")*100/P37)</f>
        <v>0</v>
      </c>
      <c r="I37">
        <f>IF(P37=0,0,COUNTIF(Transect5_imgsummary!J37:N37,"BCA")*100/P37)</f>
        <v>0</v>
      </c>
      <c r="J37">
        <f>IF(P37=0,0,COUNTIF(Transect5_imgsummary!J37:N37,"CCA")*100/P37)</f>
        <v>0</v>
      </c>
      <c r="K37">
        <f>IF(P37=0,0,COUNTIF(Transect5_imgsummary!J37:N37,"SD")*100/P37)</f>
        <v>0</v>
      </c>
      <c r="L37">
        <f>IF(P37=0,0,COUNTIF(Transect5_imgsummary!J37:N37,"FCA")*100/P37)</f>
        <v>0</v>
      </c>
      <c r="M37">
        <f>IF(P37=0,0,COUNTIF(Transect5_imgsummary!J37:N37,"CHRYS")*100/P37)</f>
        <v>0</v>
      </c>
      <c r="N37">
        <f>IF(P37=0,0,COUNTIF(Transect5_imgsummary!J37:N37,"T")*100/P37)</f>
        <v>0</v>
      </c>
      <c r="O37">
        <f>IF(P37=0,0,COUNTIF(Transect5_imgsummary!J37:N37,"TWS")*100/P37)</f>
        <v>0</v>
      </c>
      <c r="P37">
        <f>5-COUNTIF(Transect5_imgsummary!J37:N37,"TWS")</f>
        <v>5</v>
      </c>
      <c r="S37">
        <f>IF(P37=0,0,COUNTIF(Transect5_imgsummary!E37:I37,"ACAN")*100/P37)</f>
        <v>0</v>
      </c>
      <c r="T37">
        <f>IF(P37=0,0,COUNTIF(Transect5_imgsummary!E37:I37,"ACROP")*100/P37)</f>
        <v>0</v>
      </c>
      <c r="U37">
        <f>IF(P37=0,0,COUNTIF(Transect5_imgsummary!E37:I37,"ACROPARB")*100/P37)</f>
        <v>0</v>
      </c>
      <c r="V37">
        <f>IF(P37=0,0,COUNTIF(Transect5_imgsummary!E37:I37,"ACROST")*100/P37)</f>
        <v>0</v>
      </c>
      <c r="W37" s="29">
        <f>IF(P37=0,0,COUNTIF(Transect5_imgsummary!E37:I37,"ACROTBL")*100/P37)</f>
        <v>80</v>
      </c>
      <c r="X37">
        <f>IF(P37=0,0,COUNTIF(Transect5_imgsummary!E37:I37,"ASTRP")*100/P37)</f>
        <v>0</v>
      </c>
      <c r="Y37">
        <f>IF(P37=0,0,COUNTIF(Transect5_imgsummary!E37:I37,"CAUL")*100/P37)</f>
        <v>0</v>
      </c>
      <c r="Z37">
        <f>IF(P37=0,0,COUNTIF(Transect5_imgsummary!E37:I37,"COSC")*100/P37)</f>
        <v>0</v>
      </c>
      <c r="AA37">
        <f>IF(P37=0,0,COUNTIF(Transect5_imgsummary!E37:I37,"CTEN")*100/P37)</f>
        <v>0</v>
      </c>
      <c r="AB37">
        <f>IF(P37=0,0,COUNTIF(Transect5_imgsummary!E37:I37,"CYPH")*100/P37)</f>
        <v>0</v>
      </c>
      <c r="AC37">
        <f>IF(P37=0,0,COUNTIF(Transect5_imgsummary!E37:I37,"DIPLO")*100/P37)</f>
        <v>0</v>
      </c>
      <c r="AD37">
        <f>IF(P37=0,0,COUNTIF(Transect5_imgsummary!E37:I37,"ECHPO")*100/P37)</f>
        <v>0</v>
      </c>
      <c r="AE37">
        <f>IF(P37=0,0,COUNTIF(Transect5_imgsummary!E37:I37,"ECHPHY")*100/P37)</f>
        <v>0</v>
      </c>
      <c r="AF37">
        <f>IF(P37=0,0,COUNTIF(Transect5_imgsummary!E37:I37,"EUPH")*100/P37)</f>
        <v>0</v>
      </c>
      <c r="AG37">
        <f>IF(P37=0,0,COUNTIF(Transect5_imgsummary!E37:I37,"FAV")*100/P37)</f>
        <v>0</v>
      </c>
      <c r="AH37">
        <f>IF(P37=0,0,COUNTIF(Transect5_imgsummary!E37:I37,"FAVT")*100/P37)</f>
        <v>0</v>
      </c>
      <c r="AI37">
        <f>IF(P37=0,0,COUNTIF(Transect5_imgsummary!E37:I37,"FUNG")*100/P37)</f>
        <v>0</v>
      </c>
      <c r="AJ37">
        <f>IF(P37=0,0,COUNTIF(Transect5_imgsummary!E37:I37,"GAL")*100/P37)</f>
        <v>0</v>
      </c>
      <c r="AK37">
        <f>IF(P37=0,0,COUNTIF(Transect5_imgsummary!E37:I37,"GARD")*100/P37)</f>
        <v>0</v>
      </c>
      <c r="AL37">
        <f>IF(P37=0,0,COUNTIF(Transect5_imgsummary!E37:I37,"GON")*100/P37)</f>
        <v>0</v>
      </c>
      <c r="AM37">
        <f>IF(P37=0,0,COUNTIF(Transect5_imgsummary!E37:I37,"GONIO")*100/P37)</f>
        <v>0</v>
      </c>
      <c r="AN37">
        <f>IF(P37=0,0,COUNTIF(Transect5_imgsummary!E37:I37,"HELIO")*100/P37)</f>
        <v>0</v>
      </c>
      <c r="AO37">
        <f>IF(P37=0,0,COUNTIF(Transect5_imgsummary!E37:I37,"HERP")*100/P37)</f>
        <v>0</v>
      </c>
      <c r="AP37">
        <f>IF(P37=0,0,COUNTIF(Transect5_imgsummary!E37:I37,"HYD")*100/P37)</f>
        <v>0</v>
      </c>
      <c r="AQ37">
        <f>IF(P37=0,0,COUNTIF(Transect5_imgsummary!E37:I37,"ISOP")*100/P37)</f>
        <v>0</v>
      </c>
      <c r="AR37">
        <f>IF(P37=0,0,COUNTIF(Transect5_imgsummary!E37:I37,"LEPT")*100/P37)</f>
        <v>0</v>
      </c>
      <c r="AS37">
        <f>IF(P37=0,0,COUNTIF(Transect5_imgsummary!E37:I37,"LEPTOR")*100/P37)</f>
        <v>0</v>
      </c>
      <c r="AT37">
        <f>IF(P37=0,0,COUNTIF(Transect5_imgsummary!E37:I37,"LEPTOS")*100/P37)</f>
        <v>0</v>
      </c>
      <c r="AU37">
        <f>IF(P37=0,0,COUNTIF(Transect5_imgsummary!E37:I37,"LOBOPH")*100/P37)</f>
        <v>0</v>
      </c>
      <c r="AV37" s="29">
        <f>IF(P37=0,0,COUNTIF(Transect5_imgsummary!E37:I37,"MERU")*100/P37)</f>
        <v>20</v>
      </c>
      <c r="AW37">
        <f>IF(P37=0,0,COUNTIF(Transect5_imgsummary!E37:I37,"MILL")*100/P37)</f>
        <v>0</v>
      </c>
      <c r="AX37">
        <f>IF(P37=0,0,COUNTIF(Transect5_imgsummary!E37:I37,"MONT")*100/P37)</f>
        <v>0</v>
      </c>
      <c r="AY37">
        <f>IF(P37=0,0,COUNTIF(Transect5_imgsummary!E37:I37,"MONTI")*100/P37)</f>
        <v>0</v>
      </c>
      <c r="AZ37">
        <f>IF(P37=0,0,COUNTIF(Transect5_imgsummary!E37:I37,"MYCED")*100/P37)</f>
        <v>0</v>
      </c>
      <c r="BA37">
        <f>IF(P37=0,0,COUNTIF(Transect5_imgsummary!E37:I37,"OULO")*100/P37)</f>
        <v>0</v>
      </c>
      <c r="BB37">
        <f>IF(P37=0,0,COUNTIF(Transect5_imgsummary!E37:I37,"OXYP")*100/P37)</f>
        <v>0</v>
      </c>
      <c r="BC37">
        <f>IF(P37=0,0,COUNTIF(Transect5_imgsummary!E37:I37,"PLSIA")*100/P37)</f>
        <v>0</v>
      </c>
      <c r="BD37">
        <f>IF(P37=0,0,COUNTIF(Transect5_imgsummary!E37:I37,"PACHY")*100/P37)</f>
        <v>0</v>
      </c>
      <c r="BE37">
        <f>IF(P37=0,0,COUNTIF(Transect5_imgsummary!E37:I37,"PAV")*100/P37)</f>
        <v>0</v>
      </c>
      <c r="BF37">
        <f>IF(P37=0,0,COUNTIF(Transect5_imgsummary!E37:I37,"PECT")*100/P37)</f>
        <v>0</v>
      </c>
      <c r="BG37">
        <f>IF(P37=0,0,COUNTIF(Transect5_imgsummary!E37:I37,"PHYSO")*100/P37)</f>
        <v>0</v>
      </c>
      <c r="BH37">
        <f>IF(P37=0,0,COUNTIF(Transect5_imgsummary!E37:I37,"PLAT")*100/P37)</f>
        <v>0</v>
      </c>
      <c r="BI37">
        <f>IF(P37=0,0,COUNTIF(Transect5_imgsummary!E37:I37,"PLERO")*100/P37)</f>
        <v>0</v>
      </c>
      <c r="BJ37">
        <f>IF(P37=0,0,COUNTIF(Transect5_imgsummary!E37:I37,"POC")*100/P37)</f>
        <v>0</v>
      </c>
      <c r="BK37">
        <f>IF(P37=0,0,COUNTIF(Transect5_imgsummary!E37:I37,"POR")*100/P37)</f>
        <v>0</v>
      </c>
      <c r="BL37">
        <f>IF(P37=0,0,COUNTIF(Transect5_imgsummary!E37:I37,"PORCYL")*100/P37)</f>
        <v>0</v>
      </c>
      <c r="BM37">
        <f>IF(P37=0,0,COUNTIF(Transect5_imgsummary!E37:I37,"PORMAS")*100/P37)</f>
        <v>0</v>
      </c>
      <c r="BN37">
        <f>IF(P37=0,0,COUNTIF(Transect5_imgsummary!E37:I37,"PORRUS")*100/P37)</f>
        <v>0</v>
      </c>
      <c r="BO37">
        <f>IF(P37=0,0,COUNTIF(Transect5_imgsummary!E37:I37,"PSAM")*100/P37)</f>
        <v>0</v>
      </c>
      <c r="BP37">
        <f>IF(P37=0,0,COUNTIF(Transect5_imgsummary!E37:I37,"SANDO")*100/P37)</f>
        <v>0</v>
      </c>
      <c r="BQ37">
        <f>IF(P37=0,0,COUNTIF(Transect5_imgsummary!E37:I37,"SCAP")*100/P37)</f>
        <v>0</v>
      </c>
      <c r="BR37">
        <f>IF(P37=0,0,COUNTIF(Transect5_imgsummary!E37:I37,"SERIA")*100/P37)</f>
        <v>0</v>
      </c>
      <c r="BS37">
        <f>IF(P37=0,0,COUNTIF(Transect5_imgsummary!E37:I37,"STYLC")*100/P37)</f>
        <v>0</v>
      </c>
      <c r="BT37">
        <f>IF(P37=0,0,COUNTIF(Transect5_imgsummary!E37:I37,"STYLO")*100/P37)</f>
        <v>0</v>
      </c>
      <c r="BU37">
        <f>IF(P37=0,0,COUNTIF(Transect5_imgsummary!E37:I37,"SYMP")*100/P37)</f>
        <v>0</v>
      </c>
      <c r="BV37">
        <f>IF(P37=0,0,COUNTIF(Transect5_imgsummary!E37:I37,"TURBIN")*100/P37)</f>
        <v>0</v>
      </c>
      <c r="BX37">
        <f>IF(P37=0,0,COUNTIF(Transect5_imgsummary!E37:I37,"ANEM")*100/P37)</f>
        <v>0</v>
      </c>
      <c r="BY37">
        <f>IF(P37=0,0,COUNTIF(Transect5_imgsummary!E37:I37,"ASC")*100/P37)</f>
        <v>0</v>
      </c>
      <c r="BZ37">
        <f>IF(P37=0,0,COUNTIF(Transect5_imgsummary!E37:I37,"CUPS")*100/P37)</f>
        <v>0</v>
      </c>
      <c r="CA37">
        <f>IF(P37=0,0,COUNTIF(Transect5_imgsummary!E37:I37,"DISCO")*100/P37)</f>
        <v>0</v>
      </c>
      <c r="CB37">
        <f>IF(P37=0,0,COUNTIF(Transect5_imgsummary!E37:I37,"DYS")*100/P37)</f>
        <v>0</v>
      </c>
      <c r="CC37">
        <f>IF(P37=0,0,COUNTIF(Transect5_imgsummary!E37:I37,"G")*100/P37)</f>
        <v>0</v>
      </c>
      <c r="CD37">
        <f>IF(P37=0,0,COUNTIF(Transect5_imgsummary!E37:I37,"NoIDINV")*100/P37)</f>
        <v>0</v>
      </c>
      <c r="CE37">
        <f>IF(P37=0,0,COUNTIF(Transect5_imgsummary!E37:I37,"OLV")*100/P37)</f>
        <v>0</v>
      </c>
      <c r="CF37">
        <f>IF(P37=0,0,COUNTIF(Transect5_imgsummary!E37:I37,"SC")*100/P37)</f>
        <v>0</v>
      </c>
      <c r="CG37">
        <f>IF(P37=0,0,COUNTIF(Transect5_imgsummary!E37:I37,"S")*100/P37)</f>
        <v>0</v>
      </c>
      <c r="CH37">
        <f>IF(P37=0,0,COUNTIF(Transect5_imgsummary!E37:I37,"TERPS")*100/P37)</f>
        <v>0</v>
      </c>
      <c r="CI37">
        <f>IF(P37=0,0,COUNTIF(Transect5_imgsummary!E37:I37,"Z")*100/P37)</f>
        <v>0</v>
      </c>
      <c r="CK37">
        <f>IF(P37=0,0,COUNTIF(Transect5_imgsummary!E37:I37,"ASP")*100/P37)</f>
        <v>0</v>
      </c>
      <c r="CL37">
        <f>IF(P37=0,0,COUNTIF(Transect5_imgsummary!E37:I37,"BG")*100/P37)</f>
        <v>0</v>
      </c>
      <c r="CM37">
        <f>IF(P37=0,0,COUNTIF(Transect5_imgsummary!E37:I37,"Bood")*100/P37)</f>
        <v>0</v>
      </c>
      <c r="CN37">
        <f>IF(P37=0,0,COUNTIF(Transect5_imgsummary!E37:I37,"BRYP")*100/P37)</f>
        <v>0</v>
      </c>
      <c r="CO37">
        <f>IF(P37=0,0,COUNTIF(Transect5_imgsummary!E37:I37,"CLP")*100/P37)</f>
        <v>0</v>
      </c>
      <c r="CP37">
        <f>IF(P37=0,0,COUNTIF(Transect5_imgsummary!E37:I37,"CHLDES")*100/P37)</f>
        <v>0</v>
      </c>
      <c r="CQ37">
        <f>IF(P37=0,0,COUNTIF(Transect5_imgsummary!E37:I37,"DYCTY")*100/P37)</f>
        <v>0</v>
      </c>
      <c r="CR37">
        <f>IF(P37=0,0,COUNTIF(Transect5_imgsummary!E37:I37,"DICT")*100/P37)</f>
        <v>0</v>
      </c>
      <c r="CS37">
        <f>IF(P37=0,0,COUNTIF(Transect5_imgsummary!E37:I37,"GLXU")*100/P37)</f>
        <v>0</v>
      </c>
      <c r="CT37">
        <f>IF(P37=0,0,COUNTIF(Transect5_imgsummary!E37:I37,"HALI")*100/P37)</f>
        <v>0</v>
      </c>
      <c r="CU37">
        <f>IF(P37=0,0,COUNTIF(Transect5_imgsummary!E37:I37,"LIAG")*100/P37)</f>
        <v>0</v>
      </c>
      <c r="CV37">
        <f>IF(P37=0,0,COUNTIF(Transect5_imgsummary!E37:I37,"LOBO")*100/P37)</f>
        <v>0</v>
      </c>
      <c r="CW37">
        <f>IF(P37=0,0,COUNTIF(Transect5_imgsummary!E37:I37,"MAST")*100/P37)</f>
        <v>0</v>
      </c>
      <c r="CX37">
        <f>IF(P37=0,0,COUNTIF(Transect5_imgsummary!E37:I37,"MICDTY")*100/P37)</f>
        <v>0</v>
      </c>
      <c r="CY37">
        <f>IF(P37=0,0,COUNTIF(Transect5_imgsummary!E37:I37,"NEOM")*100/P37)</f>
        <v>0</v>
      </c>
      <c r="CZ37">
        <f>IF(P37=0,0,COUNTIF(Transect5_imgsummary!E37:I37,"NOIDMAC")*100/P37)</f>
        <v>0</v>
      </c>
      <c r="DA37">
        <f>IF(P37=0,0,COUNTIF(Transect5_imgsummary!E37:I37,"PAD")*100/P37)</f>
        <v>0</v>
      </c>
      <c r="DB37">
        <f>IF(P37=0,0,COUNTIF(Transect5_imgsummary!E37:I37,"SARG")*100/P37)</f>
        <v>0</v>
      </c>
      <c r="DC37">
        <f>IF(P37=0,0,COUNTIF(Transect5_imgsummary!E37:I37,"SCHIZ")*100/P37)</f>
        <v>0</v>
      </c>
      <c r="DD37">
        <f>IF(P37=0,0,COUNTIF(Transect5_imgsummary!E37:I37,"TURB")*100/P37)</f>
        <v>0</v>
      </c>
      <c r="DE37">
        <f>IF(P37=0,0,COUNTIF(Transect5_imgsummary!E37:I37,"TYDM")*100/P37)</f>
        <v>0</v>
      </c>
      <c r="DG37">
        <f>IF(P37=0,0,COUNTIF(Transect5_imgsummary!E37:I37,"AMP")*100/P37)</f>
        <v>0</v>
      </c>
      <c r="DH37">
        <f>IF(P37=0,0,COUNTIF(Transect5_imgsummary!E37:I37,"BCA1")*100/P37)</f>
        <v>0</v>
      </c>
      <c r="DI37">
        <f>IF(P37=0,0,COUNTIF(Transect5_imgsummary!E37:I37,"JAN")*100/P37)</f>
        <v>0</v>
      </c>
      <c r="DK37">
        <f>IF(P37=0,0,COUNTIF(Transect5_imgsummary!E37:I37,"CCA1")*100/P37)</f>
        <v>0</v>
      </c>
      <c r="DM37">
        <f>IF(P37=0,0,COUNTIF(Transect5_imgsummary!E37:I37,"Sand")*100/P37)</f>
        <v>0</v>
      </c>
      <c r="DO37">
        <f>IF(P37=0,0,COUNTIF(Transect5_imgsummary!E37:I37,"FCA1")*100/P37)</f>
        <v>0</v>
      </c>
      <c r="DQ37">
        <f>IF(P37=0,0,COUNTIF(Transect5_imgsummary!E37:I37,"CHRYOBRN")*100/P37)</f>
        <v>0</v>
      </c>
      <c r="DS37">
        <f>IF(P37=0,0,COUNTIF(Transect5_imgsummary!E37:I37,"TURF")*100/P37)</f>
        <v>0</v>
      </c>
      <c r="DU37">
        <f>COUNTIF(Transect5_imgsummary!E37:I37,"Shadow")*100/5</f>
        <v>0</v>
      </c>
      <c r="DV37">
        <f>COUNTIF(Transect5_imgsummary!E37:I37,"Tape")*100/5</f>
        <v>0</v>
      </c>
      <c r="DW37">
        <f>COUNTIF(Transect5_imgsummary!E37:I37,"Wand")*100/5</f>
        <v>0</v>
      </c>
      <c r="DY37">
        <f>IF(P37=0,0,COUNTIF(Transect5_imgsummary!O37:S37,"BC")*100/P37)</f>
        <v>0</v>
      </c>
    </row>
    <row r="38" spans="1:129">
      <c r="A38">
        <v>36</v>
      </c>
      <c r="B38" t="s">
        <v>633</v>
      </c>
      <c r="F38" s="29">
        <f>IF(P38=0,0,COUNTIF(Transect5_imgsummary!J38:N38,"C")*100/P38)</f>
        <v>20</v>
      </c>
      <c r="G38">
        <f>IF(P38=0,0,COUNTIF(Transect5_imgsummary!J38:N38,"OI")*100/P38)</f>
        <v>0</v>
      </c>
      <c r="H38">
        <f>IF(P38=0,0,COUNTIF(Transect5_imgsummary!J38:N38,"MA")*100/P38)</f>
        <v>0</v>
      </c>
      <c r="I38">
        <f>IF(P38=0,0,COUNTIF(Transect5_imgsummary!J38:N38,"BCA")*100/P38)</f>
        <v>0</v>
      </c>
      <c r="J38" s="29">
        <f>IF(P38=0,0,COUNTIF(Transect5_imgsummary!J38:N38,"CCA")*100/P38)</f>
        <v>60</v>
      </c>
      <c r="K38">
        <f>IF(P38=0,0,COUNTIF(Transect5_imgsummary!J38:N38,"SD")*100/P38)</f>
        <v>0</v>
      </c>
      <c r="L38">
        <f>IF(P38=0,0,COUNTIF(Transect5_imgsummary!J38:N38,"FCA")*100/P38)</f>
        <v>0</v>
      </c>
      <c r="M38">
        <f>IF(P38=0,0,COUNTIF(Transect5_imgsummary!J38:N38,"CHRYS")*100/P38)</f>
        <v>0</v>
      </c>
      <c r="N38" s="29">
        <f>IF(P38=0,0,COUNTIF(Transect5_imgsummary!J38:N38,"T")*100/P38)</f>
        <v>20</v>
      </c>
      <c r="O38">
        <f>IF(P38=0,0,COUNTIF(Transect5_imgsummary!J38:N38,"TWS")*100/P38)</f>
        <v>0</v>
      </c>
      <c r="P38">
        <f>5-COUNTIF(Transect5_imgsummary!J38:N38,"TWS")</f>
        <v>5</v>
      </c>
      <c r="S38">
        <f>IF(P38=0,0,COUNTIF(Transect5_imgsummary!E38:I38,"ACAN")*100/P38)</f>
        <v>0</v>
      </c>
      <c r="T38">
        <f>IF(P38=0,0,COUNTIF(Transect5_imgsummary!E38:I38,"ACROP")*100/P38)</f>
        <v>0</v>
      </c>
      <c r="U38">
        <f>IF(P38=0,0,COUNTIF(Transect5_imgsummary!E38:I38,"ACROPARB")*100/P38)</f>
        <v>0</v>
      </c>
      <c r="V38">
        <f>IF(P38=0,0,COUNTIF(Transect5_imgsummary!E38:I38,"ACROST")*100/P38)</f>
        <v>0</v>
      </c>
      <c r="W38">
        <f>IF(P38=0,0,COUNTIF(Transect5_imgsummary!E38:I38,"ACROTBL")*100/P38)</f>
        <v>0</v>
      </c>
      <c r="X38">
        <f>IF(P38=0,0,COUNTIF(Transect5_imgsummary!E38:I38,"ASTRP")*100/P38)</f>
        <v>0</v>
      </c>
      <c r="Y38">
        <f>IF(P38=0,0,COUNTIF(Transect5_imgsummary!E38:I38,"CAUL")*100/P38)</f>
        <v>0</v>
      </c>
      <c r="Z38">
        <f>IF(P38=0,0,COUNTIF(Transect5_imgsummary!E38:I38,"COSC")*100/P38)</f>
        <v>0</v>
      </c>
      <c r="AA38">
        <f>IF(P38=0,0,COUNTIF(Transect5_imgsummary!E38:I38,"CTEN")*100/P38)</f>
        <v>0</v>
      </c>
      <c r="AB38">
        <f>IF(P38=0,0,COUNTIF(Transect5_imgsummary!E38:I38,"CYPH")*100/P38)</f>
        <v>0</v>
      </c>
      <c r="AC38">
        <f>IF(P38=0,0,COUNTIF(Transect5_imgsummary!E38:I38,"DIPLO")*100/P38)</f>
        <v>0</v>
      </c>
      <c r="AD38">
        <f>IF(P38=0,0,COUNTIF(Transect5_imgsummary!E38:I38,"ECHPO")*100/P38)</f>
        <v>0</v>
      </c>
      <c r="AE38">
        <f>IF(P38=0,0,COUNTIF(Transect5_imgsummary!E38:I38,"ECHPHY")*100/P38)</f>
        <v>0</v>
      </c>
      <c r="AF38">
        <f>IF(P38=0,0,COUNTIF(Transect5_imgsummary!E38:I38,"EUPH")*100/P38)</f>
        <v>0</v>
      </c>
      <c r="AG38">
        <f>IF(P38=0,0,COUNTIF(Transect5_imgsummary!E38:I38,"FAV")*100/P38)</f>
        <v>0</v>
      </c>
      <c r="AH38">
        <f>IF(P38=0,0,COUNTIF(Transect5_imgsummary!E38:I38,"FAVT")*100/P38)</f>
        <v>0</v>
      </c>
      <c r="AI38">
        <f>IF(P38=0,0,COUNTIF(Transect5_imgsummary!E38:I38,"FUNG")*100/P38)</f>
        <v>0</v>
      </c>
      <c r="AJ38">
        <f>IF(P38=0,0,COUNTIF(Transect5_imgsummary!E38:I38,"GAL")*100/P38)</f>
        <v>0</v>
      </c>
      <c r="AK38">
        <f>IF(P38=0,0,COUNTIF(Transect5_imgsummary!E38:I38,"GARD")*100/P38)</f>
        <v>0</v>
      </c>
      <c r="AL38">
        <f>IF(P38=0,0,COUNTIF(Transect5_imgsummary!E38:I38,"GON")*100/P38)</f>
        <v>0</v>
      </c>
      <c r="AM38">
        <f>IF(P38=0,0,COUNTIF(Transect5_imgsummary!E38:I38,"GONIO")*100/P38)</f>
        <v>0</v>
      </c>
      <c r="AN38">
        <f>IF(P38=0,0,COUNTIF(Transect5_imgsummary!E38:I38,"HELIO")*100/P38)</f>
        <v>0</v>
      </c>
      <c r="AO38">
        <f>IF(P38=0,0,COUNTIF(Transect5_imgsummary!E38:I38,"HERP")*100/P38)</f>
        <v>0</v>
      </c>
      <c r="AP38">
        <f>IF(P38=0,0,COUNTIF(Transect5_imgsummary!E38:I38,"HYD")*100/P38)</f>
        <v>0</v>
      </c>
      <c r="AQ38">
        <f>IF(P38=0,0,COUNTIF(Transect5_imgsummary!E38:I38,"ISOP")*100/P38)</f>
        <v>0</v>
      </c>
      <c r="AR38">
        <f>IF(P38=0,0,COUNTIF(Transect5_imgsummary!E38:I38,"LEPT")*100/P38)</f>
        <v>0</v>
      </c>
      <c r="AS38">
        <f>IF(P38=0,0,COUNTIF(Transect5_imgsummary!E38:I38,"LEPTOR")*100/P38)</f>
        <v>0</v>
      </c>
      <c r="AT38">
        <f>IF(P38=0,0,COUNTIF(Transect5_imgsummary!E38:I38,"LEPTOS")*100/P38)</f>
        <v>0</v>
      </c>
      <c r="AU38">
        <f>IF(P38=0,0,COUNTIF(Transect5_imgsummary!E38:I38,"LOBOPH")*100/P38)</f>
        <v>0</v>
      </c>
      <c r="AV38" s="29">
        <f>IF(P38=0,0,COUNTIF(Transect5_imgsummary!E38:I38,"MERU")*100/P38)</f>
        <v>20</v>
      </c>
      <c r="AW38">
        <f>IF(P38=0,0,COUNTIF(Transect5_imgsummary!E38:I38,"MILL")*100/P38)</f>
        <v>0</v>
      </c>
      <c r="AX38">
        <f>IF(P38=0,0,COUNTIF(Transect5_imgsummary!E38:I38,"MONT")*100/P38)</f>
        <v>0</v>
      </c>
      <c r="AY38">
        <f>IF(P38=0,0,COUNTIF(Transect5_imgsummary!E38:I38,"MONTI")*100/P38)</f>
        <v>0</v>
      </c>
      <c r="AZ38">
        <f>IF(P38=0,0,COUNTIF(Transect5_imgsummary!E38:I38,"MYCED")*100/P38)</f>
        <v>0</v>
      </c>
      <c r="BA38">
        <f>IF(P38=0,0,COUNTIF(Transect5_imgsummary!E38:I38,"OULO")*100/P38)</f>
        <v>0</v>
      </c>
      <c r="BB38">
        <f>IF(P38=0,0,COUNTIF(Transect5_imgsummary!E38:I38,"OXYP")*100/P38)</f>
        <v>0</v>
      </c>
      <c r="BC38">
        <f>IF(P38=0,0,COUNTIF(Transect5_imgsummary!E38:I38,"PLSIA")*100/P38)</f>
        <v>0</v>
      </c>
      <c r="BD38">
        <f>IF(P38=0,0,COUNTIF(Transect5_imgsummary!E38:I38,"PACHY")*100/P38)</f>
        <v>0</v>
      </c>
      <c r="BE38">
        <f>IF(P38=0,0,COUNTIF(Transect5_imgsummary!E38:I38,"PAV")*100/P38)</f>
        <v>0</v>
      </c>
      <c r="BF38">
        <f>IF(P38=0,0,COUNTIF(Transect5_imgsummary!E38:I38,"PECT")*100/P38)</f>
        <v>0</v>
      </c>
      <c r="BG38">
        <f>IF(P38=0,0,COUNTIF(Transect5_imgsummary!E38:I38,"PHYSO")*100/P38)</f>
        <v>0</v>
      </c>
      <c r="BH38">
        <f>IF(P38=0,0,COUNTIF(Transect5_imgsummary!E38:I38,"PLAT")*100/P38)</f>
        <v>0</v>
      </c>
      <c r="BI38">
        <f>IF(P38=0,0,COUNTIF(Transect5_imgsummary!E38:I38,"PLERO")*100/P38)</f>
        <v>0</v>
      </c>
      <c r="BJ38">
        <f>IF(P38=0,0,COUNTIF(Transect5_imgsummary!E38:I38,"POC")*100/P38)</f>
        <v>0</v>
      </c>
      <c r="BK38">
        <f>IF(P38=0,0,COUNTIF(Transect5_imgsummary!E38:I38,"POR")*100/P38)</f>
        <v>0</v>
      </c>
      <c r="BL38">
        <f>IF(P38=0,0,COUNTIF(Transect5_imgsummary!E38:I38,"PORCYL")*100/P38)</f>
        <v>0</v>
      </c>
      <c r="BM38">
        <f>IF(P38=0,0,COUNTIF(Transect5_imgsummary!E38:I38,"PORMAS")*100/P38)</f>
        <v>0</v>
      </c>
      <c r="BN38">
        <f>IF(P38=0,0,COUNTIF(Transect5_imgsummary!E38:I38,"PORRUS")*100/P38)</f>
        <v>0</v>
      </c>
      <c r="BO38">
        <f>IF(P38=0,0,COUNTIF(Transect5_imgsummary!E38:I38,"PSAM")*100/P38)</f>
        <v>0</v>
      </c>
      <c r="BP38">
        <f>IF(P38=0,0,COUNTIF(Transect5_imgsummary!E38:I38,"SANDO")*100/P38)</f>
        <v>0</v>
      </c>
      <c r="BQ38">
        <f>IF(P38=0,0,COUNTIF(Transect5_imgsummary!E38:I38,"SCAP")*100/P38)</f>
        <v>0</v>
      </c>
      <c r="BR38">
        <f>IF(P38=0,0,COUNTIF(Transect5_imgsummary!E38:I38,"SERIA")*100/P38)</f>
        <v>0</v>
      </c>
      <c r="BS38">
        <f>IF(P38=0,0,COUNTIF(Transect5_imgsummary!E38:I38,"STYLC")*100/P38)</f>
        <v>0</v>
      </c>
      <c r="BT38">
        <f>IF(P38=0,0,COUNTIF(Transect5_imgsummary!E38:I38,"STYLO")*100/P38)</f>
        <v>0</v>
      </c>
      <c r="BU38">
        <f>IF(P38=0,0,COUNTIF(Transect5_imgsummary!E38:I38,"SYMP")*100/P38)</f>
        <v>0</v>
      </c>
      <c r="BV38">
        <f>IF(P38=0,0,COUNTIF(Transect5_imgsummary!E38:I38,"TURBIN")*100/P38)</f>
        <v>0</v>
      </c>
      <c r="BX38">
        <f>IF(P38=0,0,COUNTIF(Transect5_imgsummary!E38:I38,"ANEM")*100/P38)</f>
        <v>0</v>
      </c>
      <c r="BY38">
        <f>IF(P38=0,0,COUNTIF(Transect5_imgsummary!E38:I38,"ASC")*100/P38)</f>
        <v>0</v>
      </c>
      <c r="BZ38">
        <f>IF(P38=0,0,COUNTIF(Transect5_imgsummary!E38:I38,"CUPS")*100/P38)</f>
        <v>0</v>
      </c>
      <c r="CA38">
        <f>IF(P38=0,0,COUNTIF(Transect5_imgsummary!E38:I38,"DISCO")*100/P38)</f>
        <v>0</v>
      </c>
      <c r="CB38">
        <f>IF(P38=0,0,COUNTIF(Transect5_imgsummary!E38:I38,"DYS")*100/P38)</f>
        <v>0</v>
      </c>
      <c r="CC38">
        <f>IF(P38=0,0,COUNTIF(Transect5_imgsummary!E38:I38,"G")*100/P38)</f>
        <v>0</v>
      </c>
      <c r="CD38">
        <f>IF(P38=0,0,COUNTIF(Transect5_imgsummary!E38:I38,"NoIDINV")*100/P38)</f>
        <v>0</v>
      </c>
      <c r="CE38">
        <f>IF(P38=0,0,COUNTIF(Transect5_imgsummary!E38:I38,"OLV")*100/P38)</f>
        <v>0</v>
      </c>
      <c r="CF38">
        <f>IF(P38=0,0,COUNTIF(Transect5_imgsummary!E38:I38,"SC")*100/P38)</f>
        <v>0</v>
      </c>
      <c r="CG38">
        <f>IF(P38=0,0,COUNTIF(Transect5_imgsummary!E38:I38,"S")*100/P38)</f>
        <v>0</v>
      </c>
      <c r="CH38">
        <f>IF(P38=0,0,COUNTIF(Transect5_imgsummary!E38:I38,"TERPS")*100/P38)</f>
        <v>0</v>
      </c>
      <c r="CI38">
        <f>IF(P38=0,0,COUNTIF(Transect5_imgsummary!E38:I38,"Z")*100/P38)</f>
        <v>0</v>
      </c>
      <c r="CK38">
        <f>IF(P38=0,0,COUNTIF(Transect5_imgsummary!E38:I38,"ASP")*100/P38)</f>
        <v>0</v>
      </c>
      <c r="CL38">
        <f>IF(P38=0,0,COUNTIF(Transect5_imgsummary!E38:I38,"BG")*100/P38)</f>
        <v>0</v>
      </c>
      <c r="CM38">
        <f>IF(P38=0,0,COUNTIF(Transect5_imgsummary!E38:I38,"Bood")*100/P38)</f>
        <v>0</v>
      </c>
      <c r="CN38">
        <f>IF(P38=0,0,COUNTIF(Transect5_imgsummary!E38:I38,"BRYP")*100/P38)</f>
        <v>0</v>
      </c>
      <c r="CO38">
        <f>IF(P38=0,0,COUNTIF(Transect5_imgsummary!E38:I38,"CLP")*100/P38)</f>
        <v>0</v>
      </c>
      <c r="CP38">
        <f>IF(P38=0,0,COUNTIF(Transect5_imgsummary!E38:I38,"CHLDES")*100/P38)</f>
        <v>0</v>
      </c>
      <c r="CQ38">
        <f>IF(P38=0,0,COUNTIF(Transect5_imgsummary!E38:I38,"DYCTY")*100/P38)</f>
        <v>0</v>
      </c>
      <c r="CR38">
        <f>IF(P38=0,0,COUNTIF(Transect5_imgsummary!E38:I38,"DICT")*100/P38)</f>
        <v>0</v>
      </c>
      <c r="CS38">
        <f>IF(P38=0,0,COUNTIF(Transect5_imgsummary!E38:I38,"GLXU")*100/P38)</f>
        <v>0</v>
      </c>
      <c r="CT38">
        <f>IF(P38=0,0,COUNTIF(Transect5_imgsummary!E38:I38,"HALI")*100/P38)</f>
        <v>0</v>
      </c>
      <c r="CU38">
        <f>IF(P38=0,0,COUNTIF(Transect5_imgsummary!E38:I38,"LIAG")*100/P38)</f>
        <v>0</v>
      </c>
      <c r="CV38">
        <f>IF(P38=0,0,COUNTIF(Transect5_imgsummary!E38:I38,"LOBO")*100/P38)</f>
        <v>0</v>
      </c>
      <c r="CW38">
        <f>IF(P38=0,0,COUNTIF(Transect5_imgsummary!E38:I38,"MAST")*100/P38)</f>
        <v>0</v>
      </c>
      <c r="CX38">
        <f>IF(P38=0,0,COUNTIF(Transect5_imgsummary!E38:I38,"MICDTY")*100/P38)</f>
        <v>0</v>
      </c>
      <c r="CY38">
        <f>IF(P38=0,0,COUNTIF(Transect5_imgsummary!E38:I38,"NEOM")*100/P38)</f>
        <v>0</v>
      </c>
      <c r="CZ38">
        <f>IF(P38=0,0,COUNTIF(Transect5_imgsummary!E38:I38,"NOIDMAC")*100/P38)</f>
        <v>0</v>
      </c>
      <c r="DA38">
        <f>IF(P38=0,0,COUNTIF(Transect5_imgsummary!E38:I38,"PAD")*100/P38)</f>
        <v>0</v>
      </c>
      <c r="DB38">
        <f>IF(P38=0,0,COUNTIF(Transect5_imgsummary!E38:I38,"SARG")*100/P38)</f>
        <v>0</v>
      </c>
      <c r="DC38">
        <f>IF(P38=0,0,COUNTIF(Transect5_imgsummary!E38:I38,"SCHIZ")*100/P38)</f>
        <v>0</v>
      </c>
      <c r="DD38">
        <f>IF(P38=0,0,COUNTIF(Transect5_imgsummary!E38:I38,"TURB")*100/P38)</f>
        <v>0</v>
      </c>
      <c r="DE38">
        <f>IF(P38=0,0,COUNTIF(Transect5_imgsummary!E38:I38,"TYDM")*100/P38)</f>
        <v>0</v>
      </c>
      <c r="DG38">
        <f>IF(P38=0,0,COUNTIF(Transect5_imgsummary!E38:I38,"AMP")*100/P38)</f>
        <v>0</v>
      </c>
      <c r="DH38">
        <f>IF(P38=0,0,COUNTIF(Transect5_imgsummary!E38:I38,"BCA1")*100/P38)</f>
        <v>0</v>
      </c>
      <c r="DI38">
        <f>IF(P38=0,0,COUNTIF(Transect5_imgsummary!E38:I38,"JAN")*100/P38)</f>
        <v>0</v>
      </c>
      <c r="DK38" s="29">
        <f>IF(P38=0,0,COUNTIF(Transect5_imgsummary!E38:I38,"CCA1")*100/P38)</f>
        <v>60</v>
      </c>
      <c r="DM38">
        <f>IF(P38=0,0,COUNTIF(Transect5_imgsummary!E38:I38,"Sand")*100/P38)</f>
        <v>0</v>
      </c>
      <c r="DO38">
        <f>IF(P38=0,0,COUNTIF(Transect5_imgsummary!E38:I38,"FCA1")*100/P38)</f>
        <v>0</v>
      </c>
      <c r="DQ38">
        <f>IF(P38=0,0,COUNTIF(Transect5_imgsummary!E38:I38,"CHRYOBRN")*100/P38)</f>
        <v>0</v>
      </c>
      <c r="DS38" s="29">
        <f>IF(P38=0,0,COUNTIF(Transect5_imgsummary!E38:I38,"TURF")*100/P38)</f>
        <v>20</v>
      </c>
      <c r="DU38">
        <f>COUNTIF(Transect5_imgsummary!E38:I38,"Shadow")*100/5</f>
        <v>0</v>
      </c>
      <c r="DV38">
        <f>COUNTIF(Transect5_imgsummary!E38:I38,"Tape")*100/5</f>
        <v>0</v>
      </c>
      <c r="DW38">
        <f>COUNTIF(Transect5_imgsummary!E38:I38,"Wand")*100/5</f>
        <v>0</v>
      </c>
      <c r="DY38">
        <f>IF(P38=0,0,COUNTIF(Transect5_imgsummary!O38:S38,"BC")*100/P38)</f>
        <v>0</v>
      </c>
    </row>
    <row r="39" spans="1:129">
      <c r="A39">
        <v>37</v>
      </c>
      <c r="B39" t="s">
        <v>634</v>
      </c>
      <c r="F39" s="29">
        <f>IF(P39=0,0,COUNTIF(Transect5_imgsummary!J39:N39,"C")*100/P39)</f>
        <v>20</v>
      </c>
      <c r="G39">
        <f>IF(P39=0,0,COUNTIF(Transect5_imgsummary!J39:N39,"OI")*100/P39)</f>
        <v>0</v>
      </c>
      <c r="H39">
        <f>IF(P39=0,0,COUNTIF(Transect5_imgsummary!J39:N39,"MA")*100/P39)</f>
        <v>0</v>
      </c>
      <c r="I39">
        <f>IF(P39=0,0,COUNTIF(Transect5_imgsummary!J39:N39,"BCA")*100/P39)</f>
        <v>0</v>
      </c>
      <c r="J39" s="29">
        <f>IF(P39=0,0,COUNTIF(Transect5_imgsummary!J39:N39,"CCA")*100/P39)</f>
        <v>60</v>
      </c>
      <c r="K39">
        <f>IF(P39=0,0,COUNTIF(Transect5_imgsummary!J39:N39,"SD")*100/P39)</f>
        <v>0</v>
      </c>
      <c r="L39">
        <f>IF(P39=0,0,COUNTIF(Transect5_imgsummary!J39:N39,"FCA")*100/P39)</f>
        <v>0</v>
      </c>
      <c r="M39">
        <f>IF(P39=0,0,COUNTIF(Transect5_imgsummary!J39:N39,"CHRYS")*100/P39)</f>
        <v>0</v>
      </c>
      <c r="N39" s="29">
        <f>IF(P39=0,0,COUNTIF(Transect5_imgsummary!J39:N39,"T")*100/P39)</f>
        <v>20</v>
      </c>
      <c r="O39">
        <f>IF(P39=0,0,COUNTIF(Transect5_imgsummary!J39:N39,"TWS")*100/P39)</f>
        <v>0</v>
      </c>
      <c r="P39">
        <f>5-COUNTIF(Transect5_imgsummary!J39:N39,"TWS")</f>
        <v>5</v>
      </c>
      <c r="S39">
        <f>IF(P39=0,0,COUNTIF(Transect5_imgsummary!E39:I39,"ACAN")*100/P39)</f>
        <v>0</v>
      </c>
      <c r="T39">
        <f>IF(P39=0,0,COUNTIF(Transect5_imgsummary!E39:I39,"ACROP")*100/P39)</f>
        <v>0</v>
      </c>
      <c r="U39">
        <f>IF(P39=0,0,COUNTIF(Transect5_imgsummary!E39:I39,"ACROPARB")*100/P39)</f>
        <v>0</v>
      </c>
      <c r="V39">
        <f>IF(P39=0,0,COUNTIF(Transect5_imgsummary!E39:I39,"ACROST")*100/P39)</f>
        <v>0</v>
      </c>
      <c r="W39">
        <f>IF(P39=0,0,COUNTIF(Transect5_imgsummary!E39:I39,"ACROTBL")*100/P39)</f>
        <v>0</v>
      </c>
      <c r="X39">
        <f>IF(P39=0,0,COUNTIF(Transect5_imgsummary!E39:I39,"ASTRP")*100/P39)</f>
        <v>0</v>
      </c>
      <c r="Y39">
        <f>IF(P39=0,0,COUNTIF(Transect5_imgsummary!E39:I39,"CAUL")*100/P39)</f>
        <v>0</v>
      </c>
      <c r="Z39">
        <f>IF(P39=0,0,COUNTIF(Transect5_imgsummary!E39:I39,"COSC")*100/P39)</f>
        <v>0</v>
      </c>
      <c r="AA39">
        <f>IF(P39=0,0,COUNTIF(Transect5_imgsummary!E39:I39,"CTEN")*100/P39)</f>
        <v>0</v>
      </c>
      <c r="AB39">
        <f>IF(P39=0,0,COUNTIF(Transect5_imgsummary!E39:I39,"CYPH")*100/P39)</f>
        <v>0</v>
      </c>
      <c r="AC39">
        <f>IF(P39=0,0,COUNTIF(Transect5_imgsummary!E39:I39,"DIPLO")*100/P39)</f>
        <v>0</v>
      </c>
      <c r="AD39">
        <f>IF(P39=0,0,COUNTIF(Transect5_imgsummary!E39:I39,"ECHPO")*100/P39)</f>
        <v>0</v>
      </c>
      <c r="AE39">
        <f>IF(P39=0,0,COUNTIF(Transect5_imgsummary!E39:I39,"ECHPHY")*100/P39)</f>
        <v>0</v>
      </c>
      <c r="AF39">
        <f>IF(P39=0,0,COUNTIF(Transect5_imgsummary!E39:I39,"EUPH")*100/P39)</f>
        <v>0</v>
      </c>
      <c r="AG39">
        <f>IF(P39=0,0,COUNTIF(Transect5_imgsummary!E39:I39,"FAV")*100/P39)</f>
        <v>0</v>
      </c>
      <c r="AH39">
        <f>IF(P39=0,0,COUNTIF(Transect5_imgsummary!E39:I39,"FAVT")*100/P39)</f>
        <v>0</v>
      </c>
      <c r="AI39">
        <f>IF(P39=0,0,COUNTIF(Transect5_imgsummary!E39:I39,"FUNG")*100/P39)</f>
        <v>0</v>
      </c>
      <c r="AJ39">
        <f>IF(P39=0,0,COUNTIF(Transect5_imgsummary!E39:I39,"GAL")*100/P39)</f>
        <v>0</v>
      </c>
      <c r="AK39">
        <f>IF(P39=0,0,COUNTIF(Transect5_imgsummary!E39:I39,"GARD")*100/P39)</f>
        <v>0</v>
      </c>
      <c r="AL39">
        <f>IF(P39=0,0,COUNTIF(Transect5_imgsummary!E39:I39,"GON")*100/P39)</f>
        <v>0</v>
      </c>
      <c r="AM39">
        <f>IF(P39=0,0,COUNTIF(Transect5_imgsummary!E39:I39,"GONIO")*100/P39)</f>
        <v>0</v>
      </c>
      <c r="AN39">
        <f>IF(P39=0,0,COUNTIF(Transect5_imgsummary!E39:I39,"HELIO")*100/P39)</f>
        <v>0</v>
      </c>
      <c r="AO39">
        <f>IF(P39=0,0,COUNTIF(Transect5_imgsummary!E39:I39,"HERP")*100/P39)</f>
        <v>0</v>
      </c>
      <c r="AP39">
        <f>IF(P39=0,0,COUNTIF(Transect5_imgsummary!E39:I39,"HYD")*100/P39)</f>
        <v>0</v>
      </c>
      <c r="AQ39">
        <f>IF(P39=0,0,COUNTIF(Transect5_imgsummary!E39:I39,"ISOP")*100/P39)</f>
        <v>0</v>
      </c>
      <c r="AR39">
        <f>IF(P39=0,0,COUNTIF(Transect5_imgsummary!E39:I39,"LEPT")*100/P39)</f>
        <v>0</v>
      </c>
      <c r="AS39">
        <f>IF(P39=0,0,COUNTIF(Transect5_imgsummary!E39:I39,"LEPTOR")*100/P39)</f>
        <v>0</v>
      </c>
      <c r="AT39">
        <f>IF(P39=0,0,COUNTIF(Transect5_imgsummary!E39:I39,"LEPTOS")*100/P39)</f>
        <v>0</v>
      </c>
      <c r="AU39">
        <f>IF(P39=0,0,COUNTIF(Transect5_imgsummary!E39:I39,"LOBOPH")*100/P39)</f>
        <v>0</v>
      </c>
      <c r="AV39" s="29">
        <f>IF(P39=0,0,COUNTIF(Transect5_imgsummary!E39:I39,"MERU")*100/P39)</f>
        <v>20</v>
      </c>
      <c r="AW39">
        <f>IF(P39=0,0,COUNTIF(Transect5_imgsummary!E39:I39,"MILL")*100/P39)</f>
        <v>0</v>
      </c>
      <c r="AX39">
        <f>IF(P39=0,0,COUNTIF(Transect5_imgsummary!E39:I39,"MONT")*100/P39)</f>
        <v>0</v>
      </c>
      <c r="AY39">
        <f>IF(P39=0,0,COUNTIF(Transect5_imgsummary!E39:I39,"MONTI")*100/P39)</f>
        <v>0</v>
      </c>
      <c r="AZ39">
        <f>IF(P39=0,0,COUNTIF(Transect5_imgsummary!E39:I39,"MYCED")*100/P39)</f>
        <v>0</v>
      </c>
      <c r="BA39">
        <f>IF(P39=0,0,COUNTIF(Transect5_imgsummary!E39:I39,"OULO")*100/P39)</f>
        <v>0</v>
      </c>
      <c r="BB39">
        <f>IF(P39=0,0,COUNTIF(Transect5_imgsummary!E39:I39,"OXYP")*100/P39)</f>
        <v>0</v>
      </c>
      <c r="BC39">
        <f>IF(P39=0,0,COUNTIF(Transect5_imgsummary!E39:I39,"PLSIA")*100/P39)</f>
        <v>0</v>
      </c>
      <c r="BD39">
        <f>IF(P39=0,0,COUNTIF(Transect5_imgsummary!E39:I39,"PACHY")*100/P39)</f>
        <v>0</v>
      </c>
      <c r="BE39">
        <f>IF(P39=0,0,COUNTIF(Transect5_imgsummary!E39:I39,"PAV")*100/P39)</f>
        <v>0</v>
      </c>
      <c r="BF39">
        <f>IF(P39=0,0,COUNTIF(Transect5_imgsummary!E39:I39,"PECT")*100/P39)</f>
        <v>0</v>
      </c>
      <c r="BG39">
        <f>IF(P39=0,0,COUNTIF(Transect5_imgsummary!E39:I39,"PHYSO")*100/P39)</f>
        <v>0</v>
      </c>
      <c r="BH39">
        <f>IF(P39=0,0,COUNTIF(Transect5_imgsummary!E39:I39,"PLAT")*100/P39)</f>
        <v>0</v>
      </c>
      <c r="BI39">
        <f>IF(P39=0,0,COUNTIF(Transect5_imgsummary!E39:I39,"PLERO")*100/P39)</f>
        <v>0</v>
      </c>
      <c r="BJ39">
        <f>IF(P39=0,0,COUNTIF(Transect5_imgsummary!E39:I39,"POC")*100/P39)</f>
        <v>0</v>
      </c>
      <c r="BK39">
        <f>IF(P39=0,0,COUNTIF(Transect5_imgsummary!E39:I39,"POR")*100/P39)</f>
        <v>0</v>
      </c>
      <c r="BL39">
        <f>IF(P39=0,0,COUNTIF(Transect5_imgsummary!E39:I39,"PORCYL")*100/P39)</f>
        <v>0</v>
      </c>
      <c r="BM39">
        <f>IF(P39=0,0,COUNTIF(Transect5_imgsummary!E39:I39,"PORMAS")*100/P39)</f>
        <v>0</v>
      </c>
      <c r="BN39">
        <f>IF(P39=0,0,COUNTIF(Transect5_imgsummary!E39:I39,"PORRUS")*100/P39)</f>
        <v>0</v>
      </c>
      <c r="BO39">
        <f>IF(P39=0,0,COUNTIF(Transect5_imgsummary!E39:I39,"PSAM")*100/P39)</f>
        <v>0</v>
      </c>
      <c r="BP39">
        <f>IF(P39=0,0,COUNTIF(Transect5_imgsummary!E39:I39,"SANDO")*100/P39)</f>
        <v>0</v>
      </c>
      <c r="BQ39">
        <f>IF(P39=0,0,COUNTIF(Transect5_imgsummary!E39:I39,"SCAP")*100/P39)</f>
        <v>0</v>
      </c>
      <c r="BR39">
        <f>IF(P39=0,0,COUNTIF(Transect5_imgsummary!E39:I39,"SERIA")*100/P39)</f>
        <v>0</v>
      </c>
      <c r="BS39">
        <f>IF(P39=0,0,COUNTIF(Transect5_imgsummary!E39:I39,"STYLC")*100/P39)</f>
        <v>0</v>
      </c>
      <c r="BT39">
        <f>IF(P39=0,0,COUNTIF(Transect5_imgsummary!E39:I39,"STYLO")*100/P39)</f>
        <v>0</v>
      </c>
      <c r="BU39">
        <f>IF(P39=0,0,COUNTIF(Transect5_imgsummary!E39:I39,"SYMP")*100/P39)</f>
        <v>0</v>
      </c>
      <c r="BV39">
        <f>IF(P39=0,0,COUNTIF(Transect5_imgsummary!E39:I39,"TURBIN")*100/P39)</f>
        <v>0</v>
      </c>
      <c r="BX39">
        <f>IF(P39=0,0,COUNTIF(Transect5_imgsummary!E39:I39,"ANEM")*100/P39)</f>
        <v>0</v>
      </c>
      <c r="BY39">
        <f>IF(P39=0,0,COUNTIF(Transect5_imgsummary!E39:I39,"ASC")*100/P39)</f>
        <v>0</v>
      </c>
      <c r="BZ39">
        <f>IF(P39=0,0,COUNTIF(Transect5_imgsummary!E39:I39,"CUPS")*100/P39)</f>
        <v>0</v>
      </c>
      <c r="CA39">
        <f>IF(P39=0,0,COUNTIF(Transect5_imgsummary!E39:I39,"DISCO")*100/P39)</f>
        <v>0</v>
      </c>
      <c r="CB39">
        <f>IF(P39=0,0,COUNTIF(Transect5_imgsummary!E39:I39,"DYS")*100/P39)</f>
        <v>0</v>
      </c>
      <c r="CC39">
        <f>IF(P39=0,0,COUNTIF(Transect5_imgsummary!E39:I39,"G")*100/P39)</f>
        <v>0</v>
      </c>
      <c r="CD39">
        <f>IF(P39=0,0,COUNTIF(Transect5_imgsummary!E39:I39,"NoIDINV")*100/P39)</f>
        <v>0</v>
      </c>
      <c r="CE39">
        <f>IF(P39=0,0,COUNTIF(Transect5_imgsummary!E39:I39,"OLV")*100/P39)</f>
        <v>0</v>
      </c>
      <c r="CF39">
        <f>IF(P39=0,0,COUNTIF(Transect5_imgsummary!E39:I39,"SC")*100/P39)</f>
        <v>0</v>
      </c>
      <c r="CG39">
        <f>IF(P39=0,0,COUNTIF(Transect5_imgsummary!E39:I39,"S")*100/P39)</f>
        <v>0</v>
      </c>
      <c r="CH39">
        <f>IF(P39=0,0,COUNTIF(Transect5_imgsummary!E39:I39,"TERPS")*100/P39)</f>
        <v>0</v>
      </c>
      <c r="CI39">
        <f>IF(P39=0,0,COUNTIF(Transect5_imgsummary!E39:I39,"Z")*100/P39)</f>
        <v>0</v>
      </c>
      <c r="CK39">
        <f>IF(P39=0,0,COUNTIF(Transect5_imgsummary!E39:I39,"ASP")*100/P39)</f>
        <v>0</v>
      </c>
      <c r="CL39">
        <f>IF(P39=0,0,COUNTIF(Transect5_imgsummary!E39:I39,"BG")*100/P39)</f>
        <v>0</v>
      </c>
      <c r="CM39">
        <f>IF(P39=0,0,COUNTIF(Transect5_imgsummary!E39:I39,"Bood")*100/P39)</f>
        <v>0</v>
      </c>
      <c r="CN39">
        <f>IF(P39=0,0,COUNTIF(Transect5_imgsummary!E39:I39,"BRYP")*100/P39)</f>
        <v>0</v>
      </c>
      <c r="CO39">
        <f>IF(P39=0,0,COUNTIF(Transect5_imgsummary!E39:I39,"CLP")*100/P39)</f>
        <v>0</v>
      </c>
      <c r="CP39">
        <f>IF(P39=0,0,COUNTIF(Transect5_imgsummary!E39:I39,"CHLDES")*100/P39)</f>
        <v>0</v>
      </c>
      <c r="CQ39">
        <f>IF(P39=0,0,COUNTIF(Transect5_imgsummary!E39:I39,"DYCTY")*100/P39)</f>
        <v>0</v>
      </c>
      <c r="CR39">
        <f>IF(P39=0,0,COUNTIF(Transect5_imgsummary!E39:I39,"DICT")*100/P39)</f>
        <v>0</v>
      </c>
      <c r="CS39">
        <f>IF(P39=0,0,COUNTIF(Transect5_imgsummary!E39:I39,"GLXU")*100/P39)</f>
        <v>0</v>
      </c>
      <c r="CT39">
        <f>IF(P39=0,0,COUNTIF(Transect5_imgsummary!E39:I39,"HALI")*100/P39)</f>
        <v>0</v>
      </c>
      <c r="CU39">
        <f>IF(P39=0,0,COUNTIF(Transect5_imgsummary!E39:I39,"LIAG")*100/P39)</f>
        <v>0</v>
      </c>
      <c r="CV39">
        <f>IF(P39=0,0,COUNTIF(Transect5_imgsummary!E39:I39,"LOBO")*100/P39)</f>
        <v>0</v>
      </c>
      <c r="CW39">
        <f>IF(P39=0,0,COUNTIF(Transect5_imgsummary!E39:I39,"MAST")*100/P39)</f>
        <v>0</v>
      </c>
      <c r="CX39">
        <f>IF(P39=0,0,COUNTIF(Transect5_imgsummary!E39:I39,"MICDTY")*100/P39)</f>
        <v>0</v>
      </c>
      <c r="CY39">
        <f>IF(P39=0,0,COUNTIF(Transect5_imgsummary!E39:I39,"NEOM")*100/P39)</f>
        <v>0</v>
      </c>
      <c r="CZ39">
        <f>IF(P39=0,0,COUNTIF(Transect5_imgsummary!E39:I39,"NOIDMAC")*100/P39)</f>
        <v>0</v>
      </c>
      <c r="DA39">
        <f>IF(P39=0,0,COUNTIF(Transect5_imgsummary!E39:I39,"PAD")*100/P39)</f>
        <v>0</v>
      </c>
      <c r="DB39">
        <f>IF(P39=0,0,COUNTIF(Transect5_imgsummary!E39:I39,"SARG")*100/P39)</f>
        <v>0</v>
      </c>
      <c r="DC39">
        <f>IF(P39=0,0,COUNTIF(Transect5_imgsummary!E39:I39,"SCHIZ")*100/P39)</f>
        <v>0</v>
      </c>
      <c r="DD39">
        <f>IF(P39=0,0,COUNTIF(Transect5_imgsummary!E39:I39,"TURB")*100/P39)</f>
        <v>0</v>
      </c>
      <c r="DE39">
        <f>IF(P39=0,0,COUNTIF(Transect5_imgsummary!E39:I39,"TYDM")*100/P39)</f>
        <v>0</v>
      </c>
      <c r="DG39">
        <f>IF(P39=0,0,COUNTIF(Transect5_imgsummary!E39:I39,"AMP")*100/P39)</f>
        <v>0</v>
      </c>
      <c r="DH39">
        <f>IF(P39=0,0,COUNTIF(Transect5_imgsummary!E39:I39,"BCA1")*100/P39)</f>
        <v>0</v>
      </c>
      <c r="DI39">
        <f>IF(P39=0,0,COUNTIF(Transect5_imgsummary!E39:I39,"JAN")*100/P39)</f>
        <v>0</v>
      </c>
      <c r="DK39" s="29">
        <f>IF(P39=0,0,COUNTIF(Transect5_imgsummary!E39:I39,"CCA1")*100/P39)</f>
        <v>60</v>
      </c>
      <c r="DM39">
        <f>IF(P39=0,0,COUNTIF(Transect5_imgsummary!E39:I39,"Sand")*100/P39)</f>
        <v>0</v>
      </c>
      <c r="DO39">
        <f>IF(P39=0,0,COUNTIF(Transect5_imgsummary!E39:I39,"FCA1")*100/P39)</f>
        <v>0</v>
      </c>
      <c r="DQ39">
        <f>IF(P39=0,0,COUNTIF(Transect5_imgsummary!E39:I39,"CHRYOBRN")*100/P39)</f>
        <v>0</v>
      </c>
      <c r="DS39" s="29">
        <f>IF(P39=0,0,COUNTIF(Transect5_imgsummary!E39:I39,"TURF")*100/P39)</f>
        <v>20</v>
      </c>
      <c r="DU39">
        <f>COUNTIF(Transect5_imgsummary!E39:I39,"Shadow")*100/5</f>
        <v>0</v>
      </c>
      <c r="DV39">
        <f>COUNTIF(Transect5_imgsummary!E39:I39,"Tape")*100/5</f>
        <v>0</v>
      </c>
      <c r="DW39">
        <f>COUNTIF(Transect5_imgsummary!E39:I39,"Wand")*100/5</f>
        <v>0</v>
      </c>
      <c r="DY39">
        <f>IF(P39=0,0,COUNTIF(Transect5_imgsummary!O39:S39,"BC")*100/P39)</f>
        <v>0</v>
      </c>
    </row>
    <row r="40" spans="1:129">
      <c r="A40">
        <v>38</v>
      </c>
      <c r="B40" t="s">
        <v>635</v>
      </c>
      <c r="F40" s="29">
        <f>IF(P40=0,0,COUNTIF(Transect5_imgsummary!J40:N40,"C")*100/P40)</f>
        <v>60</v>
      </c>
      <c r="G40">
        <f>IF(P40=0,0,COUNTIF(Transect5_imgsummary!J40:N40,"OI")*100/P40)</f>
        <v>0</v>
      </c>
      <c r="H40">
        <f>IF(P40=0,0,COUNTIF(Transect5_imgsummary!J40:N40,"MA")*100/P40)</f>
        <v>0</v>
      </c>
      <c r="I40">
        <f>IF(P40=0,0,COUNTIF(Transect5_imgsummary!J40:N40,"BCA")*100/P40)</f>
        <v>0</v>
      </c>
      <c r="J40">
        <f>IF(P40=0,0,COUNTIF(Transect5_imgsummary!J40:N40,"CCA")*100/P40)</f>
        <v>0</v>
      </c>
      <c r="K40">
        <f>IF(P40=0,0,COUNTIF(Transect5_imgsummary!J40:N40,"SD")*100/P40)</f>
        <v>0</v>
      </c>
      <c r="L40" s="29">
        <f>IF(P40=0,0,COUNTIF(Transect5_imgsummary!J40:N40,"FCA")*100/P40)</f>
        <v>20</v>
      </c>
      <c r="M40">
        <f>IF(P40=0,0,COUNTIF(Transect5_imgsummary!J40:N40,"CHRYS")*100/P40)</f>
        <v>0</v>
      </c>
      <c r="N40" s="29">
        <f>IF(P40=0,0,COUNTIF(Transect5_imgsummary!J40:N40,"T")*100/P40)</f>
        <v>20</v>
      </c>
      <c r="O40">
        <f>IF(P40=0,0,COUNTIF(Transect5_imgsummary!J40:N40,"TWS")*100/P40)</f>
        <v>0</v>
      </c>
      <c r="P40">
        <f>5-COUNTIF(Transect5_imgsummary!J40:N40,"TWS")</f>
        <v>5</v>
      </c>
      <c r="S40">
        <f>IF(P40=0,0,COUNTIF(Transect5_imgsummary!E40:I40,"ACAN")*100/P40)</f>
        <v>0</v>
      </c>
      <c r="T40">
        <f>IF(P40=0,0,COUNTIF(Transect5_imgsummary!E40:I40,"ACROP")*100/P40)</f>
        <v>0</v>
      </c>
      <c r="U40">
        <f>IF(P40=0,0,COUNTIF(Transect5_imgsummary!E40:I40,"ACROPARB")*100/P40)</f>
        <v>0</v>
      </c>
      <c r="V40">
        <f>IF(P40=0,0,COUNTIF(Transect5_imgsummary!E40:I40,"ACROST")*100/P40)</f>
        <v>0</v>
      </c>
      <c r="W40">
        <f>IF(P40=0,0,COUNTIF(Transect5_imgsummary!E40:I40,"ACROTBL")*100/P40)</f>
        <v>0</v>
      </c>
      <c r="X40">
        <f>IF(P40=0,0,COUNTIF(Transect5_imgsummary!E40:I40,"ASTRP")*100/P40)</f>
        <v>0</v>
      </c>
      <c r="Y40">
        <f>IF(P40=0,0,COUNTIF(Transect5_imgsummary!E40:I40,"CAUL")*100/P40)</f>
        <v>0</v>
      </c>
      <c r="Z40">
        <f>IF(P40=0,0,COUNTIF(Transect5_imgsummary!E40:I40,"COSC")*100/P40)</f>
        <v>0</v>
      </c>
      <c r="AA40">
        <f>IF(P40=0,0,COUNTIF(Transect5_imgsummary!E40:I40,"CTEN")*100/P40)</f>
        <v>0</v>
      </c>
      <c r="AB40">
        <f>IF(P40=0,0,COUNTIF(Transect5_imgsummary!E40:I40,"CYPH")*100/P40)</f>
        <v>0</v>
      </c>
      <c r="AC40">
        <f>IF(P40=0,0,COUNTIF(Transect5_imgsummary!E40:I40,"DIPLO")*100/P40)</f>
        <v>0</v>
      </c>
      <c r="AD40" s="29">
        <f>IF(P40=0,0,COUNTIF(Transect5_imgsummary!E40:I40,"ECHPO")*100/P40)</f>
        <v>20</v>
      </c>
      <c r="AE40">
        <f>IF(P40=0,0,COUNTIF(Transect5_imgsummary!E40:I40,"ECHPHY")*100/P40)</f>
        <v>0</v>
      </c>
      <c r="AF40">
        <f>IF(P40=0,0,COUNTIF(Transect5_imgsummary!E40:I40,"EUPH")*100/P40)</f>
        <v>0</v>
      </c>
      <c r="AG40">
        <f>IF(P40=0,0,COUNTIF(Transect5_imgsummary!E40:I40,"FAV")*100/P40)</f>
        <v>0</v>
      </c>
      <c r="AH40">
        <f>IF(P40=0,0,COUNTIF(Transect5_imgsummary!E40:I40,"FAVT")*100/P40)</f>
        <v>0</v>
      </c>
      <c r="AI40">
        <f>IF(P40=0,0,COUNTIF(Transect5_imgsummary!E40:I40,"FUNG")*100/P40)</f>
        <v>0</v>
      </c>
      <c r="AJ40">
        <f>IF(P40=0,0,COUNTIF(Transect5_imgsummary!E40:I40,"GAL")*100/P40)</f>
        <v>0</v>
      </c>
      <c r="AK40">
        <f>IF(P40=0,0,COUNTIF(Transect5_imgsummary!E40:I40,"GARD")*100/P40)</f>
        <v>0</v>
      </c>
      <c r="AL40">
        <f>IF(P40=0,0,COUNTIF(Transect5_imgsummary!E40:I40,"GON")*100/P40)</f>
        <v>0</v>
      </c>
      <c r="AM40" s="29">
        <f>IF(P40=0,0,COUNTIF(Transect5_imgsummary!E40:I40,"GONIO")*100/P40)</f>
        <v>20</v>
      </c>
      <c r="AN40">
        <f>IF(P40=0,0,COUNTIF(Transect5_imgsummary!E40:I40,"HELIO")*100/P40)</f>
        <v>0</v>
      </c>
      <c r="AO40">
        <f>IF(P40=0,0,COUNTIF(Transect5_imgsummary!E40:I40,"HERP")*100/P40)</f>
        <v>0</v>
      </c>
      <c r="AP40">
        <f>IF(P40=0,0,COUNTIF(Transect5_imgsummary!E40:I40,"HYD")*100/P40)</f>
        <v>0</v>
      </c>
      <c r="AQ40">
        <f>IF(P40=0,0,COUNTIF(Transect5_imgsummary!E40:I40,"ISOP")*100/P40)</f>
        <v>0</v>
      </c>
      <c r="AR40" s="29">
        <f>IF(P40=0,0,COUNTIF(Transect5_imgsummary!E40:I40,"LEPT")*100/P40)</f>
        <v>20</v>
      </c>
      <c r="AS40">
        <f>IF(P40=0,0,COUNTIF(Transect5_imgsummary!E40:I40,"LEPTOR")*100/P40)</f>
        <v>0</v>
      </c>
      <c r="AT40">
        <f>IF(P40=0,0,COUNTIF(Transect5_imgsummary!E40:I40,"LEPTOS")*100/P40)</f>
        <v>0</v>
      </c>
      <c r="AU40">
        <f>IF(P40=0,0,COUNTIF(Transect5_imgsummary!E40:I40,"LOBOPH")*100/P40)</f>
        <v>0</v>
      </c>
      <c r="AV40">
        <f>IF(P40=0,0,COUNTIF(Transect5_imgsummary!E40:I40,"MERU")*100/P40)</f>
        <v>0</v>
      </c>
      <c r="AW40">
        <f>IF(P40=0,0,COUNTIF(Transect5_imgsummary!E40:I40,"MILL")*100/P40)</f>
        <v>0</v>
      </c>
      <c r="AX40">
        <f>IF(P40=0,0,COUNTIF(Transect5_imgsummary!E40:I40,"MONT")*100/P40)</f>
        <v>0</v>
      </c>
      <c r="AY40">
        <f>IF(P40=0,0,COUNTIF(Transect5_imgsummary!E40:I40,"MONTI")*100/P40)</f>
        <v>0</v>
      </c>
      <c r="AZ40">
        <f>IF(P40=0,0,COUNTIF(Transect5_imgsummary!E40:I40,"MYCED")*100/P40)</f>
        <v>0</v>
      </c>
      <c r="BA40">
        <f>IF(P40=0,0,COUNTIF(Transect5_imgsummary!E40:I40,"OULO")*100/P40)</f>
        <v>0</v>
      </c>
      <c r="BB40">
        <f>IF(P40=0,0,COUNTIF(Transect5_imgsummary!E40:I40,"OXYP")*100/P40)</f>
        <v>0</v>
      </c>
      <c r="BC40">
        <f>IF(P40=0,0,COUNTIF(Transect5_imgsummary!E40:I40,"PLSIA")*100/P40)</f>
        <v>0</v>
      </c>
      <c r="BD40">
        <f>IF(P40=0,0,COUNTIF(Transect5_imgsummary!E40:I40,"PACHY")*100/P40)</f>
        <v>0</v>
      </c>
      <c r="BE40">
        <f>IF(P40=0,0,COUNTIF(Transect5_imgsummary!E40:I40,"PAV")*100/P40)</f>
        <v>0</v>
      </c>
      <c r="BF40">
        <f>IF(P40=0,0,COUNTIF(Transect5_imgsummary!E40:I40,"PECT")*100/P40)</f>
        <v>0</v>
      </c>
      <c r="BG40">
        <f>IF(P40=0,0,COUNTIF(Transect5_imgsummary!E40:I40,"PHYSO")*100/P40)</f>
        <v>0</v>
      </c>
      <c r="BH40">
        <f>IF(P40=0,0,COUNTIF(Transect5_imgsummary!E40:I40,"PLAT")*100/P40)</f>
        <v>0</v>
      </c>
      <c r="BI40">
        <f>IF(P40=0,0,COUNTIF(Transect5_imgsummary!E40:I40,"PLERO")*100/P40)</f>
        <v>0</v>
      </c>
      <c r="BJ40">
        <f>IF(P40=0,0,COUNTIF(Transect5_imgsummary!E40:I40,"POC")*100/P40)</f>
        <v>0</v>
      </c>
      <c r="BK40">
        <f>IF(P40=0,0,COUNTIF(Transect5_imgsummary!E40:I40,"POR")*100/P40)</f>
        <v>0</v>
      </c>
      <c r="BL40">
        <f>IF(P40=0,0,COUNTIF(Transect5_imgsummary!E40:I40,"PORCYL")*100/P40)</f>
        <v>0</v>
      </c>
      <c r="BM40">
        <f>IF(P40=0,0,COUNTIF(Transect5_imgsummary!E40:I40,"PORMAS")*100/P40)</f>
        <v>0</v>
      </c>
      <c r="BN40">
        <f>IF(P40=0,0,COUNTIF(Transect5_imgsummary!E40:I40,"PORRUS")*100/P40)</f>
        <v>0</v>
      </c>
      <c r="BO40">
        <f>IF(P40=0,0,COUNTIF(Transect5_imgsummary!E40:I40,"PSAM")*100/P40)</f>
        <v>0</v>
      </c>
      <c r="BP40">
        <f>IF(P40=0,0,COUNTIF(Transect5_imgsummary!E40:I40,"SANDO")*100/P40)</f>
        <v>0</v>
      </c>
      <c r="BQ40">
        <f>IF(P40=0,0,COUNTIF(Transect5_imgsummary!E40:I40,"SCAP")*100/P40)</f>
        <v>0</v>
      </c>
      <c r="BR40">
        <f>IF(P40=0,0,COUNTIF(Transect5_imgsummary!E40:I40,"SERIA")*100/P40)</f>
        <v>0</v>
      </c>
      <c r="BS40">
        <f>IF(P40=0,0,COUNTIF(Transect5_imgsummary!E40:I40,"STYLC")*100/P40)</f>
        <v>0</v>
      </c>
      <c r="BT40">
        <f>IF(P40=0,0,COUNTIF(Transect5_imgsummary!E40:I40,"STYLO")*100/P40)</f>
        <v>0</v>
      </c>
      <c r="BU40">
        <f>IF(P40=0,0,COUNTIF(Transect5_imgsummary!E40:I40,"SYMP")*100/P40)</f>
        <v>0</v>
      </c>
      <c r="BV40">
        <f>IF(P40=0,0,COUNTIF(Transect5_imgsummary!E40:I40,"TURBIN")*100/P40)</f>
        <v>0</v>
      </c>
      <c r="BX40">
        <f>IF(P40=0,0,COUNTIF(Transect5_imgsummary!E40:I40,"ANEM")*100/P40)</f>
        <v>0</v>
      </c>
      <c r="BY40">
        <f>IF(P40=0,0,COUNTIF(Transect5_imgsummary!E40:I40,"ASC")*100/P40)</f>
        <v>0</v>
      </c>
      <c r="BZ40">
        <f>IF(P40=0,0,COUNTIF(Transect5_imgsummary!E40:I40,"CUPS")*100/P40)</f>
        <v>0</v>
      </c>
      <c r="CA40">
        <f>IF(P40=0,0,COUNTIF(Transect5_imgsummary!E40:I40,"DISCO")*100/P40)</f>
        <v>0</v>
      </c>
      <c r="CB40">
        <f>IF(P40=0,0,COUNTIF(Transect5_imgsummary!E40:I40,"DYS")*100/P40)</f>
        <v>0</v>
      </c>
      <c r="CC40">
        <f>IF(P40=0,0,COUNTIF(Transect5_imgsummary!E40:I40,"G")*100/P40)</f>
        <v>0</v>
      </c>
      <c r="CD40">
        <f>IF(P40=0,0,COUNTIF(Transect5_imgsummary!E40:I40,"NoIDINV")*100/P40)</f>
        <v>0</v>
      </c>
      <c r="CE40">
        <f>IF(P40=0,0,COUNTIF(Transect5_imgsummary!E40:I40,"OLV")*100/P40)</f>
        <v>0</v>
      </c>
      <c r="CF40">
        <f>IF(P40=0,0,COUNTIF(Transect5_imgsummary!E40:I40,"SC")*100/P40)</f>
        <v>0</v>
      </c>
      <c r="CG40">
        <f>IF(P40=0,0,COUNTIF(Transect5_imgsummary!E40:I40,"S")*100/P40)</f>
        <v>0</v>
      </c>
      <c r="CH40">
        <f>IF(P40=0,0,COUNTIF(Transect5_imgsummary!E40:I40,"TERPS")*100/P40)</f>
        <v>0</v>
      </c>
      <c r="CI40">
        <f>IF(P40=0,0,COUNTIF(Transect5_imgsummary!E40:I40,"Z")*100/P40)</f>
        <v>0</v>
      </c>
      <c r="CK40">
        <f>IF(P40=0,0,COUNTIF(Transect5_imgsummary!E40:I40,"ASP")*100/P40)</f>
        <v>0</v>
      </c>
      <c r="CL40">
        <f>IF(P40=0,0,COUNTIF(Transect5_imgsummary!E40:I40,"BG")*100/P40)</f>
        <v>0</v>
      </c>
      <c r="CM40">
        <f>IF(P40=0,0,COUNTIF(Transect5_imgsummary!E40:I40,"Bood")*100/P40)</f>
        <v>0</v>
      </c>
      <c r="CN40">
        <f>IF(P40=0,0,COUNTIF(Transect5_imgsummary!E40:I40,"BRYP")*100/P40)</f>
        <v>0</v>
      </c>
      <c r="CO40">
        <f>IF(P40=0,0,COUNTIF(Transect5_imgsummary!E40:I40,"CLP")*100/P40)</f>
        <v>0</v>
      </c>
      <c r="CP40">
        <f>IF(P40=0,0,COUNTIF(Transect5_imgsummary!E40:I40,"CHLDES")*100/P40)</f>
        <v>0</v>
      </c>
      <c r="CQ40">
        <f>IF(P40=0,0,COUNTIF(Transect5_imgsummary!E40:I40,"DYCTY")*100/P40)</f>
        <v>0</v>
      </c>
      <c r="CR40">
        <f>IF(P40=0,0,COUNTIF(Transect5_imgsummary!E40:I40,"DICT")*100/P40)</f>
        <v>0</v>
      </c>
      <c r="CS40">
        <f>IF(P40=0,0,COUNTIF(Transect5_imgsummary!E40:I40,"GLXU")*100/P40)</f>
        <v>0</v>
      </c>
      <c r="CT40">
        <f>IF(P40=0,0,COUNTIF(Transect5_imgsummary!E40:I40,"HALI")*100/P40)</f>
        <v>0</v>
      </c>
      <c r="CU40">
        <f>IF(P40=0,0,COUNTIF(Transect5_imgsummary!E40:I40,"LIAG")*100/P40)</f>
        <v>0</v>
      </c>
      <c r="CV40">
        <f>IF(P40=0,0,COUNTIF(Transect5_imgsummary!E40:I40,"LOBO")*100/P40)</f>
        <v>0</v>
      </c>
      <c r="CW40">
        <f>IF(P40=0,0,COUNTIF(Transect5_imgsummary!E40:I40,"MAST")*100/P40)</f>
        <v>0</v>
      </c>
      <c r="CX40">
        <f>IF(P40=0,0,COUNTIF(Transect5_imgsummary!E40:I40,"MICDTY")*100/P40)</f>
        <v>0</v>
      </c>
      <c r="CY40">
        <f>IF(P40=0,0,COUNTIF(Transect5_imgsummary!E40:I40,"NEOM")*100/P40)</f>
        <v>0</v>
      </c>
      <c r="CZ40">
        <f>IF(P40=0,0,COUNTIF(Transect5_imgsummary!E40:I40,"NOIDMAC")*100/P40)</f>
        <v>0</v>
      </c>
      <c r="DA40">
        <f>IF(P40=0,0,COUNTIF(Transect5_imgsummary!E40:I40,"PAD")*100/P40)</f>
        <v>0</v>
      </c>
      <c r="DB40">
        <f>IF(P40=0,0,COUNTIF(Transect5_imgsummary!E40:I40,"SARG")*100/P40)</f>
        <v>0</v>
      </c>
      <c r="DC40">
        <f>IF(P40=0,0,COUNTIF(Transect5_imgsummary!E40:I40,"SCHIZ")*100/P40)</f>
        <v>0</v>
      </c>
      <c r="DD40">
        <f>IF(P40=0,0,COUNTIF(Transect5_imgsummary!E40:I40,"TURB")*100/P40)</f>
        <v>0</v>
      </c>
      <c r="DE40">
        <f>IF(P40=0,0,COUNTIF(Transect5_imgsummary!E40:I40,"TYDM")*100/P40)</f>
        <v>0</v>
      </c>
      <c r="DG40">
        <f>IF(P40=0,0,COUNTIF(Transect5_imgsummary!E40:I40,"AMP")*100/P40)</f>
        <v>0</v>
      </c>
      <c r="DH40">
        <f>IF(P40=0,0,COUNTIF(Transect5_imgsummary!E40:I40,"BCA1")*100/P40)</f>
        <v>0</v>
      </c>
      <c r="DI40">
        <f>IF(P40=0,0,COUNTIF(Transect5_imgsummary!E40:I40,"JAN")*100/P40)</f>
        <v>0</v>
      </c>
      <c r="DK40">
        <f>IF(P40=0,0,COUNTIF(Transect5_imgsummary!E40:I40,"CCA1")*100/P40)</f>
        <v>0</v>
      </c>
      <c r="DM40">
        <f>IF(P40=0,0,COUNTIF(Transect5_imgsummary!E40:I40,"Sand")*100/P40)</f>
        <v>0</v>
      </c>
      <c r="DO40" s="29">
        <f>IF(P40=0,0,COUNTIF(Transect5_imgsummary!E40:I40,"FCA1")*100/P40)</f>
        <v>20</v>
      </c>
      <c r="DQ40">
        <f>IF(P40=0,0,COUNTIF(Transect5_imgsummary!E40:I40,"CHRYOBRN")*100/P40)</f>
        <v>0</v>
      </c>
      <c r="DS40" s="29">
        <f>IF(P40=0,0,COUNTIF(Transect5_imgsummary!E40:I40,"TURF")*100/P40)</f>
        <v>20</v>
      </c>
      <c r="DU40">
        <f>COUNTIF(Transect5_imgsummary!E40:I40,"Shadow")*100/5</f>
        <v>0</v>
      </c>
      <c r="DV40">
        <f>COUNTIF(Transect5_imgsummary!E40:I40,"Tape")*100/5</f>
        <v>0</v>
      </c>
      <c r="DW40">
        <f>COUNTIF(Transect5_imgsummary!E40:I40,"Wand")*100/5</f>
        <v>0</v>
      </c>
      <c r="DY40">
        <f>IF(P40=0,0,COUNTIF(Transect5_imgsummary!O40:S40,"BC")*100/P40)</f>
        <v>0</v>
      </c>
    </row>
    <row r="41" spans="1:129">
      <c r="A41">
        <v>39</v>
      </c>
      <c r="B41" t="s">
        <v>636</v>
      </c>
      <c r="F41" s="29">
        <f>IF(P41=0,0,COUNTIF(Transect5_imgsummary!J41:N41,"C")*100/P41)</f>
        <v>20</v>
      </c>
      <c r="G41">
        <f>IF(P41=0,0,COUNTIF(Transect5_imgsummary!J41:N41,"OI")*100/P41)</f>
        <v>0</v>
      </c>
      <c r="H41">
        <f>IF(P41=0,0,COUNTIF(Transect5_imgsummary!J41:N41,"MA")*100/P41)</f>
        <v>0</v>
      </c>
      <c r="I41">
        <f>IF(P41=0,0,COUNTIF(Transect5_imgsummary!J41:N41,"BCA")*100/P41)</f>
        <v>0</v>
      </c>
      <c r="J41" s="29">
        <f>IF(P41=0,0,COUNTIF(Transect5_imgsummary!J41:N41,"CCA")*100/P41)</f>
        <v>40</v>
      </c>
      <c r="K41">
        <f>IF(P41=0,0,COUNTIF(Transect5_imgsummary!J41:N41,"SD")*100/P41)</f>
        <v>0</v>
      </c>
      <c r="L41">
        <f>IF(P41=0,0,COUNTIF(Transect5_imgsummary!J41:N41,"FCA")*100/P41)</f>
        <v>0</v>
      </c>
      <c r="M41">
        <f>IF(P41=0,0,COUNTIF(Transect5_imgsummary!J41:N41,"CHRYS")*100/P41)</f>
        <v>0</v>
      </c>
      <c r="N41" s="29">
        <f>IF(P41=0,0,COUNTIF(Transect5_imgsummary!J41:N41,"T")*100/P41)</f>
        <v>40</v>
      </c>
      <c r="O41">
        <f>IF(P41=0,0,COUNTIF(Transect5_imgsummary!J41:N41,"TWS")*100/P41)</f>
        <v>0</v>
      </c>
      <c r="P41">
        <f>5-COUNTIF(Transect5_imgsummary!J41:N41,"TWS")</f>
        <v>5</v>
      </c>
      <c r="S41">
        <f>IF(P41=0,0,COUNTIF(Transect5_imgsummary!E41:I41,"ACAN")*100/P41)</f>
        <v>0</v>
      </c>
      <c r="T41">
        <f>IF(P41=0,0,COUNTIF(Transect5_imgsummary!E41:I41,"ACROP")*100/P41)</f>
        <v>0</v>
      </c>
      <c r="U41">
        <f>IF(P41=0,0,COUNTIF(Transect5_imgsummary!E41:I41,"ACROPARB")*100/P41)</f>
        <v>0</v>
      </c>
      <c r="V41">
        <f>IF(P41=0,0,COUNTIF(Transect5_imgsummary!E41:I41,"ACROST")*100/P41)</f>
        <v>0</v>
      </c>
      <c r="W41">
        <f>IF(P41=0,0,COUNTIF(Transect5_imgsummary!E41:I41,"ACROTBL")*100/P41)</f>
        <v>0</v>
      </c>
      <c r="X41">
        <f>IF(P41=0,0,COUNTIF(Transect5_imgsummary!E41:I41,"ASTRP")*100/P41)</f>
        <v>0</v>
      </c>
      <c r="Y41">
        <f>IF(P41=0,0,COUNTIF(Transect5_imgsummary!E41:I41,"CAUL")*100/P41)</f>
        <v>0</v>
      </c>
      <c r="Z41">
        <f>IF(P41=0,0,COUNTIF(Transect5_imgsummary!E41:I41,"COSC")*100/P41)</f>
        <v>0</v>
      </c>
      <c r="AA41">
        <f>IF(P41=0,0,COUNTIF(Transect5_imgsummary!E41:I41,"CTEN")*100/P41)</f>
        <v>0</v>
      </c>
      <c r="AB41">
        <f>IF(P41=0,0,COUNTIF(Transect5_imgsummary!E41:I41,"CYPH")*100/P41)</f>
        <v>0</v>
      </c>
      <c r="AC41">
        <f>IF(P41=0,0,COUNTIF(Transect5_imgsummary!E41:I41,"DIPLO")*100/P41)</f>
        <v>0</v>
      </c>
      <c r="AD41" s="29">
        <f>IF(P41=0,0,COUNTIF(Transect5_imgsummary!E41:I41,"ECHPO")*100/P41)</f>
        <v>20</v>
      </c>
      <c r="AE41">
        <f>IF(P41=0,0,COUNTIF(Transect5_imgsummary!E41:I41,"ECHPHY")*100/P41)</f>
        <v>0</v>
      </c>
      <c r="AF41">
        <f>IF(P41=0,0,COUNTIF(Transect5_imgsummary!E41:I41,"EUPH")*100/P41)</f>
        <v>0</v>
      </c>
      <c r="AG41">
        <f>IF(P41=0,0,COUNTIF(Transect5_imgsummary!E41:I41,"FAV")*100/P41)</f>
        <v>0</v>
      </c>
      <c r="AH41">
        <f>IF(P41=0,0,COUNTIF(Transect5_imgsummary!E41:I41,"FAVT")*100/P41)</f>
        <v>0</v>
      </c>
      <c r="AI41">
        <f>IF(P41=0,0,COUNTIF(Transect5_imgsummary!E41:I41,"FUNG")*100/P41)</f>
        <v>0</v>
      </c>
      <c r="AJ41">
        <f>IF(P41=0,0,COUNTIF(Transect5_imgsummary!E41:I41,"GAL")*100/P41)</f>
        <v>0</v>
      </c>
      <c r="AK41">
        <f>IF(P41=0,0,COUNTIF(Transect5_imgsummary!E41:I41,"GARD")*100/P41)</f>
        <v>0</v>
      </c>
      <c r="AL41">
        <f>IF(P41=0,0,COUNTIF(Transect5_imgsummary!E41:I41,"GON")*100/P41)</f>
        <v>0</v>
      </c>
      <c r="AM41">
        <f>IF(P41=0,0,COUNTIF(Transect5_imgsummary!E41:I41,"GONIO")*100/P41)</f>
        <v>0</v>
      </c>
      <c r="AN41">
        <f>IF(P41=0,0,COUNTIF(Transect5_imgsummary!E41:I41,"HELIO")*100/P41)</f>
        <v>0</v>
      </c>
      <c r="AO41">
        <f>IF(P41=0,0,COUNTIF(Transect5_imgsummary!E41:I41,"HERP")*100/P41)</f>
        <v>0</v>
      </c>
      <c r="AP41">
        <f>IF(P41=0,0,COUNTIF(Transect5_imgsummary!E41:I41,"HYD")*100/P41)</f>
        <v>0</v>
      </c>
      <c r="AQ41">
        <f>IF(P41=0,0,COUNTIF(Transect5_imgsummary!E41:I41,"ISOP")*100/P41)</f>
        <v>0</v>
      </c>
      <c r="AR41">
        <f>IF(P41=0,0,COUNTIF(Transect5_imgsummary!E41:I41,"LEPT")*100/P41)</f>
        <v>0</v>
      </c>
      <c r="AS41">
        <f>IF(P41=0,0,COUNTIF(Transect5_imgsummary!E41:I41,"LEPTOR")*100/P41)</f>
        <v>0</v>
      </c>
      <c r="AT41">
        <f>IF(P41=0,0,COUNTIF(Transect5_imgsummary!E41:I41,"LEPTOS")*100/P41)</f>
        <v>0</v>
      </c>
      <c r="AU41">
        <f>IF(P41=0,0,COUNTIF(Transect5_imgsummary!E41:I41,"LOBOPH")*100/P41)</f>
        <v>0</v>
      </c>
      <c r="AV41">
        <f>IF(P41=0,0,COUNTIF(Transect5_imgsummary!E41:I41,"MERU")*100/P41)</f>
        <v>0</v>
      </c>
      <c r="AW41">
        <f>IF(P41=0,0,COUNTIF(Transect5_imgsummary!E41:I41,"MILL")*100/P41)</f>
        <v>0</v>
      </c>
      <c r="AX41">
        <f>IF(P41=0,0,COUNTIF(Transect5_imgsummary!E41:I41,"MONT")*100/P41)</f>
        <v>0</v>
      </c>
      <c r="AY41">
        <f>IF(P41=0,0,COUNTIF(Transect5_imgsummary!E41:I41,"MONTI")*100/P41)</f>
        <v>0</v>
      </c>
      <c r="AZ41">
        <f>IF(P41=0,0,COUNTIF(Transect5_imgsummary!E41:I41,"MYCED")*100/P41)</f>
        <v>0</v>
      </c>
      <c r="BA41">
        <f>IF(P41=0,0,COUNTIF(Transect5_imgsummary!E41:I41,"OULO")*100/P41)</f>
        <v>0</v>
      </c>
      <c r="BB41">
        <f>IF(P41=0,0,COUNTIF(Transect5_imgsummary!E41:I41,"OXYP")*100/P41)</f>
        <v>0</v>
      </c>
      <c r="BC41">
        <f>IF(P41=0,0,COUNTIF(Transect5_imgsummary!E41:I41,"PLSIA")*100/P41)</f>
        <v>0</v>
      </c>
      <c r="BD41">
        <f>IF(P41=0,0,COUNTIF(Transect5_imgsummary!E41:I41,"PACHY")*100/P41)</f>
        <v>0</v>
      </c>
      <c r="BE41">
        <f>IF(P41=0,0,COUNTIF(Transect5_imgsummary!E41:I41,"PAV")*100/P41)</f>
        <v>0</v>
      </c>
      <c r="BF41">
        <f>IF(P41=0,0,COUNTIF(Transect5_imgsummary!E41:I41,"PECT")*100/P41)</f>
        <v>0</v>
      </c>
      <c r="BG41">
        <f>IF(P41=0,0,COUNTIF(Transect5_imgsummary!E41:I41,"PHYSO")*100/P41)</f>
        <v>0</v>
      </c>
      <c r="BH41">
        <f>IF(P41=0,0,COUNTIF(Transect5_imgsummary!E41:I41,"PLAT")*100/P41)</f>
        <v>0</v>
      </c>
      <c r="BI41">
        <f>IF(P41=0,0,COUNTIF(Transect5_imgsummary!E41:I41,"PLERO")*100/P41)</f>
        <v>0</v>
      </c>
      <c r="BJ41">
        <f>IF(P41=0,0,COUNTIF(Transect5_imgsummary!E41:I41,"POC")*100/P41)</f>
        <v>0</v>
      </c>
      <c r="BK41">
        <f>IF(P41=0,0,COUNTIF(Transect5_imgsummary!E41:I41,"POR")*100/P41)</f>
        <v>0</v>
      </c>
      <c r="BL41">
        <f>IF(P41=0,0,COUNTIF(Transect5_imgsummary!E41:I41,"PORCYL")*100/P41)</f>
        <v>0</v>
      </c>
      <c r="BM41">
        <f>IF(P41=0,0,COUNTIF(Transect5_imgsummary!E41:I41,"PORMAS")*100/P41)</f>
        <v>0</v>
      </c>
      <c r="BN41">
        <f>IF(P41=0,0,COUNTIF(Transect5_imgsummary!E41:I41,"PORRUS")*100/P41)</f>
        <v>0</v>
      </c>
      <c r="BO41">
        <f>IF(P41=0,0,COUNTIF(Transect5_imgsummary!E41:I41,"PSAM")*100/P41)</f>
        <v>0</v>
      </c>
      <c r="BP41">
        <f>IF(P41=0,0,COUNTIF(Transect5_imgsummary!E41:I41,"SANDO")*100/P41)</f>
        <v>0</v>
      </c>
      <c r="BQ41">
        <f>IF(P41=0,0,COUNTIF(Transect5_imgsummary!E41:I41,"SCAP")*100/P41)</f>
        <v>0</v>
      </c>
      <c r="BR41">
        <f>IF(P41=0,0,COUNTIF(Transect5_imgsummary!E41:I41,"SERIA")*100/P41)</f>
        <v>0</v>
      </c>
      <c r="BS41">
        <f>IF(P41=0,0,COUNTIF(Transect5_imgsummary!E41:I41,"STYLC")*100/P41)</f>
        <v>0</v>
      </c>
      <c r="BT41">
        <f>IF(P41=0,0,COUNTIF(Transect5_imgsummary!E41:I41,"STYLO")*100/P41)</f>
        <v>0</v>
      </c>
      <c r="BU41">
        <f>IF(P41=0,0,COUNTIF(Transect5_imgsummary!E41:I41,"SYMP")*100/P41)</f>
        <v>0</v>
      </c>
      <c r="BV41">
        <f>IF(P41=0,0,COUNTIF(Transect5_imgsummary!E41:I41,"TURBIN")*100/P41)</f>
        <v>0</v>
      </c>
      <c r="BX41">
        <f>IF(P41=0,0,COUNTIF(Transect5_imgsummary!E41:I41,"ANEM")*100/P41)</f>
        <v>0</v>
      </c>
      <c r="BY41">
        <f>IF(P41=0,0,COUNTIF(Transect5_imgsummary!E41:I41,"ASC")*100/P41)</f>
        <v>0</v>
      </c>
      <c r="BZ41">
        <f>IF(P41=0,0,COUNTIF(Transect5_imgsummary!E41:I41,"CUPS")*100/P41)</f>
        <v>0</v>
      </c>
      <c r="CA41">
        <f>IF(P41=0,0,COUNTIF(Transect5_imgsummary!E41:I41,"DISCO")*100/P41)</f>
        <v>0</v>
      </c>
      <c r="CB41">
        <f>IF(P41=0,0,COUNTIF(Transect5_imgsummary!E41:I41,"DYS")*100/P41)</f>
        <v>0</v>
      </c>
      <c r="CC41">
        <f>IF(P41=0,0,COUNTIF(Transect5_imgsummary!E41:I41,"G")*100/P41)</f>
        <v>0</v>
      </c>
      <c r="CD41">
        <f>IF(P41=0,0,COUNTIF(Transect5_imgsummary!E41:I41,"NoIDINV")*100/P41)</f>
        <v>0</v>
      </c>
      <c r="CE41">
        <f>IF(P41=0,0,COUNTIF(Transect5_imgsummary!E41:I41,"OLV")*100/P41)</f>
        <v>0</v>
      </c>
      <c r="CF41">
        <f>IF(P41=0,0,COUNTIF(Transect5_imgsummary!E41:I41,"SC")*100/P41)</f>
        <v>0</v>
      </c>
      <c r="CG41">
        <f>IF(P41=0,0,COUNTIF(Transect5_imgsummary!E41:I41,"S")*100/P41)</f>
        <v>0</v>
      </c>
      <c r="CH41">
        <f>IF(P41=0,0,COUNTIF(Transect5_imgsummary!E41:I41,"TERPS")*100/P41)</f>
        <v>0</v>
      </c>
      <c r="CI41">
        <f>IF(P41=0,0,COUNTIF(Transect5_imgsummary!E41:I41,"Z")*100/P41)</f>
        <v>0</v>
      </c>
      <c r="CK41">
        <f>IF(P41=0,0,COUNTIF(Transect5_imgsummary!E41:I41,"ASP")*100/P41)</f>
        <v>0</v>
      </c>
      <c r="CL41">
        <f>IF(P41=0,0,COUNTIF(Transect5_imgsummary!E41:I41,"BG")*100/P41)</f>
        <v>0</v>
      </c>
      <c r="CM41">
        <f>IF(P41=0,0,COUNTIF(Transect5_imgsummary!E41:I41,"Bood")*100/P41)</f>
        <v>0</v>
      </c>
      <c r="CN41">
        <f>IF(P41=0,0,COUNTIF(Transect5_imgsummary!E41:I41,"BRYP")*100/P41)</f>
        <v>0</v>
      </c>
      <c r="CO41">
        <f>IF(P41=0,0,COUNTIF(Transect5_imgsummary!E41:I41,"CLP")*100/P41)</f>
        <v>0</v>
      </c>
      <c r="CP41">
        <f>IF(P41=0,0,COUNTIF(Transect5_imgsummary!E41:I41,"CHLDES")*100/P41)</f>
        <v>0</v>
      </c>
      <c r="CQ41">
        <f>IF(P41=0,0,COUNTIF(Transect5_imgsummary!E41:I41,"DYCTY")*100/P41)</f>
        <v>0</v>
      </c>
      <c r="CR41">
        <f>IF(P41=0,0,COUNTIF(Transect5_imgsummary!E41:I41,"DICT")*100/P41)</f>
        <v>0</v>
      </c>
      <c r="CS41">
        <f>IF(P41=0,0,COUNTIF(Transect5_imgsummary!E41:I41,"GLXU")*100/P41)</f>
        <v>0</v>
      </c>
      <c r="CT41">
        <f>IF(P41=0,0,COUNTIF(Transect5_imgsummary!E41:I41,"HALI")*100/P41)</f>
        <v>0</v>
      </c>
      <c r="CU41">
        <f>IF(P41=0,0,COUNTIF(Transect5_imgsummary!E41:I41,"LIAG")*100/P41)</f>
        <v>0</v>
      </c>
      <c r="CV41">
        <f>IF(P41=0,0,COUNTIF(Transect5_imgsummary!E41:I41,"LOBO")*100/P41)</f>
        <v>0</v>
      </c>
      <c r="CW41">
        <f>IF(P41=0,0,COUNTIF(Transect5_imgsummary!E41:I41,"MAST")*100/P41)</f>
        <v>0</v>
      </c>
      <c r="CX41">
        <f>IF(P41=0,0,COUNTIF(Transect5_imgsummary!E41:I41,"MICDTY")*100/P41)</f>
        <v>0</v>
      </c>
      <c r="CY41">
        <f>IF(P41=0,0,COUNTIF(Transect5_imgsummary!E41:I41,"NEOM")*100/P41)</f>
        <v>0</v>
      </c>
      <c r="CZ41">
        <f>IF(P41=0,0,COUNTIF(Transect5_imgsummary!E41:I41,"NOIDMAC")*100/P41)</f>
        <v>0</v>
      </c>
      <c r="DA41">
        <f>IF(P41=0,0,COUNTIF(Transect5_imgsummary!E41:I41,"PAD")*100/P41)</f>
        <v>0</v>
      </c>
      <c r="DB41">
        <f>IF(P41=0,0,COUNTIF(Transect5_imgsummary!E41:I41,"SARG")*100/P41)</f>
        <v>0</v>
      </c>
      <c r="DC41">
        <f>IF(P41=0,0,COUNTIF(Transect5_imgsummary!E41:I41,"SCHIZ")*100/P41)</f>
        <v>0</v>
      </c>
      <c r="DD41">
        <f>IF(P41=0,0,COUNTIF(Transect5_imgsummary!E41:I41,"TURB")*100/P41)</f>
        <v>0</v>
      </c>
      <c r="DE41">
        <f>IF(P41=0,0,COUNTIF(Transect5_imgsummary!E41:I41,"TYDM")*100/P41)</f>
        <v>0</v>
      </c>
      <c r="DG41">
        <f>IF(P41=0,0,COUNTIF(Transect5_imgsummary!E41:I41,"AMP")*100/P41)</f>
        <v>0</v>
      </c>
      <c r="DH41">
        <f>IF(P41=0,0,COUNTIF(Transect5_imgsummary!E41:I41,"BCA1")*100/P41)</f>
        <v>0</v>
      </c>
      <c r="DI41">
        <f>IF(P41=0,0,COUNTIF(Transect5_imgsummary!E41:I41,"JAN")*100/P41)</f>
        <v>0</v>
      </c>
      <c r="DK41" s="29">
        <f>IF(P41=0,0,COUNTIF(Transect5_imgsummary!E41:I41,"CCA1")*100/P41)</f>
        <v>40</v>
      </c>
      <c r="DM41">
        <f>IF(P41=0,0,COUNTIF(Transect5_imgsummary!E41:I41,"Sand")*100/P41)</f>
        <v>0</v>
      </c>
      <c r="DO41">
        <f>IF(P41=0,0,COUNTIF(Transect5_imgsummary!E41:I41,"FCA1")*100/P41)</f>
        <v>0</v>
      </c>
      <c r="DQ41">
        <f>IF(P41=0,0,COUNTIF(Transect5_imgsummary!E41:I41,"CHRYOBRN")*100/P41)</f>
        <v>0</v>
      </c>
      <c r="DS41" s="29">
        <f>IF(P41=0,0,COUNTIF(Transect5_imgsummary!E41:I41,"TURF")*100/P41)</f>
        <v>40</v>
      </c>
      <c r="DU41">
        <f>COUNTIF(Transect5_imgsummary!E41:I41,"Shadow")*100/5</f>
        <v>0</v>
      </c>
      <c r="DV41">
        <f>COUNTIF(Transect5_imgsummary!E41:I41,"Tape")*100/5</f>
        <v>0</v>
      </c>
      <c r="DW41">
        <f>COUNTIF(Transect5_imgsummary!E41:I41,"Wand")*100/5</f>
        <v>0</v>
      </c>
      <c r="DY41">
        <f>IF(P41=0,0,COUNTIF(Transect5_imgsummary!O41:S41,"BC")*100/P41)</f>
        <v>0</v>
      </c>
    </row>
    <row r="42" spans="1:129">
      <c r="A42">
        <v>40</v>
      </c>
      <c r="B42" t="s">
        <v>637</v>
      </c>
      <c r="F42" s="29">
        <f>IF(P42=0,0,COUNTIF(Transect5_imgsummary!J42:N42,"C")*100/P42)</f>
        <v>20</v>
      </c>
      <c r="G42">
        <f>IF(P42=0,0,COUNTIF(Transect5_imgsummary!J42:N42,"OI")*100/P42)</f>
        <v>0</v>
      </c>
      <c r="H42">
        <f>IF(P42=0,0,COUNTIF(Transect5_imgsummary!J42:N42,"MA")*100/P42)</f>
        <v>0</v>
      </c>
      <c r="I42">
        <f>IF(P42=0,0,COUNTIF(Transect5_imgsummary!J42:N42,"BCA")*100/P42)</f>
        <v>0</v>
      </c>
      <c r="J42" s="29">
        <f>IF(P42=0,0,COUNTIF(Transect5_imgsummary!J42:N42,"CCA")*100/P42)</f>
        <v>60</v>
      </c>
      <c r="K42">
        <f>IF(P42=0,0,COUNTIF(Transect5_imgsummary!J42:N42,"SD")*100/P42)</f>
        <v>0</v>
      </c>
      <c r="L42">
        <f>IF(P42=0,0,COUNTIF(Transect5_imgsummary!J42:N42,"FCA")*100/P42)</f>
        <v>0</v>
      </c>
      <c r="M42">
        <f>IF(P42=0,0,COUNTIF(Transect5_imgsummary!J42:N42,"CHRYS")*100/P42)</f>
        <v>0</v>
      </c>
      <c r="N42" s="29">
        <f>IF(P42=0,0,COUNTIF(Transect5_imgsummary!J42:N42,"T")*100/P42)</f>
        <v>20</v>
      </c>
      <c r="O42">
        <f>IF(P42=0,0,COUNTIF(Transect5_imgsummary!J42:N42,"TWS")*100/P42)</f>
        <v>0</v>
      </c>
      <c r="P42">
        <f>5-COUNTIF(Transect5_imgsummary!J42:N42,"TWS")</f>
        <v>5</v>
      </c>
      <c r="S42">
        <f>IF(P42=0,0,COUNTIF(Transect5_imgsummary!E42:I42,"ACAN")*100/P42)</f>
        <v>0</v>
      </c>
      <c r="T42">
        <f>IF(P42=0,0,COUNTIF(Transect5_imgsummary!E42:I42,"ACROP")*100/P42)</f>
        <v>0</v>
      </c>
      <c r="U42">
        <f>IF(P42=0,0,COUNTIF(Transect5_imgsummary!E42:I42,"ACROPARB")*100/P42)</f>
        <v>0</v>
      </c>
      <c r="V42">
        <f>IF(P42=0,0,COUNTIF(Transect5_imgsummary!E42:I42,"ACROST")*100/P42)</f>
        <v>0</v>
      </c>
      <c r="W42">
        <f>IF(P42=0,0,COUNTIF(Transect5_imgsummary!E42:I42,"ACROTBL")*100/P42)</f>
        <v>0</v>
      </c>
      <c r="X42">
        <f>IF(P42=0,0,COUNTIF(Transect5_imgsummary!E42:I42,"ASTRP")*100/P42)</f>
        <v>0</v>
      </c>
      <c r="Y42">
        <f>IF(P42=0,0,COUNTIF(Transect5_imgsummary!E42:I42,"CAUL")*100/P42)</f>
        <v>0</v>
      </c>
      <c r="Z42">
        <f>IF(P42=0,0,COUNTIF(Transect5_imgsummary!E42:I42,"COSC")*100/P42)</f>
        <v>0</v>
      </c>
      <c r="AA42">
        <f>IF(P42=0,0,COUNTIF(Transect5_imgsummary!E42:I42,"CTEN")*100/P42)</f>
        <v>0</v>
      </c>
      <c r="AB42">
        <f>IF(P42=0,0,COUNTIF(Transect5_imgsummary!E42:I42,"CYPH")*100/P42)</f>
        <v>0</v>
      </c>
      <c r="AC42">
        <f>IF(P42=0,0,COUNTIF(Transect5_imgsummary!E42:I42,"DIPLO")*100/P42)</f>
        <v>0</v>
      </c>
      <c r="AD42">
        <f>IF(P42=0,0,COUNTIF(Transect5_imgsummary!E42:I42,"ECHPO")*100/P42)</f>
        <v>0</v>
      </c>
      <c r="AE42">
        <f>IF(P42=0,0,COUNTIF(Transect5_imgsummary!E42:I42,"ECHPHY")*100/P42)</f>
        <v>0</v>
      </c>
      <c r="AF42">
        <f>IF(P42=0,0,COUNTIF(Transect5_imgsummary!E42:I42,"EUPH")*100/P42)</f>
        <v>0</v>
      </c>
      <c r="AG42">
        <f>IF(P42=0,0,COUNTIF(Transect5_imgsummary!E42:I42,"FAV")*100/P42)</f>
        <v>0</v>
      </c>
      <c r="AH42">
        <f>IF(P42=0,0,COUNTIF(Transect5_imgsummary!E42:I42,"FAVT")*100/P42)</f>
        <v>0</v>
      </c>
      <c r="AI42">
        <f>IF(P42=0,0,COUNTIF(Transect5_imgsummary!E42:I42,"FUNG")*100/P42)</f>
        <v>0</v>
      </c>
      <c r="AJ42">
        <f>IF(P42=0,0,COUNTIF(Transect5_imgsummary!E42:I42,"GAL")*100/P42)</f>
        <v>0</v>
      </c>
      <c r="AK42">
        <f>IF(P42=0,0,COUNTIF(Transect5_imgsummary!E42:I42,"GARD")*100/P42)</f>
        <v>0</v>
      </c>
      <c r="AL42">
        <f>IF(P42=0,0,COUNTIF(Transect5_imgsummary!E42:I42,"GON")*100/P42)</f>
        <v>0</v>
      </c>
      <c r="AM42">
        <f>IF(P42=0,0,COUNTIF(Transect5_imgsummary!E42:I42,"GONIO")*100/P42)</f>
        <v>0</v>
      </c>
      <c r="AN42">
        <f>IF(P42=0,0,COUNTIF(Transect5_imgsummary!E42:I42,"HELIO")*100/P42)</f>
        <v>0</v>
      </c>
      <c r="AO42">
        <f>IF(P42=0,0,COUNTIF(Transect5_imgsummary!E42:I42,"HERP")*100/P42)</f>
        <v>0</v>
      </c>
      <c r="AP42">
        <f>IF(P42=0,0,COUNTIF(Transect5_imgsummary!E42:I42,"HYD")*100/P42)</f>
        <v>0</v>
      </c>
      <c r="AQ42">
        <f>IF(P42=0,0,COUNTIF(Transect5_imgsummary!E42:I42,"ISOP")*100/P42)</f>
        <v>0</v>
      </c>
      <c r="AR42">
        <f>IF(P42=0,0,COUNTIF(Transect5_imgsummary!E42:I42,"LEPT")*100/P42)</f>
        <v>0</v>
      </c>
      <c r="AS42">
        <f>IF(P42=0,0,COUNTIF(Transect5_imgsummary!E42:I42,"LEPTOR")*100/P42)</f>
        <v>0</v>
      </c>
      <c r="AT42">
        <f>IF(P42=0,0,COUNTIF(Transect5_imgsummary!E42:I42,"LEPTOS")*100/P42)</f>
        <v>0</v>
      </c>
      <c r="AU42">
        <f>IF(P42=0,0,COUNTIF(Transect5_imgsummary!E42:I42,"LOBOPH")*100/P42)</f>
        <v>0</v>
      </c>
      <c r="AV42">
        <f>IF(P42=0,0,COUNTIF(Transect5_imgsummary!E42:I42,"MERU")*100/P42)</f>
        <v>0</v>
      </c>
      <c r="AW42">
        <f>IF(P42=0,0,COUNTIF(Transect5_imgsummary!E42:I42,"MILL")*100/P42)</f>
        <v>0</v>
      </c>
      <c r="AX42">
        <f>IF(P42=0,0,COUNTIF(Transect5_imgsummary!E42:I42,"MONT")*100/P42)</f>
        <v>0</v>
      </c>
      <c r="AY42">
        <f>IF(P42=0,0,COUNTIF(Transect5_imgsummary!E42:I42,"MONTI")*100/P42)</f>
        <v>0</v>
      </c>
      <c r="AZ42">
        <f>IF(P42=0,0,COUNTIF(Transect5_imgsummary!E42:I42,"MYCED")*100/P42)</f>
        <v>0</v>
      </c>
      <c r="BA42">
        <f>IF(P42=0,0,COUNTIF(Transect5_imgsummary!E42:I42,"OULO")*100/P42)</f>
        <v>0</v>
      </c>
      <c r="BB42">
        <f>IF(P42=0,0,COUNTIF(Transect5_imgsummary!E42:I42,"OXYP")*100/P42)</f>
        <v>0</v>
      </c>
      <c r="BC42">
        <f>IF(P42=0,0,COUNTIF(Transect5_imgsummary!E42:I42,"PLSIA")*100/P42)</f>
        <v>0</v>
      </c>
      <c r="BD42">
        <f>IF(P42=0,0,COUNTIF(Transect5_imgsummary!E42:I42,"PACHY")*100/P42)</f>
        <v>0</v>
      </c>
      <c r="BE42">
        <f>IF(P42=0,0,COUNTIF(Transect5_imgsummary!E42:I42,"PAV")*100/P42)</f>
        <v>0</v>
      </c>
      <c r="BF42">
        <f>IF(P42=0,0,COUNTIF(Transect5_imgsummary!E42:I42,"PECT")*100/P42)</f>
        <v>0</v>
      </c>
      <c r="BG42">
        <f>IF(P42=0,0,COUNTIF(Transect5_imgsummary!E42:I42,"PHYSO")*100/P42)</f>
        <v>0</v>
      </c>
      <c r="BH42">
        <f>IF(P42=0,0,COUNTIF(Transect5_imgsummary!E42:I42,"PLAT")*100/P42)</f>
        <v>0</v>
      </c>
      <c r="BI42">
        <f>IF(P42=0,0,COUNTIF(Transect5_imgsummary!E42:I42,"PLERO")*100/P42)</f>
        <v>0</v>
      </c>
      <c r="BJ42">
        <f>IF(P42=0,0,COUNTIF(Transect5_imgsummary!E42:I42,"POC")*100/P42)</f>
        <v>0</v>
      </c>
      <c r="BK42">
        <f>IF(P42=0,0,COUNTIF(Transect5_imgsummary!E42:I42,"POR")*100/P42)</f>
        <v>0</v>
      </c>
      <c r="BL42">
        <f>IF(P42=0,0,COUNTIF(Transect5_imgsummary!E42:I42,"PORCYL")*100/P42)</f>
        <v>0</v>
      </c>
      <c r="BM42">
        <f>IF(P42=0,0,COUNTIF(Transect5_imgsummary!E42:I42,"PORMAS")*100/P42)</f>
        <v>0</v>
      </c>
      <c r="BN42">
        <f>IF(P42=0,0,COUNTIF(Transect5_imgsummary!E42:I42,"PORRUS")*100/P42)</f>
        <v>0</v>
      </c>
      <c r="BO42">
        <f>IF(P42=0,0,COUNTIF(Transect5_imgsummary!E42:I42,"PSAM")*100/P42)</f>
        <v>0</v>
      </c>
      <c r="BP42">
        <f>IF(P42=0,0,COUNTIF(Transect5_imgsummary!E42:I42,"SANDO")*100/P42)</f>
        <v>0</v>
      </c>
      <c r="BQ42">
        <f>IF(P42=0,0,COUNTIF(Transect5_imgsummary!E42:I42,"SCAP")*100/P42)</f>
        <v>0</v>
      </c>
      <c r="BR42">
        <f>IF(P42=0,0,COUNTIF(Transect5_imgsummary!E42:I42,"SERIA")*100/P42)</f>
        <v>0</v>
      </c>
      <c r="BS42">
        <f>IF(P42=0,0,COUNTIF(Transect5_imgsummary!E42:I42,"STYLC")*100/P42)</f>
        <v>0</v>
      </c>
      <c r="BT42" s="29">
        <f>IF(P42=0,0,COUNTIF(Transect5_imgsummary!E42:I42,"STYLO")*100/P42)</f>
        <v>20</v>
      </c>
      <c r="BU42">
        <f>IF(P42=0,0,COUNTIF(Transect5_imgsummary!E42:I42,"SYMP")*100/P42)</f>
        <v>0</v>
      </c>
      <c r="BV42">
        <f>IF(P42=0,0,COUNTIF(Transect5_imgsummary!E42:I42,"TURBIN")*100/P42)</f>
        <v>0</v>
      </c>
      <c r="BX42">
        <f>IF(P42=0,0,COUNTIF(Transect5_imgsummary!E42:I42,"ANEM")*100/P42)</f>
        <v>0</v>
      </c>
      <c r="BY42">
        <f>IF(P42=0,0,COUNTIF(Transect5_imgsummary!E42:I42,"ASC")*100/P42)</f>
        <v>0</v>
      </c>
      <c r="BZ42">
        <f>IF(P42=0,0,COUNTIF(Transect5_imgsummary!E42:I42,"CUPS")*100/P42)</f>
        <v>0</v>
      </c>
      <c r="CA42">
        <f>IF(P42=0,0,COUNTIF(Transect5_imgsummary!E42:I42,"DISCO")*100/P42)</f>
        <v>0</v>
      </c>
      <c r="CB42">
        <f>IF(P42=0,0,COUNTIF(Transect5_imgsummary!E42:I42,"DYS")*100/P42)</f>
        <v>0</v>
      </c>
      <c r="CC42">
        <f>IF(P42=0,0,COUNTIF(Transect5_imgsummary!E42:I42,"G")*100/P42)</f>
        <v>0</v>
      </c>
      <c r="CD42">
        <f>IF(P42=0,0,COUNTIF(Transect5_imgsummary!E42:I42,"NoIDINV")*100/P42)</f>
        <v>0</v>
      </c>
      <c r="CE42">
        <f>IF(P42=0,0,COUNTIF(Transect5_imgsummary!E42:I42,"OLV")*100/P42)</f>
        <v>0</v>
      </c>
      <c r="CF42">
        <f>IF(P42=0,0,COUNTIF(Transect5_imgsummary!E42:I42,"SC")*100/P42)</f>
        <v>0</v>
      </c>
      <c r="CG42">
        <f>IF(P42=0,0,COUNTIF(Transect5_imgsummary!E42:I42,"S")*100/P42)</f>
        <v>0</v>
      </c>
      <c r="CH42">
        <f>IF(P42=0,0,COUNTIF(Transect5_imgsummary!E42:I42,"TERPS")*100/P42)</f>
        <v>0</v>
      </c>
      <c r="CI42">
        <f>IF(P42=0,0,COUNTIF(Transect5_imgsummary!E42:I42,"Z")*100/P42)</f>
        <v>0</v>
      </c>
      <c r="CK42">
        <f>IF(P42=0,0,COUNTIF(Transect5_imgsummary!E42:I42,"ASP")*100/P42)</f>
        <v>0</v>
      </c>
      <c r="CL42">
        <f>IF(P42=0,0,COUNTIF(Transect5_imgsummary!E42:I42,"BG")*100/P42)</f>
        <v>0</v>
      </c>
      <c r="CM42">
        <f>IF(P42=0,0,COUNTIF(Transect5_imgsummary!E42:I42,"Bood")*100/P42)</f>
        <v>0</v>
      </c>
      <c r="CN42">
        <f>IF(P42=0,0,COUNTIF(Transect5_imgsummary!E42:I42,"BRYP")*100/P42)</f>
        <v>0</v>
      </c>
      <c r="CO42">
        <f>IF(P42=0,0,COUNTIF(Transect5_imgsummary!E42:I42,"CLP")*100/P42)</f>
        <v>0</v>
      </c>
      <c r="CP42">
        <f>IF(P42=0,0,COUNTIF(Transect5_imgsummary!E42:I42,"CHLDES")*100/P42)</f>
        <v>0</v>
      </c>
      <c r="CQ42">
        <f>IF(P42=0,0,COUNTIF(Transect5_imgsummary!E42:I42,"DYCTY")*100/P42)</f>
        <v>0</v>
      </c>
      <c r="CR42">
        <f>IF(P42=0,0,COUNTIF(Transect5_imgsummary!E42:I42,"DICT")*100/P42)</f>
        <v>0</v>
      </c>
      <c r="CS42">
        <f>IF(P42=0,0,COUNTIF(Transect5_imgsummary!E42:I42,"GLXU")*100/P42)</f>
        <v>0</v>
      </c>
      <c r="CT42">
        <f>IF(P42=0,0,COUNTIF(Transect5_imgsummary!E42:I42,"HALI")*100/P42)</f>
        <v>0</v>
      </c>
      <c r="CU42">
        <f>IF(P42=0,0,COUNTIF(Transect5_imgsummary!E42:I42,"LIAG")*100/P42)</f>
        <v>0</v>
      </c>
      <c r="CV42">
        <f>IF(P42=0,0,COUNTIF(Transect5_imgsummary!E42:I42,"LOBO")*100/P42)</f>
        <v>0</v>
      </c>
      <c r="CW42">
        <f>IF(P42=0,0,COUNTIF(Transect5_imgsummary!E42:I42,"MAST")*100/P42)</f>
        <v>0</v>
      </c>
      <c r="CX42">
        <f>IF(P42=0,0,COUNTIF(Transect5_imgsummary!E42:I42,"MICDTY")*100/P42)</f>
        <v>0</v>
      </c>
      <c r="CY42">
        <f>IF(P42=0,0,COUNTIF(Transect5_imgsummary!E42:I42,"NEOM")*100/P42)</f>
        <v>0</v>
      </c>
      <c r="CZ42">
        <f>IF(P42=0,0,COUNTIF(Transect5_imgsummary!E42:I42,"NOIDMAC")*100/P42)</f>
        <v>0</v>
      </c>
      <c r="DA42">
        <f>IF(P42=0,0,COUNTIF(Transect5_imgsummary!E42:I42,"PAD")*100/P42)</f>
        <v>0</v>
      </c>
      <c r="DB42">
        <f>IF(P42=0,0,COUNTIF(Transect5_imgsummary!E42:I42,"SARG")*100/P42)</f>
        <v>0</v>
      </c>
      <c r="DC42">
        <f>IF(P42=0,0,COUNTIF(Transect5_imgsummary!E42:I42,"SCHIZ")*100/P42)</f>
        <v>0</v>
      </c>
      <c r="DD42">
        <f>IF(P42=0,0,COUNTIF(Transect5_imgsummary!E42:I42,"TURB")*100/P42)</f>
        <v>0</v>
      </c>
      <c r="DE42">
        <f>IF(P42=0,0,COUNTIF(Transect5_imgsummary!E42:I42,"TYDM")*100/P42)</f>
        <v>0</v>
      </c>
      <c r="DG42">
        <f>IF(P42=0,0,COUNTIF(Transect5_imgsummary!E42:I42,"AMP")*100/P42)</f>
        <v>0</v>
      </c>
      <c r="DH42">
        <f>IF(P42=0,0,COUNTIF(Transect5_imgsummary!E42:I42,"BCA1")*100/P42)</f>
        <v>0</v>
      </c>
      <c r="DI42">
        <f>IF(P42=0,0,COUNTIF(Transect5_imgsummary!E42:I42,"JAN")*100/P42)</f>
        <v>0</v>
      </c>
      <c r="DK42" s="29">
        <f>IF(P42=0,0,COUNTIF(Transect5_imgsummary!E42:I42,"CCA1")*100/P42)</f>
        <v>60</v>
      </c>
      <c r="DM42">
        <f>IF(P42=0,0,COUNTIF(Transect5_imgsummary!E42:I42,"Sand")*100/P42)</f>
        <v>0</v>
      </c>
      <c r="DO42">
        <f>IF(P42=0,0,COUNTIF(Transect5_imgsummary!E42:I42,"FCA1")*100/P42)</f>
        <v>0</v>
      </c>
      <c r="DQ42">
        <f>IF(P42=0,0,COUNTIF(Transect5_imgsummary!E42:I42,"CHRYOBRN")*100/P42)</f>
        <v>0</v>
      </c>
      <c r="DS42" s="29">
        <f>IF(P42=0,0,COUNTIF(Transect5_imgsummary!E42:I42,"TURF")*100/P42)</f>
        <v>20</v>
      </c>
      <c r="DU42">
        <f>COUNTIF(Transect5_imgsummary!E42:I42,"Shadow")*100/5</f>
        <v>0</v>
      </c>
      <c r="DV42">
        <f>COUNTIF(Transect5_imgsummary!E42:I42,"Tape")*100/5</f>
        <v>0</v>
      </c>
      <c r="DW42">
        <f>COUNTIF(Transect5_imgsummary!E42:I42,"Wand")*100/5</f>
        <v>0</v>
      </c>
      <c r="DY42">
        <f>IF(P42=0,0,COUNTIF(Transect5_imgsummary!O42:S42,"BC")*100/P42)</f>
        <v>0</v>
      </c>
    </row>
    <row r="43" spans="1:129">
      <c r="A43">
        <v>41</v>
      </c>
      <c r="B43" t="s">
        <v>638</v>
      </c>
      <c r="F43" s="29">
        <f>IF(P43=0,0,COUNTIF(Transect5_imgsummary!J43:N43,"C")*100/P43)</f>
        <v>20</v>
      </c>
      <c r="G43">
        <f>IF(P43=0,0,COUNTIF(Transect5_imgsummary!J43:N43,"OI")*100/P43)</f>
        <v>0</v>
      </c>
      <c r="H43">
        <f>IF(P43=0,0,COUNTIF(Transect5_imgsummary!J43:N43,"MA")*100/P43)</f>
        <v>0</v>
      </c>
      <c r="I43">
        <f>IF(P43=0,0,COUNTIF(Transect5_imgsummary!J43:N43,"BCA")*100/P43)</f>
        <v>0</v>
      </c>
      <c r="J43" s="29">
        <f>IF(P43=0,0,COUNTIF(Transect5_imgsummary!J43:N43,"CCA")*100/P43)</f>
        <v>60</v>
      </c>
      <c r="K43">
        <f>IF(P43=0,0,COUNTIF(Transect5_imgsummary!J43:N43,"SD")*100/P43)</f>
        <v>0</v>
      </c>
      <c r="L43">
        <f>IF(P43=0,0,COUNTIF(Transect5_imgsummary!J43:N43,"FCA")*100/P43)</f>
        <v>0</v>
      </c>
      <c r="M43">
        <f>IF(P43=0,0,COUNTIF(Transect5_imgsummary!J43:N43,"CHRYS")*100/P43)</f>
        <v>0</v>
      </c>
      <c r="N43" s="29">
        <f>IF(P43=0,0,COUNTIF(Transect5_imgsummary!J43:N43,"T")*100/P43)</f>
        <v>20</v>
      </c>
      <c r="O43">
        <f>IF(P43=0,0,COUNTIF(Transect5_imgsummary!J43:N43,"TWS")*100/P43)</f>
        <v>0</v>
      </c>
      <c r="P43">
        <f>5-COUNTIF(Transect5_imgsummary!J43:N43,"TWS")</f>
        <v>5</v>
      </c>
      <c r="S43">
        <f>IF(P43=0,0,COUNTIF(Transect5_imgsummary!E43:I43,"ACAN")*100/P43)</f>
        <v>0</v>
      </c>
      <c r="T43">
        <f>IF(P43=0,0,COUNTIF(Transect5_imgsummary!E43:I43,"ACROP")*100/P43)</f>
        <v>0</v>
      </c>
      <c r="U43">
        <f>IF(P43=0,0,COUNTIF(Transect5_imgsummary!E43:I43,"ACROPARB")*100/P43)</f>
        <v>0</v>
      </c>
      <c r="V43">
        <f>IF(P43=0,0,COUNTIF(Transect5_imgsummary!E43:I43,"ACROST")*100/P43)</f>
        <v>0</v>
      </c>
      <c r="W43">
        <f>IF(P43=0,0,COUNTIF(Transect5_imgsummary!E43:I43,"ACROTBL")*100/P43)</f>
        <v>0</v>
      </c>
      <c r="X43">
        <f>IF(P43=0,0,COUNTIF(Transect5_imgsummary!E43:I43,"ASTRP")*100/P43)</f>
        <v>0</v>
      </c>
      <c r="Y43">
        <f>IF(P43=0,0,COUNTIF(Transect5_imgsummary!E43:I43,"CAUL")*100/P43)</f>
        <v>0</v>
      </c>
      <c r="Z43">
        <f>IF(P43=0,0,COUNTIF(Transect5_imgsummary!E43:I43,"COSC")*100/P43)</f>
        <v>0</v>
      </c>
      <c r="AA43">
        <f>IF(P43=0,0,COUNTIF(Transect5_imgsummary!E43:I43,"CTEN")*100/P43)</f>
        <v>0</v>
      </c>
      <c r="AB43">
        <f>IF(P43=0,0,COUNTIF(Transect5_imgsummary!E43:I43,"CYPH")*100/P43)</f>
        <v>0</v>
      </c>
      <c r="AC43">
        <f>IF(P43=0,0,COUNTIF(Transect5_imgsummary!E43:I43,"DIPLO")*100/P43)</f>
        <v>0</v>
      </c>
      <c r="AD43">
        <f>IF(P43=0,0,COUNTIF(Transect5_imgsummary!E43:I43,"ECHPO")*100/P43)</f>
        <v>0</v>
      </c>
      <c r="AE43">
        <f>IF(P43=0,0,COUNTIF(Transect5_imgsummary!E43:I43,"ECHPHY")*100/P43)</f>
        <v>0</v>
      </c>
      <c r="AF43">
        <f>IF(P43=0,0,COUNTIF(Transect5_imgsummary!E43:I43,"EUPH")*100/P43)</f>
        <v>0</v>
      </c>
      <c r="AG43">
        <f>IF(P43=0,0,COUNTIF(Transect5_imgsummary!E43:I43,"FAV")*100/P43)</f>
        <v>0</v>
      </c>
      <c r="AH43">
        <f>IF(P43=0,0,COUNTIF(Transect5_imgsummary!E43:I43,"FAVT")*100/P43)</f>
        <v>0</v>
      </c>
      <c r="AI43">
        <f>IF(P43=0,0,COUNTIF(Transect5_imgsummary!E43:I43,"FUNG")*100/P43)</f>
        <v>0</v>
      </c>
      <c r="AJ43">
        <f>IF(P43=0,0,COUNTIF(Transect5_imgsummary!E43:I43,"GAL")*100/P43)</f>
        <v>0</v>
      </c>
      <c r="AK43">
        <f>IF(P43=0,0,COUNTIF(Transect5_imgsummary!E43:I43,"GARD")*100/P43)</f>
        <v>0</v>
      </c>
      <c r="AL43">
        <f>IF(P43=0,0,COUNTIF(Transect5_imgsummary!E43:I43,"GON")*100/P43)</f>
        <v>0</v>
      </c>
      <c r="AM43">
        <f>IF(P43=0,0,COUNTIF(Transect5_imgsummary!E43:I43,"GONIO")*100/P43)</f>
        <v>0</v>
      </c>
      <c r="AN43">
        <f>IF(P43=0,0,COUNTIF(Transect5_imgsummary!E43:I43,"HELIO")*100/P43)</f>
        <v>0</v>
      </c>
      <c r="AO43">
        <f>IF(P43=0,0,COUNTIF(Transect5_imgsummary!E43:I43,"HERP")*100/P43)</f>
        <v>0</v>
      </c>
      <c r="AP43">
        <f>IF(P43=0,0,COUNTIF(Transect5_imgsummary!E43:I43,"HYD")*100/P43)</f>
        <v>0</v>
      </c>
      <c r="AQ43">
        <f>IF(P43=0,0,COUNTIF(Transect5_imgsummary!E43:I43,"ISOP")*100/P43)</f>
        <v>0</v>
      </c>
      <c r="AR43">
        <f>IF(P43=0,0,COUNTIF(Transect5_imgsummary!E43:I43,"LEPT")*100/P43)</f>
        <v>0</v>
      </c>
      <c r="AS43" s="29">
        <f>IF(P43=0,0,COUNTIF(Transect5_imgsummary!E43:I43,"LEPTOR")*100/P43)</f>
        <v>20</v>
      </c>
      <c r="AT43">
        <f>IF(P43=0,0,COUNTIF(Transect5_imgsummary!E43:I43,"LEPTOS")*100/P43)</f>
        <v>0</v>
      </c>
      <c r="AU43">
        <f>IF(P43=0,0,COUNTIF(Transect5_imgsummary!E43:I43,"LOBOPH")*100/P43)</f>
        <v>0</v>
      </c>
      <c r="AV43">
        <f>IF(P43=0,0,COUNTIF(Transect5_imgsummary!E43:I43,"MERU")*100/P43)</f>
        <v>0</v>
      </c>
      <c r="AW43">
        <f>IF(P43=0,0,COUNTIF(Transect5_imgsummary!E43:I43,"MILL")*100/P43)</f>
        <v>0</v>
      </c>
      <c r="AX43">
        <f>IF(P43=0,0,COUNTIF(Transect5_imgsummary!E43:I43,"MONT")*100/P43)</f>
        <v>0</v>
      </c>
      <c r="AY43">
        <f>IF(P43=0,0,COUNTIF(Transect5_imgsummary!E43:I43,"MONTI")*100/P43)</f>
        <v>0</v>
      </c>
      <c r="AZ43">
        <f>IF(P43=0,0,COUNTIF(Transect5_imgsummary!E43:I43,"MYCED")*100/P43)</f>
        <v>0</v>
      </c>
      <c r="BA43">
        <f>IF(P43=0,0,COUNTIF(Transect5_imgsummary!E43:I43,"OULO")*100/P43)</f>
        <v>0</v>
      </c>
      <c r="BB43">
        <f>IF(P43=0,0,COUNTIF(Transect5_imgsummary!E43:I43,"OXYP")*100/P43)</f>
        <v>0</v>
      </c>
      <c r="BC43">
        <f>IF(P43=0,0,COUNTIF(Transect5_imgsummary!E43:I43,"PLSIA")*100/P43)</f>
        <v>0</v>
      </c>
      <c r="BD43">
        <f>IF(P43=0,0,COUNTIF(Transect5_imgsummary!E43:I43,"PACHY")*100/P43)</f>
        <v>0</v>
      </c>
      <c r="BE43">
        <f>IF(P43=0,0,COUNTIF(Transect5_imgsummary!E43:I43,"PAV")*100/P43)</f>
        <v>0</v>
      </c>
      <c r="BF43">
        <f>IF(P43=0,0,COUNTIF(Transect5_imgsummary!E43:I43,"PECT")*100/P43)</f>
        <v>0</v>
      </c>
      <c r="BG43">
        <f>IF(P43=0,0,COUNTIF(Transect5_imgsummary!E43:I43,"PHYSO")*100/P43)</f>
        <v>0</v>
      </c>
      <c r="BH43">
        <f>IF(P43=0,0,COUNTIF(Transect5_imgsummary!E43:I43,"PLAT")*100/P43)</f>
        <v>0</v>
      </c>
      <c r="BI43">
        <f>IF(P43=0,0,COUNTIF(Transect5_imgsummary!E43:I43,"PLERO")*100/P43)</f>
        <v>0</v>
      </c>
      <c r="BJ43">
        <f>IF(P43=0,0,COUNTIF(Transect5_imgsummary!E43:I43,"POC")*100/P43)</f>
        <v>0</v>
      </c>
      <c r="BK43">
        <f>IF(P43=0,0,COUNTIF(Transect5_imgsummary!E43:I43,"POR")*100/P43)</f>
        <v>0</v>
      </c>
      <c r="BL43">
        <f>IF(P43=0,0,COUNTIF(Transect5_imgsummary!E43:I43,"PORCYL")*100/P43)</f>
        <v>0</v>
      </c>
      <c r="BM43">
        <f>IF(P43=0,0,COUNTIF(Transect5_imgsummary!E43:I43,"PORMAS")*100/P43)</f>
        <v>0</v>
      </c>
      <c r="BN43">
        <f>IF(P43=0,0,COUNTIF(Transect5_imgsummary!E43:I43,"PORRUS")*100/P43)</f>
        <v>0</v>
      </c>
      <c r="BO43">
        <f>IF(P43=0,0,COUNTIF(Transect5_imgsummary!E43:I43,"PSAM")*100/P43)</f>
        <v>0</v>
      </c>
      <c r="BP43">
        <f>IF(P43=0,0,COUNTIF(Transect5_imgsummary!E43:I43,"SANDO")*100/P43)</f>
        <v>0</v>
      </c>
      <c r="BQ43">
        <f>IF(P43=0,0,COUNTIF(Transect5_imgsummary!E43:I43,"SCAP")*100/P43)</f>
        <v>0</v>
      </c>
      <c r="BR43">
        <f>IF(P43=0,0,COUNTIF(Transect5_imgsummary!E43:I43,"SERIA")*100/P43)</f>
        <v>0</v>
      </c>
      <c r="BS43">
        <f>IF(P43=0,0,COUNTIF(Transect5_imgsummary!E43:I43,"STYLC")*100/P43)</f>
        <v>0</v>
      </c>
      <c r="BT43">
        <f>IF(P43=0,0,COUNTIF(Transect5_imgsummary!E43:I43,"STYLO")*100/P43)</f>
        <v>0</v>
      </c>
      <c r="BU43">
        <f>IF(P43=0,0,COUNTIF(Transect5_imgsummary!E43:I43,"SYMP")*100/P43)</f>
        <v>0</v>
      </c>
      <c r="BV43">
        <f>IF(P43=0,0,COUNTIF(Transect5_imgsummary!E43:I43,"TURBIN")*100/P43)</f>
        <v>0</v>
      </c>
      <c r="BX43">
        <f>IF(P43=0,0,COUNTIF(Transect5_imgsummary!E43:I43,"ANEM")*100/P43)</f>
        <v>0</v>
      </c>
      <c r="BY43">
        <f>IF(P43=0,0,COUNTIF(Transect5_imgsummary!E43:I43,"ASC")*100/P43)</f>
        <v>0</v>
      </c>
      <c r="BZ43">
        <f>IF(P43=0,0,COUNTIF(Transect5_imgsummary!E43:I43,"CUPS")*100/P43)</f>
        <v>0</v>
      </c>
      <c r="CA43">
        <f>IF(P43=0,0,COUNTIF(Transect5_imgsummary!E43:I43,"DISCO")*100/P43)</f>
        <v>0</v>
      </c>
      <c r="CB43">
        <f>IF(P43=0,0,COUNTIF(Transect5_imgsummary!E43:I43,"DYS")*100/P43)</f>
        <v>0</v>
      </c>
      <c r="CC43">
        <f>IF(P43=0,0,COUNTIF(Transect5_imgsummary!E43:I43,"G")*100/P43)</f>
        <v>0</v>
      </c>
      <c r="CD43">
        <f>IF(P43=0,0,COUNTIF(Transect5_imgsummary!E43:I43,"NoIDINV")*100/P43)</f>
        <v>0</v>
      </c>
      <c r="CE43">
        <f>IF(P43=0,0,COUNTIF(Transect5_imgsummary!E43:I43,"OLV")*100/P43)</f>
        <v>0</v>
      </c>
      <c r="CF43">
        <f>IF(P43=0,0,COUNTIF(Transect5_imgsummary!E43:I43,"SC")*100/P43)</f>
        <v>0</v>
      </c>
      <c r="CG43">
        <f>IF(P43=0,0,COUNTIF(Transect5_imgsummary!E43:I43,"S")*100/P43)</f>
        <v>0</v>
      </c>
      <c r="CH43">
        <f>IF(P43=0,0,COUNTIF(Transect5_imgsummary!E43:I43,"TERPS")*100/P43)</f>
        <v>0</v>
      </c>
      <c r="CI43">
        <f>IF(P43=0,0,COUNTIF(Transect5_imgsummary!E43:I43,"Z")*100/P43)</f>
        <v>0</v>
      </c>
      <c r="CK43">
        <f>IF(P43=0,0,COUNTIF(Transect5_imgsummary!E43:I43,"ASP")*100/P43)</f>
        <v>0</v>
      </c>
      <c r="CL43">
        <f>IF(P43=0,0,COUNTIF(Transect5_imgsummary!E43:I43,"BG")*100/P43)</f>
        <v>0</v>
      </c>
      <c r="CM43">
        <f>IF(P43=0,0,COUNTIF(Transect5_imgsummary!E43:I43,"Bood")*100/P43)</f>
        <v>0</v>
      </c>
      <c r="CN43">
        <f>IF(P43=0,0,COUNTIF(Transect5_imgsummary!E43:I43,"BRYP")*100/P43)</f>
        <v>0</v>
      </c>
      <c r="CO43">
        <f>IF(P43=0,0,COUNTIF(Transect5_imgsummary!E43:I43,"CLP")*100/P43)</f>
        <v>0</v>
      </c>
      <c r="CP43">
        <f>IF(P43=0,0,COUNTIF(Transect5_imgsummary!E43:I43,"CHLDES")*100/P43)</f>
        <v>0</v>
      </c>
      <c r="CQ43">
        <f>IF(P43=0,0,COUNTIF(Transect5_imgsummary!E43:I43,"DYCTY")*100/P43)</f>
        <v>0</v>
      </c>
      <c r="CR43">
        <f>IF(P43=0,0,COUNTIF(Transect5_imgsummary!E43:I43,"DICT")*100/P43)</f>
        <v>0</v>
      </c>
      <c r="CS43">
        <f>IF(P43=0,0,COUNTIF(Transect5_imgsummary!E43:I43,"GLXU")*100/P43)</f>
        <v>0</v>
      </c>
      <c r="CT43">
        <f>IF(P43=0,0,COUNTIF(Transect5_imgsummary!E43:I43,"HALI")*100/P43)</f>
        <v>0</v>
      </c>
      <c r="CU43">
        <f>IF(P43=0,0,COUNTIF(Transect5_imgsummary!E43:I43,"LIAG")*100/P43)</f>
        <v>0</v>
      </c>
      <c r="CV43">
        <f>IF(P43=0,0,COUNTIF(Transect5_imgsummary!E43:I43,"LOBO")*100/P43)</f>
        <v>0</v>
      </c>
      <c r="CW43">
        <f>IF(P43=0,0,COUNTIF(Transect5_imgsummary!E43:I43,"MAST")*100/P43)</f>
        <v>0</v>
      </c>
      <c r="CX43">
        <f>IF(P43=0,0,COUNTIF(Transect5_imgsummary!E43:I43,"MICDTY")*100/P43)</f>
        <v>0</v>
      </c>
      <c r="CY43">
        <f>IF(P43=0,0,COUNTIF(Transect5_imgsummary!E43:I43,"NEOM")*100/P43)</f>
        <v>0</v>
      </c>
      <c r="CZ43">
        <f>IF(P43=0,0,COUNTIF(Transect5_imgsummary!E43:I43,"NOIDMAC")*100/P43)</f>
        <v>0</v>
      </c>
      <c r="DA43">
        <f>IF(P43=0,0,COUNTIF(Transect5_imgsummary!E43:I43,"PAD")*100/P43)</f>
        <v>0</v>
      </c>
      <c r="DB43">
        <f>IF(P43=0,0,COUNTIF(Transect5_imgsummary!E43:I43,"SARG")*100/P43)</f>
        <v>0</v>
      </c>
      <c r="DC43">
        <f>IF(P43=0,0,COUNTIF(Transect5_imgsummary!E43:I43,"SCHIZ")*100/P43)</f>
        <v>0</v>
      </c>
      <c r="DD43">
        <f>IF(P43=0,0,COUNTIF(Transect5_imgsummary!E43:I43,"TURB")*100/P43)</f>
        <v>0</v>
      </c>
      <c r="DE43">
        <f>IF(P43=0,0,COUNTIF(Transect5_imgsummary!E43:I43,"TYDM")*100/P43)</f>
        <v>0</v>
      </c>
      <c r="DG43">
        <f>IF(P43=0,0,COUNTIF(Transect5_imgsummary!E43:I43,"AMP")*100/P43)</f>
        <v>0</v>
      </c>
      <c r="DH43">
        <f>IF(P43=0,0,COUNTIF(Transect5_imgsummary!E43:I43,"BCA1")*100/P43)</f>
        <v>0</v>
      </c>
      <c r="DI43">
        <f>IF(P43=0,0,COUNTIF(Transect5_imgsummary!E43:I43,"JAN")*100/P43)</f>
        <v>0</v>
      </c>
      <c r="DK43" s="29">
        <f>IF(P43=0,0,COUNTIF(Transect5_imgsummary!E43:I43,"CCA1")*100/P43)</f>
        <v>60</v>
      </c>
      <c r="DM43">
        <f>IF(P43=0,0,COUNTIF(Transect5_imgsummary!E43:I43,"Sand")*100/P43)</f>
        <v>0</v>
      </c>
      <c r="DO43">
        <f>IF(P43=0,0,COUNTIF(Transect5_imgsummary!E43:I43,"FCA1")*100/P43)</f>
        <v>0</v>
      </c>
      <c r="DQ43">
        <f>IF(P43=0,0,COUNTIF(Transect5_imgsummary!E43:I43,"CHRYOBRN")*100/P43)</f>
        <v>0</v>
      </c>
      <c r="DS43" s="29">
        <f>IF(P43=0,0,COUNTIF(Transect5_imgsummary!E43:I43,"TURF")*100/P43)</f>
        <v>20</v>
      </c>
      <c r="DU43">
        <f>COUNTIF(Transect5_imgsummary!E43:I43,"Shadow")*100/5</f>
        <v>0</v>
      </c>
      <c r="DV43">
        <f>COUNTIF(Transect5_imgsummary!E43:I43,"Tape")*100/5</f>
        <v>0</v>
      </c>
      <c r="DW43">
        <f>COUNTIF(Transect5_imgsummary!E43:I43,"Wand")*100/5</f>
        <v>0</v>
      </c>
      <c r="DY43">
        <f>IF(P43=0,0,COUNTIF(Transect5_imgsummary!O43:S43,"BC")*100/P43)</f>
        <v>0</v>
      </c>
    </row>
    <row r="44" spans="1:129">
      <c r="A44">
        <v>42</v>
      </c>
      <c r="B44" t="s">
        <v>639</v>
      </c>
      <c r="F44">
        <f>IF(P44=0,0,COUNTIF(Transect5_imgsummary!J44:N44,"C")*100/P44)</f>
        <v>0</v>
      </c>
      <c r="G44">
        <f>IF(P44=0,0,COUNTIF(Transect5_imgsummary!J44:N44,"OI")*100/P44)</f>
        <v>0</v>
      </c>
      <c r="H44">
        <f>IF(P44=0,0,COUNTIF(Transect5_imgsummary!J44:N44,"MA")*100/P44)</f>
        <v>0</v>
      </c>
      <c r="I44">
        <f>IF(P44=0,0,COUNTIF(Transect5_imgsummary!J44:N44,"BCA")*100/P44)</f>
        <v>0</v>
      </c>
      <c r="J44" s="29">
        <f>IF(P44=0,0,COUNTIF(Transect5_imgsummary!J44:N44,"CCA")*100/P44)</f>
        <v>100</v>
      </c>
      <c r="K44">
        <f>IF(P44=0,0,COUNTIF(Transect5_imgsummary!J44:N44,"SD")*100/P44)</f>
        <v>0</v>
      </c>
      <c r="L44">
        <f>IF(P44=0,0,COUNTIF(Transect5_imgsummary!J44:N44,"FCA")*100/P44)</f>
        <v>0</v>
      </c>
      <c r="M44">
        <f>IF(P44=0,0,COUNTIF(Transect5_imgsummary!J44:N44,"CHRYS")*100/P44)</f>
        <v>0</v>
      </c>
      <c r="N44">
        <f>IF(P44=0,0,COUNTIF(Transect5_imgsummary!J44:N44,"T")*100/P44)</f>
        <v>0</v>
      </c>
      <c r="O44">
        <f>IF(P44=0,0,COUNTIF(Transect5_imgsummary!J44:N44,"TWS")*100/P44)</f>
        <v>0</v>
      </c>
      <c r="P44">
        <f>5-COUNTIF(Transect5_imgsummary!J44:N44,"TWS")</f>
        <v>5</v>
      </c>
      <c r="S44">
        <f>IF(P44=0,0,COUNTIF(Transect5_imgsummary!E44:I44,"ACAN")*100/P44)</f>
        <v>0</v>
      </c>
      <c r="T44">
        <f>IF(P44=0,0,COUNTIF(Transect5_imgsummary!E44:I44,"ACROP")*100/P44)</f>
        <v>0</v>
      </c>
      <c r="U44">
        <f>IF(P44=0,0,COUNTIF(Transect5_imgsummary!E44:I44,"ACROPARB")*100/P44)</f>
        <v>0</v>
      </c>
      <c r="V44">
        <f>IF(P44=0,0,COUNTIF(Transect5_imgsummary!E44:I44,"ACROST")*100/P44)</f>
        <v>0</v>
      </c>
      <c r="W44">
        <f>IF(P44=0,0,COUNTIF(Transect5_imgsummary!E44:I44,"ACROTBL")*100/P44)</f>
        <v>0</v>
      </c>
      <c r="X44">
        <f>IF(P44=0,0,COUNTIF(Transect5_imgsummary!E44:I44,"ASTRP")*100/P44)</f>
        <v>0</v>
      </c>
      <c r="Y44">
        <f>IF(P44=0,0,COUNTIF(Transect5_imgsummary!E44:I44,"CAUL")*100/P44)</f>
        <v>0</v>
      </c>
      <c r="Z44">
        <f>IF(P44=0,0,COUNTIF(Transect5_imgsummary!E44:I44,"COSC")*100/P44)</f>
        <v>0</v>
      </c>
      <c r="AA44">
        <f>IF(P44=0,0,COUNTIF(Transect5_imgsummary!E44:I44,"CTEN")*100/P44)</f>
        <v>0</v>
      </c>
      <c r="AB44">
        <f>IF(P44=0,0,COUNTIF(Transect5_imgsummary!E44:I44,"CYPH")*100/P44)</f>
        <v>0</v>
      </c>
      <c r="AC44">
        <f>IF(P44=0,0,COUNTIF(Transect5_imgsummary!E44:I44,"DIPLO")*100/P44)</f>
        <v>0</v>
      </c>
      <c r="AD44">
        <f>IF(P44=0,0,COUNTIF(Transect5_imgsummary!E44:I44,"ECHPO")*100/P44)</f>
        <v>0</v>
      </c>
      <c r="AE44">
        <f>IF(P44=0,0,COUNTIF(Transect5_imgsummary!E44:I44,"ECHPHY")*100/P44)</f>
        <v>0</v>
      </c>
      <c r="AF44">
        <f>IF(P44=0,0,COUNTIF(Transect5_imgsummary!E44:I44,"EUPH")*100/P44)</f>
        <v>0</v>
      </c>
      <c r="AG44">
        <f>IF(P44=0,0,COUNTIF(Transect5_imgsummary!E44:I44,"FAV")*100/P44)</f>
        <v>0</v>
      </c>
      <c r="AH44">
        <f>IF(P44=0,0,COUNTIF(Transect5_imgsummary!E44:I44,"FAVT")*100/P44)</f>
        <v>0</v>
      </c>
      <c r="AI44">
        <f>IF(P44=0,0,COUNTIF(Transect5_imgsummary!E44:I44,"FUNG")*100/P44)</f>
        <v>0</v>
      </c>
      <c r="AJ44">
        <f>IF(P44=0,0,COUNTIF(Transect5_imgsummary!E44:I44,"GAL")*100/P44)</f>
        <v>0</v>
      </c>
      <c r="AK44">
        <f>IF(P44=0,0,COUNTIF(Transect5_imgsummary!E44:I44,"GARD")*100/P44)</f>
        <v>0</v>
      </c>
      <c r="AL44">
        <f>IF(P44=0,0,COUNTIF(Transect5_imgsummary!E44:I44,"GON")*100/P44)</f>
        <v>0</v>
      </c>
      <c r="AM44">
        <f>IF(P44=0,0,COUNTIF(Transect5_imgsummary!E44:I44,"GONIO")*100/P44)</f>
        <v>0</v>
      </c>
      <c r="AN44">
        <f>IF(P44=0,0,COUNTIF(Transect5_imgsummary!E44:I44,"HELIO")*100/P44)</f>
        <v>0</v>
      </c>
      <c r="AO44">
        <f>IF(P44=0,0,COUNTIF(Transect5_imgsummary!E44:I44,"HERP")*100/P44)</f>
        <v>0</v>
      </c>
      <c r="AP44">
        <f>IF(P44=0,0,COUNTIF(Transect5_imgsummary!E44:I44,"HYD")*100/P44)</f>
        <v>0</v>
      </c>
      <c r="AQ44">
        <f>IF(P44=0,0,COUNTIF(Transect5_imgsummary!E44:I44,"ISOP")*100/P44)</f>
        <v>0</v>
      </c>
      <c r="AR44">
        <f>IF(P44=0,0,COUNTIF(Transect5_imgsummary!E44:I44,"LEPT")*100/P44)</f>
        <v>0</v>
      </c>
      <c r="AS44">
        <f>IF(P44=0,0,COUNTIF(Transect5_imgsummary!E44:I44,"LEPTOR")*100/P44)</f>
        <v>0</v>
      </c>
      <c r="AT44">
        <f>IF(P44=0,0,COUNTIF(Transect5_imgsummary!E44:I44,"LEPTOS")*100/P44)</f>
        <v>0</v>
      </c>
      <c r="AU44">
        <f>IF(P44=0,0,COUNTIF(Transect5_imgsummary!E44:I44,"LOBOPH")*100/P44)</f>
        <v>0</v>
      </c>
      <c r="AV44">
        <f>IF(P44=0,0,COUNTIF(Transect5_imgsummary!E44:I44,"MERU")*100/P44)</f>
        <v>0</v>
      </c>
      <c r="AW44">
        <f>IF(P44=0,0,COUNTIF(Transect5_imgsummary!E44:I44,"MILL")*100/P44)</f>
        <v>0</v>
      </c>
      <c r="AX44">
        <f>IF(P44=0,0,COUNTIF(Transect5_imgsummary!E44:I44,"MONT")*100/P44)</f>
        <v>0</v>
      </c>
      <c r="AY44">
        <f>IF(P44=0,0,COUNTIF(Transect5_imgsummary!E44:I44,"MONTI")*100/P44)</f>
        <v>0</v>
      </c>
      <c r="AZ44">
        <f>IF(P44=0,0,COUNTIF(Transect5_imgsummary!E44:I44,"MYCED")*100/P44)</f>
        <v>0</v>
      </c>
      <c r="BA44">
        <f>IF(P44=0,0,COUNTIF(Transect5_imgsummary!E44:I44,"OULO")*100/P44)</f>
        <v>0</v>
      </c>
      <c r="BB44">
        <f>IF(P44=0,0,COUNTIF(Transect5_imgsummary!E44:I44,"OXYP")*100/P44)</f>
        <v>0</v>
      </c>
      <c r="BC44">
        <f>IF(P44=0,0,COUNTIF(Transect5_imgsummary!E44:I44,"PLSIA")*100/P44)</f>
        <v>0</v>
      </c>
      <c r="BD44">
        <f>IF(P44=0,0,COUNTIF(Transect5_imgsummary!E44:I44,"PACHY")*100/P44)</f>
        <v>0</v>
      </c>
      <c r="BE44">
        <f>IF(P44=0,0,COUNTIF(Transect5_imgsummary!E44:I44,"PAV")*100/P44)</f>
        <v>0</v>
      </c>
      <c r="BF44">
        <f>IF(P44=0,0,COUNTIF(Transect5_imgsummary!E44:I44,"PECT")*100/P44)</f>
        <v>0</v>
      </c>
      <c r="BG44">
        <f>IF(P44=0,0,COUNTIF(Transect5_imgsummary!E44:I44,"PHYSO")*100/P44)</f>
        <v>0</v>
      </c>
      <c r="BH44">
        <f>IF(P44=0,0,COUNTIF(Transect5_imgsummary!E44:I44,"PLAT")*100/P44)</f>
        <v>0</v>
      </c>
      <c r="BI44">
        <f>IF(P44=0,0,COUNTIF(Transect5_imgsummary!E44:I44,"PLERO")*100/P44)</f>
        <v>0</v>
      </c>
      <c r="BJ44">
        <f>IF(P44=0,0,COUNTIF(Transect5_imgsummary!E44:I44,"POC")*100/P44)</f>
        <v>0</v>
      </c>
      <c r="BK44">
        <f>IF(P44=0,0,COUNTIF(Transect5_imgsummary!E44:I44,"POR")*100/P44)</f>
        <v>0</v>
      </c>
      <c r="BL44">
        <f>IF(P44=0,0,COUNTIF(Transect5_imgsummary!E44:I44,"PORCYL")*100/P44)</f>
        <v>0</v>
      </c>
      <c r="BM44">
        <f>IF(P44=0,0,COUNTIF(Transect5_imgsummary!E44:I44,"PORMAS")*100/P44)</f>
        <v>0</v>
      </c>
      <c r="BN44">
        <f>IF(P44=0,0,COUNTIF(Transect5_imgsummary!E44:I44,"PORRUS")*100/P44)</f>
        <v>0</v>
      </c>
      <c r="BO44">
        <f>IF(P44=0,0,COUNTIF(Transect5_imgsummary!E44:I44,"PSAM")*100/P44)</f>
        <v>0</v>
      </c>
      <c r="BP44">
        <f>IF(P44=0,0,COUNTIF(Transect5_imgsummary!E44:I44,"SANDO")*100/P44)</f>
        <v>0</v>
      </c>
      <c r="BQ44">
        <f>IF(P44=0,0,COUNTIF(Transect5_imgsummary!E44:I44,"SCAP")*100/P44)</f>
        <v>0</v>
      </c>
      <c r="BR44">
        <f>IF(P44=0,0,COUNTIF(Transect5_imgsummary!E44:I44,"SERIA")*100/P44)</f>
        <v>0</v>
      </c>
      <c r="BS44">
        <f>IF(P44=0,0,COUNTIF(Transect5_imgsummary!E44:I44,"STYLC")*100/P44)</f>
        <v>0</v>
      </c>
      <c r="BT44">
        <f>IF(P44=0,0,COUNTIF(Transect5_imgsummary!E44:I44,"STYLO")*100/P44)</f>
        <v>0</v>
      </c>
      <c r="BU44">
        <f>IF(P44=0,0,COUNTIF(Transect5_imgsummary!E44:I44,"SYMP")*100/P44)</f>
        <v>0</v>
      </c>
      <c r="BV44">
        <f>IF(P44=0,0,COUNTIF(Transect5_imgsummary!E44:I44,"TURBIN")*100/P44)</f>
        <v>0</v>
      </c>
      <c r="BX44">
        <f>IF(P44=0,0,COUNTIF(Transect5_imgsummary!E44:I44,"ANEM")*100/P44)</f>
        <v>0</v>
      </c>
      <c r="BY44">
        <f>IF(P44=0,0,COUNTIF(Transect5_imgsummary!E44:I44,"ASC")*100/P44)</f>
        <v>0</v>
      </c>
      <c r="BZ44">
        <f>IF(P44=0,0,COUNTIF(Transect5_imgsummary!E44:I44,"CUPS")*100/P44)</f>
        <v>0</v>
      </c>
      <c r="CA44">
        <f>IF(P44=0,0,COUNTIF(Transect5_imgsummary!E44:I44,"DISCO")*100/P44)</f>
        <v>0</v>
      </c>
      <c r="CB44">
        <f>IF(P44=0,0,COUNTIF(Transect5_imgsummary!E44:I44,"DYS")*100/P44)</f>
        <v>0</v>
      </c>
      <c r="CC44">
        <f>IF(P44=0,0,COUNTIF(Transect5_imgsummary!E44:I44,"G")*100/P44)</f>
        <v>0</v>
      </c>
      <c r="CD44">
        <f>IF(P44=0,0,COUNTIF(Transect5_imgsummary!E44:I44,"NoIDINV")*100/P44)</f>
        <v>0</v>
      </c>
      <c r="CE44">
        <f>IF(P44=0,0,COUNTIF(Transect5_imgsummary!E44:I44,"OLV")*100/P44)</f>
        <v>0</v>
      </c>
      <c r="CF44">
        <f>IF(P44=0,0,COUNTIF(Transect5_imgsummary!E44:I44,"SC")*100/P44)</f>
        <v>0</v>
      </c>
      <c r="CG44">
        <f>IF(P44=0,0,COUNTIF(Transect5_imgsummary!E44:I44,"S")*100/P44)</f>
        <v>0</v>
      </c>
      <c r="CH44">
        <f>IF(P44=0,0,COUNTIF(Transect5_imgsummary!E44:I44,"TERPS")*100/P44)</f>
        <v>0</v>
      </c>
      <c r="CI44">
        <f>IF(P44=0,0,COUNTIF(Transect5_imgsummary!E44:I44,"Z")*100/P44)</f>
        <v>0</v>
      </c>
      <c r="CK44">
        <f>IF(P44=0,0,COUNTIF(Transect5_imgsummary!E44:I44,"ASP")*100/P44)</f>
        <v>0</v>
      </c>
      <c r="CL44">
        <f>IF(P44=0,0,COUNTIF(Transect5_imgsummary!E44:I44,"BG")*100/P44)</f>
        <v>0</v>
      </c>
      <c r="CM44">
        <f>IF(P44=0,0,COUNTIF(Transect5_imgsummary!E44:I44,"Bood")*100/P44)</f>
        <v>0</v>
      </c>
      <c r="CN44">
        <f>IF(P44=0,0,COUNTIF(Transect5_imgsummary!E44:I44,"BRYP")*100/P44)</f>
        <v>0</v>
      </c>
      <c r="CO44">
        <f>IF(P44=0,0,COUNTIF(Transect5_imgsummary!E44:I44,"CLP")*100/P44)</f>
        <v>0</v>
      </c>
      <c r="CP44">
        <f>IF(P44=0,0,COUNTIF(Transect5_imgsummary!E44:I44,"CHLDES")*100/P44)</f>
        <v>0</v>
      </c>
      <c r="CQ44">
        <f>IF(P44=0,0,COUNTIF(Transect5_imgsummary!E44:I44,"DYCTY")*100/P44)</f>
        <v>0</v>
      </c>
      <c r="CR44">
        <f>IF(P44=0,0,COUNTIF(Transect5_imgsummary!E44:I44,"DICT")*100/P44)</f>
        <v>0</v>
      </c>
      <c r="CS44">
        <f>IF(P44=0,0,COUNTIF(Transect5_imgsummary!E44:I44,"GLXU")*100/P44)</f>
        <v>0</v>
      </c>
      <c r="CT44">
        <f>IF(P44=0,0,COUNTIF(Transect5_imgsummary!E44:I44,"HALI")*100/P44)</f>
        <v>0</v>
      </c>
      <c r="CU44">
        <f>IF(P44=0,0,COUNTIF(Transect5_imgsummary!E44:I44,"LIAG")*100/P44)</f>
        <v>0</v>
      </c>
      <c r="CV44">
        <f>IF(P44=0,0,COUNTIF(Transect5_imgsummary!E44:I44,"LOBO")*100/P44)</f>
        <v>0</v>
      </c>
      <c r="CW44">
        <f>IF(P44=0,0,COUNTIF(Transect5_imgsummary!E44:I44,"MAST")*100/P44)</f>
        <v>0</v>
      </c>
      <c r="CX44">
        <f>IF(P44=0,0,COUNTIF(Transect5_imgsummary!E44:I44,"MICDTY")*100/P44)</f>
        <v>0</v>
      </c>
      <c r="CY44">
        <f>IF(P44=0,0,COUNTIF(Transect5_imgsummary!E44:I44,"NEOM")*100/P44)</f>
        <v>0</v>
      </c>
      <c r="CZ44">
        <f>IF(P44=0,0,COUNTIF(Transect5_imgsummary!E44:I44,"NOIDMAC")*100/P44)</f>
        <v>0</v>
      </c>
      <c r="DA44">
        <f>IF(P44=0,0,COUNTIF(Transect5_imgsummary!E44:I44,"PAD")*100/P44)</f>
        <v>0</v>
      </c>
      <c r="DB44">
        <f>IF(P44=0,0,COUNTIF(Transect5_imgsummary!E44:I44,"SARG")*100/P44)</f>
        <v>0</v>
      </c>
      <c r="DC44">
        <f>IF(P44=0,0,COUNTIF(Transect5_imgsummary!E44:I44,"SCHIZ")*100/P44)</f>
        <v>0</v>
      </c>
      <c r="DD44">
        <f>IF(P44=0,0,COUNTIF(Transect5_imgsummary!E44:I44,"TURB")*100/P44)</f>
        <v>0</v>
      </c>
      <c r="DE44">
        <f>IF(P44=0,0,COUNTIF(Transect5_imgsummary!E44:I44,"TYDM")*100/P44)</f>
        <v>0</v>
      </c>
      <c r="DG44">
        <f>IF(P44=0,0,COUNTIF(Transect5_imgsummary!E44:I44,"AMP")*100/P44)</f>
        <v>0</v>
      </c>
      <c r="DH44">
        <f>IF(P44=0,0,COUNTIF(Transect5_imgsummary!E44:I44,"BCA1")*100/P44)</f>
        <v>0</v>
      </c>
      <c r="DI44">
        <f>IF(P44=0,0,COUNTIF(Transect5_imgsummary!E44:I44,"JAN")*100/P44)</f>
        <v>0</v>
      </c>
      <c r="DK44" s="29">
        <f>IF(P44=0,0,COUNTIF(Transect5_imgsummary!E44:I44,"CCA1")*100/P44)</f>
        <v>100</v>
      </c>
      <c r="DM44">
        <f>IF(P44=0,0,COUNTIF(Transect5_imgsummary!E44:I44,"Sand")*100/P44)</f>
        <v>0</v>
      </c>
      <c r="DO44">
        <f>IF(P44=0,0,COUNTIF(Transect5_imgsummary!E44:I44,"FCA1")*100/P44)</f>
        <v>0</v>
      </c>
      <c r="DQ44">
        <f>IF(P44=0,0,COUNTIF(Transect5_imgsummary!E44:I44,"CHRYOBRN")*100/P44)</f>
        <v>0</v>
      </c>
      <c r="DS44">
        <f>IF(P44=0,0,COUNTIF(Transect5_imgsummary!E44:I44,"TURF")*100/P44)</f>
        <v>0</v>
      </c>
      <c r="DU44">
        <f>COUNTIF(Transect5_imgsummary!E44:I44,"Shadow")*100/5</f>
        <v>0</v>
      </c>
      <c r="DV44">
        <f>COUNTIF(Transect5_imgsummary!E44:I44,"Tape")*100/5</f>
        <v>0</v>
      </c>
      <c r="DW44">
        <f>COUNTIF(Transect5_imgsummary!E44:I44,"Wand")*100/5</f>
        <v>0</v>
      </c>
      <c r="DY44">
        <f>IF(P44=0,0,COUNTIF(Transect5_imgsummary!O44:S44,"BC")*100/P44)</f>
        <v>0</v>
      </c>
    </row>
    <row r="45" spans="1:129">
      <c r="A45">
        <v>43</v>
      </c>
      <c r="B45" t="s">
        <v>640</v>
      </c>
      <c r="F45">
        <f>IF(P45=0,0,COUNTIF(Transect5_imgsummary!J45:N45,"C")*100/P45)</f>
        <v>0</v>
      </c>
      <c r="G45">
        <f>IF(P45=0,0,COUNTIF(Transect5_imgsummary!J45:N45,"OI")*100/P45)</f>
        <v>0</v>
      </c>
      <c r="H45">
        <f>IF(P45=0,0,COUNTIF(Transect5_imgsummary!J45:N45,"MA")*100/P45)</f>
        <v>0</v>
      </c>
      <c r="I45">
        <f>IF(P45=0,0,COUNTIF(Transect5_imgsummary!J45:N45,"BCA")*100/P45)</f>
        <v>0</v>
      </c>
      <c r="J45" s="29">
        <f>IF(P45=0,0,COUNTIF(Transect5_imgsummary!J45:N45,"CCA")*100/P45)</f>
        <v>80</v>
      </c>
      <c r="K45">
        <f>IF(P45=0,0,COUNTIF(Transect5_imgsummary!J45:N45,"SD")*100/P45)</f>
        <v>0</v>
      </c>
      <c r="L45">
        <f>IF(P45=0,0,COUNTIF(Transect5_imgsummary!J45:N45,"FCA")*100/P45)</f>
        <v>0</v>
      </c>
      <c r="M45">
        <f>IF(P45=0,0,COUNTIF(Transect5_imgsummary!J45:N45,"CHRYS")*100/P45)</f>
        <v>0</v>
      </c>
      <c r="N45" s="29">
        <f>IF(P45=0,0,COUNTIF(Transect5_imgsummary!J45:N45,"T")*100/P45)</f>
        <v>20</v>
      </c>
      <c r="O45">
        <f>IF(P45=0,0,COUNTIF(Transect5_imgsummary!J45:N45,"TWS")*100/P45)</f>
        <v>0</v>
      </c>
      <c r="P45">
        <f>5-COUNTIF(Transect5_imgsummary!J45:N45,"TWS")</f>
        <v>5</v>
      </c>
      <c r="S45">
        <f>IF(P45=0,0,COUNTIF(Transect5_imgsummary!E45:I45,"ACAN")*100/P45)</f>
        <v>0</v>
      </c>
      <c r="T45">
        <f>IF(P45=0,0,COUNTIF(Transect5_imgsummary!E45:I45,"ACROP")*100/P45)</f>
        <v>0</v>
      </c>
      <c r="U45">
        <f>IF(P45=0,0,COUNTIF(Transect5_imgsummary!E45:I45,"ACROPARB")*100/P45)</f>
        <v>0</v>
      </c>
      <c r="V45">
        <f>IF(P45=0,0,COUNTIF(Transect5_imgsummary!E45:I45,"ACROST")*100/P45)</f>
        <v>0</v>
      </c>
      <c r="W45">
        <f>IF(P45=0,0,COUNTIF(Transect5_imgsummary!E45:I45,"ACROTBL")*100/P45)</f>
        <v>0</v>
      </c>
      <c r="X45">
        <f>IF(P45=0,0,COUNTIF(Transect5_imgsummary!E45:I45,"ASTRP")*100/P45)</f>
        <v>0</v>
      </c>
      <c r="Y45">
        <f>IF(P45=0,0,COUNTIF(Transect5_imgsummary!E45:I45,"CAUL")*100/P45)</f>
        <v>0</v>
      </c>
      <c r="Z45">
        <f>IF(P45=0,0,COUNTIF(Transect5_imgsummary!E45:I45,"COSC")*100/P45)</f>
        <v>0</v>
      </c>
      <c r="AA45">
        <f>IF(P45=0,0,COUNTIF(Transect5_imgsummary!E45:I45,"CTEN")*100/P45)</f>
        <v>0</v>
      </c>
      <c r="AB45">
        <f>IF(P45=0,0,COUNTIF(Transect5_imgsummary!E45:I45,"CYPH")*100/P45)</f>
        <v>0</v>
      </c>
      <c r="AC45">
        <f>IF(P45=0,0,COUNTIF(Transect5_imgsummary!E45:I45,"DIPLO")*100/P45)</f>
        <v>0</v>
      </c>
      <c r="AD45">
        <f>IF(P45=0,0,COUNTIF(Transect5_imgsummary!E45:I45,"ECHPO")*100/P45)</f>
        <v>0</v>
      </c>
      <c r="AE45">
        <f>IF(P45=0,0,COUNTIF(Transect5_imgsummary!E45:I45,"ECHPHY")*100/P45)</f>
        <v>0</v>
      </c>
      <c r="AF45">
        <f>IF(P45=0,0,COUNTIF(Transect5_imgsummary!E45:I45,"EUPH")*100/P45)</f>
        <v>0</v>
      </c>
      <c r="AG45">
        <f>IF(P45=0,0,COUNTIF(Transect5_imgsummary!E45:I45,"FAV")*100/P45)</f>
        <v>0</v>
      </c>
      <c r="AH45">
        <f>IF(P45=0,0,COUNTIF(Transect5_imgsummary!E45:I45,"FAVT")*100/P45)</f>
        <v>0</v>
      </c>
      <c r="AI45">
        <f>IF(P45=0,0,COUNTIF(Transect5_imgsummary!E45:I45,"FUNG")*100/P45)</f>
        <v>0</v>
      </c>
      <c r="AJ45">
        <f>IF(P45=0,0,COUNTIF(Transect5_imgsummary!E45:I45,"GAL")*100/P45)</f>
        <v>0</v>
      </c>
      <c r="AK45">
        <f>IF(P45=0,0,COUNTIF(Transect5_imgsummary!E45:I45,"GARD")*100/P45)</f>
        <v>0</v>
      </c>
      <c r="AL45">
        <f>IF(P45=0,0,COUNTIF(Transect5_imgsummary!E45:I45,"GON")*100/P45)</f>
        <v>0</v>
      </c>
      <c r="AM45">
        <f>IF(P45=0,0,COUNTIF(Transect5_imgsummary!E45:I45,"GONIO")*100/P45)</f>
        <v>0</v>
      </c>
      <c r="AN45">
        <f>IF(P45=0,0,COUNTIF(Transect5_imgsummary!E45:I45,"HELIO")*100/P45)</f>
        <v>0</v>
      </c>
      <c r="AO45">
        <f>IF(P45=0,0,COUNTIF(Transect5_imgsummary!E45:I45,"HERP")*100/P45)</f>
        <v>0</v>
      </c>
      <c r="AP45">
        <f>IF(P45=0,0,COUNTIF(Transect5_imgsummary!E45:I45,"HYD")*100/P45)</f>
        <v>0</v>
      </c>
      <c r="AQ45">
        <f>IF(P45=0,0,COUNTIF(Transect5_imgsummary!E45:I45,"ISOP")*100/P45)</f>
        <v>0</v>
      </c>
      <c r="AR45">
        <f>IF(P45=0,0,COUNTIF(Transect5_imgsummary!E45:I45,"LEPT")*100/P45)</f>
        <v>0</v>
      </c>
      <c r="AS45">
        <f>IF(P45=0,0,COUNTIF(Transect5_imgsummary!E45:I45,"LEPTOR")*100/P45)</f>
        <v>0</v>
      </c>
      <c r="AT45">
        <f>IF(P45=0,0,COUNTIF(Transect5_imgsummary!E45:I45,"LEPTOS")*100/P45)</f>
        <v>0</v>
      </c>
      <c r="AU45">
        <f>IF(P45=0,0,COUNTIF(Transect5_imgsummary!E45:I45,"LOBOPH")*100/P45)</f>
        <v>0</v>
      </c>
      <c r="AV45">
        <f>IF(P45=0,0,COUNTIF(Transect5_imgsummary!E45:I45,"MERU")*100/P45)</f>
        <v>0</v>
      </c>
      <c r="AW45">
        <f>IF(P45=0,0,COUNTIF(Transect5_imgsummary!E45:I45,"MILL")*100/P45)</f>
        <v>0</v>
      </c>
      <c r="AX45">
        <f>IF(P45=0,0,COUNTIF(Transect5_imgsummary!E45:I45,"MONT")*100/P45)</f>
        <v>0</v>
      </c>
      <c r="AY45">
        <f>IF(P45=0,0,COUNTIF(Transect5_imgsummary!E45:I45,"MONTI")*100/P45)</f>
        <v>0</v>
      </c>
      <c r="AZ45">
        <f>IF(P45=0,0,COUNTIF(Transect5_imgsummary!E45:I45,"MYCED")*100/P45)</f>
        <v>0</v>
      </c>
      <c r="BA45">
        <f>IF(P45=0,0,COUNTIF(Transect5_imgsummary!E45:I45,"OULO")*100/P45)</f>
        <v>0</v>
      </c>
      <c r="BB45">
        <f>IF(P45=0,0,COUNTIF(Transect5_imgsummary!E45:I45,"OXYP")*100/P45)</f>
        <v>0</v>
      </c>
      <c r="BC45">
        <f>IF(P45=0,0,COUNTIF(Transect5_imgsummary!E45:I45,"PLSIA")*100/P45)</f>
        <v>0</v>
      </c>
      <c r="BD45">
        <f>IF(P45=0,0,COUNTIF(Transect5_imgsummary!E45:I45,"PACHY")*100/P45)</f>
        <v>0</v>
      </c>
      <c r="BE45">
        <f>IF(P45=0,0,COUNTIF(Transect5_imgsummary!E45:I45,"PAV")*100/P45)</f>
        <v>0</v>
      </c>
      <c r="BF45">
        <f>IF(P45=0,0,COUNTIF(Transect5_imgsummary!E45:I45,"PECT")*100/P45)</f>
        <v>0</v>
      </c>
      <c r="BG45">
        <f>IF(P45=0,0,COUNTIF(Transect5_imgsummary!E45:I45,"PHYSO")*100/P45)</f>
        <v>0</v>
      </c>
      <c r="BH45">
        <f>IF(P45=0,0,COUNTIF(Transect5_imgsummary!E45:I45,"PLAT")*100/P45)</f>
        <v>0</v>
      </c>
      <c r="BI45">
        <f>IF(P45=0,0,COUNTIF(Transect5_imgsummary!E45:I45,"PLERO")*100/P45)</f>
        <v>0</v>
      </c>
      <c r="BJ45">
        <f>IF(P45=0,0,COUNTIF(Transect5_imgsummary!E45:I45,"POC")*100/P45)</f>
        <v>0</v>
      </c>
      <c r="BK45">
        <f>IF(P45=0,0,COUNTIF(Transect5_imgsummary!E45:I45,"POR")*100/P45)</f>
        <v>0</v>
      </c>
      <c r="BL45">
        <f>IF(P45=0,0,COUNTIF(Transect5_imgsummary!E45:I45,"PORCYL")*100/P45)</f>
        <v>0</v>
      </c>
      <c r="BM45">
        <f>IF(P45=0,0,COUNTIF(Transect5_imgsummary!E45:I45,"PORMAS")*100/P45)</f>
        <v>0</v>
      </c>
      <c r="BN45">
        <f>IF(P45=0,0,COUNTIF(Transect5_imgsummary!E45:I45,"PORRUS")*100/P45)</f>
        <v>0</v>
      </c>
      <c r="BO45">
        <f>IF(P45=0,0,COUNTIF(Transect5_imgsummary!E45:I45,"PSAM")*100/P45)</f>
        <v>0</v>
      </c>
      <c r="BP45">
        <f>IF(P45=0,0,COUNTIF(Transect5_imgsummary!E45:I45,"SANDO")*100/P45)</f>
        <v>0</v>
      </c>
      <c r="BQ45">
        <f>IF(P45=0,0,COUNTIF(Transect5_imgsummary!E45:I45,"SCAP")*100/P45)</f>
        <v>0</v>
      </c>
      <c r="BR45">
        <f>IF(P45=0,0,COUNTIF(Transect5_imgsummary!E45:I45,"SERIA")*100/P45)</f>
        <v>0</v>
      </c>
      <c r="BS45">
        <f>IF(P45=0,0,COUNTIF(Transect5_imgsummary!E45:I45,"STYLC")*100/P45)</f>
        <v>0</v>
      </c>
      <c r="BT45">
        <f>IF(P45=0,0,COUNTIF(Transect5_imgsummary!E45:I45,"STYLO")*100/P45)</f>
        <v>0</v>
      </c>
      <c r="BU45">
        <f>IF(P45=0,0,COUNTIF(Transect5_imgsummary!E45:I45,"SYMP")*100/P45)</f>
        <v>0</v>
      </c>
      <c r="BV45">
        <f>IF(P45=0,0,COUNTIF(Transect5_imgsummary!E45:I45,"TURBIN")*100/P45)</f>
        <v>0</v>
      </c>
      <c r="BX45">
        <f>IF(P45=0,0,COUNTIF(Transect5_imgsummary!E45:I45,"ANEM")*100/P45)</f>
        <v>0</v>
      </c>
      <c r="BY45">
        <f>IF(P45=0,0,COUNTIF(Transect5_imgsummary!E45:I45,"ASC")*100/P45)</f>
        <v>0</v>
      </c>
      <c r="BZ45">
        <f>IF(P45=0,0,COUNTIF(Transect5_imgsummary!E45:I45,"CUPS")*100/P45)</f>
        <v>0</v>
      </c>
      <c r="CA45">
        <f>IF(P45=0,0,COUNTIF(Transect5_imgsummary!E45:I45,"DISCO")*100/P45)</f>
        <v>0</v>
      </c>
      <c r="CB45">
        <f>IF(P45=0,0,COUNTIF(Transect5_imgsummary!E45:I45,"DYS")*100/P45)</f>
        <v>0</v>
      </c>
      <c r="CC45">
        <f>IF(P45=0,0,COUNTIF(Transect5_imgsummary!E45:I45,"G")*100/P45)</f>
        <v>0</v>
      </c>
      <c r="CD45">
        <f>IF(P45=0,0,COUNTIF(Transect5_imgsummary!E45:I45,"NoIDINV")*100/P45)</f>
        <v>0</v>
      </c>
      <c r="CE45">
        <f>IF(P45=0,0,COUNTIF(Transect5_imgsummary!E45:I45,"OLV")*100/P45)</f>
        <v>0</v>
      </c>
      <c r="CF45">
        <f>IF(P45=0,0,COUNTIF(Transect5_imgsummary!E45:I45,"SC")*100/P45)</f>
        <v>0</v>
      </c>
      <c r="CG45">
        <f>IF(P45=0,0,COUNTIF(Transect5_imgsummary!E45:I45,"S")*100/P45)</f>
        <v>0</v>
      </c>
      <c r="CH45">
        <f>IF(P45=0,0,COUNTIF(Transect5_imgsummary!E45:I45,"TERPS")*100/P45)</f>
        <v>0</v>
      </c>
      <c r="CI45">
        <f>IF(P45=0,0,COUNTIF(Transect5_imgsummary!E45:I45,"Z")*100/P45)</f>
        <v>0</v>
      </c>
      <c r="CK45">
        <f>IF(P45=0,0,COUNTIF(Transect5_imgsummary!E45:I45,"ASP")*100/P45)</f>
        <v>0</v>
      </c>
      <c r="CL45">
        <f>IF(P45=0,0,COUNTIF(Transect5_imgsummary!E45:I45,"BG")*100/P45)</f>
        <v>0</v>
      </c>
      <c r="CM45">
        <f>IF(P45=0,0,COUNTIF(Transect5_imgsummary!E45:I45,"Bood")*100/P45)</f>
        <v>0</v>
      </c>
      <c r="CN45">
        <f>IF(P45=0,0,COUNTIF(Transect5_imgsummary!E45:I45,"BRYP")*100/P45)</f>
        <v>0</v>
      </c>
      <c r="CO45">
        <f>IF(P45=0,0,COUNTIF(Transect5_imgsummary!E45:I45,"CLP")*100/P45)</f>
        <v>0</v>
      </c>
      <c r="CP45">
        <f>IF(P45=0,0,COUNTIF(Transect5_imgsummary!E45:I45,"CHLDES")*100/P45)</f>
        <v>0</v>
      </c>
      <c r="CQ45">
        <f>IF(P45=0,0,COUNTIF(Transect5_imgsummary!E45:I45,"DYCTY")*100/P45)</f>
        <v>0</v>
      </c>
      <c r="CR45">
        <f>IF(P45=0,0,COUNTIF(Transect5_imgsummary!E45:I45,"DICT")*100/P45)</f>
        <v>0</v>
      </c>
      <c r="CS45">
        <f>IF(P45=0,0,COUNTIF(Transect5_imgsummary!E45:I45,"GLXU")*100/P45)</f>
        <v>0</v>
      </c>
      <c r="CT45">
        <f>IF(P45=0,0,COUNTIF(Transect5_imgsummary!E45:I45,"HALI")*100/P45)</f>
        <v>0</v>
      </c>
      <c r="CU45">
        <f>IF(P45=0,0,COUNTIF(Transect5_imgsummary!E45:I45,"LIAG")*100/P45)</f>
        <v>0</v>
      </c>
      <c r="CV45">
        <f>IF(P45=0,0,COUNTIF(Transect5_imgsummary!E45:I45,"LOBO")*100/P45)</f>
        <v>0</v>
      </c>
      <c r="CW45">
        <f>IF(P45=0,0,COUNTIF(Transect5_imgsummary!E45:I45,"MAST")*100/P45)</f>
        <v>0</v>
      </c>
      <c r="CX45">
        <f>IF(P45=0,0,COUNTIF(Transect5_imgsummary!E45:I45,"MICDTY")*100/P45)</f>
        <v>0</v>
      </c>
      <c r="CY45">
        <f>IF(P45=0,0,COUNTIF(Transect5_imgsummary!E45:I45,"NEOM")*100/P45)</f>
        <v>0</v>
      </c>
      <c r="CZ45">
        <f>IF(P45=0,0,COUNTIF(Transect5_imgsummary!E45:I45,"NOIDMAC")*100/P45)</f>
        <v>0</v>
      </c>
      <c r="DA45">
        <f>IF(P45=0,0,COUNTIF(Transect5_imgsummary!E45:I45,"PAD")*100/P45)</f>
        <v>0</v>
      </c>
      <c r="DB45">
        <f>IF(P45=0,0,COUNTIF(Transect5_imgsummary!E45:I45,"SARG")*100/P45)</f>
        <v>0</v>
      </c>
      <c r="DC45">
        <f>IF(P45=0,0,COUNTIF(Transect5_imgsummary!E45:I45,"SCHIZ")*100/P45)</f>
        <v>0</v>
      </c>
      <c r="DD45">
        <f>IF(P45=0,0,COUNTIF(Transect5_imgsummary!E45:I45,"TURB")*100/P45)</f>
        <v>0</v>
      </c>
      <c r="DE45">
        <f>IF(P45=0,0,COUNTIF(Transect5_imgsummary!E45:I45,"TYDM")*100/P45)</f>
        <v>0</v>
      </c>
      <c r="DG45">
        <f>IF(P45=0,0,COUNTIF(Transect5_imgsummary!E45:I45,"AMP")*100/P45)</f>
        <v>0</v>
      </c>
      <c r="DH45">
        <f>IF(P45=0,0,COUNTIF(Transect5_imgsummary!E45:I45,"BCA1")*100/P45)</f>
        <v>0</v>
      </c>
      <c r="DI45">
        <f>IF(P45=0,0,COUNTIF(Transect5_imgsummary!E45:I45,"JAN")*100/P45)</f>
        <v>0</v>
      </c>
      <c r="DK45" s="29">
        <f>IF(P45=0,0,COUNTIF(Transect5_imgsummary!E45:I45,"CCA1")*100/P45)</f>
        <v>80</v>
      </c>
      <c r="DM45">
        <f>IF(P45=0,0,COUNTIF(Transect5_imgsummary!E45:I45,"Sand")*100/P45)</f>
        <v>0</v>
      </c>
      <c r="DO45">
        <f>IF(P45=0,0,COUNTIF(Transect5_imgsummary!E45:I45,"FCA1")*100/P45)</f>
        <v>0</v>
      </c>
      <c r="DQ45">
        <f>IF(P45=0,0,COUNTIF(Transect5_imgsummary!E45:I45,"CHRYOBRN")*100/P45)</f>
        <v>0</v>
      </c>
      <c r="DS45" s="29">
        <f>IF(P45=0,0,COUNTIF(Transect5_imgsummary!E45:I45,"TURF")*100/P45)</f>
        <v>20</v>
      </c>
      <c r="DU45">
        <f>COUNTIF(Transect5_imgsummary!E45:I45,"Shadow")*100/5</f>
        <v>0</v>
      </c>
      <c r="DV45">
        <f>COUNTIF(Transect5_imgsummary!E45:I45,"Tape")*100/5</f>
        <v>0</v>
      </c>
      <c r="DW45">
        <f>COUNTIF(Transect5_imgsummary!E45:I45,"Wand")*100/5</f>
        <v>0</v>
      </c>
      <c r="DY45">
        <f>IF(P45=0,0,COUNTIF(Transect5_imgsummary!O45:S45,"BC")*100/P45)</f>
        <v>0</v>
      </c>
    </row>
    <row r="46" spans="1:129">
      <c r="A46">
        <v>44</v>
      </c>
      <c r="B46" t="s">
        <v>641</v>
      </c>
      <c r="F46">
        <f>IF(P46=0,0,COUNTIF(Transect5_imgsummary!J46:N46,"C")*100/P46)</f>
        <v>0</v>
      </c>
      <c r="G46">
        <f>IF(P46=0,0,COUNTIF(Transect5_imgsummary!J46:N46,"OI")*100/P46)</f>
        <v>0</v>
      </c>
      <c r="H46">
        <f>IF(P46=0,0,COUNTIF(Transect5_imgsummary!J46:N46,"MA")*100/P46)</f>
        <v>0</v>
      </c>
      <c r="I46" s="29">
        <f>IF(P46=0,0,COUNTIF(Transect5_imgsummary!J46:N46,"BCA")*100/P46)</f>
        <v>20</v>
      </c>
      <c r="J46" s="29">
        <f>IF(P46=0,0,COUNTIF(Transect5_imgsummary!J46:N46,"CCA")*100/P46)</f>
        <v>80</v>
      </c>
      <c r="K46">
        <f>IF(P46=0,0,COUNTIF(Transect5_imgsummary!J46:N46,"SD")*100/P46)</f>
        <v>0</v>
      </c>
      <c r="L46">
        <f>IF(P46=0,0,COUNTIF(Transect5_imgsummary!J46:N46,"FCA")*100/P46)</f>
        <v>0</v>
      </c>
      <c r="M46">
        <f>IF(P46=0,0,COUNTIF(Transect5_imgsummary!J46:N46,"CHRYS")*100/P46)</f>
        <v>0</v>
      </c>
      <c r="N46">
        <f>IF(P46=0,0,COUNTIF(Transect5_imgsummary!J46:N46,"T")*100/P46)</f>
        <v>0</v>
      </c>
      <c r="O46">
        <f>IF(P46=0,0,COUNTIF(Transect5_imgsummary!J46:N46,"TWS")*100/P46)</f>
        <v>0</v>
      </c>
      <c r="P46">
        <f>5-COUNTIF(Transect5_imgsummary!J46:N46,"TWS")</f>
        <v>5</v>
      </c>
      <c r="S46">
        <f>IF(P46=0,0,COUNTIF(Transect5_imgsummary!E46:I46,"ACAN")*100/P46)</f>
        <v>0</v>
      </c>
      <c r="T46">
        <f>IF(P46=0,0,COUNTIF(Transect5_imgsummary!E46:I46,"ACROP")*100/P46)</f>
        <v>0</v>
      </c>
      <c r="U46">
        <f>IF(P46=0,0,COUNTIF(Transect5_imgsummary!E46:I46,"ACROPARB")*100/P46)</f>
        <v>0</v>
      </c>
      <c r="V46">
        <f>IF(P46=0,0,COUNTIF(Transect5_imgsummary!E46:I46,"ACROST")*100/P46)</f>
        <v>0</v>
      </c>
      <c r="W46">
        <f>IF(P46=0,0,COUNTIF(Transect5_imgsummary!E46:I46,"ACROTBL")*100/P46)</f>
        <v>0</v>
      </c>
      <c r="X46">
        <f>IF(P46=0,0,COUNTIF(Transect5_imgsummary!E46:I46,"ASTRP")*100/P46)</f>
        <v>0</v>
      </c>
      <c r="Y46">
        <f>IF(P46=0,0,COUNTIF(Transect5_imgsummary!E46:I46,"CAUL")*100/P46)</f>
        <v>0</v>
      </c>
      <c r="Z46">
        <f>IF(P46=0,0,COUNTIF(Transect5_imgsummary!E46:I46,"COSC")*100/P46)</f>
        <v>0</v>
      </c>
      <c r="AA46">
        <f>IF(P46=0,0,COUNTIF(Transect5_imgsummary!E46:I46,"CTEN")*100/P46)</f>
        <v>0</v>
      </c>
      <c r="AB46">
        <f>IF(P46=0,0,COUNTIF(Transect5_imgsummary!E46:I46,"CYPH")*100/P46)</f>
        <v>0</v>
      </c>
      <c r="AC46">
        <f>IF(P46=0,0,COUNTIF(Transect5_imgsummary!E46:I46,"DIPLO")*100/P46)</f>
        <v>0</v>
      </c>
      <c r="AD46">
        <f>IF(P46=0,0,COUNTIF(Transect5_imgsummary!E46:I46,"ECHPO")*100/P46)</f>
        <v>0</v>
      </c>
      <c r="AE46">
        <f>IF(P46=0,0,COUNTIF(Transect5_imgsummary!E46:I46,"ECHPHY")*100/P46)</f>
        <v>0</v>
      </c>
      <c r="AF46">
        <f>IF(P46=0,0,COUNTIF(Transect5_imgsummary!E46:I46,"EUPH")*100/P46)</f>
        <v>0</v>
      </c>
      <c r="AG46">
        <f>IF(P46=0,0,COUNTIF(Transect5_imgsummary!E46:I46,"FAV")*100/P46)</f>
        <v>0</v>
      </c>
      <c r="AH46">
        <f>IF(P46=0,0,COUNTIF(Transect5_imgsummary!E46:I46,"FAVT")*100/P46)</f>
        <v>0</v>
      </c>
      <c r="AI46">
        <f>IF(P46=0,0,COUNTIF(Transect5_imgsummary!E46:I46,"FUNG")*100/P46)</f>
        <v>0</v>
      </c>
      <c r="AJ46">
        <f>IF(P46=0,0,COUNTIF(Transect5_imgsummary!E46:I46,"GAL")*100/P46)</f>
        <v>0</v>
      </c>
      <c r="AK46">
        <f>IF(P46=0,0,COUNTIF(Transect5_imgsummary!E46:I46,"GARD")*100/P46)</f>
        <v>0</v>
      </c>
      <c r="AL46">
        <f>IF(P46=0,0,COUNTIF(Transect5_imgsummary!E46:I46,"GON")*100/P46)</f>
        <v>0</v>
      </c>
      <c r="AM46">
        <f>IF(P46=0,0,COUNTIF(Transect5_imgsummary!E46:I46,"GONIO")*100/P46)</f>
        <v>0</v>
      </c>
      <c r="AN46">
        <f>IF(P46=0,0,COUNTIF(Transect5_imgsummary!E46:I46,"HELIO")*100/P46)</f>
        <v>0</v>
      </c>
      <c r="AO46">
        <f>IF(P46=0,0,COUNTIF(Transect5_imgsummary!E46:I46,"HERP")*100/P46)</f>
        <v>0</v>
      </c>
      <c r="AP46">
        <f>IF(P46=0,0,COUNTIF(Transect5_imgsummary!E46:I46,"HYD")*100/P46)</f>
        <v>0</v>
      </c>
      <c r="AQ46">
        <f>IF(P46=0,0,COUNTIF(Transect5_imgsummary!E46:I46,"ISOP")*100/P46)</f>
        <v>0</v>
      </c>
      <c r="AR46">
        <f>IF(P46=0,0,COUNTIF(Transect5_imgsummary!E46:I46,"LEPT")*100/P46)</f>
        <v>0</v>
      </c>
      <c r="AS46">
        <f>IF(P46=0,0,COUNTIF(Transect5_imgsummary!E46:I46,"LEPTOR")*100/P46)</f>
        <v>0</v>
      </c>
      <c r="AT46">
        <f>IF(P46=0,0,COUNTIF(Transect5_imgsummary!E46:I46,"LEPTOS")*100/P46)</f>
        <v>0</v>
      </c>
      <c r="AU46">
        <f>IF(P46=0,0,COUNTIF(Transect5_imgsummary!E46:I46,"LOBOPH")*100/P46)</f>
        <v>0</v>
      </c>
      <c r="AV46">
        <f>IF(P46=0,0,COUNTIF(Transect5_imgsummary!E46:I46,"MERU")*100/P46)</f>
        <v>0</v>
      </c>
      <c r="AW46">
        <f>IF(P46=0,0,COUNTIF(Transect5_imgsummary!E46:I46,"MILL")*100/P46)</f>
        <v>0</v>
      </c>
      <c r="AX46">
        <f>IF(P46=0,0,COUNTIF(Transect5_imgsummary!E46:I46,"MONT")*100/P46)</f>
        <v>0</v>
      </c>
      <c r="AY46">
        <f>IF(P46=0,0,COUNTIF(Transect5_imgsummary!E46:I46,"MONTI")*100/P46)</f>
        <v>0</v>
      </c>
      <c r="AZ46">
        <f>IF(P46=0,0,COUNTIF(Transect5_imgsummary!E46:I46,"MYCED")*100/P46)</f>
        <v>0</v>
      </c>
      <c r="BA46">
        <f>IF(P46=0,0,COUNTIF(Transect5_imgsummary!E46:I46,"OULO")*100/P46)</f>
        <v>0</v>
      </c>
      <c r="BB46">
        <f>IF(P46=0,0,COUNTIF(Transect5_imgsummary!E46:I46,"OXYP")*100/P46)</f>
        <v>0</v>
      </c>
      <c r="BC46">
        <f>IF(P46=0,0,COUNTIF(Transect5_imgsummary!E46:I46,"PLSIA")*100/P46)</f>
        <v>0</v>
      </c>
      <c r="BD46">
        <f>IF(P46=0,0,COUNTIF(Transect5_imgsummary!E46:I46,"PACHY")*100/P46)</f>
        <v>0</v>
      </c>
      <c r="BE46">
        <f>IF(P46=0,0,COUNTIF(Transect5_imgsummary!E46:I46,"PAV")*100/P46)</f>
        <v>0</v>
      </c>
      <c r="BF46">
        <f>IF(P46=0,0,COUNTIF(Transect5_imgsummary!E46:I46,"PECT")*100/P46)</f>
        <v>0</v>
      </c>
      <c r="BG46">
        <f>IF(P46=0,0,COUNTIF(Transect5_imgsummary!E46:I46,"PHYSO")*100/P46)</f>
        <v>0</v>
      </c>
      <c r="BH46">
        <f>IF(P46=0,0,COUNTIF(Transect5_imgsummary!E46:I46,"PLAT")*100/P46)</f>
        <v>0</v>
      </c>
      <c r="BI46">
        <f>IF(P46=0,0,COUNTIF(Transect5_imgsummary!E46:I46,"PLERO")*100/P46)</f>
        <v>0</v>
      </c>
      <c r="BJ46">
        <f>IF(P46=0,0,COUNTIF(Transect5_imgsummary!E46:I46,"POC")*100/P46)</f>
        <v>0</v>
      </c>
      <c r="BK46">
        <f>IF(P46=0,0,COUNTIF(Transect5_imgsummary!E46:I46,"POR")*100/P46)</f>
        <v>0</v>
      </c>
      <c r="BL46">
        <f>IF(P46=0,0,COUNTIF(Transect5_imgsummary!E46:I46,"PORCYL")*100/P46)</f>
        <v>0</v>
      </c>
      <c r="BM46">
        <f>IF(P46=0,0,COUNTIF(Transect5_imgsummary!E46:I46,"PORMAS")*100/P46)</f>
        <v>0</v>
      </c>
      <c r="BN46">
        <f>IF(P46=0,0,COUNTIF(Transect5_imgsummary!E46:I46,"PORRUS")*100/P46)</f>
        <v>0</v>
      </c>
      <c r="BO46">
        <f>IF(P46=0,0,COUNTIF(Transect5_imgsummary!E46:I46,"PSAM")*100/P46)</f>
        <v>0</v>
      </c>
      <c r="BP46">
        <f>IF(P46=0,0,COUNTIF(Transect5_imgsummary!E46:I46,"SANDO")*100/P46)</f>
        <v>0</v>
      </c>
      <c r="BQ46">
        <f>IF(P46=0,0,COUNTIF(Transect5_imgsummary!E46:I46,"SCAP")*100/P46)</f>
        <v>0</v>
      </c>
      <c r="BR46">
        <f>IF(P46=0,0,COUNTIF(Transect5_imgsummary!E46:I46,"SERIA")*100/P46)</f>
        <v>0</v>
      </c>
      <c r="BS46">
        <f>IF(P46=0,0,COUNTIF(Transect5_imgsummary!E46:I46,"STYLC")*100/P46)</f>
        <v>0</v>
      </c>
      <c r="BT46">
        <f>IF(P46=0,0,COUNTIF(Transect5_imgsummary!E46:I46,"STYLO")*100/P46)</f>
        <v>0</v>
      </c>
      <c r="BU46">
        <f>IF(P46=0,0,COUNTIF(Transect5_imgsummary!E46:I46,"SYMP")*100/P46)</f>
        <v>0</v>
      </c>
      <c r="BV46">
        <f>IF(P46=0,0,COUNTIF(Transect5_imgsummary!E46:I46,"TURBIN")*100/P46)</f>
        <v>0</v>
      </c>
      <c r="BX46">
        <f>IF(P46=0,0,COUNTIF(Transect5_imgsummary!E46:I46,"ANEM")*100/P46)</f>
        <v>0</v>
      </c>
      <c r="BY46">
        <f>IF(P46=0,0,COUNTIF(Transect5_imgsummary!E46:I46,"ASC")*100/P46)</f>
        <v>0</v>
      </c>
      <c r="BZ46">
        <f>IF(P46=0,0,COUNTIF(Transect5_imgsummary!E46:I46,"CUPS")*100/P46)</f>
        <v>0</v>
      </c>
      <c r="CA46">
        <f>IF(P46=0,0,COUNTIF(Transect5_imgsummary!E46:I46,"DISCO")*100/P46)</f>
        <v>0</v>
      </c>
      <c r="CB46">
        <f>IF(P46=0,0,COUNTIF(Transect5_imgsummary!E46:I46,"DYS")*100/P46)</f>
        <v>0</v>
      </c>
      <c r="CC46">
        <f>IF(P46=0,0,COUNTIF(Transect5_imgsummary!E46:I46,"G")*100/P46)</f>
        <v>0</v>
      </c>
      <c r="CD46">
        <f>IF(P46=0,0,COUNTIF(Transect5_imgsummary!E46:I46,"NoIDINV")*100/P46)</f>
        <v>0</v>
      </c>
      <c r="CE46">
        <f>IF(P46=0,0,COUNTIF(Transect5_imgsummary!E46:I46,"OLV")*100/P46)</f>
        <v>0</v>
      </c>
      <c r="CF46">
        <f>IF(P46=0,0,COUNTIF(Transect5_imgsummary!E46:I46,"SC")*100/P46)</f>
        <v>0</v>
      </c>
      <c r="CG46">
        <f>IF(P46=0,0,COUNTIF(Transect5_imgsummary!E46:I46,"S")*100/P46)</f>
        <v>0</v>
      </c>
      <c r="CH46">
        <f>IF(P46=0,0,COUNTIF(Transect5_imgsummary!E46:I46,"TERPS")*100/P46)</f>
        <v>0</v>
      </c>
      <c r="CI46">
        <f>IF(P46=0,0,COUNTIF(Transect5_imgsummary!E46:I46,"Z")*100/P46)</f>
        <v>0</v>
      </c>
      <c r="CK46">
        <f>IF(P46=0,0,COUNTIF(Transect5_imgsummary!E46:I46,"ASP")*100/P46)</f>
        <v>0</v>
      </c>
      <c r="CL46">
        <f>IF(P46=0,0,COUNTIF(Transect5_imgsummary!E46:I46,"BG")*100/P46)</f>
        <v>0</v>
      </c>
      <c r="CM46">
        <f>IF(P46=0,0,COUNTIF(Transect5_imgsummary!E46:I46,"Bood")*100/P46)</f>
        <v>0</v>
      </c>
      <c r="CN46">
        <f>IF(P46=0,0,COUNTIF(Transect5_imgsummary!E46:I46,"BRYP")*100/P46)</f>
        <v>0</v>
      </c>
      <c r="CO46">
        <f>IF(P46=0,0,COUNTIF(Transect5_imgsummary!E46:I46,"CLP")*100/P46)</f>
        <v>0</v>
      </c>
      <c r="CP46">
        <f>IF(P46=0,0,COUNTIF(Transect5_imgsummary!E46:I46,"CHLDES")*100/P46)</f>
        <v>0</v>
      </c>
      <c r="CQ46">
        <f>IF(P46=0,0,COUNTIF(Transect5_imgsummary!E46:I46,"DYCTY")*100/P46)</f>
        <v>0</v>
      </c>
      <c r="CR46">
        <f>IF(P46=0,0,COUNTIF(Transect5_imgsummary!E46:I46,"DICT")*100/P46)</f>
        <v>0</v>
      </c>
      <c r="CS46">
        <f>IF(P46=0,0,COUNTIF(Transect5_imgsummary!E46:I46,"GLXU")*100/P46)</f>
        <v>0</v>
      </c>
      <c r="CT46">
        <f>IF(P46=0,0,COUNTIF(Transect5_imgsummary!E46:I46,"HALI")*100/P46)</f>
        <v>0</v>
      </c>
      <c r="CU46">
        <f>IF(P46=0,0,COUNTIF(Transect5_imgsummary!E46:I46,"LIAG")*100/P46)</f>
        <v>0</v>
      </c>
      <c r="CV46">
        <f>IF(P46=0,0,COUNTIF(Transect5_imgsummary!E46:I46,"LOBO")*100/P46)</f>
        <v>0</v>
      </c>
      <c r="CW46">
        <f>IF(P46=0,0,COUNTIF(Transect5_imgsummary!E46:I46,"MAST")*100/P46)</f>
        <v>0</v>
      </c>
      <c r="CX46">
        <f>IF(P46=0,0,COUNTIF(Transect5_imgsummary!E46:I46,"MICDTY")*100/P46)</f>
        <v>0</v>
      </c>
      <c r="CY46">
        <f>IF(P46=0,0,COUNTIF(Transect5_imgsummary!E46:I46,"NEOM")*100/P46)</f>
        <v>0</v>
      </c>
      <c r="CZ46">
        <f>IF(P46=0,0,COUNTIF(Transect5_imgsummary!E46:I46,"NOIDMAC")*100/P46)</f>
        <v>0</v>
      </c>
      <c r="DA46">
        <f>IF(P46=0,0,COUNTIF(Transect5_imgsummary!E46:I46,"PAD")*100/P46)</f>
        <v>0</v>
      </c>
      <c r="DB46">
        <f>IF(P46=0,0,COUNTIF(Transect5_imgsummary!E46:I46,"SARG")*100/P46)</f>
        <v>0</v>
      </c>
      <c r="DC46">
        <f>IF(P46=0,0,COUNTIF(Transect5_imgsummary!E46:I46,"SCHIZ")*100/P46)</f>
        <v>0</v>
      </c>
      <c r="DD46">
        <f>IF(P46=0,0,COUNTIF(Transect5_imgsummary!E46:I46,"TURB")*100/P46)</f>
        <v>0</v>
      </c>
      <c r="DE46">
        <f>IF(P46=0,0,COUNTIF(Transect5_imgsummary!E46:I46,"TYDM")*100/P46)</f>
        <v>0</v>
      </c>
      <c r="DG46">
        <f>IF(P46=0,0,COUNTIF(Transect5_imgsummary!E46:I46,"AMP")*100/P46)</f>
        <v>0</v>
      </c>
      <c r="DH46" s="29">
        <f>IF(P46=0,0,COUNTIF(Transect5_imgsummary!E46:I46,"BCA1")*100/P46)</f>
        <v>20</v>
      </c>
      <c r="DI46">
        <f>IF(P46=0,0,COUNTIF(Transect5_imgsummary!E46:I46,"JAN")*100/P46)</f>
        <v>0</v>
      </c>
      <c r="DK46" s="29">
        <f>IF(P46=0,0,COUNTIF(Transect5_imgsummary!E46:I46,"CCA1")*100/P46)</f>
        <v>80</v>
      </c>
      <c r="DM46">
        <f>IF(P46=0,0,COUNTIF(Transect5_imgsummary!E46:I46,"Sand")*100/P46)</f>
        <v>0</v>
      </c>
      <c r="DO46">
        <f>IF(P46=0,0,COUNTIF(Transect5_imgsummary!E46:I46,"FCA1")*100/P46)</f>
        <v>0</v>
      </c>
      <c r="DQ46">
        <f>IF(P46=0,0,COUNTIF(Transect5_imgsummary!E46:I46,"CHRYOBRN")*100/P46)</f>
        <v>0</v>
      </c>
      <c r="DS46">
        <f>IF(P46=0,0,COUNTIF(Transect5_imgsummary!E46:I46,"TURF")*100/P46)</f>
        <v>0</v>
      </c>
      <c r="DU46">
        <f>COUNTIF(Transect5_imgsummary!E46:I46,"Shadow")*100/5</f>
        <v>0</v>
      </c>
      <c r="DV46">
        <f>COUNTIF(Transect5_imgsummary!E46:I46,"Tape")*100/5</f>
        <v>0</v>
      </c>
      <c r="DW46">
        <f>COUNTIF(Transect5_imgsummary!E46:I46,"Wand")*100/5</f>
        <v>0</v>
      </c>
      <c r="DY46">
        <f>IF(P46=0,0,COUNTIF(Transect5_imgsummary!O46:S46,"BC")*100/P46)</f>
        <v>0</v>
      </c>
    </row>
    <row r="47" spans="1:129">
      <c r="A47">
        <v>45</v>
      </c>
      <c r="B47" t="s">
        <v>642</v>
      </c>
      <c r="F47" s="29">
        <f>IF(P47=0,0,COUNTIF(Transect5_imgsummary!J47:N47,"C")*100/P47)</f>
        <v>60</v>
      </c>
      <c r="G47">
        <f>IF(P47=0,0,COUNTIF(Transect5_imgsummary!J47:N47,"OI")*100/P47)</f>
        <v>0</v>
      </c>
      <c r="H47">
        <f>IF(P47=0,0,COUNTIF(Transect5_imgsummary!J47:N47,"MA")*100/P47)</f>
        <v>0</v>
      </c>
      <c r="I47">
        <f>IF(P47=0,0,COUNTIF(Transect5_imgsummary!J47:N47,"BCA")*100/P47)</f>
        <v>0</v>
      </c>
      <c r="J47" s="29">
        <f>IF(P47=0,0,COUNTIF(Transect5_imgsummary!J47:N47,"CCA")*100/P47)</f>
        <v>40</v>
      </c>
      <c r="K47">
        <f>IF(P47=0,0,COUNTIF(Transect5_imgsummary!J47:N47,"SD")*100/P47)</f>
        <v>0</v>
      </c>
      <c r="L47">
        <f>IF(P47=0,0,COUNTIF(Transect5_imgsummary!J47:N47,"FCA")*100/P47)</f>
        <v>0</v>
      </c>
      <c r="M47">
        <f>IF(P47=0,0,COUNTIF(Transect5_imgsummary!J47:N47,"CHRYS")*100/P47)</f>
        <v>0</v>
      </c>
      <c r="N47">
        <f>IF(P47=0,0,COUNTIF(Transect5_imgsummary!J47:N47,"T")*100/P47)</f>
        <v>0</v>
      </c>
      <c r="O47">
        <f>IF(P47=0,0,COUNTIF(Transect5_imgsummary!J47:N47,"TWS")*100/P47)</f>
        <v>0</v>
      </c>
      <c r="P47">
        <f>5-COUNTIF(Transect5_imgsummary!J47:N47,"TWS")</f>
        <v>5</v>
      </c>
      <c r="S47">
        <f>IF(P47=0,0,COUNTIF(Transect5_imgsummary!E47:I47,"ACAN")*100/P47)</f>
        <v>0</v>
      </c>
      <c r="T47">
        <f>IF(P47=0,0,COUNTIF(Transect5_imgsummary!E47:I47,"ACROP")*100/P47)</f>
        <v>0</v>
      </c>
      <c r="U47">
        <f>IF(P47=0,0,COUNTIF(Transect5_imgsummary!E47:I47,"ACROPARB")*100/P47)</f>
        <v>0</v>
      </c>
      <c r="V47">
        <f>IF(P47=0,0,COUNTIF(Transect5_imgsummary!E47:I47,"ACROST")*100/P47)</f>
        <v>0</v>
      </c>
      <c r="W47" s="29">
        <f>IF(P47=0,0,COUNTIF(Transect5_imgsummary!E47:I47,"ACROTBL")*100/P47)</f>
        <v>20</v>
      </c>
      <c r="X47">
        <f>IF(P47=0,0,COUNTIF(Transect5_imgsummary!E47:I47,"ASTRP")*100/P47)</f>
        <v>0</v>
      </c>
      <c r="Y47">
        <f>IF(P47=0,0,COUNTIF(Transect5_imgsummary!E47:I47,"CAUL")*100/P47)</f>
        <v>0</v>
      </c>
      <c r="Z47">
        <f>IF(P47=0,0,COUNTIF(Transect5_imgsummary!E47:I47,"COSC")*100/P47)</f>
        <v>0</v>
      </c>
      <c r="AA47">
        <f>IF(P47=0,0,COUNTIF(Transect5_imgsummary!E47:I47,"CTEN")*100/P47)</f>
        <v>0</v>
      </c>
      <c r="AB47">
        <f>IF(P47=0,0,COUNTIF(Transect5_imgsummary!E47:I47,"CYPH")*100/P47)</f>
        <v>0</v>
      </c>
      <c r="AC47">
        <f>IF(P47=0,0,COUNTIF(Transect5_imgsummary!E47:I47,"DIPLO")*100/P47)</f>
        <v>0</v>
      </c>
      <c r="AD47">
        <f>IF(P47=0,0,COUNTIF(Transect5_imgsummary!E47:I47,"ECHPO")*100/P47)</f>
        <v>0</v>
      </c>
      <c r="AE47">
        <f>IF(P47=0,0,COUNTIF(Transect5_imgsummary!E47:I47,"ECHPHY")*100/P47)</f>
        <v>0</v>
      </c>
      <c r="AF47">
        <f>IF(P47=0,0,COUNTIF(Transect5_imgsummary!E47:I47,"EUPH")*100/P47)</f>
        <v>0</v>
      </c>
      <c r="AG47">
        <f>IF(P47=0,0,COUNTIF(Transect5_imgsummary!E47:I47,"FAV")*100/P47)</f>
        <v>0</v>
      </c>
      <c r="AH47">
        <f>IF(P47=0,0,COUNTIF(Transect5_imgsummary!E47:I47,"FAVT")*100/P47)</f>
        <v>0</v>
      </c>
      <c r="AI47">
        <f>IF(P47=0,0,COUNTIF(Transect5_imgsummary!E47:I47,"FUNG")*100/P47)</f>
        <v>0</v>
      </c>
      <c r="AJ47">
        <f>IF(P47=0,0,COUNTIF(Transect5_imgsummary!E47:I47,"GAL")*100/P47)</f>
        <v>0</v>
      </c>
      <c r="AK47">
        <f>IF(P47=0,0,COUNTIF(Transect5_imgsummary!E47:I47,"GARD")*100/P47)</f>
        <v>0</v>
      </c>
      <c r="AL47">
        <f>IF(P47=0,0,COUNTIF(Transect5_imgsummary!E47:I47,"GON")*100/P47)</f>
        <v>0</v>
      </c>
      <c r="AM47">
        <f>IF(P47=0,0,COUNTIF(Transect5_imgsummary!E47:I47,"GONIO")*100/P47)</f>
        <v>0</v>
      </c>
      <c r="AN47">
        <f>IF(P47=0,0,COUNTIF(Transect5_imgsummary!E47:I47,"HELIO")*100/P47)</f>
        <v>0</v>
      </c>
      <c r="AO47">
        <f>IF(P47=0,0,COUNTIF(Transect5_imgsummary!E47:I47,"HERP")*100/P47)</f>
        <v>0</v>
      </c>
      <c r="AP47">
        <f>IF(P47=0,0,COUNTIF(Transect5_imgsummary!E47:I47,"HYD")*100/P47)</f>
        <v>0</v>
      </c>
      <c r="AQ47">
        <f>IF(P47=0,0,COUNTIF(Transect5_imgsummary!E47:I47,"ISOP")*100/P47)</f>
        <v>0</v>
      </c>
      <c r="AR47">
        <f>IF(P47=0,0,COUNTIF(Transect5_imgsummary!E47:I47,"LEPT")*100/P47)</f>
        <v>0</v>
      </c>
      <c r="AS47">
        <f>IF(P47=0,0,COUNTIF(Transect5_imgsummary!E47:I47,"LEPTOR")*100/P47)</f>
        <v>0</v>
      </c>
      <c r="AT47">
        <f>IF(P47=0,0,COUNTIF(Transect5_imgsummary!E47:I47,"LEPTOS")*100/P47)</f>
        <v>0</v>
      </c>
      <c r="AU47">
        <f>IF(P47=0,0,COUNTIF(Transect5_imgsummary!E47:I47,"LOBOPH")*100/P47)</f>
        <v>0</v>
      </c>
      <c r="AV47" s="29">
        <f>IF(P47=0,0,COUNTIF(Transect5_imgsummary!E47:I47,"MERU")*100/P47)</f>
        <v>40</v>
      </c>
      <c r="AW47">
        <f>IF(P47=0,0,COUNTIF(Transect5_imgsummary!E47:I47,"MILL")*100/P47)</f>
        <v>0</v>
      </c>
      <c r="AX47">
        <f>IF(P47=0,0,COUNTIF(Transect5_imgsummary!E47:I47,"MONT")*100/P47)</f>
        <v>0</v>
      </c>
      <c r="AY47">
        <f>IF(P47=0,0,COUNTIF(Transect5_imgsummary!E47:I47,"MONTI")*100/P47)</f>
        <v>0</v>
      </c>
      <c r="AZ47">
        <f>IF(P47=0,0,COUNTIF(Transect5_imgsummary!E47:I47,"MYCED")*100/P47)</f>
        <v>0</v>
      </c>
      <c r="BA47">
        <f>IF(P47=0,0,COUNTIF(Transect5_imgsummary!E47:I47,"OULO")*100/P47)</f>
        <v>0</v>
      </c>
      <c r="BB47">
        <f>IF(P47=0,0,COUNTIF(Transect5_imgsummary!E47:I47,"OXYP")*100/P47)</f>
        <v>0</v>
      </c>
      <c r="BC47">
        <f>IF(P47=0,0,COUNTIF(Transect5_imgsummary!E47:I47,"PLSIA")*100/P47)</f>
        <v>0</v>
      </c>
      <c r="BD47">
        <f>IF(P47=0,0,COUNTIF(Transect5_imgsummary!E47:I47,"PACHY")*100/P47)</f>
        <v>0</v>
      </c>
      <c r="BE47">
        <f>IF(P47=0,0,COUNTIF(Transect5_imgsummary!E47:I47,"PAV")*100/P47)</f>
        <v>0</v>
      </c>
      <c r="BF47">
        <f>IF(P47=0,0,COUNTIF(Transect5_imgsummary!E47:I47,"PECT")*100/P47)</f>
        <v>0</v>
      </c>
      <c r="BG47">
        <f>IF(P47=0,0,COUNTIF(Transect5_imgsummary!E47:I47,"PHYSO")*100/P47)</f>
        <v>0</v>
      </c>
      <c r="BH47">
        <f>IF(P47=0,0,COUNTIF(Transect5_imgsummary!E47:I47,"PLAT")*100/P47)</f>
        <v>0</v>
      </c>
      <c r="BI47">
        <f>IF(P47=0,0,COUNTIF(Transect5_imgsummary!E47:I47,"PLERO")*100/P47)</f>
        <v>0</v>
      </c>
      <c r="BJ47">
        <f>IF(P47=0,0,COUNTIF(Transect5_imgsummary!E47:I47,"POC")*100/P47)</f>
        <v>0</v>
      </c>
      <c r="BK47">
        <f>IF(P47=0,0,COUNTIF(Transect5_imgsummary!E47:I47,"POR")*100/P47)</f>
        <v>0</v>
      </c>
      <c r="BL47">
        <f>IF(P47=0,0,COUNTIF(Transect5_imgsummary!E47:I47,"PORCYL")*100/P47)</f>
        <v>0</v>
      </c>
      <c r="BM47">
        <f>IF(P47=0,0,COUNTIF(Transect5_imgsummary!E47:I47,"PORMAS")*100/P47)</f>
        <v>0</v>
      </c>
      <c r="BN47">
        <f>IF(P47=0,0,COUNTIF(Transect5_imgsummary!E47:I47,"PORRUS")*100/P47)</f>
        <v>0</v>
      </c>
      <c r="BO47">
        <f>IF(P47=0,0,COUNTIF(Transect5_imgsummary!E47:I47,"PSAM")*100/P47)</f>
        <v>0</v>
      </c>
      <c r="BP47">
        <f>IF(P47=0,0,COUNTIF(Transect5_imgsummary!E47:I47,"SANDO")*100/P47)</f>
        <v>0</v>
      </c>
      <c r="BQ47">
        <f>IF(P47=0,0,COUNTIF(Transect5_imgsummary!E47:I47,"SCAP")*100/P47)</f>
        <v>0</v>
      </c>
      <c r="BR47">
        <f>IF(P47=0,0,COUNTIF(Transect5_imgsummary!E47:I47,"SERIA")*100/P47)</f>
        <v>0</v>
      </c>
      <c r="BS47">
        <f>IF(P47=0,0,COUNTIF(Transect5_imgsummary!E47:I47,"STYLC")*100/P47)</f>
        <v>0</v>
      </c>
      <c r="BT47">
        <f>IF(P47=0,0,COUNTIF(Transect5_imgsummary!E47:I47,"STYLO")*100/P47)</f>
        <v>0</v>
      </c>
      <c r="BU47">
        <f>IF(P47=0,0,COUNTIF(Transect5_imgsummary!E47:I47,"SYMP")*100/P47)</f>
        <v>0</v>
      </c>
      <c r="BV47">
        <f>IF(P47=0,0,COUNTIF(Transect5_imgsummary!E47:I47,"TURBIN")*100/P47)</f>
        <v>0</v>
      </c>
      <c r="BX47">
        <f>IF(P47=0,0,COUNTIF(Transect5_imgsummary!E47:I47,"ANEM")*100/P47)</f>
        <v>0</v>
      </c>
      <c r="BY47">
        <f>IF(P47=0,0,COUNTIF(Transect5_imgsummary!E47:I47,"ASC")*100/P47)</f>
        <v>0</v>
      </c>
      <c r="BZ47">
        <f>IF(P47=0,0,COUNTIF(Transect5_imgsummary!E47:I47,"CUPS")*100/P47)</f>
        <v>0</v>
      </c>
      <c r="CA47">
        <f>IF(P47=0,0,COUNTIF(Transect5_imgsummary!E47:I47,"DISCO")*100/P47)</f>
        <v>0</v>
      </c>
      <c r="CB47">
        <f>IF(P47=0,0,COUNTIF(Transect5_imgsummary!E47:I47,"DYS")*100/P47)</f>
        <v>0</v>
      </c>
      <c r="CC47">
        <f>IF(P47=0,0,COUNTIF(Transect5_imgsummary!E47:I47,"G")*100/P47)</f>
        <v>0</v>
      </c>
      <c r="CD47">
        <f>IF(P47=0,0,COUNTIF(Transect5_imgsummary!E47:I47,"NoIDINV")*100/P47)</f>
        <v>0</v>
      </c>
      <c r="CE47">
        <f>IF(P47=0,0,COUNTIF(Transect5_imgsummary!E47:I47,"OLV")*100/P47)</f>
        <v>0</v>
      </c>
      <c r="CF47">
        <f>IF(P47=0,0,COUNTIF(Transect5_imgsummary!E47:I47,"SC")*100/P47)</f>
        <v>0</v>
      </c>
      <c r="CG47">
        <f>IF(P47=0,0,COUNTIF(Transect5_imgsummary!E47:I47,"S")*100/P47)</f>
        <v>0</v>
      </c>
      <c r="CH47">
        <f>IF(P47=0,0,COUNTIF(Transect5_imgsummary!E47:I47,"TERPS")*100/P47)</f>
        <v>0</v>
      </c>
      <c r="CI47">
        <f>IF(P47=0,0,COUNTIF(Transect5_imgsummary!E47:I47,"Z")*100/P47)</f>
        <v>0</v>
      </c>
      <c r="CK47">
        <f>IF(P47=0,0,COUNTIF(Transect5_imgsummary!E47:I47,"ASP")*100/P47)</f>
        <v>0</v>
      </c>
      <c r="CL47">
        <f>IF(P47=0,0,COUNTIF(Transect5_imgsummary!E47:I47,"BG")*100/P47)</f>
        <v>0</v>
      </c>
      <c r="CM47">
        <f>IF(P47=0,0,COUNTIF(Transect5_imgsummary!E47:I47,"Bood")*100/P47)</f>
        <v>0</v>
      </c>
      <c r="CN47">
        <f>IF(P47=0,0,COUNTIF(Transect5_imgsummary!E47:I47,"BRYP")*100/P47)</f>
        <v>0</v>
      </c>
      <c r="CO47">
        <f>IF(P47=0,0,COUNTIF(Transect5_imgsummary!E47:I47,"CLP")*100/P47)</f>
        <v>0</v>
      </c>
      <c r="CP47">
        <f>IF(P47=0,0,COUNTIF(Transect5_imgsummary!E47:I47,"CHLDES")*100/P47)</f>
        <v>0</v>
      </c>
      <c r="CQ47">
        <f>IF(P47=0,0,COUNTIF(Transect5_imgsummary!E47:I47,"DYCTY")*100/P47)</f>
        <v>0</v>
      </c>
      <c r="CR47">
        <f>IF(P47=0,0,COUNTIF(Transect5_imgsummary!E47:I47,"DICT")*100/P47)</f>
        <v>0</v>
      </c>
      <c r="CS47">
        <f>IF(P47=0,0,COUNTIF(Transect5_imgsummary!E47:I47,"GLXU")*100/P47)</f>
        <v>0</v>
      </c>
      <c r="CT47">
        <f>IF(P47=0,0,COUNTIF(Transect5_imgsummary!E47:I47,"HALI")*100/P47)</f>
        <v>0</v>
      </c>
      <c r="CU47">
        <f>IF(P47=0,0,COUNTIF(Transect5_imgsummary!E47:I47,"LIAG")*100/P47)</f>
        <v>0</v>
      </c>
      <c r="CV47">
        <f>IF(P47=0,0,COUNTIF(Transect5_imgsummary!E47:I47,"LOBO")*100/P47)</f>
        <v>0</v>
      </c>
      <c r="CW47">
        <f>IF(P47=0,0,COUNTIF(Transect5_imgsummary!E47:I47,"MAST")*100/P47)</f>
        <v>0</v>
      </c>
      <c r="CX47">
        <f>IF(P47=0,0,COUNTIF(Transect5_imgsummary!E47:I47,"MICDTY")*100/P47)</f>
        <v>0</v>
      </c>
      <c r="CY47">
        <f>IF(P47=0,0,COUNTIF(Transect5_imgsummary!E47:I47,"NEOM")*100/P47)</f>
        <v>0</v>
      </c>
      <c r="CZ47">
        <f>IF(P47=0,0,COUNTIF(Transect5_imgsummary!E47:I47,"NOIDMAC")*100/P47)</f>
        <v>0</v>
      </c>
      <c r="DA47">
        <f>IF(P47=0,0,COUNTIF(Transect5_imgsummary!E47:I47,"PAD")*100/P47)</f>
        <v>0</v>
      </c>
      <c r="DB47">
        <f>IF(P47=0,0,COUNTIF(Transect5_imgsummary!E47:I47,"SARG")*100/P47)</f>
        <v>0</v>
      </c>
      <c r="DC47">
        <f>IF(P47=0,0,COUNTIF(Transect5_imgsummary!E47:I47,"SCHIZ")*100/P47)</f>
        <v>0</v>
      </c>
      <c r="DD47">
        <f>IF(P47=0,0,COUNTIF(Transect5_imgsummary!E47:I47,"TURB")*100/P47)</f>
        <v>0</v>
      </c>
      <c r="DE47">
        <f>IF(P47=0,0,COUNTIF(Transect5_imgsummary!E47:I47,"TYDM")*100/P47)</f>
        <v>0</v>
      </c>
      <c r="DG47">
        <f>IF(P47=0,0,COUNTIF(Transect5_imgsummary!E47:I47,"AMP")*100/P47)</f>
        <v>0</v>
      </c>
      <c r="DH47">
        <f>IF(P47=0,0,COUNTIF(Transect5_imgsummary!E47:I47,"BCA1")*100/P47)</f>
        <v>0</v>
      </c>
      <c r="DI47">
        <f>IF(P47=0,0,COUNTIF(Transect5_imgsummary!E47:I47,"JAN")*100/P47)</f>
        <v>0</v>
      </c>
      <c r="DK47" s="29">
        <f>IF(P47=0,0,COUNTIF(Transect5_imgsummary!E47:I47,"CCA1")*100/P47)</f>
        <v>40</v>
      </c>
      <c r="DM47">
        <f>IF(P47=0,0,COUNTIF(Transect5_imgsummary!E47:I47,"Sand")*100/P47)</f>
        <v>0</v>
      </c>
      <c r="DO47">
        <f>IF(P47=0,0,COUNTIF(Transect5_imgsummary!E47:I47,"FCA1")*100/P47)</f>
        <v>0</v>
      </c>
      <c r="DQ47">
        <f>IF(P47=0,0,COUNTIF(Transect5_imgsummary!E47:I47,"CHRYOBRN")*100/P47)</f>
        <v>0</v>
      </c>
      <c r="DS47">
        <f>IF(P47=0,0,COUNTIF(Transect5_imgsummary!E47:I47,"TURF")*100/P47)</f>
        <v>0</v>
      </c>
      <c r="DU47">
        <f>COUNTIF(Transect5_imgsummary!E47:I47,"Shadow")*100/5</f>
        <v>0</v>
      </c>
      <c r="DV47">
        <f>COUNTIF(Transect5_imgsummary!E47:I47,"Tape")*100/5</f>
        <v>0</v>
      </c>
      <c r="DW47">
        <f>COUNTIF(Transect5_imgsummary!E47:I47,"Wand")*100/5</f>
        <v>0</v>
      </c>
      <c r="DY47">
        <f>IF(P47=0,0,COUNTIF(Transect5_imgsummary!O47:S47,"BC")*100/P47)</f>
        <v>0</v>
      </c>
    </row>
    <row r="48" spans="1:129">
      <c r="A48">
        <v>46</v>
      </c>
      <c r="B48" t="s">
        <v>643</v>
      </c>
      <c r="F48" s="29">
        <f>IF(P48=0,0,COUNTIF(Transect5_imgsummary!J48:N48,"C")*100/P48)</f>
        <v>40</v>
      </c>
      <c r="G48">
        <f>IF(P48=0,0,COUNTIF(Transect5_imgsummary!J48:N48,"OI")*100/P48)</f>
        <v>0</v>
      </c>
      <c r="H48">
        <f>IF(P48=0,0,COUNTIF(Transect5_imgsummary!J48:N48,"MA")*100/P48)</f>
        <v>0</v>
      </c>
      <c r="I48">
        <f>IF(P48=0,0,COUNTIF(Transect5_imgsummary!J48:N48,"BCA")*100/P48)</f>
        <v>0</v>
      </c>
      <c r="J48" s="29">
        <f>IF(P48=0,0,COUNTIF(Transect5_imgsummary!J48:N48,"CCA")*100/P48)</f>
        <v>20</v>
      </c>
      <c r="K48">
        <f>IF(P48=0,0,COUNTIF(Transect5_imgsummary!J48:N48,"SD")*100/P48)</f>
        <v>0</v>
      </c>
      <c r="L48">
        <f>IF(P48=0,0,COUNTIF(Transect5_imgsummary!J48:N48,"FCA")*100/P48)</f>
        <v>0</v>
      </c>
      <c r="M48">
        <f>IF(P48=0,0,COUNTIF(Transect5_imgsummary!J48:N48,"CHRYS")*100/P48)</f>
        <v>0</v>
      </c>
      <c r="N48" s="29">
        <f>IF(P48=0,0,COUNTIF(Transect5_imgsummary!J48:N48,"T")*100/P48)</f>
        <v>40</v>
      </c>
      <c r="O48">
        <f>IF(P48=0,0,COUNTIF(Transect5_imgsummary!J48:N48,"TWS")*100/P48)</f>
        <v>0</v>
      </c>
      <c r="P48">
        <f>5-COUNTIF(Transect5_imgsummary!J48:N48,"TWS")</f>
        <v>5</v>
      </c>
      <c r="S48">
        <f>IF(P48=0,0,COUNTIF(Transect5_imgsummary!E48:I48,"ACAN")*100/P48)</f>
        <v>0</v>
      </c>
      <c r="T48">
        <f>IF(P48=0,0,COUNTIF(Transect5_imgsummary!E48:I48,"ACROP")*100/P48)</f>
        <v>0</v>
      </c>
      <c r="U48">
        <f>IF(P48=0,0,COUNTIF(Transect5_imgsummary!E48:I48,"ACROPARB")*100/P48)</f>
        <v>0</v>
      </c>
      <c r="V48">
        <f>IF(P48=0,0,COUNTIF(Transect5_imgsummary!E48:I48,"ACROST")*100/P48)</f>
        <v>0</v>
      </c>
      <c r="W48">
        <f>IF(P48=0,0,COUNTIF(Transect5_imgsummary!E48:I48,"ACROTBL")*100/P48)</f>
        <v>0</v>
      </c>
      <c r="X48">
        <f>IF(P48=0,0,COUNTIF(Transect5_imgsummary!E48:I48,"ASTRP")*100/P48)</f>
        <v>0</v>
      </c>
      <c r="Y48">
        <f>IF(P48=0,0,COUNTIF(Transect5_imgsummary!E48:I48,"CAUL")*100/P48)</f>
        <v>0</v>
      </c>
      <c r="Z48">
        <f>IF(P48=0,0,COUNTIF(Transect5_imgsummary!E48:I48,"COSC")*100/P48)</f>
        <v>0</v>
      </c>
      <c r="AA48">
        <f>IF(P48=0,0,COUNTIF(Transect5_imgsummary!E48:I48,"CTEN")*100/P48)</f>
        <v>0</v>
      </c>
      <c r="AB48">
        <f>IF(P48=0,0,COUNTIF(Transect5_imgsummary!E48:I48,"CYPH")*100/P48)</f>
        <v>0</v>
      </c>
      <c r="AC48">
        <f>IF(P48=0,0,COUNTIF(Transect5_imgsummary!E48:I48,"DIPLO")*100/P48)</f>
        <v>0</v>
      </c>
      <c r="AD48">
        <f>IF(P48=0,0,COUNTIF(Transect5_imgsummary!E48:I48,"ECHPO")*100/P48)</f>
        <v>0</v>
      </c>
      <c r="AE48">
        <f>IF(P48=0,0,COUNTIF(Transect5_imgsummary!E48:I48,"ECHPHY")*100/P48)</f>
        <v>0</v>
      </c>
      <c r="AF48">
        <f>IF(P48=0,0,COUNTIF(Transect5_imgsummary!E48:I48,"EUPH")*100/P48)</f>
        <v>0</v>
      </c>
      <c r="AG48">
        <f>IF(P48=0,0,COUNTIF(Transect5_imgsummary!E48:I48,"FAV")*100/P48)</f>
        <v>0</v>
      </c>
      <c r="AH48">
        <f>IF(P48=0,0,COUNTIF(Transect5_imgsummary!E48:I48,"FAVT")*100/P48)</f>
        <v>0</v>
      </c>
      <c r="AI48">
        <f>IF(P48=0,0,COUNTIF(Transect5_imgsummary!E48:I48,"FUNG")*100/P48)</f>
        <v>0</v>
      </c>
      <c r="AJ48">
        <f>IF(P48=0,0,COUNTIF(Transect5_imgsummary!E48:I48,"GAL")*100/P48)</f>
        <v>0</v>
      </c>
      <c r="AK48">
        <f>IF(P48=0,0,COUNTIF(Transect5_imgsummary!E48:I48,"GARD")*100/P48)</f>
        <v>0</v>
      </c>
      <c r="AL48">
        <f>IF(P48=0,0,COUNTIF(Transect5_imgsummary!E48:I48,"GON")*100/P48)</f>
        <v>0</v>
      </c>
      <c r="AM48">
        <f>IF(P48=0,0,COUNTIF(Transect5_imgsummary!E48:I48,"GONIO")*100/P48)</f>
        <v>0</v>
      </c>
      <c r="AN48">
        <f>IF(P48=0,0,COUNTIF(Transect5_imgsummary!E48:I48,"HELIO")*100/P48)</f>
        <v>0</v>
      </c>
      <c r="AO48">
        <f>IF(P48=0,0,COUNTIF(Transect5_imgsummary!E48:I48,"HERP")*100/P48)</f>
        <v>0</v>
      </c>
      <c r="AP48">
        <f>IF(P48=0,0,COUNTIF(Transect5_imgsummary!E48:I48,"HYD")*100/P48)</f>
        <v>0</v>
      </c>
      <c r="AQ48">
        <f>IF(P48=0,0,COUNTIF(Transect5_imgsummary!E48:I48,"ISOP")*100/P48)</f>
        <v>0</v>
      </c>
      <c r="AR48">
        <f>IF(P48=0,0,COUNTIF(Transect5_imgsummary!E48:I48,"LEPT")*100/P48)</f>
        <v>0</v>
      </c>
      <c r="AS48" s="29">
        <f>IF(P48=0,0,COUNTIF(Transect5_imgsummary!E48:I48,"LEPTOR")*100/P48)</f>
        <v>20</v>
      </c>
      <c r="AT48">
        <f>IF(P48=0,0,COUNTIF(Transect5_imgsummary!E48:I48,"LEPTOS")*100/P48)</f>
        <v>0</v>
      </c>
      <c r="AU48">
        <f>IF(P48=0,0,COUNTIF(Transect5_imgsummary!E48:I48,"LOBOPH")*100/P48)</f>
        <v>0</v>
      </c>
      <c r="AV48" s="29">
        <f>IF(P48=0,0,COUNTIF(Transect5_imgsummary!E48:I48,"MERU")*100/P48)</f>
        <v>20</v>
      </c>
      <c r="AW48">
        <f>IF(P48=0,0,COUNTIF(Transect5_imgsummary!E48:I48,"MILL")*100/P48)</f>
        <v>0</v>
      </c>
      <c r="AX48">
        <f>IF(P48=0,0,COUNTIF(Transect5_imgsummary!E48:I48,"MONT")*100/P48)</f>
        <v>0</v>
      </c>
      <c r="AY48">
        <f>IF(P48=0,0,COUNTIF(Transect5_imgsummary!E48:I48,"MONTI")*100/P48)</f>
        <v>0</v>
      </c>
      <c r="AZ48">
        <f>IF(P48=0,0,COUNTIF(Transect5_imgsummary!E48:I48,"MYCED")*100/P48)</f>
        <v>0</v>
      </c>
      <c r="BA48">
        <f>IF(P48=0,0,COUNTIF(Transect5_imgsummary!E48:I48,"OULO")*100/P48)</f>
        <v>0</v>
      </c>
      <c r="BB48">
        <f>IF(P48=0,0,COUNTIF(Transect5_imgsummary!E48:I48,"OXYP")*100/P48)</f>
        <v>0</v>
      </c>
      <c r="BC48">
        <f>IF(P48=0,0,COUNTIF(Transect5_imgsummary!E48:I48,"PLSIA")*100/P48)</f>
        <v>0</v>
      </c>
      <c r="BD48">
        <f>IF(P48=0,0,COUNTIF(Transect5_imgsummary!E48:I48,"PACHY")*100/P48)</f>
        <v>0</v>
      </c>
      <c r="BE48">
        <f>IF(P48=0,0,COUNTIF(Transect5_imgsummary!E48:I48,"PAV")*100/P48)</f>
        <v>0</v>
      </c>
      <c r="BF48">
        <f>IF(P48=0,0,COUNTIF(Transect5_imgsummary!E48:I48,"PECT")*100/P48)</f>
        <v>0</v>
      </c>
      <c r="BG48">
        <f>IF(P48=0,0,COUNTIF(Transect5_imgsummary!E48:I48,"PHYSO")*100/P48)</f>
        <v>0</v>
      </c>
      <c r="BH48">
        <f>IF(P48=0,0,COUNTIF(Transect5_imgsummary!E48:I48,"PLAT")*100/P48)</f>
        <v>0</v>
      </c>
      <c r="BI48">
        <f>IF(P48=0,0,COUNTIF(Transect5_imgsummary!E48:I48,"PLERO")*100/P48)</f>
        <v>0</v>
      </c>
      <c r="BJ48">
        <f>IF(P48=0,0,COUNTIF(Transect5_imgsummary!E48:I48,"POC")*100/P48)</f>
        <v>0</v>
      </c>
      <c r="BK48">
        <f>IF(P48=0,0,COUNTIF(Transect5_imgsummary!E48:I48,"POR")*100/P48)</f>
        <v>0</v>
      </c>
      <c r="BL48">
        <f>IF(P48=0,0,COUNTIF(Transect5_imgsummary!E48:I48,"PORCYL")*100/P48)</f>
        <v>0</v>
      </c>
      <c r="BM48">
        <f>IF(P48=0,0,COUNTIF(Transect5_imgsummary!E48:I48,"PORMAS")*100/P48)</f>
        <v>0</v>
      </c>
      <c r="BN48">
        <f>IF(P48=0,0,COUNTIF(Transect5_imgsummary!E48:I48,"PORRUS")*100/P48)</f>
        <v>0</v>
      </c>
      <c r="BO48">
        <f>IF(P48=0,0,COUNTIF(Transect5_imgsummary!E48:I48,"PSAM")*100/P48)</f>
        <v>0</v>
      </c>
      <c r="BP48">
        <f>IF(P48=0,0,COUNTIF(Transect5_imgsummary!E48:I48,"SANDO")*100/P48)</f>
        <v>0</v>
      </c>
      <c r="BQ48">
        <f>IF(P48=0,0,COUNTIF(Transect5_imgsummary!E48:I48,"SCAP")*100/P48)</f>
        <v>0</v>
      </c>
      <c r="BR48">
        <f>IF(P48=0,0,COUNTIF(Transect5_imgsummary!E48:I48,"SERIA")*100/P48)</f>
        <v>0</v>
      </c>
      <c r="BS48">
        <f>IF(P48=0,0,COUNTIF(Transect5_imgsummary!E48:I48,"STYLC")*100/P48)</f>
        <v>0</v>
      </c>
      <c r="BT48">
        <f>IF(P48=0,0,COUNTIF(Transect5_imgsummary!E48:I48,"STYLO")*100/P48)</f>
        <v>0</v>
      </c>
      <c r="BU48">
        <f>IF(P48=0,0,COUNTIF(Transect5_imgsummary!E48:I48,"SYMP")*100/P48)</f>
        <v>0</v>
      </c>
      <c r="BV48">
        <f>IF(P48=0,0,COUNTIF(Transect5_imgsummary!E48:I48,"TURBIN")*100/P48)</f>
        <v>0</v>
      </c>
      <c r="BX48">
        <f>IF(P48=0,0,COUNTIF(Transect5_imgsummary!E48:I48,"ANEM")*100/P48)</f>
        <v>0</v>
      </c>
      <c r="BY48">
        <f>IF(P48=0,0,COUNTIF(Transect5_imgsummary!E48:I48,"ASC")*100/P48)</f>
        <v>0</v>
      </c>
      <c r="BZ48">
        <f>IF(P48=0,0,COUNTIF(Transect5_imgsummary!E48:I48,"CUPS")*100/P48)</f>
        <v>0</v>
      </c>
      <c r="CA48">
        <f>IF(P48=0,0,COUNTIF(Transect5_imgsummary!E48:I48,"DISCO")*100/P48)</f>
        <v>0</v>
      </c>
      <c r="CB48">
        <f>IF(P48=0,0,COUNTIF(Transect5_imgsummary!E48:I48,"DYS")*100/P48)</f>
        <v>0</v>
      </c>
      <c r="CC48">
        <f>IF(P48=0,0,COUNTIF(Transect5_imgsummary!E48:I48,"G")*100/P48)</f>
        <v>0</v>
      </c>
      <c r="CD48">
        <f>IF(P48=0,0,COUNTIF(Transect5_imgsummary!E48:I48,"NoIDINV")*100/P48)</f>
        <v>0</v>
      </c>
      <c r="CE48">
        <f>IF(P48=0,0,COUNTIF(Transect5_imgsummary!E48:I48,"OLV")*100/P48)</f>
        <v>0</v>
      </c>
      <c r="CF48">
        <f>IF(P48=0,0,COUNTIF(Transect5_imgsummary!E48:I48,"SC")*100/P48)</f>
        <v>0</v>
      </c>
      <c r="CG48">
        <f>IF(P48=0,0,COUNTIF(Transect5_imgsummary!E48:I48,"S")*100/P48)</f>
        <v>0</v>
      </c>
      <c r="CH48">
        <f>IF(P48=0,0,COUNTIF(Transect5_imgsummary!E48:I48,"TERPS")*100/P48)</f>
        <v>0</v>
      </c>
      <c r="CI48">
        <f>IF(P48=0,0,COUNTIF(Transect5_imgsummary!E48:I48,"Z")*100/P48)</f>
        <v>0</v>
      </c>
      <c r="CK48">
        <f>IF(P48=0,0,COUNTIF(Transect5_imgsummary!E48:I48,"ASP")*100/P48)</f>
        <v>0</v>
      </c>
      <c r="CL48">
        <f>IF(P48=0,0,COUNTIF(Transect5_imgsummary!E48:I48,"BG")*100/P48)</f>
        <v>0</v>
      </c>
      <c r="CM48">
        <f>IF(P48=0,0,COUNTIF(Transect5_imgsummary!E48:I48,"Bood")*100/P48)</f>
        <v>0</v>
      </c>
      <c r="CN48">
        <f>IF(P48=0,0,COUNTIF(Transect5_imgsummary!E48:I48,"BRYP")*100/P48)</f>
        <v>0</v>
      </c>
      <c r="CO48">
        <f>IF(P48=0,0,COUNTIF(Transect5_imgsummary!E48:I48,"CLP")*100/P48)</f>
        <v>0</v>
      </c>
      <c r="CP48">
        <f>IF(P48=0,0,COUNTIF(Transect5_imgsummary!E48:I48,"CHLDES")*100/P48)</f>
        <v>0</v>
      </c>
      <c r="CQ48">
        <f>IF(P48=0,0,COUNTIF(Transect5_imgsummary!E48:I48,"DYCTY")*100/P48)</f>
        <v>0</v>
      </c>
      <c r="CR48">
        <f>IF(P48=0,0,COUNTIF(Transect5_imgsummary!E48:I48,"DICT")*100/P48)</f>
        <v>0</v>
      </c>
      <c r="CS48">
        <f>IF(P48=0,0,COUNTIF(Transect5_imgsummary!E48:I48,"GLXU")*100/P48)</f>
        <v>0</v>
      </c>
      <c r="CT48">
        <f>IF(P48=0,0,COUNTIF(Transect5_imgsummary!E48:I48,"HALI")*100/P48)</f>
        <v>0</v>
      </c>
      <c r="CU48">
        <f>IF(P48=0,0,COUNTIF(Transect5_imgsummary!E48:I48,"LIAG")*100/P48)</f>
        <v>0</v>
      </c>
      <c r="CV48">
        <f>IF(P48=0,0,COUNTIF(Transect5_imgsummary!E48:I48,"LOBO")*100/P48)</f>
        <v>0</v>
      </c>
      <c r="CW48">
        <f>IF(P48=0,0,COUNTIF(Transect5_imgsummary!E48:I48,"MAST")*100/P48)</f>
        <v>0</v>
      </c>
      <c r="CX48">
        <f>IF(P48=0,0,COUNTIF(Transect5_imgsummary!E48:I48,"MICDTY")*100/P48)</f>
        <v>0</v>
      </c>
      <c r="CY48">
        <f>IF(P48=0,0,COUNTIF(Transect5_imgsummary!E48:I48,"NEOM")*100/P48)</f>
        <v>0</v>
      </c>
      <c r="CZ48">
        <f>IF(P48=0,0,COUNTIF(Transect5_imgsummary!E48:I48,"NOIDMAC")*100/P48)</f>
        <v>0</v>
      </c>
      <c r="DA48">
        <f>IF(P48=0,0,COUNTIF(Transect5_imgsummary!E48:I48,"PAD")*100/P48)</f>
        <v>0</v>
      </c>
      <c r="DB48">
        <f>IF(P48=0,0,COUNTIF(Transect5_imgsummary!E48:I48,"SARG")*100/P48)</f>
        <v>0</v>
      </c>
      <c r="DC48">
        <f>IF(P48=0,0,COUNTIF(Transect5_imgsummary!E48:I48,"SCHIZ")*100/P48)</f>
        <v>0</v>
      </c>
      <c r="DD48">
        <f>IF(P48=0,0,COUNTIF(Transect5_imgsummary!E48:I48,"TURB")*100/P48)</f>
        <v>0</v>
      </c>
      <c r="DE48">
        <f>IF(P48=0,0,COUNTIF(Transect5_imgsummary!E48:I48,"TYDM")*100/P48)</f>
        <v>0</v>
      </c>
      <c r="DG48">
        <f>IF(P48=0,0,COUNTIF(Transect5_imgsummary!E48:I48,"AMP")*100/P48)</f>
        <v>0</v>
      </c>
      <c r="DH48">
        <f>IF(P48=0,0,COUNTIF(Transect5_imgsummary!E48:I48,"BCA1")*100/P48)</f>
        <v>0</v>
      </c>
      <c r="DI48">
        <f>IF(P48=0,0,COUNTIF(Transect5_imgsummary!E48:I48,"JAN")*100/P48)</f>
        <v>0</v>
      </c>
      <c r="DK48" s="29">
        <f>IF(P48=0,0,COUNTIF(Transect5_imgsummary!E48:I48,"CCA1")*100/P48)</f>
        <v>20</v>
      </c>
      <c r="DM48">
        <f>IF(P48=0,0,COUNTIF(Transect5_imgsummary!E48:I48,"Sand")*100/P48)</f>
        <v>0</v>
      </c>
      <c r="DO48">
        <f>IF(P48=0,0,COUNTIF(Transect5_imgsummary!E48:I48,"FCA1")*100/P48)</f>
        <v>0</v>
      </c>
      <c r="DQ48">
        <f>IF(P48=0,0,COUNTIF(Transect5_imgsummary!E48:I48,"CHRYOBRN")*100/P48)</f>
        <v>0</v>
      </c>
      <c r="DS48" s="29">
        <f>IF(P48=0,0,COUNTIF(Transect5_imgsummary!E48:I48,"TURF")*100/P48)</f>
        <v>40</v>
      </c>
      <c r="DU48">
        <f>COUNTIF(Transect5_imgsummary!E48:I48,"Shadow")*100/5</f>
        <v>0</v>
      </c>
      <c r="DV48">
        <f>COUNTIF(Transect5_imgsummary!E48:I48,"Tape")*100/5</f>
        <v>0</v>
      </c>
      <c r="DW48">
        <f>COUNTIF(Transect5_imgsummary!E48:I48,"Wand")*100/5</f>
        <v>0</v>
      </c>
      <c r="DY48">
        <f>IF(P48=0,0,COUNTIF(Transect5_imgsummary!O48:S48,"BC")*100/P48)</f>
        <v>0</v>
      </c>
    </row>
    <row r="49" spans="1:129">
      <c r="A49">
        <v>47</v>
      </c>
      <c r="B49" t="s">
        <v>644</v>
      </c>
      <c r="F49" s="29">
        <f>IF(P49=0,0,COUNTIF(Transect5_imgsummary!J49:N49,"C")*100/P49)</f>
        <v>80</v>
      </c>
      <c r="G49">
        <f>IF(P49=0,0,COUNTIF(Transect5_imgsummary!J49:N49,"OI")*100/P49)</f>
        <v>0</v>
      </c>
      <c r="H49">
        <f>IF(P49=0,0,COUNTIF(Transect5_imgsummary!J49:N49,"MA")*100/P49)</f>
        <v>0</v>
      </c>
      <c r="I49">
        <f>IF(P49=0,0,COUNTIF(Transect5_imgsummary!J49:N49,"BCA")*100/P49)</f>
        <v>0</v>
      </c>
      <c r="J49" s="29">
        <f>IF(P49=0,0,COUNTIF(Transect5_imgsummary!J49:N49,"CCA")*100/P49)</f>
        <v>20</v>
      </c>
      <c r="K49">
        <f>IF(P49=0,0,COUNTIF(Transect5_imgsummary!J49:N49,"SD")*100/P49)</f>
        <v>0</v>
      </c>
      <c r="L49">
        <f>IF(P49=0,0,COUNTIF(Transect5_imgsummary!J49:N49,"FCA")*100/P49)</f>
        <v>0</v>
      </c>
      <c r="M49">
        <f>IF(P49=0,0,COUNTIF(Transect5_imgsummary!J49:N49,"CHRYS")*100/P49)</f>
        <v>0</v>
      </c>
      <c r="N49">
        <f>IF(P49=0,0,COUNTIF(Transect5_imgsummary!J49:N49,"T")*100/P49)</f>
        <v>0</v>
      </c>
      <c r="O49">
        <f>IF(P49=0,0,COUNTIF(Transect5_imgsummary!J49:N49,"TWS")*100/P49)</f>
        <v>0</v>
      </c>
      <c r="P49">
        <f>5-COUNTIF(Transect5_imgsummary!J49:N49,"TWS")</f>
        <v>5</v>
      </c>
      <c r="S49">
        <f>IF(P49=0,0,COUNTIF(Transect5_imgsummary!E49:I49,"ACAN")*100/P49)</f>
        <v>0</v>
      </c>
      <c r="T49">
        <f>IF(P49=0,0,COUNTIF(Transect5_imgsummary!E49:I49,"ACROP")*100/P49)</f>
        <v>0</v>
      </c>
      <c r="U49">
        <f>IF(P49=0,0,COUNTIF(Transect5_imgsummary!E49:I49,"ACROPARB")*100/P49)</f>
        <v>0</v>
      </c>
      <c r="V49">
        <f>IF(P49=0,0,COUNTIF(Transect5_imgsummary!E49:I49,"ACROST")*100/P49)</f>
        <v>0</v>
      </c>
      <c r="W49">
        <f>IF(P49=0,0,COUNTIF(Transect5_imgsummary!E49:I49,"ACROTBL")*100/P49)</f>
        <v>0</v>
      </c>
      <c r="X49">
        <f>IF(P49=0,0,COUNTIF(Transect5_imgsummary!E49:I49,"ASTRP")*100/P49)</f>
        <v>0</v>
      </c>
      <c r="Y49">
        <f>IF(P49=0,0,COUNTIF(Transect5_imgsummary!E49:I49,"CAUL")*100/P49)</f>
        <v>0</v>
      </c>
      <c r="Z49">
        <f>IF(P49=0,0,COUNTIF(Transect5_imgsummary!E49:I49,"COSC")*100/P49)</f>
        <v>0</v>
      </c>
      <c r="AA49">
        <f>IF(P49=0,0,COUNTIF(Transect5_imgsummary!E49:I49,"CTEN")*100/P49)</f>
        <v>0</v>
      </c>
      <c r="AB49">
        <f>IF(P49=0,0,COUNTIF(Transect5_imgsummary!E49:I49,"CYPH")*100/P49)</f>
        <v>0</v>
      </c>
      <c r="AC49">
        <f>IF(P49=0,0,COUNTIF(Transect5_imgsummary!E49:I49,"DIPLO")*100/P49)</f>
        <v>0</v>
      </c>
      <c r="AD49">
        <f>IF(P49=0,0,COUNTIF(Transect5_imgsummary!E49:I49,"ECHPO")*100/P49)</f>
        <v>0</v>
      </c>
      <c r="AE49">
        <f>IF(P49=0,0,COUNTIF(Transect5_imgsummary!E49:I49,"ECHPHY")*100/P49)</f>
        <v>0</v>
      </c>
      <c r="AF49">
        <f>IF(P49=0,0,COUNTIF(Transect5_imgsummary!E49:I49,"EUPH")*100/P49)</f>
        <v>0</v>
      </c>
      <c r="AG49">
        <f>IF(P49=0,0,COUNTIF(Transect5_imgsummary!E49:I49,"FAV")*100/P49)</f>
        <v>0</v>
      </c>
      <c r="AH49">
        <f>IF(P49=0,0,COUNTIF(Transect5_imgsummary!E49:I49,"FAVT")*100/P49)</f>
        <v>0</v>
      </c>
      <c r="AI49">
        <f>IF(P49=0,0,COUNTIF(Transect5_imgsummary!E49:I49,"FUNG")*100/P49)</f>
        <v>0</v>
      </c>
      <c r="AJ49">
        <f>IF(P49=0,0,COUNTIF(Transect5_imgsummary!E49:I49,"GAL")*100/P49)</f>
        <v>0</v>
      </c>
      <c r="AK49">
        <f>IF(P49=0,0,COUNTIF(Transect5_imgsummary!E49:I49,"GARD")*100/P49)</f>
        <v>0</v>
      </c>
      <c r="AL49">
        <f>IF(P49=0,0,COUNTIF(Transect5_imgsummary!E49:I49,"GON")*100/P49)</f>
        <v>0</v>
      </c>
      <c r="AM49">
        <f>IF(P49=0,0,COUNTIF(Transect5_imgsummary!E49:I49,"GONIO")*100/P49)</f>
        <v>0</v>
      </c>
      <c r="AN49">
        <f>IF(P49=0,0,COUNTIF(Transect5_imgsummary!E49:I49,"HELIO")*100/P49)</f>
        <v>0</v>
      </c>
      <c r="AO49">
        <f>IF(P49=0,0,COUNTIF(Transect5_imgsummary!E49:I49,"HERP")*100/P49)</f>
        <v>0</v>
      </c>
      <c r="AP49">
        <f>IF(P49=0,0,COUNTIF(Transect5_imgsummary!E49:I49,"HYD")*100/P49)</f>
        <v>0</v>
      </c>
      <c r="AQ49">
        <f>IF(P49=0,0,COUNTIF(Transect5_imgsummary!E49:I49,"ISOP")*100/P49)</f>
        <v>0</v>
      </c>
      <c r="AR49">
        <f>IF(P49=0,0,COUNTIF(Transect5_imgsummary!E49:I49,"LEPT")*100/P49)</f>
        <v>0</v>
      </c>
      <c r="AS49" s="29">
        <f>IF(P49=0,0,COUNTIF(Transect5_imgsummary!E49:I49,"LEPTOR")*100/P49)</f>
        <v>80</v>
      </c>
      <c r="AT49">
        <f>IF(P49=0,0,COUNTIF(Transect5_imgsummary!E49:I49,"LEPTOS")*100/P49)</f>
        <v>0</v>
      </c>
      <c r="AU49">
        <f>IF(P49=0,0,COUNTIF(Transect5_imgsummary!E49:I49,"LOBOPH")*100/P49)</f>
        <v>0</v>
      </c>
      <c r="AV49">
        <f>IF(P49=0,0,COUNTIF(Transect5_imgsummary!E49:I49,"MERU")*100/P49)</f>
        <v>0</v>
      </c>
      <c r="AW49">
        <f>IF(P49=0,0,COUNTIF(Transect5_imgsummary!E49:I49,"MILL")*100/P49)</f>
        <v>0</v>
      </c>
      <c r="AX49">
        <f>IF(P49=0,0,COUNTIF(Transect5_imgsummary!E49:I49,"MONT")*100/P49)</f>
        <v>0</v>
      </c>
      <c r="AY49">
        <f>IF(P49=0,0,COUNTIF(Transect5_imgsummary!E49:I49,"MONTI")*100/P49)</f>
        <v>0</v>
      </c>
      <c r="AZ49">
        <f>IF(P49=0,0,COUNTIF(Transect5_imgsummary!E49:I49,"MYCED")*100/P49)</f>
        <v>0</v>
      </c>
      <c r="BA49">
        <f>IF(P49=0,0,COUNTIF(Transect5_imgsummary!E49:I49,"OULO")*100/P49)</f>
        <v>0</v>
      </c>
      <c r="BB49">
        <f>IF(P49=0,0,COUNTIF(Transect5_imgsummary!E49:I49,"OXYP")*100/P49)</f>
        <v>0</v>
      </c>
      <c r="BC49">
        <f>IF(P49=0,0,COUNTIF(Transect5_imgsummary!E49:I49,"PLSIA")*100/P49)</f>
        <v>0</v>
      </c>
      <c r="BD49">
        <f>IF(P49=0,0,COUNTIF(Transect5_imgsummary!E49:I49,"PACHY")*100/P49)</f>
        <v>0</v>
      </c>
      <c r="BE49">
        <f>IF(P49=0,0,COUNTIF(Transect5_imgsummary!E49:I49,"PAV")*100/P49)</f>
        <v>0</v>
      </c>
      <c r="BF49">
        <f>IF(P49=0,0,COUNTIF(Transect5_imgsummary!E49:I49,"PECT")*100/P49)</f>
        <v>0</v>
      </c>
      <c r="BG49">
        <f>IF(P49=0,0,COUNTIF(Transect5_imgsummary!E49:I49,"PHYSO")*100/P49)</f>
        <v>0</v>
      </c>
      <c r="BH49">
        <f>IF(P49=0,0,COUNTIF(Transect5_imgsummary!E49:I49,"PLAT")*100/P49)</f>
        <v>0</v>
      </c>
      <c r="BI49">
        <f>IF(P49=0,0,COUNTIF(Transect5_imgsummary!E49:I49,"PLERO")*100/P49)</f>
        <v>0</v>
      </c>
      <c r="BJ49">
        <f>IF(P49=0,0,COUNTIF(Transect5_imgsummary!E49:I49,"POC")*100/P49)</f>
        <v>0</v>
      </c>
      <c r="BK49">
        <f>IF(P49=0,0,COUNTIF(Transect5_imgsummary!E49:I49,"POR")*100/P49)</f>
        <v>0</v>
      </c>
      <c r="BL49">
        <f>IF(P49=0,0,COUNTIF(Transect5_imgsummary!E49:I49,"PORCYL")*100/P49)</f>
        <v>0</v>
      </c>
      <c r="BM49">
        <f>IF(P49=0,0,COUNTIF(Transect5_imgsummary!E49:I49,"PORMAS")*100/P49)</f>
        <v>0</v>
      </c>
      <c r="BN49">
        <f>IF(P49=0,0,COUNTIF(Transect5_imgsummary!E49:I49,"PORRUS")*100/P49)</f>
        <v>0</v>
      </c>
      <c r="BO49">
        <f>IF(P49=0,0,COUNTIF(Transect5_imgsummary!E49:I49,"PSAM")*100/P49)</f>
        <v>0</v>
      </c>
      <c r="BP49">
        <f>IF(P49=0,0,COUNTIF(Transect5_imgsummary!E49:I49,"SANDO")*100/P49)</f>
        <v>0</v>
      </c>
      <c r="BQ49">
        <f>IF(P49=0,0,COUNTIF(Transect5_imgsummary!E49:I49,"SCAP")*100/P49)</f>
        <v>0</v>
      </c>
      <c r="BR49">
        <f>IF(P49=0,0,COUNTIF(Transect5_imgsummary!E49:I49,"SERIA")*100/P49)</f>
        <v>0</v>
      </c>
      <c r="BS49">
        <f>IF(P49=0,0,COUNTIF(Transect5_imgsummary!E49:I49,"STYLC")*100/P49)</f>
        <v>0</v>
      </c>
      <c r="BT49">
        <f>IF(P49=0,0,COUNTIF(Transect5_imgsummary!E49:I49,"STYLO")*100/P49)</f>
        <v>0</v>
      </c>
      <c r="BU49">
        <f>IF(P49=0,0,COUNTIF(Transect5_imgsummary!E49:I49,"SYMP")*100/P49)</f>
        <v>0</v>
      </c>
      <c r="BV49">
        <f>IF(P49=0,0,COUNTIF(Transect5_imgsummary!E49:I49,"TURBIN")*100/P49)</f>
        <v>0</v>
      </c>
      <c r="BX49">
        <f>IF(P49=0,0,COUNTIF(Transect5_imgsummary!E49:I49,"ANEM")*100/P49)</f>
        <v>0</v>
      </c>
      <c r="BY49">
        <f>IF(P49=0,0,COUNTIF(Transect5_imgsummary!E49:I49,"ASC")*100/P49)</f>
        <v>0</v>
      </c>
      <c r="BZ49">
        <f>IF(P49=0,0,COUNTIF(Transect5_imgsummary!E49:I49,"CUPS")*100/P49)</f>
        <v>0</v>
      </c>
      <c r="CA49">
        <f>IF(P49=0,0,COUNTIF(Transect5_imgsummary!E49:I49,"DISCO")*100/P49)</f>
        <v>0</v>
      </c>
      <c r="CB49">
        <f>IF(P49=0,0,COUNTIF(Transect5_imgsummary!E49:I49,"DYS")*100/P49)</f>
        <v>0</v>
      </c>
      <c r="CC49">
        <f>IF(P49=0,0,COUNTIF(Transect5_imgsummary!E49:I49,"G")*100/P49)</f>
        <v>0</v>
      </c>
      <c r="CD49">
        <f>IF(P49=0,0,COUNTIF(Transect5_imgsummary!E49:I49,"NoIDINV")*100/P49)</f>
        <v>0</v>
      </c>
      <c r="CE49">
        <f>IF(P49=0,0,COUNTIF(Transect5_imgsummary!E49:I49,"OLV")*100/P49)</f>
        <v>0</v>
      </c>
      <c r="CF49">
        <f>IF(P49=0,0,COUNTIF(Transect5_imgsummary!E49:I49,"SC")*100/P49)</f>
        <v>0</v>
      </c>
      <c r="CG49">
        <f>IF(P49=0,0,COUNTIF(Transect5_imgsummary!E49:I49,"S")*100/P49)</f>
        <v>0</v>
      </c>
      <c r="CH49">
        <f>IF(P49=0,0,COUNTIF(Transect5_imgsummary!E49:I49,"TERPS")*100/P49)</f>
        <v>0</v>
      </c>
      <c r="CI49">
        <f>IF(P49=0,0,COUNTIF(Transect5_imgsummary!E49:I49,"Z")*100/P49)</f>
        <v>0</v>
      </c>
      <c r="CK49">
        <f>IF(P49=0,0,COUNTIF(Transect5_imgsummary!E49:I49,"ASP")*100/P49)</f>
        <v>0</v>
      </c>
      <c r="CL49">
        <f>IF(P49=0,0,COUNTIF(Transect5_imgsummary!E49:I49,"BG")*100/P49)</f>
        <v>0</v>
      </c>
      <c r="CM49">
        <f>IF(P49=0,0,COUNTIF(Transect5_imgsummary!E49:I49,"Bood")*100/P49)</f>
        <v>0</v>
      </c>
      <c r="CN49">
        <f>IF(P49=0,0,COUNTIF(Transect5_imgsummary!E49:I49,"BRYP")*100/P49)</f>
        <v>0</v>
      </c>
      <c r="CO49">
        <f>IF(P49=0,0,COUNTIF(Transect5_imgsummary!E49:I49,"CLP")*100/P49)</f>
        <v>0</v>
      </c>
      <c r="CP49">
        <f>IF(P49=0,0,COUNTIF(Transect5_imgsummary!E49:I49,"CHLDES")*100/P49)</f>
        <v>0</v>
      </c>
      <c r="CQ49">
        <f>IF(P49=0,0,COUNTIF(Transect5_imgsummary!E49:I49,"DYCTY")*100/P49)</f>
        <v>0</v>
      </c>
      <c r="CR49">
        <f>IF(P49=0,0,COUNTIF(Transect5_imgsummary!E49:I49,"DICT")*100/P49)</f>
        <v>0</v>
      </c>
      <c r="CS49">
        <f>IF(P49=0,0,COUNTIF(Transect5_imgsummary!E49:I49,"GLXU")*100/P49)</f>
        <v>0</v>
      </c>
      <c r="CT49">
        <f>IF(P49=0,0,COUNTIF(Transect5_imgsummary!E49:I49,"HALI")*100/P49)</f>
        <v>0</v>
      </c>
      <c r="CU49">
        <f>IF(P49=0,0,COUNTIF(Transect5_imgsummary!E49:I49,"LIAG")*100/P49)</f>
        <v>0</v>
      </c>
      <c r="CV49">
        <f>IF(P49=0,0,COUNTIF(Transect5_imgsummary!E49:I49,"LOBO")*100/P49)</f>
        <v>0</v>
      </c>
      <c r="CW49">
        <f>IF(P49=0,0,COUNTIF(Transect5_imgsummary!E49:I49,"MAST")*100/P49)</f>
        <v>0</v>
      </c>
      <c r="CX49">
        <f>IF(P49=0,0,COUNTIF(Transect5_imgsummary!E49:I49,"MICDTY")*100/P49)</f>
        <v>0</v>
      </c>
      <c r="CY49">
        <f>IF(P49=0,0,COUNTIF(Transect5_imgsummary!E49:I49,"NEOM")*100/P49)</f>
        <v>0</v>
      </c>
      <c r="CZ49">
        <f>IF(P49=0,0,COUNTIF(Transect5_imgsummary!E49:I49,"NOIDMAC")*100/P49)</f>
        <v>0</v>
      </c>
      <c r="DA49">
        <f>IF(P49=0,0,COUNTIF(Transect5_imgsummary!E49:I49,"PAD")*100/P49)</f>
        <v>0</v>
      </c>
      <c r="DB49">
        <f>IF(P49=0,0,COUNTIF(Transect5_imgsummary!E49:I49,"SARG")*100/P49)</f>
        <v>0</v>
      </c>
      <c r="DC49">
        <f>IF(P49=0,0,COUNTIF(Transect5_imgsummary!E49:I49,"SCHIZ")*100/P49)</f>
        <v>0</v>
      </c>
      <c r="DD49">
        <f>IF(P49=0,0,COUNTIF(Transect5_imgsummary!E49:I49,"TURB")*100/P49)</f>
        <v>0</v>
      </c>
      <c r="DE49">
        <f>IF(P49=0,0,COUNTIF(Transect5_imgsummary!E49:I49,"TYDM")*100/P49)</f>
        <v>0</v>
      </c>
      <c r="DG49">
        <f>IF(P49=0,0,COUNTIF(Transect5_imgsummary!E49:I49,"AMP")*100/P49)</f>
        <v>0</v>
      </c>
      <c r="DH49">
        <f>IF(P49=0,0,COUNTIF(Transect5_imgsummary!E49:I49,"BCA1")*100/P49)</f>
        <v>0</v>
      </c>
      <c r="DI49">
        <f>IF(P49=0,0,COUNTIF(Transect5_imgsummary!E49:I49,"JAN")*100/P49)</f>
        <v>0</v>
      </c>
      <c r="DK49" s="29">
        <f>IF(P49=0,0,COUNTIF(Transect5_imgsummary!E49:I49,"CCA1")*100/P49)</f>
        <v>20</v>
      </c>
      <c r="DM49">
        <f>IF(P49=0,0,COUNTIF(Transect5_imgsummary!E49:I49,"Sand")*100/P49)</f>
        <v>0</v>
      </c>
      <c r="DO49">
        <f>IF(P49=0,0,COUNTIF(Transect5_imgsummary!E49:I49,"FCA1")*100/P49)</f>
        <v>0</v>
      </c>
      <c r="DQ49">
        <f>IF(P49=0,0,COUNTIF(Transect5_imgsummary!E49:I49,"CHRYOBRN")*100/P49)</f>
        <v>0</v>
      </c>
      <c r="DS49">
        <f>IF(P49=0,0,COUNTIF(Transect5_imgsummary!E49:I49,"TURF")*100/P49)</f>
        <v>0</v>
      </c>
      <c r="DU49">
        <f>COUNTIF(Transect5_imgsummary!E49:I49,"Shadow")*100/5</f>
        <v>0</v>
      </c>
      <c r="DV49">
        <f>COUNTIF(Transect5_imgsummary!E49:I49,"Tape")*100/5</f>
        <v>0</v>
      </c>
      <c r="DW49">
        <f>COUNTIF(Transect5_imgsummary!E49:I49,"Wand")*100/5</f>
        <v>0</v>
      </c>
      <c r="DY49">
        <f>IF(P49=0,0,COUNTIF(Transect5_imgsummary!O49:S49,"BC")*100/P49)</f>
        <v>0</v>
      </c>
    </row>
    <row r="50" spans="1:129">
      <c r="A50">
        <v>48</v>
      </c>
      <c r="B50" t="s">
        <v>645</v>
      </c>
      <c r="F50" s="29">
        <f>IF(P50=0,0,COUNTIF(Transect5_imgsummary!J50:N50,"C")*100/P50)</f>
        <v>20</v>
      </c>
      <c r="G50">
        <f>IF(P50=0,0,COUNTIF(Transect5_imgsummary!J50:N50,"OI")*100/P50)</f>
        <v>0</v>
      </c>
      <c r="H50">
        <f>IF(P50=0,0,COUNTIF(Transect5_imgsummary!J50:N50,"MA")*100/P50)</f>
        <v>0</v>
      </c>
      <c r="I50" s="29">
        <f>IF(P50=0,0,COUNTIF(Transect5_imgsummary!J50:N50,"BCA")*100/P50)</f>
        <v>20</v>
      </c>
      <c r="J50" s="29">
        <f>IF(P50=0,0,COUNTIF(Transect5_imgsummary!J50:N50,"CCA")*100/P50)</f>
        <v>60</v>
      </c>
      <c r="K50">
        <f>IF(P50=0,0,COUNTIF(Transect5_imgsummary!J50:N50,"SD")*100/P50)</f>
        <v>0</v>
      </c>
      <c r="L50">
        <f>IF(P50=0,0,COUNTIF(Transect5_imgsummary!J50:N50,"FCA")*100/P50)</f>
        <v>0</v>
      </c>
      <c r="M50">
        <f>IF(P50=0,0,COUNTIF(Transect5_imgsummary!J50:N50,"CHRYS")*100/P50)</f>
        <v>0</v>
      </c>
      <c r="N50">
        <f>IF(P50=0,0,COUNTIF(Transect5_imgsummary!J50:N50,"T")*100/P50)</f>
        <v>0</v>
      </c>
      <c r="O50">
        <f>IF(P50=0,0,COUNTIF(Transect5_imgsummary!J50:N50,"TWS")*100/P50)</f>
        <v>0</v>
      </c>
      <c r="P50">
        <f>5-COUNTIF(Transect5_imgsummary!J50:N50,"TWS")</f>
        <v>5</v>
      </c>
      <c r="S50">
        <f>IF(P50=0,0,COUNTIF(Transect5_imgsummary!E50:I50,"ACAN")*100/P50)</f>
        <v>0</v>
      </c>
      <c r="T50">
        <f>IF(P50=0,0,COUNTIF(Transect5_imgsummary!E50:I50,"ACROP")*100/P50)</f>
        <v>0</v>
      </c>
      <c r="U50">
        <f>IF(P50=0,0,COUNTIF(Transect5_imgsummary!E50:I50,"ACROPARB")*100/P50)</f>
        <v>0</v>
      </c>
      <c r="V50">
        <f>IF(P50=0,0,COUNTIF(Transect5_imgsummary!E50:I50,"ACROST")*100/P50)</f>
        <v>0</v>
      </c>
      <c r="W50">
        <f>IF(P50=0,0,COUNTIF(Transect5_imgsummary!E50:I50,"ACROTBL")*100/P50)</f>
        <v>0</v>
      </c>
      <c r="X50">
        <f>IF(P50=0,0,COUNTIF(Transect5_imgsummary!E50:I50,"ASTRP")*100/P50)</f>
        <v>0</v>
      </c>
      <c r="Y50">
        <f>IF(P50=0,0,COUNTIF(Transect5_imgsummary!E50:I50,"CAUL")*100/P50)</f>
        <v>0</v>
      </c>
      <c r="Z50">
        <f>IF(P50=0,0,COUNTIF(Transect5_imgsummary!E50:I50,"COSC")*100/P50)</f>
        <v>0</v>
      </c>
      <c r="AA50">
        <f>IF(P50=0,0,COUNTIF(Transect5_imgsummary!E50:I50,"CTEN")*100/P50)</f>
        <v>0</v>
      </c>
      <c r="AB50">
        <f>IF(P50=0,0,COUNTIF(Transect5_imgsummary!E50:I50,"CYPH")*100/P50)</f>
        <v>0</v>
      </c>
      <c r="AC50">
        <f>IF(P50=0,0,COUNTIF(Transect5_imgsummary!E50:I50,"DIPLO")*100/P50)</f>
        <v>0</v>
      </c>
      <c r="AD50">
        <f>IF(P50=0,0,COUNTIF(Transect5_imgsummary!E50:I50,"ECHPO")*100/P50)</f>
        <v>0</v>
      </c>
      <c r="AE50">
        <f>IF(P50=0,0,COUNTIF(Transect5_imgsummary!E50:I50,"ECHPHY")*100/P50)</f>
        <v>0</v>
      </c>
      <c r="AF50">
        <f>IF(P50=0,0,COUNTIF(Transect5_imgsummary!E50:I50,"EUPH")*100/P50)</f>
        <v>0</v>
      </c>
      <c r="AG50">
        <f>IF(P50=0,0,COUNTIF(Transect5_imgsummary!E50:I50,"FAV")*100/P50)</f>
        <v>0</v>
      </c>
      <c r="AH50">
        <f>IF(P50=0,0,COUNTIF(Transect5_imgsummary!E50:I50,"FAVT")*100/P50)</f>
        <v>0</v>
      </c>
      <c r="AI50">
        <f>IF(P50=0,0,COUNTIF(Transect5_imgsummary!E50:I50,"FUNG")*100/P50)</f>
        <v>0</v>
      </c>
      <c r="AJ50">
        <f>IF(P50=0,0,COUNTIF(Transect5_imgsummary!E50:I50,"GAL")*100/P50)</f>
        <v>0</v>
      </c>
      <c r="AK50">
        <f>IF(P50=0,0,COUNTIF(Transect5_imgsummary!E50:I50,"GARD")*100/P50)</f>
        <v>0</v>
      </c>
      <c r="AL50">
        <f>IF(P50=0,0,COUNTIF(Transect5_imgsummary!E50:I50,"GON")*100/P50)</f>
        <v>0</v>
      </c>
      <c r="AM50">
        <f>IF(P50=0,0,COUNTIF(Transect5_imgsummary!E50:I50,"GONIO")*100/P50)</f>
        <v>0</v>
      </c>
      <c r="AN50">
        <f>IF(P50=0,0,COUNTIF(Transect5_imgsummary!E50:I50,"HELIO")*100/P50)</f>
        <v>0</v>
      </c>
      <c r="AO50">
        <f>IF(P50=0,0,COUNTIF(Transect5_imgsummary!E50:I50,"HERP")*100/P50)</f>
        <v>0</v>
      </c>
      <c r="AP50">
        <f>IF(P50=0,0,COUNTIF(Transect5_imgsummary!E50:I50,"HYD")*100/P50)</f>
        <v>0</v>
      </c>
      <c r="AQ50">
        <f>IF(P50=0,0,COUNTIF(Transect5_imgsummary!E50:I50,"ISOP")*100/P50)</f>
        <v>0</v>
      </c>
      <c r="AR50">
        <f>IF(P50=0,0,COUNTIF(Transect5_imgsummary!E50:I50,"LEPT")*100/P50)</f>
        <v>0</v>
      </c>
      <c r="AS50" s="29">
        <f>IF(P50=0,0,COUNTIF(Transect5_imgsummary!E50:I50,"LEPTOR")*100/P50)</f>
        <v>20</v>
      </c>
      <c r="AT50">
        <f>IF(P50=0,0,COUNTIF(Transect5_imgsummary!E50:I50,"LEPTOS")*100/P50)</f>
        <v>0</v>
      </c>
      <c r="AU50">
        <f>IF(P50=0,0,COUNTIF(Transect5_imgsummary!E50:I50,"LOBOPH")*100/P50)</f>
        <v>0</v>
      </c>
      <c r="AV50">
        <f>IF(P50=0,0,COUNTIF(Transect5_imgsummary!E50:I50,"MERU")*100/P50)</f>
        <v>0</v>
      </c>
      <c r="AW50">
        <f>IF(P50=0,0,COUNTIF(Transect5_imgsummary!E50:I50,"MILL")*100/P50)</f>
        <v>0</v>
      </c>
      <c r="AX50">
        <f>IF(P50=0,0,COUNTIF(Transect5_imgsummary!E50:I50,"MONT")*100/P50)</f>
        <v>0</v>
      </c>
      <c r="AY50">
        <f>IF(P50=0,0,COUNTIF(Transect5_imgsummary!E50:I50,"MONTI")*100/P50)</f>
        <v>0</v>
      </c>
      <c r="AZ50">
        <f>IF(P50=0,0,COUNTIF(Transect5_imgsummary!E50:I50,"MYCED")*100/P50)</f>
        <v>0</v>
      </c>
      <c r="BA50">
        <f>IF(P50=0,0,COUNTIF(Transect5_imgsummary!E50:I50,"OULO")*100/P50)</f>
        <v>0</v>
      </c>
      <c r="BB50">
        <f>IF(P50=0,0,COUNTIF(Transect5_imgsummary!E50:I50,"OXYP")*100/P50)</f>
        <v>0</v>
      </c>
      <c r="BC50">
        <f>IF(P50=0,0,COUNTIF(Transect5_imgsummary!E50:I50,"PLSIA")*100/P50)</f>
        <v>0</v>
      </c>
      <c r="BD50">
        <f>IF(P50=0,0,COUNTIF(Transect5_imgsummary!E50:I50,"PACHY")*100/P50)</f>
        <v>0</v>
      </c>
      <c r="BE50">
        <f>IF(P50=0,0,COUNTIF(Transect5_imgsummary!E50:I50,"PAV")*100/P50)</f>
        <v>0</v>
      </c>
      <c r="BF50">
        <f>IF(P50=0,0,COUNTIF(Transect5_imgsummary!E50:I50,"PECT")*100/P50)</f>
        <v>0</v>
      </c>
      <c r="BG50">
        <f>IF(P50=0,0,COUNTIF(Transect5_imgsummary!E50:I50,"PHYSO")*100/P50)</f>
        <v>0</v>
      </c>
      <c r="BH50">
        <f>IF(P50=0,0,COUNTIF(Transect5_imgsummary!E50:I50,"PLAT")*100/P50)</f>
        <v>0</v>
      </c>
      <c r="BI50">
        <f>IF(P50=0,0,COUNTIF(Transect5_imgsummary!E50:I50,"PLERO")*100/P50)</f>
        <v>0</v>
      </c>
      <c r="BJ50">
        <f>IF(P50=0,0,COUNTIF(Transect5_imgsummary!E50:I50,"POC")*100/P50)</f>
        <v>0</v>
      </c>
      <c r="BK50">
        <f>IF(P50=0,0,COUNTIF(Transect5_imgsummary!E50:I50,"POR")*100/P50)</f>
        <v>0</v>
      </c>
      <c r="BL50">
        <f>IF(P50=0,0,COUNTIF(Transect5_imgsummary!E50:I50,"PORCYL")*100/P50)</f>
        <v>0</v>
      </c>
      <c r="BM50">
        <f>IF(P50=0,0,COUNTIF(Transect5_imgsummary!E50:I50,"PORMAS")*100/P50)</f>
        <v>0</v>
      </c>
      <c r="BN50">
        <f>IF(P50=0,0,COUNTIF(Transect5_imgsummary!E50:I50,"PORRUS")*100/P50)</f>
        <v>0</v>
      </c>
      <c r="BO50">
        <f>IF(P50=0,0,COUNTIF(Transect5_imgsummary!E50:I50,"PSAM")*100/P50)</f>
        <v>0</v>
      </c>
      <c r="BP50">
        <f>IF(P50=0,0,COUNTIF(Transect5_imgsummary!E50:I50,"SANDO")*100/P50)</f>
        <v>0</v>
      </c>
      <c r="BQ50">
        <f>IF(P50=0,0,COUNTIF(Transect5_imgsummary!E50:I50,"SCAP")*100/P50)</f>
        <v>0</v>
      </c>
      <c r="BR50">
        <f>IF(P50=0,0,COUNTIF(Transect5_imgsummary!E50:I50,"SERIA")*100/P50)</f>
        <v>0</v>
      </c>
      <c r="BS50">
        <f>IF(P50=0,0,COUNTIF(Transect5_imgsummary!E50:I50,"STYLC")*100/P50)</f>
        <v>0</v>
      </c>
      <c r="BT50">
        <f>IF(P50=0,0,COUNTIF(Transect5_imgsummary!E50:I50,"STYLO")*100/P50)</f>
        <v>0</v>
      </c>
      <c r="BU50">
        <f>IF(P50=0,0,COUNTIF(Transect5_imgsummary!E50:I50,"SYMP")*100/P50)</f>
        <v>0</v>
      </c>
      <c r="BV50">
        <f>IF(P50=0,0,COUNTIF(Transect5_imgsummary!E50:I50,"TURBIN")*100/P50)</f>
        <v>0</v>
      </c>
      <c r="BX50">
        <f>IF(P50=0,0,COUNTIF(Transect5_imgsummary!E50:I50,"ANEM")*100/P50)</f>
        <v>0</v>
      </c>
      <c r="BY50">
        <f>IF(P50=0,0,COUNTIF(Transect5_imgsummary!E50:I50,"ASC")*100/P50)</f>
        <v>0</v>
      </c>
      <c r="BZ50">
        <f>IF(P50=0,0,COUNTIF(Transect5_imgsummary!E50:I50,"CUPS")*100/P50)</f>
        <v>0</v>
      </c>
      <c r="CA50">
        <f>IF(P50=0,0,COUNTIF(Transect5_imgsummary!E50:I50,"DISCO")*100/P50)</f>
        <v>0</v>
      </c>
      <c r="CB50">
        <f>IF(P50=0,0,COUNTIF(Transect5_imgsummary!E50:I50,"DYS")*100/P50)</f>
        <v>0</v>
      </c>
      <c r="CC50">
        <f>IF(P50=0,0,COUNTIF(Transect5_imgsummary!E50:I50,"G")*100/P50)</f>
        <v>0</v>
      </c>
      <c r="CD50">
        <f>IF(P50=0,0,COUNTIF(Transect5_imgsummary!E50:I50,"NoIDINV")*100/P50)</f>
        <v>0</v>
      </c>
      <c r="CE50">
        <f>IF(P50=0,0,COUNTIF(Transect5_imgsummary!E50:I50,"OLV")*100/P50)</f>
        <v>0</v>
      </c>
      <c r="CF50">
        <f>IF(P50=0,0,COUNTIF(Transect5_imgsummary!E50:I50,"SC")*100/P50)</f>
        <v>0</v>
      </c>
      <c r="CG50">
        <f>IF(P50=0,0,COUNTIF(Transect5_imgsummary!E50:I50,"S")*100/P50)</f>
        <v>0</v>
      </c>
      <c r="CH50">
        <f>IF(P50=0,0,COUNTIF(Transect5_imgsummary!E50:I50,"TERPS")*100/P50)</f>
        <v>0</v>
      </c>
      <c r="CI50">
        <f>IF(P50=0,0,COUNTIF(Transect5_imgsummary!E50:I50,"Z")*100/P50)</f>
        <v>0</v>
      </c>
      <c r="CK50">
        <f>IF(P50=0,0,COUNTIF(Transect5_imgsummary!E50:I50,"ASP")*100/P50)</f>
        <v>0</v>
      </c>
      <c r="CL50">
        <f>IF(P50=0,0,COUNTIF(Transect5_imgsummary!E50:I50,"BG")*100/P50)</f>
        <v>0</v>
      </c>
      <c r="CM50">
        <f>IF(P50=0,0,COUNTIF(Transect5_imgsummary!E50:I50,"Bood")*100/P50)</f>
        <v>0</v>
      </c>
      <c r="CN50">
        <f>IF(P50=0,0,COUNTIF(Transect5_imgsummary!E50:I50,"BRYP")*100/P50)</f>
        <v>0</v>
      </c>
      <c r="CO50">
        <f>IF(P50=0,0,COUNTIF(Transect5_imgsummary!E50:I50,"CLP")*100/P50)</f>
        <v>0</v>
      </c>
      <c r="CP50">
        <f>IF(P50=0,0,COUNTIF(Transect5_imgsummary!E50:I50,"CHLDES")*100/P50)</f>
        <v>0</v>
      </c>
      <c r="CQ50">
        <f>IF(P50=0,0,COUNTIF(Transect5_imgsummary!E50:I50,"DYCTY")*100/P50)</f>
        <v>0</v>
      </c>
      <c r="CR50">
        <f>IF(P50=0,0,COUNTIF(Transect5_imgsummary!E50:I50,"DICT")*100/P50)</f>
        <v>0</v>
      </c>
      <c r="CS50">
        <f>IF(P50=0,0,COUNTIF(Transect5_imgsummary!E50:I50,"GLXU")*100/P50)</f>
        <v>0</v>
      </c>
      <c r="CT50">
        <f>IF(P50=0,0,COUNTIF(Transect5_imgsummary!E50:I50,"HALI")*100/P50)</f>
        <v>0</v>
      </c>
      <c r="CU50">
        <f>IF(P50=0,0,COUNTIF(Transect5_imgsummary!E50:I50,"LIAG")*100/P50)</f>
        <v>0</v>
      </c>
      <c r="CV50">
        <f>IF(P50=0,0,COUNTIF(Transect5_imgsummary!E50:I50,"LOBO")*100/P50)</f>
        <v>0</v>
      </c>
      <c r="CW50">
        <f>IF(P50=0,0,COUNTIF(Transect5_imgsummary!E50:I50,"MAST")*100/P50)</f>
        <v>0</v>
      </c>
      <c r="CX50">
        <f>IF(P50=0,0,COUNTIF(Transect5_imgsummary!E50:I50,"MICDTY")*100/P50)</f>
        <v>0</v>
      </c>
      <c r="CY50">
        <f>IF(P50=0,0,COUNTIF(Transect5_imgsummary!E50:I50,"NEOM")*100/P50)</f>
        <v>0</v>
      </c>
      <c r="CZ50">
        <f>IF(P50=0,0,COUNTIF(Transect5_imgsummary!E50:I50,"NOIDMAC")*100/P50)</f>
        <v>0</v>
      </c>
      <c r="DA50">
        <f>IF(P50=0,0,COUNTIF(Transect5_imgsummary!E50:I50,"PAD")*100/P50)</f>
        <v>0</v>
      </c>
      <c r="DB50">
        <f>IF(P50=0,0,COUNTIF(Transect5_imgsummary!E50:I50,"SARG")*100/P50)</f>
        <v>0</v>
      </c>
      <c r="DC50">
        <f>IF(P50=0,0,COUNTIF(Transect5_imgsummary!E50:I50,"SCHIZ")*100/P50)</f>
        <v>0</v>
      </c>
      <c r="DD50">
        <f>IF(P50=0,0,COUNTIF(Transect5_imgsummary!E50:I50,"TURB")*100/P50)</f>
        <v>0</v>
      </c>
      <c r="DE50">
        <f>IF(P50=0,0,COUNTIF(Transect5_imgsummary!E50:I50,"TYDM")*100/P50)</f>
        <v>0</v>
      </c>
      <c r="DG50">
        <f>IF(P50=0,0,COUNTIF(Transect5_imgsummary!E50:I50,"AMP")*100/P50)</f>
        <v>0</v>
      </c>
      <c r="DH50" s="29">
        <f>IF(P50=0,0,COUNTIF(Transect5_imgsummary!E50:I50,"BCA1")*100/P50)</f>
        <v>20</v>
      </c>
      <c r="DI50">
        <f>IF(P50=0,0,COUNTIF(Transect5_imgsummary!E50:I50,"JAN")*100/P50)</f>
        <v>0</v>
      </c>
      <c r="DK50" s="29">
        <f>IF(P50=0,0,COUNTIF(Transect5_imgsummary!E50:I50,"CCA1")*100/P50)</f>
        <v>60</v>
      </c>
      <c r="DM50">
        <f>IF(P50=0,0,COUNTIF(Transect5_imgsummary!E50:I50,"Sand")*100/P50)</f>
        <v>0</v>
      </c>
      <c r="DO50">
        <f>IF(P50=0,0,COUNTIF(Transect5_imgsummary!E50:I50,"FCA1")*100/P50)</f>
        <v>0</v>
      </c>
      <c r="DQ50">
        <f>IF(P50=0,0,COUNTIF(Transect5_imgsummary!E50:I50,"CHRYOBRN")*100/P50)</f>
        <v>0</v>
      </c>
      <c r="DS50">
        <f>IF(P50=0,0,COUNTIF(Transect5_imgsummary!E50:I50,"TURF")*100/P50)</f>
        <v>0</v>
      </c>
      <c r="DU50">
        <f>COUNTIF(Transect5_imgsummary!E50:I50,"Shadow")*100/5</f>
        <v>0</v>
      </c>
      <c r="DV50">
        <f>COUNTIF(Transect5_imgsummary!E50:I50,"Tape")*100/5</f>
        <v>0</v>
      </c>
      <c r="DW50">
        <f>COUNTIF(Transect5_imgsummary!E50:I50,"Wand")*100/5</f>
        <v>0</v>
      </c>
      <c r="DY50">
        <f>IF(P50=0,0,COUNTIF(Transect5_imgsummary!O50:S50,"BC")*100/P50)</f>
        <v>0</v>
      </c>
    </row>
    <row r="51" spans="1:129">
      <c r="A51">
        <v>49</v>
      </c>
      <c r="B51" t="s">
        <v>646</v>
      </c>
      <c r="F51" s="29">
        <f>IF(P51=0,0,COUNTIF(Transect5_imgsummary!J51:N51,"C")*100/P51)</f>
        <v>20</v>
      </c>
      <c r="G51">
        <f>IF(P51=0,0,COUNTIF(Transect5_imgsummary!J51:N51,"OI")*100/P51)</f>
        <v>0</v>
      </c>
      <c r="H51">
        <f>IF(P51=0,0,COUNTIF(Transect5_imgsummary!J51:N51,"MA")*100/P51)</f>
        <v>0</v>
      </c>
      <c r="I51" s="29">
        <f>IF(P51=0,0,COUNTIF(Transect5_imgsummary!J51:N51,"BCA")*100/P51)</f>
        <v>20</v>
      </c>
      <c r="J51" s="29">
        <f>IF(P51=0,0,COUNTIF(Transect5_imgsummary!J51:N51,"CCA")*100/P51)</f>
        <v>40</v>
      </c>
      <c r="K51">
        <f>IF(P51=0,0,COUNTIF(Transect5_imgsummary!J51:N51,"SD")*100/P51)</f>
        <v>0</v>
      </c>
      <c r="L51">
        <f>IF(P51=0,0,COUNTIF(Transect5_imgsummary!J51:N51,"FCA")*100/P51)</f>
        <v>0</v>
      </c>
      <c r="M51">
        <f>IF(P51=0,0,COUNTIF(Transect5_imgsummary!J51:N51,"CHRYS")*100/P51)</f>
        <v>0</v>
      </c>
      <c r="N51" s="29">
        <f>IF(P51=0,0,COUNTIF(Transect5_imgsummary!J51:N51,"T")*100/P51)</f>
        <v>20</v>
      </c>
      <c r="O51">
        <f>IF(P51=0,0,COUNTIF(Transect5_imgsummary!J51:N51,"TWS")*100/P51)</f>
        <v>0</v>
      </c>
      <c r="P51">
        <f>5-COUNTIF(Transect5_imgsummary!J51:N51,"TWS")</f>
        <v>5</v>
      </c>
      <c r="S51">
        <f>IF(P51=0,0,COUNTIF(Transect5_imgsummary!E51:I51,"ACAN")*100/P51)</f>
        <v>0</v>
      </c>
      <c r="T51">
        <f>IF(P51=0,0,COUNTIF(Transect5_imgsummary!E51:I51,"ACROP")*100/P51)</f>
        <v>0</v>
      </c>
      <c r="U51">
        <f>IF(P51=0,0,COUNTIF(Transect5_imgsummary!E51:I51,"ACROPARB")*100/P51)</f>
        <v>0</v>
      </c>
      <c r="V51">
        <f>IF(P51=0,0,COUNTIF(Transect5_imgsummary!E51:I51,"ACROST")*100/P51)</f>
        <v>0</v>
      </c>
      <c r="W51">
        <f>IF(P51=0,0,COUNTIF(Transect5_imgsummary!E51:I51,"ACROTBL")*100/P51)</f>
        <v>0</v>
      </c>
      <c r="X51">
        <f>IF(P51=0,0,COUNTIF(Transect5_imgsummary!E51:I51,"ASTRP")*100/P51)</f>
        <v>0</v>
      </c>
      <c r="Y51">
        <f>IF(P51=0,0,COUNTIF(Transect5_imgsummary!E51:I51,"CAUL")*100/P51)</f>
        <v>0</v>
      </c>
      <c r="Z51">
        <f>IF(P51=0,0,COUNTIF(Transect5_imgsummary!E51:I51,"COSC")*100/P51)</f>
        <v>0</v>
      </c>
      <c r="AA51">
        <f>IF(P51=0,0,COUNTIF(Transect5_imgsummary!E51:I51,"CTEN")*100/P51)</f>
        <v>0</v>
      </c>
      <c r="AB51">
        <f>IF(P51=0,0,COUNTIF(Transect5_imgsummary!E51:I51,"CYPH")*100/P51)</f>
        <v>0</v>
      </c>
      <c r="AC51">
        <f>IF(P51=0,0,COUNTIF(Transect5_imgsummary!E51:I51,"DIPLO")*100/P51)</f>
        <v>0</v>
      </c>
      <c r="AD51">
        <f>IF(P51=0,0,COUNTIF(Transect5_imgsummary!E51:I51,"ECHPO")*100/P51)</f>
        <v>0</v>
      </c>
      <c r="AE51">
        <f>IF(P51=0,0,COUNTIF(Transect5_imgsummary!E51:I51,"ECHPHY")*100/P51)</f>
        <v>0</v>
      </c>
      <c r="AF51">
        <f>IF(P51=0,0,COUNTIF(Transect5_imgsummary!E51:I51,"EUPH")*100/P51)</f>
        <v>0</v>
      </c>
      <c r="AG51">
        <f>IF(P51=0,0,COUNTIF(Transect5_imgsummary!E51:I51,"FAV")*100/P51)</f>
        <v>0</v>
      </c>
      <c r="AH51">
        <f>IF(P51=0,0,COUNTIF(Transect5_imgsummary!E51:I51,"FAVT")*100/P51)</f>
        <v>0</v>
      </c>
      <c r="AI51">
        <f>IF(P51=0,0,COUNTIF(Transect5_imgsummary!E51:I51,"FUNG")*100/P51)</f>
        <v>0</v>
      </c>
      <c r="AJ51">
        <f>IF(P51=0,0,COUNTIF(Transect5_imgsummary!E51:I51,"GAL")*100/P51)</f>
        <v>0</v>
      </c>
      <c r="AK51">
        <f>IF(P51=0,0,COUNTIF(Transect5_imgsummary!E51:I51,"GARD")*100/P51)</f>
        <v>0</v>
      </c>
      <c r="AL51">
        <f>IF(P51=0,0,COUNTIF(Transect5_imgsummary!E51:I51,"GON")*100/P51)</f>
        <v>0</v>
      </c>
      <c r="AM51">
        <f>IF(P51=0,0,COUNTIF(Transect5_imgsummary!E51:I51,"GONIO")*100/P51)</f>
        <v>0</v>
      </c>
      <c r="AN51">
        <f>IF(P51=0,0,COUNTIF(Transect5_imgsummary!E51:I51,"HELIO")*100/P51)</f>
        <v>0</v>
      </c>
      <c r="AO51">
        <f>IF(P51=0,0,COUNTIF(Transect5_imgsummary!E51:I51,"HERP")*100/P51)</f>
        <v>0</v>
      </c>
      <c r="AP51">
        <f>IF(P51=0,0,COUNTIF(Transect5_imgsummary!E51:I51,"HYD")*100/P51)</f>
        <v>0</v>
      </c>
      <c r="AQ51">
        <f>IF(P51=0,0,COUNTIF(Transect5_imgsummary!E51:I51,"ISOP")*100/P51)</f>
        <v>0</v>
      </c>
      <c r="AR51">
        <f>IF(P51=0,0,COUNTIF(Transect5_imgsummary!E51:I51,"LEPT")*100/P51)</f>
        <v>0</v>
      </c>
      <c r="AS51">
        <f>IF(P51=0,0,COUNTIF(Transect5_imgsummary!E51:I51,"LEPTOR")*100/P51)</f>
        <v>0</v>
      </c>
      <c r="AT51">
        <f>IF(P51=0,0,COUNTIF(Transect5_imgsummary!E51:I51,"LEPTOS")*100/P51)</f>
        <v>0</v>
      </c>
      <c r="AU51">
        <f>IF(P51=0,0,COUNTIF(Transect5_imgsummary!E51:I51,"LOBOPH")*100/P51)</f>
        <v>0</v>
      </c>
      <c r="AV51">
        <f>IF(P51=0,0,COUNTIF(Transect5_imgsummary!E51:I51,"MERU")*100/P51)</f>
        <v>0</v>
      </c>
      <c r="AW51">
        <f>IF(P51=0,0,COUNTIF(Transect5_imgsummary!E51:I51,"MILL")*100/P51)</f>
        <v>0</v>
      </c>
      <c r="AX51">
        <f>IF(P51=0,0,COUNTIF(Transect5_imgsummary!E51:I51,"MONT")*100/P51)</f>
        <v>0</v>
      </c>
      <c r="AY51">
        <f>IF(P51=0,0,COUNTIF(Transect5_imgsummary!E51:I51,"MONTI")*100/P51)</f>
        <v>0</v>
      </c>
      <c r="AZ51">
        <f>IF(P51=0,0,COUNTIF(Transect5_imgsummary!E51:I51,"MYCED")*100/P51)</f>
        <v>0</v>
      </c>
      <c r="BA51">
        <f>IF(P51=0,0,COUNTIF(Transect5_imgsummary!E51:I51,"OULO")*100/P51)</f>
        <v>0</v>
      </c>
      <c r="BB51">
        <f>IF(P51=0,0,COUNTIF(Transect5_imgsummary!E51:I51,"OXYP")*100/P51)</f>
        <v>0</v>
      </c>
      <c r="BC51">
        <f>IF(P51=0,0,COUNTIF(Transect5_imgsummary!E51:I51,"PLSIA")*100/P51)</f>
        <v>0</v>
      </c>
      <c r="BD51">
        <f>IF(P51=0,0,COUNTIF(Transect5_imgsummary!E51:I51,"PACHY")*100/P51)</f>
        <v>0</v>
      </c>
      <c r="BE51">
        <f>IF(P51=0,0,COUNTIF(Transect5_imgsummary!E51:I51,"PAV")*100/P51)</f>
        <v>0</v>
      </c>
      <c r="BF51">
        <f>IF(P51=0,0,COUNTIF(Transect5_imgsummary!E51:I51,"PECT")*100/P51)</f>
        <v>0</v>
      </c>
      <c r="BG51">
        <f>IF(P51=0,0,COUNTIF(Transect5_imgsummary!E51:I51,"PHYSO")*100/P51)</f>
        <v>0</v>
      </c>
      <c r="BH51">
        <f>IF(P51=0,0,COUNTIF(Transect5_imgsummary!E51:I51,"PLAT")*100/P51)</f>
        <v>0</v>
      </c>
      <c r="BI51">
        <f>IF(P51=0,0,COUNTIF(Transect5_imgsummary!E51:I51,"PLERO")*100/P51)</f>
        <v>0</v>
      </c>
      <c r="BJ51">
        <f>IF(P51=0,0,COUNTIF(Transect5_imgsummary!E51:I51,"POC")*100/P51)</f>
        <v>0</v>
      </c>
      <c r="BK51">
        <f>IF(P51=0,0,COUNTIF(Transect5_imgsummary!E51:I51,"POR")*100/P51)</f>
        <v>0</v>
      </c>
      <c r="BL51">
        <f>IF(P51=0,0,COUNTIF(Transect5_imgsummary!E51:I51,"PORCYL")*100/P51)</f>
        <v>0</v>
      </c>
      <c r="BM51">
        <f>IF(P51=0,0,COUNTIF(Transect5_imgsummary!E51:I51,"PORMAS")*100/P51)</f>
        <v>0</v>
      </c>
      <c r="BN51">
        <f>IF(P51=0,0,COUNTIF(Transect5_imgsummary!E51:I51,"PORRUS")*100/P51)</f>
        <v>0</v>
      </c>
      <c r="BO51">
        <f>IF(P51=0,0,COUNTIF(Transect5_imgsummary!E51:I51,"PSAM")*100/P51)</f>
        <v>0</v>
      </c>
      <c r="BP51">
        <f>IF(P51=0,0,COUNTIF(Transect5_imgsummary!E51:I51,"SANDO")*100/P51)</f>
        <v>0</v>
      </c>
      <c r="BQ51">
        <f>IF(P51=0,0,COUNTIF(Transect5_imgsummary!E51:I51,"SCAP")*100/P51)</f>
        <v>0</v>
      </c>
      <c r="BR51">
        <f>IF(P51=0,0,COUNTIF(Transect5_imgsummary!E51:I51,"SERIA")*100/P51)</f>
        <v>0</v>
      </c>
      <c r="BS51">
        <f>IF(P51=0,0,COUNTIF(Transect5_imgsummary!E51:I51,"STYLC")*100/P51)</f>
        <v>0</v>
      </c>
      <c r="BT51" s="29">
        <f>IF(P51=0,0,COUNTIF(Transect5_imgsummary!E51:I51,"STYLO")*100/P51)</f>
        <v>20</v>
      </c>
      <c r="BU51">
        <f>IF(P51=0,0,COUNTIF(Transect5_imgsummary!E51:I51,"SYMP")*100/P51)</f>
        <v>0</v>
      </c>
      <c r="BV51">
        <f>IF(P51=0,0,COUNTIF(Transect5_imgsummary!E51:I51,"TURBIN")*100/P51)</f>
        <v>0</v>
      </c>
      <c r="BX51">
        <f>IF(P51=0,0,COUNTIF(Transect5_imgsummary!E51:I51,"ANEM")*100/P51)</f>
        <v>0</v>
      </c>
      <c r="BY51">
        <f>IF(P51=0,0,COUNTIF(Transect5_imgsummary!E51:I51,"ASC")*100/P51)</f>
        <v>0</v>
      </c>
      <c r="BZ51">
        <f>IF(P51=0,0,COUNTIF(Transect5_imgsummary!E51:I51,"CUPS")*100/P51)</f>
        <v>0</v>
      </c>
      <c r="CA51">
        <f>IF(P51=0,0,COUNTIF(Transect5_imgsummary!E51:I51,"DISCO")*100/P51)</f>
        <v>0</v>
      </c>
      <c r="CB51">
        <f>IF(P51=0,0,COUNTIF(Transect5_imgsummary!E51:I51,"DYS")*100/P51)</f>
        <v>0</v>
      </c>
      <c r="CC51">
        <f>IF(P51=0,0,COUNTIF(Transect5_imgsummary!E51:I51,"G")*100/P51)</f>
        <v>0</v>
      </c>
      <c r="CD51">
        <f>IF(P51=0,0,COUNTIF(Transect5_imgsummary!E51:I51,"NoIDINV")*100/P51)</f>
        <v>0</v>
      </c>
      <c r="CE51">
        <f>IF(P51=0,0,COUNTIF(Transect5_imgsummary!E51:I51,"OLV")*100/P51)</f>
        <v>0</v>
      </c>
      <c r="CF51">
        <f>IF(P51=0,0,COUNTIF(Transect5_imgsummary!E51:I51,"SC")*100/P51)</f>
        <v>0</v>
      </c>
      <c r="CG51">
        <f>IF(P51=0,0,COUNTIF(Transect5_imgsummary!E51:I51,"S")*100/P51)</f>
        <v>0</v>
      </c>
      <c r="CH51">
        <f>IF(P51=0,0,COUNTIF(Transect5_imgsummary!E51:I51,"TERPS")*100/P51)</f>
        <v>0</v>
      </c>
      <c r="CI51">
        <f>IF(P51=0,0,COUNTIF(Transect5_imgsummary!E51:I51,"Z")*100/P51)</f>
        <v>0</v>
      </c>
      <c r="CK51">
        <f>IF(P51=0,0,COUNTIF(Transect5_imgsummary!E51:I51,"ASP")*100/P51)</f>
        <v>0</v>
      </c>
      <c r="CL51">
        <f>IF(P51=0,0,COUNTIF(Transect5_imgsummary!E51:I51,"BG")*100/P51)</f>
        <v>0</v>
      </c>
      <c r="CM51">
        <f>IF(P51=0,0,COUNTIF(Transect5_imgsummary!E51:I51,"Bood")*100/P51)</f>
        <v>0</v>
      </c>
      <c r="CN51">
        <f>IF(P51=0,0,COUNTIF(Transect5_imgsummary!E51:I51,"BRYP")*100/P51)</f>
        <v>0</v>
      </c>
      <c r="CO51">
        <f>IF(P51=0,0,COUNTIF(Transect5_imgsummary!E51:I51,"CLP")*100/P51)</f>
        <v>0</v>
      </c>
      <c r="CP51">
        <f>IF(P51=0,0,COUNTIF(Transect5_imgsummary!E51:I51,"CHLDES")*100/P51)</f>
        <v>0</v>
      </c>
      <c r="CQ51">
        <f>IF(P51=0,0,COUNTIF(Transect5_imgsummary!E51:I51,"DYCTY")*100/P51)</f>
        <v>0</v>
      </c>
      <c r="CR51">
        <f>IF(P51=0,0,COUNTIF(Transect5_imgsummary!E51:I51,"DICT")*100/P51)</f>
        <v>0</v>
      </c>
      <c r="CS51">
        <f>IF(P51=0,0,COUNTIF(Transect5_imgsummary!E51:I51,"GLXU")*100/P51)</f>
        <v>0</v>
      </c>
      <c r="CT51">
        <f>IF(P51=0,0,COUNTIF(Transect5_imgsummary!E51:I51,"HALI")*100/P51)</f>
        <v>0</v>
      </c>
      <c r="CU51">
        <f>IF(P51=0,0,COUNTIF(Transect5_imgsummary!E51:I51,"LIAG")*100/P51)</f>
        <v>0</v>
      </c>
      <c r="CV51">
        <f>IF(P51=0,0,COUNTIF(Transect5_imgsummary!E51:I51,"LOBO")*100/P51)</f>
        <v>0</v>
      </c>
      <c r="CW51">
        <f>IF(P51=0,0,COUNTIF(Transect5_imgsummary!E51:I51,"MAST")*100/P51)</f>
        <v>0</v>
      </c>
      <c r="CX51">
        <f>IF(P51=0,0,COUNTIF(Transect5_imgsummary!E51:I51,"MICDTY")*100/P51)</f>
        <v>0</v>
      </c>
      <c r="CY51">
        <f>IF(P51=0,0,COUNTIF(Transect5_imgsummary!E51:I51,"NEOM")*100/P51)</f>
        <v>0</v>
      </c>
      <c r="CZ51">
        <f>IF(P51=0,0,COUNTIF(Transect5_imgsummary!E51:I51,"NOIDMAC")*100/P51)</f>
        <v>0</v>
      </c>
      <c r="DA51">
        <f>IF(P51=0,0,COUNTIF(Transect5_imgsummary!E51:I51,"PAD")*100/P51)</f>
        <v>0</v>
      </c>
      <c r="DB51">
        <f>IF(P51=0,0,COUNTIF(Transect5_imgsummary!E51:I51,"SARG")*100/P51)</f>
        <v>0</v>
      </c>
      <c r="DC51">
        <f>IF(P51=0,0,COUNTIF(Transect5_imgsummary!E51:I51,"SCHIZ")*100/P51)</f>
        <v>0</v>
      </c>
      <c r="DD51">
        <f>IF(P51=0,0,COUNTIF(Transect5_imgsummary!E51:I51,"TURB")*100/P51)</f>
        <v>0</v>
      </c>
      <c r="DE51">
        <f>IF(P51=0,0,COUNTIF(Transect5_imgsummary!E51:I51,"TYDM")*100/P51)</f>
        <v>0</v>
      </c>
      <c r="DG51">
        <f>IF(P51=0,0,COUNTIF(Transect5_imgsummary!E51:I51,"AMP")*100/P51)</f>
        <v>0</v>
      </c>
      <c r="DH51" s="29">
        <f>IF(P51=0,0,COUNTIF(Transect5_imgsummary!E51:I51,"BCA1")*100/P51)</f>
        <v>20</v>
      </c>
      <c r="DI51">
        <f>IF(P51=0,0,COUNTIF(Transect5_imgsummary!E51:I51,"JAN")*100/P51)</f>
        <v>0</v>
      </c>
      <c r="DK51" s="29">
        <f>IF(P51=0,0,COUNTIF(Transect5_imgsummary!E51:I51,"CCA1")*100/P51)</f>
        <v>40</v>
      </c>
      <c r="DM51">
        <f>IF(P51=0,0,COUNTIF(Transect5_imgsummary!E51:I51,"Sand")*100/P51)</f>
        <v>0</v>
      </c>
      <c r="DO51">
        <f>IF(P51=0,0,COUNTIF(Transect5_imgsummary!E51:I51,"FCA1")*100/P51)</f>
        <v>0</v>
      </c>
      <c r="DQ51">
        <f>IF(P51=0,0,COUNTIF(Transect5_imgsummary!E51:I51,"CHRYOBRN")*100/P51)</f>
        <v>0</v>
      </c>
      <c r="DS51" s="29">
        <f>IF(P51=0,0,COUNTIF(Transect5_imgsummary!E51:I51,"TURF")*100/P51)</f>
        <v>20</v>
      </c>
      <c r="DU51">
        <f>COUNTIF(Transect5_imgsummary!E51:I51,"Shadow")*100/5</f>
        <v>0</v>
      </c>
      <c r="DV51">
        <f>COUNTIF(Transect5_imgsummary!E51:I51,"Tape")*100/5</f>
        <v>0</v>
      </c>
      <c r="DW51">
        <f>COUNTIF(Transect5_imgsummary!E51:I51,"Wand")*100/5</f>
        <v>0</v>
      </c>
      <c r="DY51">
        <f>IF(P51=0,0,COUNTIF(Transect5_imgsummary!O51:S51,"BC")*100/P51)</f>
        <v>0</v>
      </c>
    </row>
    <row r="52" spans="1:129">
      <c r="A52">
        <v>50</v>
      </c>
      <c r="B52" t="s">
        <v>647</v>
      </c>
      <c r="F52">
        <f>IF(P52=0,0,COUNTIF(Transect5_imgsummary!J52:N52,"C")*100/P52)</f>
        <v>0</v>
      </c>
      <c r="G52">
        <f>IF(P52=0,0,COUNTIF(Transect5_imgsummary!J52:N52,"OI")*100/P52)</f>
        <v>0</v>
      </c>
      <c r="H52">
        <f>IF(P52=0,0,COUNTIF(Transect5_imgsummary!J52:N52,"MA")*100/P52)</f>
        <v>0</v>
      </c>
      <c r="I52" s="29">
        <f>IF(P52=0,0,COUNTIF(Transect5_imgsummary!J52:N52,"BCA")*100/P52)</f>
        <v>40</v>
      </c>
      <c r="J52" s="29">
        <f>IF(P52=0,0,COUNTIF(Transect5_imgsummary!J52:N52,"CCA")*100/P52)</f>
        <v>20</v>
      </c>
      <c r="K52">
        <f>IF(P52=0,0,COUNTIF(Transect5_imgsummary!J52:N52,"SD")*100/P52)</f>
        <v>0</v>
      </c>
      <c r="L52">
        <f>IF(P52=0,0,COUNTIF(Transect5_imgsummary!J52:N52,"FCA")*100/P52)</f>
        <v>0</v>
      </c>
      <c r="M52">
        <f>IF(P52=0,0,COUNTIF(Transect5_imgsummary!J52:N52,"CHRYS")*100/P52)</f>
        <v>0</v>
      </c>
      <c r="N52" s="29">
        <f>IF(P52=0,0,COUNTIF(Transect5_imgsummary!J52:N52,"T")*100/P52)</f>
        <v>40</v>
      </c>
      <c r="O52">
        <f>IF(P52=0,0,COUNTIF(Transect5_imgsummary!J52:N52,"TWS")*100/P52)</f>
        <v>0</v>
      </c>
      <c r="P52">
        <f>5-COUNTIF(Transect5_imgsummary!J52:N52,"TWS")</f>
        <v>5</v>
      </c>
      <c r="S52">
        <f>IF(P52=0,0,COUNTIF(Transect5_imgsummary!E52:I52,"ACAN")*100/P52)</f>
        <v>0</v>
      </c>
      <c r="T52">
        <f>IF(P52=0,0,COUNTIF(Transect5_imgsummary!E52:I52,"ACROP")*100/P52)</f>
        <v>0</v>
      </c>
      <c r="U52">
        <f>IF(P52=0,0,COUNTIF(Transect5_imgsummary!E52:I52,"ACROPARB")*100/P52)</f>
        <v>0</v>
      </c>
      <c r="V52">
        <f>IF(P52=0,0,COUNTIF(Transect5_imgsummary!E52:I52,"ACROST")*100/P52)</f>
        <v>0</v>
      </c>
      <c r="W52">
        <f>IF(P52=0,0,COUNTIF(Transect5_imgsummary!E52:I52,"ACROTBL")*100/P52)</f>
        <v>0</v>
      </c>
      <c r="X52">
        <f>IF(P52=0,0,COUNTIF(Transect5_imgsummary!E52:I52,"ASTRP")*100/P52)</f>
        <v>0</v>
      </c>
      <c r="Y52">
        <f>IF(P52=0,0,COUNTIF(Transect5_imgsummary!E52:I52,"CAUL")*100/P52)</f>
        <v>0</v>
      </c>
      <c r="Z52">
        <f>IF(P52=0,0,COUNTIF(Transect5_imgsummary!E52:I52,"COSC")*100/P52)</f>
        <v>0</v>
      </c>
      <c r="AA52">
        <f>IF(P52=0,0,COUNTIF(Transect5_imgsummary!E52:I52,"CTEN")*100/P52)</f>
        <v>0</v>
      </c>
      <c r="AB52">
        <f>IF(P52=0,0,COUNTIF(Transect5_imgsummary!E52:I52,"CYPH")*100/P52)</f>
        <v>0</v>
      </c>
      <c r="AC52">
        <f>IF(P52=0,0,COUNTIF(Transect5_imgsummary!E52:I52,"DIPLO")*100/P52)</f>
        <v>0</v>
      </c>
      <c r="AD52">
        <f>IF(P52=0,0,COUNTIF(Transect5_imgsummary!E52:I52,"ECHPO")*100/P52)</f>
        <v>0</v>
      </c>
      <c r="AE52">
        <f>IF(P52=0,0,COUNTIF(Transect5_imgsummary!E52:I52,"ECHPHY")*100/P52)</f>
        <v>0</v>
      </c>
      <c r="AF52">
        <f>IF(P52=0,0,COUNTIF(Transect5_imgsummary!E52:I52,"EUPH")*100/P52)</f>
        <v>0</v>
      </c>
      <c r="AG52">
        <f>IF(P52=0,0,COUNTIF(Transect5_imgsummary!E52:I52,"FAV")*100/P52)</f>
        <v>0</v>
      </c>
      <c r="AH52">
        <f>IF(P52=0,0,COUNTIF(Transect5_imgsummary!E52:I52,"FAVT")*100/P52)</f>
        <v>0</v>
      </c>
      <c r="AI52">
        <f>IF(P52=0,0,COUNTIF(Transect5_imgsummary!E52:I52,"FUNG")*100/P52)</f>
        <v>0</v>
      </c>
      <c r="AJ52">
        <f>IF(P52=0,0,COUNTIF(Transect5_imgsummary!E52:I52,"GAL")*100/P52)</f>
        <v>0</v>
      </c>
      <c r="AK52">
        <f>IF(P52=0,0,COUNTIF(Transect5_imgsummary!E52:I52,"GARD")*100/P52)</f>
        <v>0</v>
      </c>
      <c r="AL52">
        <f>IF(P52=0,0,COUNTIF(Transect5_imgsummary!E52:I52,"GON")*100/P52)</f>
        <v>0</v>
      </c>
      <c r="AM52">
        <f>IF(P52=0,0,COUNTIF(Transect5_imgsummary!E52:I52,"GONIO")*100/P52)</f>
        <v>0</v>
      </c>
      <c r="AN52">
        <f>IF(P52=0,0,COUNTIF(Transect5_imgsummary!E52:I52,"HELIO")*100/P52)</f>
        <v>0</v>
      </c>
      <c r="AO52">
        <f>IF(P52=0,0,COUNTIF(Transect5_imgsummary!E52:I52,"HERP")*100/P52)</f>
        <v>0</v>
      </c>
      <c r="AP52">
        <f>IF(P52=0,0,COUNTIF(Transect5_imgsummary!E52:I52,"HYD")*100/P52)</f>
        <v>0</v>
      </c>
      <c r="AQ52">
        <f>IF(P52=0,0,COUNTIF(Transect5_imgsummary!E52:I52,"ISOP")*100/P52)</f>
        <v>0</v>
      </c>
      <c r="AR52">
        <f>IF(P52=0,0,COUNTIF(Transect5_imgsummary!E52:I52,"LEPT")*100/P52)</f>
        <v>0</v>
      </c>
      <c r="AS52">
        <f>IF(P52=0,0,COUNTIF(Transect5_imgsummary!E52:I52,"LEPTOR")*100/P52)</f>
        <v>0</v>
      </c>
      <c r="AT52">
        <f>IF(P52=0,0,COUNTIF(Transect5_imgsummary!E52:I52,"LEPTOS")*100/P52)</f>
        <v>0</v>
      </c>
      <c r="AU52">
        <f>IF(P52=0,0,COUNTIF(Transect5_imgsummary!E52:I52,"LOBOPH")*100/P52)</f>
        <v>0</v>
      </c>
      <c r="AV52">
        <f>IF(P52=0,0,COUNTIF(Transect5_imgsummary!E52:I52,"MERU")*100/P52)</f>
        <v>0</v>
      </c>
      <c r="AW52">
        <f>IF(P52=0,0,COUNTIF(Transect5_imgsummary!E52:I52,"MILL")*100/P52)</f>
        <v>0</v>
      </c>
      <c r="AX52">
        <f>IF(P52=0,0,COUNTIF(Transect5_imgsummary!E52:I52,"MONT")*100/P52)</f>
        <v>0</v>
      </c>
      <c r="AY52">
        <f>IF(P52=0,0,COUNTIF(Transect5_imgsummary!E52:I52,"MONTI")*100/P52)</f>
        <v>0</v>
      </c>
      <c r="AZ52">
        <f>IF(P52=0,0,COUNTIF(Transect5_imgsummary!E52:I52,"MYCED")*100/P52)</f>
        <v>0</v>
      </c>
      <c r="BA52">
        <f>IF(P52=0,0,COUNTIF(Transect5_imgsummary!E52:I52,"OULO")*100/P52)</f>
        <v>0</v>
      </c>
      <c r="BB52">
        <f>IF(P52=0,0,COUNTIF(Transect5_imgsummary!E52:I52,"OXYP")*100/P52)</f>
        <v>0</v>
      </c>
      <c r="BC52">
        <f>IF(P52=0,0,COUNTIF(Transect5_imgsummary!E52:I52,"PLSIA")*100/P52)</f>
        <v>0</v>
      </c>
      <c r="BD52">
        <f>IF(P52=0,0,COUNTIF(Transect5_imgsummary!E52:I52,"PACHY")*100/P52)</f>
        <v>0</v>
      </c>
      <c r="BE52">
        <f>IF(P52=0,0,COUNTIF(Transect5_imgsummary!E52:I52,"PAV")*100/P52)</f>
        <v>0</v>
      </c>
      <c r="BF52">
        <f>IF(P52=0,0,COUNTIF(Transect5_imgsummary!E52:I52,"PECT")*100/P52)</f>
        <v>0</v>
      </c>
      <c r="BG52">
        <f>IF(P52=0,0,COUNTIF(Transect5_imgsummary!E52:I52,"PHYSO")*100/P52)</f>
        <v>0</v>
      </c>
      <c r="BH52">
        <f>IF(P52=0,0,COUNTIF(Transect5_imgsummary!E52:I52,"PLAT")*100/P52)</f>
        <v>0</v>
      </c>
      <c r="BI52">
        <f>IF(P52=0,0,COUNTIF(Transect5_imgsummary!E52:I52,"PLERO")*100/P52)</f>
        <v>0</v>
      </c>
      <c r="BJ52">
        <f>IF(P52=0,0,COUNTIF(Transect5_imgsummary!E52:I52,"POC")*100/P52)</f>
        <v>0</v>
      </c>
      <c r="BK52">
        <f>IF(P52=0,0,COUNTIF(Transect5_imgsummary!E52:I52,"POR")*100/P52)</f>
        <v>0</v>
      </c>
      <c r="BL52">
        <f>IF(P52=0,0,COUNTIF(Transect5_imgsummary!E52:I52,"PORCYL")*100/P52)</f>
        <v>0</v>
      </c>
      <c r="BM52">
        <f>IF(P52=0,0,COUNTIF(Transect5_imgsummary!E52:I52,"PORMAS")*100/P52)</f>
        <v>0</v>
      </c>
      <c r="BN52">
        <f>IF(P52=0,0,COUNTIF(Transect5_imgsummary!E52:I52,"PORRUS")*100/P52)</f>
        <v>0</v>
      </c>
      <c r="BO52">
        <f>IF(P52=0,0,COUNTIF(Transect5_imgsummary!E52:I52,"PSAM")*100/P52)</f>
        <v>0</v>
      </c>
      <c r="BP52">
        <f>IF(P52=0,0,COUNTIF(Transect5_imgsummary!E52:I52,"SANDO")*100/P52)</f>
        <v>0</v>
      </c>
      <c r="BQ52">
        <f>IF(P52=0,0,COUNTIF(Transect5_imgsummary!E52:I52,"SCAP")*100/P52)</f>
        <v>0</v>
      </c>
      <c r="BR52">
        <f>IF(P52=0,0,COUNTIF(Transect5_imgsummary!E52:I52,"SERIA")*100/P52)</f>
        <v>0</v>
      </c>
      <c r="BS52">
        <f>IF(P52=0,0,COUNTIF(Transect5_imgsummary!E52:I52,"STYLC")*100/P52)</f>
        <v>0</v>
      </c>
      <c r="BT52">
        <f>IF(P52=0,0,COUNTIF(Transect5_imgsummary!E52:I52,"STYLO")*100/P52)</f>
        <v>0</v>
      </c>
      <c r="BU52">
        <f>IF(P52=0,0,COUNTIF(Transect5_imgsummary!E52:I52,"SYMP")*100/P52)</f>
        <v>0</v>
      </c>
      <c r="BV52">
        <f>IF(P52=0,0,COUNTIF(Transect5_imgsummary!E52:I52,"TURBIN")*100/P52)</f>
        <v>0</v>
      </c>
      <c r="BX52">
        <f>IF(P52=0,0,COUNTIF(Transect5_imgsummary!E52:I52,"ANEM")*100/P52)</f>
        <v>0</v>
      </c>
      <c r="BY52">
        <f>IF(P52=0,0,COUNTIF(Transect5_imgsummary!E52:I52,"ASC")*100/P52)</f>
        <v>0</v>
      </c>
      <c r="BZ52">
        <f>IF(P52=0,0,COUNTIF(Transect5_imgsummary!E52:I52,"CUPS")*100/P52)</f>
        <v>0</v>
      </c>
      <c r="CA52">
        <f>IF(P52=0,0,COUNTIF(Transect5_imgsummary!E52:I52,"DISCO")*100/P52)</f>
        <v>0</v>
      </c>
      <c r="CB52">
        <f>IF(P52=0,0,COUNTIF(Transect5_imgsummary!E52:I52,"DYS")*100/P52)</f>
        <v>0</v>
      </c>
      <c r="CC52">
        <f>IF(P52=0,0,COUNTIF(Transect5_imgsummary!E52:I52,"G")*100/P52)</f>
        <v>0</v>
      </c>
      <c r="CD52">
        <f>IF(P52=0,0,COUNTIF(Transect5_imgsummary!E52:I52,"NoIDINV")*100/P52)</f>
        <v>0</v>
      </c>
      <c r="CE52">
        <f>IF(P52=0,0,COUNTIF(Transect5_imgsummary!E52:I52,"OLV")*100/P52)</f>
        <v>0</v>
      </c>
      <c r="CF52">
        <f>IF(P52=0,0,COUNTIF(Transect5_imgsummary!E52:I52,"SC")*100/P52)</f>
        <v>0</v>
      </c>
      <c r="CG52">
        <f>IF(P52=0,0,COUNTIF(Transect5_imgsummary!E52:I52,"S")*100/P52)</f>
        <v>0</v>
      </c>
      <c r="CH52">
        <f>IF(P52=0,0,COUNTIF(Transect5_imgsummary!E52:I52,"TERPS")*100/P52)</f>
        <v>0</v>
      </c>
      <c r="CI52">
        <f>IF(P52=0,0,COUNTIF(Transect5_imgsummary!E52:I52,"Z")*100/P52)</f>
        <v>0</v>
      </c>
      <c r="CK52">
        <f>IF(P52=0,0,COUNTIF(Transect5_imgsummary!E52:I52,"ASP")*100/P52)</f>
        <v>0</v>
      </c>
      <c r="CL52">
        <f>IF(P52=0,0,COUNTIF(Transect5_imgsummary!E52:I52,"BG")*100/P52)</f>
        <v>0</v>
      </c>
      <c r="CM52">
        <f>IF(P52=0,0,COUNTIF(Transect5_imgsummary!E52:I52,"Bood")*100/P52)</f>
        <v>0</v>
      </c>
      <c r="CN52">
        <f>IF(P52=0,0,COUNTIF(Transect5_imgsummary!E52:I52,"BRYP")*100/P52)</f>
        <v>0</v>
      </c>
      <c r="CO52">
        <f>IF(P52=0,0,COUNTIF(Transect5_imgsummary!E52:I52,"CLP")*100/P52)</f>
        <v>0</v>
      </c>
      <c r="CP52">
        <f>IF(P52=0,0,COUNTIF(Transect5_imgsummary!E52:I52,"CHLDES")*100/P52)</f>
        <v>0</v>
      </c>
      <c r="CQ52">
        <f>IF(P52=0,0,COUNTIF(Transect5_imgsummary!E52:I52,"DYCTY")*100/P52)</f>
        <v>0</v>
      </c>
      <c r="CR52">
        <f>IF(P52=0,0,COUNTIF(Transect5_imgsummary!E52:I52,"DICT")*100/P52)</f>
        <v>0</v>
      </c>
      <c r="CS52">
        <f>IF(P52=0,0,COUNTIF(Transect5_imgsummary!E52:I52,"GLXU")*100/P52)</f>
        <v>0</v>
      </c>
      <c r="CT52">
        <f>IF(P52=0,0,COUNTIF(Transect5_imgsummary!E52:I52,"HALI")*100/P52)</f>
        <v>0</v>
      </c>
      <c r="CU52">
        <f>IF(P52=0,0,COUNTIF(Transect5_imgsummary!E52:I52,"LIAG")*100/P52)</f>
        <v>0</v>
      </c>
      <c r="CV52">
        <f>IF(P52=0,0,COUNTIF(Transect5_imgsummary!E52:I52,"LOBO")*100/P52)</f>
        <v>0</v>
      </c>
      <c r="CW52">
        <f>IF(P52=0,0,COUNTIF(Transect5_imgsummary!E52:I52,"MAST")*100/P52)</f>
        <v>0</v>
      </c>
      <c r="CX52">
        <f>IF(P52=0,0,COUNTIF(Transect5_imgsummary!E52:I52,"MICDTY")*100/P52)</f>
        <v>0</v>
      </c>
      <c r="CY52">
        <f>IF(P52=0,0,COUNTIF(Transect5_imgsummary!E52:I52,"NEOM")*100/P52)</f>
        <v>0</v>
      </c>
      <c r="CZ52">
        <f>IF(P52=0,0,COUNTIF(Transect5_imgsummary!E52:I52,"NOIDMAC")*100/P52)</f>
        <v>0</v>
      </c>
      <c r="DA52">
        <f>IF(P52=0,0,COUNTIF(Transect5_imgsummary!E52:I52,"PAD")*100/P52)</f>
        <v>0</v>
      </c>
      <c r="DB52">
        <f>IF(P52=0,0,COUNTIF(Transect5_imgsummary!E52:I52,"SARG")*100/P52)</f>
        <v>0</v>
      </c>
      <c r="DC52">
        <f>IF(P52=0,0,COUNTIF(Transect5_imgsummary!E52:I52,"SCHIZ")*100/P52)</f>
        <v>0</v>
      </c>
      <c r="DD52">
        <f>IF(P52=0,0,COUNTIF(Transect5_imgsummary!E52:I52,"TURB")*100/P52)</f>
        <v>0</v>
      </c>
      <c r="DE52">
        <f>IF(P52=0,0,COUNTIF(Transect5_imgsummary!E52:I52,"TYDM")*100/P52)</f>
        <v>0</v>
      </c>
      <c r="DG52">
        <f>IF(P52=0,0,COUNTIF(Transect5_imgsummary!E52:I52,"AMP")*100/P52)</f>
        <v>0</v>
      </c>
      <c r="DH52" s="29">
        <f>IF(P52=0,0,COUNTIF(Transect5_imgsummary!E52:I52,"BCA1")*100/P52)</f>
        <v>40</v>
      </c>
      <c r="DI52">
        <f>IF(P52=0,0,COUNTIF(Transect5_imgsummary!E52:I52,"JAN")*100/P52)</f>
        <v>0</v>
      </c>
      <c r="DK52" s="29">
        <f>IF(P52=0,0,COUNTIF(Transect5_imgsummary!E52:I52,"CCA1")*100/P52)</f>
        <v>20</v>
      </c>
      <c r="DM52">
        <f>IF(P52=0,0,COUNTIF(Transect5_imgsummary!E52:I52,"Sand")*100/P52)</f>
        <v>0</v>
      </c>
      <c r="DO52">
        <f>IF(P52=0,0,COUNTIF(Transect5_imgsummary!E52:I52,"FCA1")*100/P52)</f>
        <v>0</v>
      </c>
      <c r="DQ52">
        <f>IF(P52=0,0,COUNTIF(Transect5_imgsummary!E52:I52,"CHRYOBRN")*100/P52)</f>
        <v>0</v>
      </c>
      <c r="DS52" s="29">
        <f>IF(P52=0,0,COUNTIF(Transect5_imgsummary!E52:I52,"TURF")*100/P52)</f>
        <v>40</v>
      </c>
      <c r="DU52">
        <f>COUNTIF(Transect5_imgsummary!E52:I52,"Shadow")*100/5</f>
        <v>0</v>
      </c>
      <c r="DV52">
        <f>COUNTIF(Transect5_imgsummary!E52:I52,"Tape")*100/5</f>
        <v>0</v>
      </c>
      <c r="DW52">
        <f>COUNTIF(Transect5_imgsummary!E52:I52,"Wand")*100/5</f>
        <v>0</v>
      </c>
      <c r="DY52">
        <f>IF(P52=0,0,COUNTIF(Transect5_imgsummary!O52:S52,"BC")*100/P52)</f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topLeftCell="A42" workbookViewId="0">
      <selection activeCell="E7" sqref="E7"/>
    </sheetView>
  </sheetViews>
  <sheetFormatPr baseColWidth="10" defaultColWidth="8.83203125" defaultRowHeight="14" x14ac:dyDescent="0"/>
  <cols>
    <col min="1" max="1" width="32" bestFit="1" customWidth="1"/>
    <col min="2" max="2" width="7.5" customWidth="1"/>
    <col min="3" max="3" width="7.33203125" customWidth="1"/>
    <col min="4" max="4" width="8.6640625" customWidth="1"/>
    <col min="5" max="5" width="12.5" bestFit="1" customWidth="1"/>
    <col min="7" max="7" width="33.83203125" bestFit="1" customWidth="1"/>
    <col min="8" max="8" width="7.5" customWidth="1"/>
    <col min="9" max="9" width="7.1640625" customWidth="1"/>
    <col min="10" max="10" width="8.6640625" customWidth="1"/>
    <col min="11" max="11" width="12.5" bestFit="1" customWidth="1"/>
    <col min="14" max="14" width="0" hidden="1" customWidth="1"/>
  </cols>
  <sheetData>
    <row r="1" spans="1:14">
      <c r="A1" t="s">
        <v>296</v>
      </c>
      <c r="N1">
        <v>9</v>
      </c>
    </row>
    <row r="2" spans="1:14">
      <c r="A2" t="s">
        <v>297</v>
      </c>
      <c r="C2" t="s">
        <v>298</v>
      </c>
      <c r="D2" t="s">
        <v>299</v>
      </c>
      <c r="N2">
        <v>10</v>
      </c>
    </row>
    <row r="3" spans="1:14">
      <c r="A3" t="s">
        <v>300</v>
      </c>
      <c r="N3">
        <v>0</v>
      </c>
    </row>
    <row r="4" spans="1:14">
      <c r="A4" t="s">
        <v>301</v>
      </c>
      <c r="N4">
        <v>0</v>
      </c>
    </row>
    <row r="5" spans="1:14">
      <c r="A5" t="s">
        <v>302</v>
      </c>
      <c r="N5">
        <v>0</v>
      </c>
    </row>
    <row r="6" spans="1:14">
      <c r="A6" t="s">
        <v>303</v>
      </c>
      <c r="N6">
        <v>126</v>
      </c>
    </row>
    <row r="7" spans="1:14">
      <c r="A7" t="s">
        <v>304</v>
      </c>
      <c r="B7">
        <v>5</v>
      </c>
      <c r="D7" s="30" t="s">
        <v>305</v>
      </c>
      <c r="N7">
        <v>16</v>
      </c>
    </row>
    <row r="8" spans="1:14">
      <c r="A8" t="s">
        <v>306</v>
      </c>
      <c r="B8">
        <v>50</v>
      </c>
      <c r="N8">
        <v>25</v>
      </c>
    </row>
    <row r="9" spans="1:14">
      <c r="A9" t="s">
        <v>307</v>
      </c>
      <c r="B9">
        <v>2</v>
      </c>
      <c r="C9" t="s">
        <v>308</v>
      </c>
      <c r="D9">
        <v>251</v>
      </c>
      <c r="N9">
        <v>31</v>
      </c>
    </row>
    <row r="10" spans="1:14">
      <c r="A10" s="31" t="s">
        <v>309</v>
      </c>
      <c r="B10" s="31">
        <f ca="1">COUNTA(OFFSET(Transect1_raw!A2,0,0,D9-B9+1,1))</f>
        <v>250</v>
      </c>
      <c r="N10">
        <v>31</v>
      </c>
    </row>
    <row r="11" spans="1:14">
      <c r="A11" t="s">
        <v>310</v>
      </c>
      <c r="N11">
        <v>31</v>
      </c>
    </row>
    <row r="12" spans="1:14">
      <c r="A12" t="s">
        <v>311</v>
      </c>
      <c r="N12">
        <v>29</v>
      </c>
    </row>
    <row r="13" spans="1:14">
      <c r="A13" t="s">
        <v>312</v>
      </c>
      <c r="N13">
        <v>29</v>
      </c>
    </row>
    <row r="14" spans="1:14" ht="15" thickBot="1">
      <c r="N14">
        <v>8</v>
      </c>
    </row>
    <row r="15" spans="1:14" ht="15" thickTop="1">
      <c r="A15" s="93" t="s">
        <v>350</v>
      </c>
      <c r="B15" s="33" t="s">
        <v>314</v>
      </c>
      <c r="C15" s="33" t="s">
        <v>315</v>
      </c>
      <c r="D15" s="33" t="s">
        <v>316</v>
      </c>
      <c r="E15" s="98" t="s">
        <v>317</v>
      </c>
      <c r="G15" s="93" t="s">
        <v>313</v>
      </c>
      <c r="H15" s="33" t="s">
        <v>314</v>
      </c>
      <c r="I15" s="33" t="s">
        <v>315</v>
      </c>
      <c r="J15" s="33" t="s">
        <v>316</v>
      </c>
      <c r="K15" s="98" t="s">
        <v>317</v>
      </c>
      <c r="N15">
        <v>16</v>
      </c>
    </row>
    <row r="16" spans="1:14">
      <c r="A16" s="94" t="s">
        <v>351</v>
      </c>
      <c r="B16" s="35">
        <f ca="1">COUNTIF(OFFSET(Transect1_raw!C2,0,0,D9-B9+1,1), "C")</f>
        <v>104</v>
      </c>
      <c r="C16" s="36">
        <f ca="1">(B16/H126)*100</f>
        <v>41.76706827309237</v>
      </c>
      <c r="D16" s="36">
        <f ca="1">SUM(J17:J72)</f>
        <v>2.1191471518715406</v>
      </c>
      <c r="E16" s="99">
        <f ca="1">1-SUM(K17:K72)</f>
        <v>0.83635355029585789</v>
      </c>
      <c r="G16" s="96" t="s">
        <v>97</v>
      </c>
      <c r="K16" s="101"/>
      <c r="N16">
        <v>126</v>
      </c>
    </row>
    <row r="17" spans="1:14">
      <c r="A17" s="95" t="s">
        <v>352</v>
      </c>
      <c r="B17">
        <f ca="1">COUNTIF(OFFSET(Transect1_raw!C2,0,0,D9-B9+1,1), "OI")</f>
        <v>0</v>
      </c>
      <c r="C17" s="32">
        <f ca="1">(B17/H126)*100</f>
        <v>0</v>
      </c>
      <c r="D17" s="32">
        <f ca="1">SUM(J74:J85)</f>
        <v>0</v>
      </c>
      <c r="E17" s="100">
        <f ca="1">1-SUM(K74:K85)</f>
        <v>1</v>
      </c>
      <c r="G17" s="95" t="s">
        <v>113</v>
      </c>
      <c r="H17">
        <f ca="1">COUNTIF(OFFSET(Transect1_raw!A2,0,0,D9-B9+1,1),"ACAN")</f>
        <v>0</v>
      </c>
      <c r="I17" s="32">
        <f ca="1">(H17/H126)*100</f>
        <v>0</v>
      </c>
      <c r="J17" s="32">
        <f ca="1">IF(H17=0,0,-1*((H17/B16)*(LN(H17/B16))))</f>
        <v>0</v>
      </c>
      <c r="K17" s="100">
        <f ca="1">IF(H17=0,0,((H17/B16)^2))</f>
        <v>0</v>
      </c>
      <c r="N17">
        <v>7</v>
      </c>
    </row>
    <row r="18" spans="1:14">
      <c r="A18" s="94" t="s">
        <v>353</v>
      </c>
      <c r="B18" s="35">
        <f ca="1">COUNTIF(OFFSET(Transect1_raw!C2,0,0,D9-B9+1,1), "MA")</f>
        <v>0</v>
      </c>
      <c r="C18" s="36">
        <f ca="1">(B18/H126)*100</f>
        <v>0</v>
      </c>
      <c r="D18" s="36">
        <f ca="1">SUM(J87:J107)</f>
        <v>0</v>
      </c>
      <c r="E18" s="99">
        <f ca="1">1-SUM(K87:K107)</f>
        <v>1</v>
      </c>
      <c r="G18" s="95" t="s">
        <v>115</v>
      </c>
      <c r="H18">
        <f ca="1">COUNTIF(OFFSET(Transect1_raw!A2,0,0,D9-B9+1,1),"ACROP")</f>
        <v>3</v>
      </c>
      <c r="I18" s="32">
        <f ca="1">(H18/H126)*100</f>
        <v>1.2048192771084338</v>
      </c>
      <c r="J18" s="32">
        <f ca="1">IF(H18=0,0,-1*((H18/B16)*(LN(H18/B16))))</f>
        <v>0.10228207530211336</v>
      </c>
      <c r="K18" s="100">
        <f ca="1">IF(H18=0,0,((H18/B16)^2))</f>
        <v>8.3210059171597646E-4</v>
      </c>
    </row>
    <row r="19" spans="1:14">
      <c r="A19" s="95" t="s">
        <v>354</v>
      </c>
      <c r="B19">
        <f ca="1">COUNTIF(OFFSET(Transect1_raw!C2,0,0,D9-B9+1,1), "BCA")</f>
        <v>3</v>
      </c>
      <c r="C19" s="32">
        <f ca="1">(B19/H126)*100</f>
        <v>1.2048192771084338</v>
      </c>
      <c r="D19" s="32">
        <f ca="1">SUM(J109:J111)</f>
        <v>0</v>
      </c>
      <c r="E19" s="100">
        <f ca="1">1-SUM(K109:K111)</f>
        <v>0</v>
      </c>
      <c r="G19" s="95" t="s">
        <v>116</v>
      </c>
      <c r="H19">
        <f ca="1">COUNTIF(OFFSET(Transect1_raw!A2,0,0,D9-B9+1,1),"ACROPARB")</f>
        <v>0</v>
      </c>
      <c r="I19" s="32">
        <f ca="1">(H19/H126)*100</f>
        <v>0</v>
      </c>
      <c r="J19" s="32">
        <f ca="1">IF(H19=0,0,-1*((H19/B16)*(LN(H19/B16))))</f>
        <v>0</v>
      </c>
      <c r="K19" s="100">
        <f ca="1">IF(H19=0,0,((H19/B16)^2))</f>
        <v>0</v>
      </c>
    </row>
    <row r="20" spans="1:14">
      <c r="A20" s="94" t="s">
        <v>355</v>
      </c>
      <c r="B20" s="35">
        <f ca="1">COUNTIF(OFFSET(Transect1_raw!C2,0,0,D9-B9+1,1), "CCA")</f>
        <v>62</v>
      </c>
      <c r="C20" s="36">
        <f ca="1">(B20/H126)*100</f>
        <v>24.899598393574294</v>
      </c>
      <c r="D20" s="36">
        <f ca="1">SUM(J113:J113)</f>
        <v>0</v>
      </c>
      <c r="E20" s="99">
        <f ca="1">1-SUM(K113:K113)</f>
        <v>0</v>
      </c>
      <c r="G20" s="95" t="s">
        <v>118</v>
      </c>
      <c r="H20">
        <f ca="1">COUNTIF(OFFSET(Transect1_raw!A2,0,0,D9-B9+1,1),"ACROST")</f>
        <v>0</v>
      </c>
      <c r="I20" s="32">
        <f ca="1">(H20/H126)*100</f>
        <v>0</v>
      </c>
      <c r="J20" s="32">
        <f ca="1">IF(H20=0,0,-1*((H20/B16)*(LN(H20/B16))))</f>
        <v>0</v>
      </c>
      <c r="K20" s="100">
        <f ca="1">IF(H20=0,0,((H20/B16)^2))</f>
        <v>0</v>
      </c>
    </row>
    <row r="21" spans="1:14">
      <c r="A21" s="95" t="s">
        <v>356</v>
      </c>
      <c r="B21">
        <f ca="1">COUNTIF(OFFSET(Transect1_raw!C2,0,0,D9-B9+1,1), "SD")</f>
        <v>0</v>
      </c>
      <c r="C21" s="32">
        <f ca="1">(B21/H126)*100</f>
        <v>0</v>
      </c>
      <c r="D21" s="32">
        <f ca="1">SUM(J115:J115)</f>
        <v>0</v>
      </c>
      <c r="E21" s="100">
        <f ca="1">1-SUM(K115:K115)</f>
        <v>1</v>
      </c>
      <c r="G21" s="95" t="s">
        <v>120</v>
      </c>
      <c r="H21">
        <f ca="1">COUNTIF(OFFSET(Transect1_raw!A2,0,0,D9-B9+1,1),"ACROTBL")</f>
        <v>26</v>
      </c>
      <c r="I21" s="32">
        <f ca="1">(H21/H126)*100</f>
        <v>10.441767068273093</v>
      </c>
      <c r="J21" s="32">
        <f ca="1">IF(H21=0,0,-1*((H21/B16)*(LN(H21/B16))))</f>
        <v>0.34657359027997264</v>
      </c>
      <c r="K21" s="100">
        <f ca="1">IF(H21=0,0,((H21/B16)^2))</f>
        <v>6.25E-2</v>
      </c>
    </row>
    <row r="22" spans="1:14">
      <c r="A22" s="94" t="s">
        <v>357</v>
      </c>
      <c r="B22" s="35">
        <f ca="1">COUNTIF(OFFSET(Transect1_raw!C2,0,0,D9-B9+1,1), "FCA")</f>
        <v>19</v>
      </c>
      <c r="C22" s="36">
        <f ca="1">(B22/H126)*100</f>
        <v>7.6305220883534144</v>
      </c>
      <c r="D22" s="36">
        <f ca="1">SUM(J117:J117)</f>
        <v>0</v>
      </c>
      <c r="E22" s="99">
        <f ca="1">1-SUM(K117:K117)</f>
        <v>0</v>
      </c>
      <c r="G22" s="95" t="s">
        <v>121</v>
      </c>
      <c r="H22">
        <f ca="1">COUNTIF(OFFSET(Transect1_raw!A2,0,0,D9-B9+1,1),"ASTRP")</f>
        <v>0</v>
      </c>
      <c r="I22" s="32">
        <f ca="1">(H22/H126)*100</f>
        <v>0</v>
      </c>
      <c r="J22" s="32">
        <f ca="1">IF(H22=0,0,-1*((H22/B16)*(LN(H22/B16))))</f>
        <v>0</v>
      </c>
      <c r="K22" s="100">
        <f ca="1">IF(H22=0,0,((H22/B16)^2))</f>
        <v>0</v>
      </c>
    </row>
    <row r="23" spans="1:14">
      <c r="A23" s="95" t="s">
        <v>358</v>
      </c>
      <c r="B23">
        <f ca="1">COUNTIF(OFFSET(Transect1_raw!C2,0,0,D9-B9+1,1), "CHRYS")</f>
        <v>0</v>
      </c>
      <c r="C23" s="32">
        <f ca="1">(B23/H126)*100</f>
        <v>0</v>
      </c>
      <c r="D23" s="32">
        <f ca="1">SUM(J119:J119)</f>
        <v>0</v>
      </c>
      <c r="E23" s="100">
        <f ca="1">1-SUM(K119:K119)</f>
        <v>1</v>
      </c>
      <c r="G23" s="95" t="s">
        <v>123</v>
      </c>
      <c r="H23">
        <f ca="1">COUNTIF(OFFSET(Transect1_raw!A2,0,0,D9-B9+1,1),"CAUL")</f>
        <v>0</v>
      </c>
      <c r="I23" s="32">
        <f ca="1">(H23/H126)*100</f>
        <v>0</v>
      </c>
      <c r="J23" s="32">
        <f ca="1">IF(H23=0,0,-1*((H23/B16)*(LN(H23/B16))))</f>
        <v>0</v>
      </c>
      <c r="K23" s="100">
        <f ca="1">IF(H23=0,0,((H23/B16)^2))</f>
        <v>0</v>
      </c>
    </row>
    <row r="24" spans="1:14">
      <c r="A24" s="94" t="s">
        <v>359</v>
      </c>
      <c r="B24" s="35">
        <f ca="1">COUNTIF(OFFSET(Transect1_raw!C2,0,0,D9-B9+1,1), "T")</f>
        <v>61</v>
      </c>
      <c r="C24" s="36">
        <f ca="1">(B24/H126)*100</f>
        <v>24.497991967871485</v>
      </c>
      <c r="D24" s="36">
        <f ca="1">SUM(J121:J121)</f>
        <v>0</v>
      </c>
      <c r="E24" s="99">
        <f ca="1">1-SUM(K121:K121)</f>
        <v>0</v>
      </c>
      <c r="G24" s="95" t="s">
        <v>125</v>
      </c>
      <c r="H24">
        <f ca="1">COUNTIF(OFFSET(Transect1_raw!A2,0,0,D9-B9+1,1),"COSC")</f>
        <v>0</v>
      </c>
      <c r="I24" s="32">
        <f ca="1">(H24/H126)*100</f>
        <v>0</v>
      </c>
      <c r="J24" s="32">
        <f ca="1">IF(H24=0,0,-1*((H24/B16)*(LN(H24/B16))))</f>
        <v>0</v>
      </c>
      <c r="K24" s="100">
        <f ca="1">IF(H24=0,0,((H24/B16)^2))</f>
        <v>0</v>
      </c>
    </row>
    <row r="25" spans="1:14">
      <c r="A25" s="95" t="s">
        <v>360</v>
      </c>
      <c r="B25">
        <f ca="1">COUNTIF(OFFSET(Transect1_raw!C2,0,0,D9-B9+1,1), "TWS")</f>
        <v>1</v>
      </c>
      <c r="C25" s="32">
        <f ca="1">(B25/B26)*100</f>
        <v>0.4</v>
      </c>
      <c r="E25" s="101"/>
      <c r="G25" s="95" t="s">
        <v>127</v>
      </c>
      <c r="H25">
        <f ca="1">COUNTIF(OFFSET(Transect1_raw!A2,0,0,D9-B9+1,1),"CTEN")</f>
        <v>0</v>
      </c>
      <c r="I25" s="32">
        <f ca="1">(H25/H126)*100</f>
        <v>0</v>
      </c>
      <c r="J25" s="32">
        <f ca="1">IF(H25=0,0,-1*((H25/B16)*(LN(H25/B16))))</f>
        <v>0</v>
      </c>
      <c r="K25" s="100">
        <f ca="1">IF(H25=0,0,((H25/B16)^2))</f>
        <v>0</v>
      </c>
    </row>
    <row r="26" spans="1:14">
      <c r="A26" s="96" t="s">
        <v>361</v>
      </c>
      <c r="B26" s="31">
        <f ca="1">SUM(B16:B25)</f>
        <v>250</v>
      </c>
      <c r="C26" s="37">
        <f ca="1">SUM(C16:C25)-C25</f>
        <v>100</v>
      </c>
      <c r="E26" s="101"/>
      <c r="G26" s="95" t="s">
        <v>129</v>
      </c>
      <c r="H26">
        <f ca="1">COUNTIF(OFFSET(Transect1_raw!A2,0,0,D9-B9+1,1),"CYPH")</f>
        <v>1</v>
      </c>
      <c r="I26" s="32">
        <f ca="1">(H26/H126)*100</f>
        <v>0.40160642570281119</v>
      </c>
      <c r="J26" s="32">
        <f ca="1">IF(H26=0,0,-1*((H26/B16)*(LN(H26/B16))))</f>
        <v>4.4657604799436278E-2</v>
      </c>
      <c r="K26" s="100">
        <f ca="1">IF(H26=0,0,((H26/B16)^2))</f>
        <v>9.2455621301775159E-5</v>
      </c>
    </row>
    <row r="27" spans="1:14">
      <c r="A27" s="95"/>
      <c r="E27" s="101"/>
      <c r="G27" s="95" t="s">
        <v>130</v>
      </c>
      <c r="H27">
        <f ca="1">COUNTIF(OFFSET(Transect1_raw!A2,0,0,D9-B9+1,1),"DIPLO")</f>
        <v>0</v>
      </c>
      <c r="I27" s="32">
        <f ca="1">(H27/H126)*100</f>
        <v>0</v>
      </c>
      <c r="J27" s="32">
        <f ca="1">IF(H27=0,0,-1*((H27/B16)*(LN(H27/B16))))</f>
        <v>0</v>
      </c>
      <c r="K27" s="100">
        <f ca="1">IF(H27=0,0,((H27/B16)^2))</f>
        <v>0</v>
      </c>
    </row>
    <row r="28" spans="1:14">
      <c r="A28" s="96" t="s">
        <v>362</v>
      </c>
      <c r="E28" s="101"/>
      <c r="G28" s="95" t="s">
        <v>132</v>
      </c>
      <c r="H28">
        <f ca="1">COUNTIF(OFFSET(Transect1_raw!A2,0,0,D9-B9+1,1),"ECHPO")</f>
        <v>25</v>
      </c>
      <c r="I28" s="32">
        <f ca="1">(H28/H126)*100</f>
        <v>10.040160642570282</v>
      </c>
      <c r="J28" s="32">
        <f ca="1">IF(H28=0,0,-1*((H28/B16)*(LN(H28/B16))))</f>
        <v>0.34267189285412786</v>
      </c>
      <c r="K28" s="100">
        <f ca="1">IF(H28=0,0,((H28/B16)^2))</f>
        <v>5.7784763313609468E-2</v>
      </c>
    </row>
    <row r="29" spans="1:14">
      <c r="A29" s="94" t="s">
        <v>363</v>
      </c>
      <c r="B29" s="35">
        <f t="array" aca="1" ref="B29" ca="1">SUM((OFFSET(Transect1_raw!B2,0,0,D9-B9+1,1)="BC") * (OFFSET(Transect1_raw!C2,0,0,D9-B9+1,1)&lt;&gt;"TWS"))</f>
        <v>0</v>
      </c>
      <c r="C29" s="36">
        <f ca="1">(B29/H126)*100</f>
        <v>0</v>
      </c>
      <c r="D29" s="35"/>
      <c r="E29" s="102"/>
      <c r="G29" s="95" t="s">
        <v>133</v>
      </c>
      <c r="H29">
        <f ca="1">COUNTIF(OFFSET(Transect1_raw!A2,0,0,D9-B9+1,1),"ECHPHY")</f>
        <v>0</v>
      </c>
      <c r="I29" s="32">
        <f ca="1">(H29/H126)*100</f>
        <v>0</v>
      </c>
      <c r="J29" s="32">
        <f ca="1">IF(H29=0,0,-1*((H29/B16)*(LN(H29/B16))))</f>
        <v>0</v>
      </c>
      <c r="K29" s="100">
        <f ca="1">IF(H29=0,0,((H29/B16)^2))</f>
        <v>0</v>
      </c>
    </row>
    <row r="30" spans="1:14">
      <c r="A30" s="96" t="s">
        <v>364</v>
      </c>
      <c r="E30" s="101"/>
      <c r="G30" s="95" t="s">
        <v>135</v>
      </c>
      <c r="H30">
        <f ca="1">COUNTIF(OFFSET(Transect1_raw!A2,0,0,D9-B9+1,1),"EUPH")</f>
        <v>0</v>
      </c>
      <c r="I30" s="32">
        <f ca="1">(H30/H126)*100</f>
        <v>0</v>
      </c>
      <c r="J30" s="32">
        <f ca="1">IF(H30=0,0,-1*((H30/B16)*(LN(H30/B16))))</f>
        <v>0</v>
      </c>
      <c r="K30" s="100">
        <f ca="1">IF(H30=0,0,((H30/B16)^2))</f>
        <v>0</v>
      </c>
    </row>
    <row r="31" spans="1:14" ht="15" thickBot="1">
      <c r="A31" s="97" t="s">
        <v>363</v>
      </c>
      <c r="B31" s="39">
        <f ca="1">SUMPRODUCT( (OFFSET(Transect1_raw!B2,0,0,D9-B9+1,1)="BC")*( OFFSET(Transect1_raw!C2,0,0,D9-B9+1,1)="C"))</f>
        <v>0</v>
      </c>
      <c r="C31" s="40">
        <f ca="1">IF(B16=0,0,(B31/B16)*100)</f>
        <v>0</v>
      </c>
      <c r="D31" s="39"/>
      <c r="E31" s="103"/>
      <c r="G31" s="95" t="s">
        <v>137</v>
      </c>
      <c r="H31">
        <f ca="1">COUNTIF(OFFSET(Transect1_raw!A2,0,0,D9-B9+1,1),"FAV")</f>
        <v>2</v>
      </c>
      <c r="I31" s="32">
        <f ca="1">(H31/H126)*100</f>
        <v>0.80321285140562237</v>
      </c>
      <c r="J31" s="32">
        <f ca="1">IF(H31=0,0,-1*((H31/B16)*(LN(H31/B16))))</f>
        <v>7.5985456126565903E-2</v>
      </c>
      <c r="K31" s="100">
        <f ca="1">IF(H31=0,0,((H31/B16)^2))</f>
        <v>3.6982248520710064E-4</v>
      </c>
    </row>
    <row r="32" spans="1:14" ht="15" thickTop="1">
      <c r="G32" s="95" t="s">
        <v>138</v>
      </c>
      <c r="H32">
        <f ca="1">COUNTIF(OFFSET(Transect1_raw!A2,0,0,D9-B9+1,1),"FAVT")</f>
        <v>0</v>
      </c>
      <c r="I32" s="32">
        <f ca="1">(H32/H126)*100</f>
        <v>0</v>
      </c>
      <c r="J32" s="32">
        <f ca="1">IF(H32=0,0,-1*((H32/B16)*(LN(H32/B16))))</f>
        <v>0</v>
      </c>
      <c r="K32" s="100">
        <f ca="1">IF(H32=0,0,((H32/B16)^2))</f>
        <v>0</v>
      </c>
    </row>
    <row r="33" spans="7:11">
      <c r="G33" s="95" t="s">
        <v>140</v>
      </c>
      <c r="H33">
        <f ca="1">COUNTIF(OFFSET(Transect1_raw!A2,0,0,D9-B9+1,1),"FUNG")</f>
        <v>0</v>
      </c>
      <c r="I33" s="32">
        <f ca="1">(H33/H126)*100</f>
        <v>0</v>
      </c>
      <c r="J33" s="32">
        <f ca="1">IF(H33=0,0,-1*((H33/B16)*(LN(H33/B16))))</f>
        <v>0</v>
      </c>
      <c r="K33" s="100">
        <f ca="1">IF(H33=0,0,((H33/B16)^2))</f>
        <v>0</v>
      </c>
    </row>
    <row r="34" spans="7:11">
      <c r="G34" s="95" t="s">
        <v>142</v>
      </c>
      <c r="H34">
        <f ca="1">COUNTIF(OFFSET(Transect1_raw!A2,0,0,D9-B9+1,1),"GAL")</f>
        <v>1</v>
      </c>
      <c r="I34" s="32">
        <f ca="1">(H34/H126)*100</f>
        <v>0.40160642570281119</v>
      </c>
      <c r="J34" s="32">
        <f ca="1">IF(H34=0,0,-1*((H34/B16)*(LN(H34/B16))))</f>
        <v>4.4657604799436278E-2</v>
      </c>
      <c r="K34" s="100">
        <f ca="1">IF(H34=0,0,((H34/B16)^2))</f>
        <v>9.2455621301775159E-5</v>
      </c>
    </row>
    <row r="35" spans="7:11">
      <c r="G35" s="95" t="s">
        <v>143</v>
      </c>
      <c r="H35">
        <f ca="1">COUNTIF(OFFSET(Transect1_raw!A2,0,0,D9-B9+1,1),"GARD")</f>
        <v>0</v>
      </c>
      <c r="I35" s="32">
        <f ca="1">(H35/H126)*100</f>
        <v>0</v>
      </c>
      <c r="J35" s="32">
        <f ca="1">IF(H35=0,0,-1*((H35/B16)*(LN(H35/B16))))</f>
        <v>0</v>
      </c>
      <c r="K35" s="100">
        <f ca="1">IF(H35=0,0,((H35/B16)^2))</f>
        <v>0</v>
      </c>
    </row>
    <row r="36" spans="7:11">
      <c r="G36" s="95" t="s">
        <v>145</v>
      </c>
      <c r="H36">
        <f ca="1">COUNTIF(OFFSET(Transect1_raw!A2,0,0,D9-B9+1,1),"GON")</f>
        <v>2</v>
      </c>
      <c r="I36" s="32">
        <f ca="1">(H36/H126)*100</f>
        <v>0.80321285140562237</v>
      </c>
      <c r="J36" s="32">
        <f ca="1">IF(H36=0,0,-1*((H36/B16)*(LN(H36/B16))))</f>
        <v>7.5985456126565903E-2</v>
      </c>
      <c r="K36" s="100">
        <f ca="1">IF(H36=0,0,((H36/B16)^2))</f>
        <v>3.6982248520710064E-4</v>
      </c>
    </row>
    <row r="37" spans="7:11">
      <c r="G37" s="95" t="s">
        <v>146</v>
      </c>
      <c r="H37">
        <f ca="1">COUNTIF(OFFSET(Transect1_raw!A2,0,0,D9-B9+1,1),"GONIO")</f>
        <v>0</v>
      </c>
      <c r="I37" s="32">
        <f ca="1">(H37/H126)*100</f>
        <v>0</v>
      </c>
      <c r="J37" s="32">
        <f ca="1">IF(H37=0,0,-1*((H37/B16)*(LN(H37/B16))))</f>
        <v>0</v>
      </c>
      <c r="K37" s="100">
        <f ca="1">IF(H37=0,0,((H37/B16)^2))</f>
        <v>0</v>
      </c>
    </row>
    <row r="38" spans="7:11">
      <c r="G38" s="95" t="s">
        <v>148</v>
      </c>
      <c r="H38">
        <f ca="1">COUNTIF(OFFSET(Transect1_raw!A2,0,0,D9-B9+1,1),"HELIO")</f>
        <v>0</v>
      </c>
      <c r="I38" s="32">
        <f ca="1">(H38/H126)*100</f>
        <v>0</v>
      </c>
      <c r="J38" s="32">
        <f ca="1">IF(H38=0,0,-1*((H38/B16)*(LN(H38/B16))))</f>
        <v>0</v>
      </c>
      <c r="K38" s="100">
        <f ca="1">IF(H38=0,0,((H38/B16)^2))</f>
        <v>0</v>
      </c>
    </row>
    <row r="39" spans="7:11">
      <c r="G39" s="95" t="s">
        <v>150</v>
      </c>
      <c r="H39">
        <f ca="1">COUNTIF(OFFSET(Transect1_raw!A2,0,0,D9-B9+1,1),"HERP")</f>
        <v>0</v>
      </c>
      <c r="I39" s="32">
        <f ca="1">(H39/H126)*100</f>
        <v>0</v>
      </c>
      <c r="J39" s="32">
        <f ca="1">IF(H39=0,0,-1*((H39/B16)*(LN(H39/B16))))</f>
        <v>0</v>
      </c>
      <c r="K39" s="100">
        <f ca="1">IF(H39=0,0,((H39/B16)^2))</f>
        <v>0</v>
      </c>
    </row>
    <row r="40" spans="7:11">
      <c r="G40" s="95" t="s">
        <v>152</v>
      </c>
      <c r="H40">
        <f ca="1">COUNTIF(OFFSET(Transect1_raw!A2,0,0,D9-B9+1,1),"HYD")</f>
        <v>0</v>
      </c>
      <c r="I40" s="32">
        <f ca="1">(H40/H126)*100</f>
        <v>0</v>
      </c>
      <c r="J40" s="32">
        <f ca="1">IF(H40=0,0,-1*((H40/B16)*(LN(H40/B16))))</f>
        <v>0</v>
      </c>
      <c r="K40" s="100">
        <f ca="1">IF(H40=0,0,((H40/B16)^2))</f>
        <v>0</v>
      </c>
    </row>
    <row r="41" spans="7:11">
      <c r="G41" s="95" t="s">
        <v>154</v>
      </c>
      <c r="H41">
        <f ca="1">COUNTIF(OFFSET(Transect1_raw!A2,0,0,D9-B9+1,1),"ISOP")</f>
        <v>0</v>
      </c>
      <c r="I41" s="32">
        <f ca="1">(H41/H126)*100</f>
        <v>0</v>
      </c>
      <c r="J41" s="32">
        <f ca="1">IF(H41=0,0,-1*((H41/B16)*(LN(H41/B16))))</f>
        <v>0</v>
      </c>
      <c r="K41" s="100">
        <f ca="1">IF(H41=0,0,((H41/B16)^2))</f>
        <v>0</v>
      </c>
    </row>
    <row r="42" spans="7:11">
      <c r="G42" s="95" t="s">
        <v>156</v>
      </c>
      <c r="H42">
        <f ca="1">COUNTIF(OFFSET(Transect1_raw!A2,0,0,D9-B9+1,1),"LEPT")</f>
        <v>0</v>
      </c>
      <c r="I42" s="32">
        <f ca="1">(H42/H126)*100</f>
        <v>0</v>
      </c>
      <c r="J42" s="32">
        <f ca="1">IF(H42=0,0,-1*((H42/B16)*(LN(H42/B16))))</f>
        <v>0</v>
      </c>
      <c r="K42" s="100">
        <f ca="1">IF(H42=0,0,((H42/B16)^2))</f>
        <v>0</v>
      </c>
    </row>
    <row r="43" spans="7:11">
      <c r="G43" s="95" t="s">
        <v>158</v>
      </c>
      <c r="H43">
        <f ca="1">COUNTIF(OFFSET(Transect1_raw!A2,0,0,D9-B9+1,1),"LEPTOR")</f>
        <v>17</v>
      </c>
      <c r="I43" s="32">
        <f ca="1">(H43/H126)*100</f>
        <v>6.8273092369477917</v>
      </c>
      <c r="J43" s="32">
        <f ca="1">IF(H43=0,0,-1*((H43/B16)*(LN(H43/B16))))</f>
        <v>0.29605786958122754</v>
      </c>
      <c r="K43" s="100">
        <f ca="1">IF(H43=0,0,((H43/B16)^2))</f>
        <v>2.6719674556213019E-2</v>
      </c>
    </row>
    <row r="44" spans="7:11">
      <c r="G44" s="95" t="s">
        <v>159</v>
      </c>
      <c r="H44">
        <f ca="1">COUNTIF(OFFSET(Transect1_raw!A2,0,0,D9-B9+1,1),"LEPTOS")</f>
        <v>0</v>
      </c>
      <c r="I44" s="32">
        <f ca="1">(H44/H126)*100</f>
        <v>0</v>
      </c>
      <c r="J44" s="32">
        <f ca="1">IF(H44=0,0,-1*((H44/B16)*(LN(H44/B16))))</f>
        <v>0</v>
      </c>
      <c r="K44" s="100">
        <f ca="1">IF(H44=0,0,((H44/B16)^2))</f>
        <v>0</v>
      </c>
    </row>
    <row r="45" spans="7:11">
      <c r="G45" s="95" t="s">
        <v>161</v>
      </c>
      <c r="H45">
        <f ca="1">COUNTIF(OFFSET(Transect1_raw!A2,0,0,D9-B9+1,1),"LOBOPH")</f>
        <v>5</v>
      </c>
      <c r="I45" s="32">
        <f ca="1">(H45/H126)*100</f>
        <v>2.0080321285140563</v>
      </c>
      <c r="J45" s="32">
        <f ca="1">IF(H45=0,0,-1*((H45/B16)*(LN(H45/B16))))</f>
        <v>0.14591120128400348</v>
      </c>
      <c r="K45" s="100">
        <f ca="1">IF(H45=0,0,((H45/B16)^2))</f>
        <v>2.3113905325443788E-3</v>
      </c>
    </row>
    <row r="46" spans="7:11">
      <c r="G46" s="95" t="s">
        <v>162</v>
      </c>
      <c r="H46">
        <f ca="1">COUNTIF(OFFSET(Transect1_raw!A2,0,0,D9-B9+1,1),"MERU")</f>
        <v>4</v>
      </c>
      <c r="I46" s="32">
        <f ca="1">(H46/H126)*100</f>
        <v>1.6064257028112447</v>
      </c>
      <c r="J46" s="32">
        <f ca="1">IF(H46=0,0,-1*((H46/B16)*(LN(H46/B16))))</f>
        <v>0.12531140530851856</v>
      </c>
      <c r="K46" s="100">
        <f ca="1">IF(H46=0,0,((H46/B16)^2))</f>
        <v>1.4792899408284025E-3</v>
      </c>
    </row>
    <row r="47" spans="7:11">
      <c r="G47" s="95" t="s">
        <v>163</v>
      </c>
      <c r="H47">
        <f ca="1">COUNTIF(OFFSET(Transect1_raw!A2,0,0,D9-B9+1,1),"MILL")</f>
        <v>0</v>
      </c>
      <c r="I47" s="32">
        <f ca="1">(H47/H126)*100</f>
        <v>0</v>
      </c>
      <c r="J47" s="32">
        <f ca="1">IF(H47=0,0,-1*((H47/B16)*(LN(H47/B16))))</f>
        <v>0</v>
      </c>
      <c r="K47" s="100">
        <f ca="1">IF(H47=0,0,((H47/B16)^2))</f>
        <v>0</v>
      </c>
    </row>
    <row r="48" spans="7:11">
      <c r="G48" s="95" t="s">
        <v>165</v>
      </c>
      <c r="H48">
        <f ca="1">COUNTIF(OFFSET(Transect1_raw!A2,0,0,D9-B9+1,1),"MONT")</f>
        <v>0</v>
      </c>
      <c r="I48" s="32">
        <f ca="1">(H48/H126)*100</f>
        <v>0</v>
      </c>
      <c r="J48" s="32">
        <f ca="1">IF(H48=0,0,-1*((H48/B16)*(LN(H48/B16))))</f>
        <v>0</v>
      </c>
      <c r="K48" s="100">
        <f ca="1">IF(H48=0,0,((H48/B16)^2))</f>
        <v>0</v>
      </c>
    </row>
    <row r="49" spans="7:11">
      <c r="G49" s="95" t="s">
        <v>167</v>
      </c>
      <c r="H49">
        <f ca="1">COUNTIF(OFFSET(Transect1_raw!A2,0,0,D9-B9+1,1),"MONTI")</f>
        <v>0</v>
      </c>
      <c r="I49" s="32">
        <f ca="1">(H49/H126)*100</f>
        <v>0</v>
      </c>
      <c r="J49" s="32">
        <f ca="1">IF(H49=0,0,-1*((H49/B16)*(LN(H49/B16))))</f>
        <v>0</v>
      </c>
      <c r="K49" s="100">
        <f ca="1">IF(H49=0,0,((H49/B16)^2))</f>
        <v>0</v>
      </c>
    </row>
    <row r="50" spans="7:11">
      <c r="G50" s="95" t="s">
        <v>169</v>
      </c>
      <c r="H50">
        <f ca="1">COUNTIF(OFFSET(Transect1_raw!A2,0,0,D9-B9+1,1),"MYCED")</f>
        <v>1</v>
      </c>
      <c r="I50" s="32">
        <f ca="1">(H50/H126)*100</f>
        <v>0.40160642570281119</v>
      </c>
      <c r="J50" s="32">
        <f ca="1">IF(H50=0,0,-1*((H50/B16)*(LN(H50/B16))))</f>
        <v>4.4657604799436278E-2</v>
      </c>
      <c r="K50" s="100">
        <f ca="1">IF(H50=0,0,((H50/B16)^2))</f>
        <v>9.2455621301775159E-5</v>
      </c>
    </row>
    <row r="51" spans="7:11">
      <c r="G51" s="95" t="s">
        <v>170</v>
      </c>
      <c r="H51">
        <f ca="1">COUNTIF(OFFSET(Transect1_raw!A2,0,0,D9-B9+1,1),"OULO")</f>
        <v>0</v>
      </c>
      <c r="I51" s="32">
        <f ca="1">(H51/H126)*100</f>
        <v>0</v>
      </c>
      <c r="J51" s="32">
        <f ca="1">IF(H51=0,0,-1*((H51/B16)*(LN(H51/B16))))</f>
        <v>0</v>
      </c>
      <c r="K51" s="100">
        <f ca="1">IF(H51=0,0,((H51/B16)^2))</f>
        <v>0</v>
      </c>
    </row>
    <row r="52" spans="7:11">
      <c r="G52" s="95" t="s">
        <v>172</v>
      </c>
      <c r="H52">
        <f ca="1">COUNTIF(OFFSET(Transect1_raw!A2,0,0,D9-B9+1,1),"OXYP")</f>
        <v>0</v>
      </c>
      <c r="I52" s="32">
        <f ca="1">(H52/H126)*100</f>
        <v>0</v>
      </c>
      <c r="J52" s="32">
        <f ca="1">IF(H52=0,0,-1*((H52/B16)*(LN(H52/B16))))</f>
        <v>0</v>
      </c>
      <c r="K52" s="100">
        <f ca="1">IF(H52=0,0,((H52/B16)^2))</f>
        <v>0</v>
      </c>
    </row>
    <row r="53" spans="7:11">
      <c r="G53" s="95" t="s">
        <v>174</v>
      </c>
      <c r="H53">
        <f ca="1">COUNTIF(OFFSET(Transect1_raw!A2,0,0,D9-B9+1,1),"PLSIA")</f>
        <v>0</v>
      </c>
      <c r="I53" s="32">
        <f ca="1">(H53/H126)*100</f>
        <v>0</v>
      </c>
      <c r="J53" s="32">
        <f ca="1">IF(H53=0,0,-1*((H53/B16)*(LN(H53/B16))))</f>
        <v>0</v>
      </c>
      <c r="K53" s="100">
        <f ca="1">IF(H53=0,0,((H53/B16)^2))</f>
        <v>0</v>
      </c>
    </row>
    <row r="54" spans="7:11">
      <c r="G54" s="95" t="s">
        <v>176</v>
      </c>
      <c r="H54">
        <f ca="1">COUNTIF(OFFSET(Transect1_raw!A2,0,0,D9-B9+1,1),"PACHY")</f>
        <v>3</v>
      </c>
      <c r="I54" s="32">
        <f ca="1">(H54/H126)*100</f>
        <v>1.2048192771084338</v>
      </c>
      <c r="J54" s="32">
        <f ca="1">IF(H54=0,0,-1*((H54/B16)*(LN(H54/B16))))</f>
        <v>0.10228207530211336</v>
      </c>
      <c r="K54" s="100">
        <f ca="1">IF(H54=0,0,((H54/B16)^2))</f>
        <v>8.3210059171597646E-4</v>
      </c>
    </row>
    <row r="55" spans="7:11">
      <c r="G55" s="95" t="s">
        <v>177</v>
      </c>
      <c r="H55">
        <f ca="1">COUNTIF(OFFSET(Transect1_raw!A2,0,0,D9-B9+1,1),"PAV")</f>
        <v>0</v>
      </c>
      <c r="I55" s="32">
        <f ca="1">(H55/H126)*100</f>
        <v>0</v>
      </c>
      <c r="J55" s="32">
        <f ca="1">IF(H55=0,0,-1*((H55/B16)*(LN(H55/B16))))</f>
        <v>0</v>
      </c>
      <c r="K55" s="100">
        <f ca="1">IF(H55=0,0,((H55/B16)^2))</f>
        <v>0</v>
      </c>
    </row>
    <row r="56" spans="7:11">
      <c r="G56" s="95" t="s">
        <v>179</v>
      </c>
      <c r="H56">
        <f ca="1">COUNTIF(OFFSET(Transect1_raw!A2,0,0,D9-B9+1,1),"PECT")</f>
        <v>0</v>
      </c>
      <c r="I56" s="32">
        <f ca="1">(H56/H126)*100</f>
        <v>0</v>
      </c>
      <c r="J56" s="32">
        <f ca="1">IF(H56=0,0,-1*((H56/B16)*(LN(H56/B16))))</f>
        <v>0</v>
      </c>
      <c r="K56" s="100">
        <f ca="1">IF(H56=0,0,((H56/B16)^2))</f>
        <v>0</v>
      </c>
    </row>
    <row r="57" spans="7:11">
      <c r="G57" s="95" t="s">
        <v>181</v>
      </c>
      <c r="H57">
        <f ca="1">COUNTIF(OFFSET(Transect1_raw!A2,0,0,D9-B9+1,1),"PHYSO")</f>
        <v>0</v>
      </c>
      <c r="I57" s="32">
        <f ca="1">(H57/H126)*100</f>
        <v>0</v>
      </c>
      <c r="J57" s="32">
        <f ca="1">IF(H57=0,0,-1*((H57/B16)*(LN(H57/B16))))</f>
        <v>0</v>
      </c>
      <c r="K57" s="100">
        <f ca="1">IF(H57=0,0,((H57/B16)^2))</f>
        <v>0</v>
      </c>
    </row>
    <row r="58" spans="7:11">
      <c r="G58" s="95" t="s">
        <v>183</v>
      </c>
      <c r="H58">
        <f ca="1">COUNTIF(OFFSET(Transect1_raw!A2,0,0,D9-B9+1,1),"PLAT")</f>
        <v>10</v>
      </c>
      <c r="I58" s="32">
        <f ca="1">(H58/H126)*100</f>
        <v>4.0160642570281126</v>
      </c>
      <c r="J58" s="32">
        <f ca="1">IF(H58=0,0,-1*((H58/B16)*(LN(H58/B16))))</f>
        <v>0.22517363520647377</v>
      </c>
      <c r="K58" s="100">
        <f ca="1">IF(H58=0,0,((H58/B16)^2))</f>
        <v>9.2455621301775152E-3</v>
      </c>
    </row>
    <row r="59" spans="7:11">
      <c r="G59" s="95" t="s">
        <v>184</v>
      </c>
      <c r="H59">
        <f ca="1">COUNTIF(OFFSET(Transect1_raw!A2,0,0,D9-B9+1,1),"PLERO")</f>
        <v>0</v>
      </c>
      <c r="I59" s="32">
        <f ca="1">(H59/H126)*100</f>
        <v>0</v>
      </c>
      <c r="J59" s="32">
        <f ca="1">IF(H59=0,0,-1*((H59/B16)*(LN(H59/B16))))</f>
        <v>0</v>
      </c>
      <c r="K59" s="100">
        <f ca="1">IF(H59=0,0,((H59/B16)^2))</f>
        <v>0</v>
      </c>
    </row>
    <row r="60" spans="7:11">
      <c r="G60" s="95" t="s">
        <v>186</v>
      </c>
      <c r="H60">
        <f ca="1">COUNTIF(OFFSET(Transect1_raw!A2,0,0,D9-B9+1,1),"POC")</f>
        <v>0</v>
      </c>
      <c r="I60" s="32">
        <f ca="1">(H60/H126)*100</f>
        <v>0</v>
      </c>
      <c r="J60" s="32">
        <f ca="1">IF(H60=0,0,-1*((H60/B16)*(LN(H60/B16))))</f>
        <v>0</v>
      </c>
      <c r="K60" s="100">
        <f ca="1">IF(H60=0,0,((H60/B16)^2))</f>
        <v>0</v>
      </c>
    </row>
    <row r="61" spans="7:11">
      <c r="G61" s="95" t="s">
        <v>188</v>
      </c>
      <c r="H61">
        <f ca="1">COUNTIF(OFFSET(Transect1_raw!A2,0,0,D9-B9+1,1),"POR")</f>
        <v>0</v>
      </c>
      <c r="I61" s="32">
        <f ca="1">(H61/H126)*100</f>
        <v>0</v>
      </c>
      <c r="J61" s="32">
        <f ca="1">IF(H61=0,0,-1*((H61/B16)*(LN(H61/B16))))</f>
        <v>0</v>
      </c>
      <c r="K61" s="100">
        <f ca="1">IF(H61=0,0,((H61/B16)^2))</f>
        <v>0</v>
      </c>
    </row>
    <row r="62" spans="7:11">
      <c r="G62" s="95" t="s">
        <v>190</v>
      </c>
      <c r="H62">
        <f ca="1">COUNTIF(OFFSET(Transect1_raw!A2,0,0,D9-B9+1,1),"PORCYL")</f>
        <v>0</v>
      </c>
      <c r="I62" s="32">
        <f ca="1">(H62/H126)*100</f>
        <v>0</v>
      </c>
      <c r="J62" s="32">
        <f ca="1">IF(H62=0,0,-1*((H62/B16)*(LN(H62/B16))))</f>
        <v>0</v>
      </c>
      <c r="K62" s="100">
        <f ca="1">IF(H62=0,0,((H62/B16)^2))</f>
        <v>0</v>
      </c>
    </row>
    <row r="63" spans="7:11">
      <c r="G63" s="95" t="s">
        <v>192</v>
      </c>
      <c r="H63">
        <f ca="1">COUNTIF(OFFSET(Transect1_raw!A2,0,0,D9-B9+1,1),"PORMAS")</f>
        <v>0</v>
      </c>
      <c r="I63" s="32">
        <f ca="1">(H63/H126)*100</f>
        <v>0</v>
      </c>
      <c r="J63" s="32">
        <f ca="1">IF(H63=0,0,-1*((H63/B16)*(LN(H63/B16))))</f>
        <v>0</v>
      </c>
      <c r="K63" s="100">
        <f ca="1">IF(H63=0,0,((H63/B16)^2))</f>
        <v>0</v>
      </c>
    </row>
    <row r="64" spans="7:11">
      <c r="G64" s="95" t="s">
        <v>194</v>
      </c>
      <c r="H64">
        <f ca="1">COUNTIF(OFFSET(Transect1_raw!A2,0,0,D9-B9+1,1),"PORRUS")</f>
        <v>1</v>
      </c>
      <c r="I64" s="32">
        <f ca="1">(H64/H126)*100</f>
        <v>0.40160642570281119</v>
      </c>
      <c r="J64" s="32">
        <f ca="1">IF(H64=0,0,-1*((H64/B16)*(LN(H64/B16))))</f>
        <v>4.4657604799436278E-2</v>
      </c>
      <c r="K64" s="100">
        <f ca="1">IF(H64=0,0,((H64/B16)^2))</f>
        <v>9.2455621301775159E-5</v>
      </c>
    </row>
    <row r="65" spans="7:11">
      <c r="G65" s="95" t="s">
        <v>195</v>
      </c>
      <c r="H65">
        <f ca="1">COUNTIF(OFFSET(Transect1_raw!A2,0,0,D9-B9+1,1),"PSAM")</f>
        <v>0</v>
      </c>
      <c r="I65" s="32">
        <f ca="1">(H65/H126)*100</f>
        <v>0</v>
      </c>
      <c r="J65" s="32">
        <f ca="1">IF(H65=0,0,-1*((H65/B16)*(LN(H65/B16))))</f>
        <v>0</v>
      </c>
      <c r="K65" s="100">
        <f ca="1">IF(H65=0,0,((H65/B16)^2))</f>
        <v>0</v>
      </c>
    </row>
    <row r="66" spans="7:11">
      <c r="G66" s="95" t="s">
        <v>197</v>
      </c>
      <c r="H66">
        <f ca="1">COUNTIF(OFFSET(Transect1_raw!A2,0,0,D9-B9+1,1),"SANDO")</f>
        <v>0</v>
      </c>
      <c r="I66" s="32">
        <f ca="1">(H66/H126)*100</f>
        <v>0</v>
      </c>
      <c r="J66" s="32">
        <f ca="1">IF(H66=0,0,-1*((H66/B16)*(LN(H66/B16))))</f>
        <v>0</v>
      </c>
      <c r="K66" s="100">
        <f ca="1">IF(H66=0,0,((H66/B16)^2))</f>
        <v>0</v>
      </c>
    </row>
    <row r="67" spans="7:11">
      <c r="G67" s="95" t="s">
        <v>199</v>
      </c>
      <c r="H67">
        <f ca="1">COUNTIF(OFFSET(Transect1_raw!A2,0,0,D9-B9+1,1),"SCAP")</f>
        <v>0</v>
      </c>
      <c r="I67" s="32">
        <f ca="1">(H67/H126)*100</f>
        <v>0</v>
      </c>
      <c r="J67" s="32">
        <f ca="1">IF(H67=0,0,-1*((H67/B16)*(LN(H67/B16))))</f>
        <v>0</v>
      </c>
      <c r="K67" s="100">
        <f ca="1">IF(H67=0,0,((H67/B16)^2))</f>
        <v>0</v>
      </c>
    </row>
    <row r="68" spans="7:11">
      <c r="G68" s="95" t="s">
        <v>201</v>
      </c>
      <c r="H68">
        <f ca="1">COUNTIF(OFFSET(Transect1_raw!A2,0,0,D9-B9+1,1),"SERIA")</f>
        <v>0</v>
      </c>
      <c r="I68" s="32">
        <f ca="1">(H68/H126)*100</f>
        <v>0</v>
      </c>
      <c r="J68" s="32">
        <f ca="1">IF(H68=0,0,-1*((H68/B16)*(LN(H68/B16))))</f>
        <v>0</v>
      </c>
      <c r="K68" s="100">
        <f ca="1">IF(H68=0,0,((H68/B16)^2))</f>
        <v>0</v>
      </c>
    </row>
    <row r="69" spans="7:11">
      <c r="G69" s="95" t="s">
        <v>203</v>
      </c>
      <c r="H69">
        <f ca="1">COUNTIF(OFFSET(Transect1_raw!A2,0,0,D9-B9+1,1),"STYLC")</f>
        <v>0</v>
      </c>
      <c r="I69" s="32">
        <f ca="1">(H69/H126)*100</f>
        <v>0</v>
      </c>
      <c r="J69" s="32">
        <f ca="1">IF(H69=0,0,-1*((H69/B16)*(LN(H69/B16))))</f>
        <v>0</v>
      </c>
      <c r="K69" s="100">
        <f ca="1">IF(H69=0,0,((H69/B16)^2))</f>
        <v>0</v>
      </c>
    </row>
    <row r="70" spans="7:11">
      <c r="G70" s="95" t="s">
        <v>205</v>
      </c>
      <c r="H70">
        <f ca="1">COUNTIF(OFFSET(Transect1_raw!A2,0,0,D9-B9+1,1),"STYLO")</f>
        <v>3</v>
      </c>
      <c r="I70" s="32">
        <f ca="1">(H70/H126)*100</f>
        <v>1.2048192771084338</v>
      </c>
      <c r="J70" s="32">
        <f ca="1">IF(H70=0,0,-1*((H70/B16)*(LN(H70/B16))))</f>
        <v>0.10228207530211336</v>
      </c>
      <c r="K70" s="100">
        <f ca="1">IF(H70=0,0,((H70/B16)^2))</f>
        <v>8.3210059171597646E-4</v>
      </c>
    </row>
    <row r="71" spans="7:11">
      <c r="G71" s="95" t="s">
        <v>206</v>
      </c>
      <c r="H71">
        <f ca="1">COUNTIF(OFFSET(Transect1_raw!A2,0,0,D9-B9+1,1),"SYMP")</f>
        <v>0</v>
      </c>
      <c r="I71" s="32">
        <f ca="1">(H71/H126)*100</f>
        <v>0</v>
      </c>
      <c r="J71" s="32">
        <f ca="1">IF(H71=0,0,-1*((H71/B16)*(LN(H71/B16))))</f>
        <v>0</v>
      </c>
      <c r="K71" s="100">
        <f ca="1">IF(H71=0,0,((H71/B16)^2))</f>
        <v>0</v>
      </c>
    </row>
    <row r="72" spans="7:11">
      <c r="G72" s="95" t="s">
        <v>208</v>
      </c>
      <c r="H72">
        <f ca="1">COUNTIF(OFFSET(Transect1_raw!A2,0,0,D9-B9+1,1),"TURBIN")</f>
        <v>0</v>
      </c>
      <c r="I72" s="32">
        <f ca="1">(H72/H126)*100</f>
        <v>0</v>
      </c>
      <c r="J72" s="32">
        <f ca="1">IF(H72=0,0,-1*((H72/B16)*(LN(H72/B16))))</f>
        <v>0</v>
      </c>
      <c r="K72" s="100">
        <f ca="1">IF(H72=0,0,((H72/B16)^2))</f>
        <v>0</v>
      </c>
    </row>
    <row r="73" spans="7:11">
      <c r="G73" s="96" t="s">
        <v>98</v>
      </c>
      <c r="K73" s="101"/>
    </row>
    <row r="74" spans="7:11">
      <c r="G74" s="95" t="s">
        <v>210</v>
      </c>
      <c r="H74">
        <f ca="1">COUNTIF(OFFSET(Transect1_raw!A2,0,0,D9-B9+1,1),"ANEM")</f>
        <v>0</v>
      </c>
      <c r="I74" s="32">
        <f ca="1">(H74/H126)*100</f>
        <v>0</v>
      </c>
      <c r="J74" s="32">
        <f ca="1">IF(H74=0,0,-1*((H74/B17)*(LN(H74/B17))))</f>
        <v>0</v>
      </c>
      <c r="K74" s="100">
        <f ca="1">IF(H74=0,0,((H74/B17)^2))</f>
        <v>0</v>
      </c>
    </row>
    <row r="75" spans="7:11">
      <c r="G75" s="95" t="s">
        <v>212</v>
      </c>
      <c r="H75">
        <f ca="1">COUNTIF(OFFSET(Transect1_raw!A2,0,0,D9-B9+1,1),"ASC")</f>
        <v>0</v>
      </c>
      <c r="I75" s="32">
        <f ca="1">(H75/H126)*100</f>
        <v>0</v>
      </c>
      <c r="J75" s="32">
        <f ca="1">IF(H75=0,0,-1*((H75/B17)*(LN(H75/B17))))</f>
        <v>0</v>
      </c>
      <c r="K75" s="100">
        <f ca="1">IF(H75=0,0,((H75/B17)^2))</f>
        <v>0</v>
      </c>
    </row>
    <row r="76" spans="7:11">
      <c r="G76" s="95" t="s">
        <v>214</v>
      </c>
      <c r="H76">
        <f ca="1">COUNTIF(OFFSET(Transect1_raw!A2,0,0,D9-B9+1,1),"CUPS")</f>
        <v>0</v>
      </c>
      <c r="I76" s="32">
        <f ca="1">(H76/H126)*100</f>
        <v>0</v>
      </c>
      <c r="J76" s="32">
        <f ca="1">IF(H76=0,0,-1*((H76/B17)*(LN(H76/B17))))</f>
        <v>0</v>
      </c>
      <c r="K76" s="100">
        <f ca="1">IF(H76=0,0,((H76/B17)^2))</f>
        <v>0</v>
      </c>
    </row>
    <row r="77" spans="7:11">
      <c r="G77" s="95" t="s">
        <v>216</v>
      </c>
      <c r="H77">
        <f ca="1">COUNTIF(OFFSET(Transect1_raw!A2,0,0,D9-B9+1,1),"DISCO")</f>
        <v>0</v>
      </c>
      <c r="I77" s="32">
        <f ca="1">(H77/H126)*100</f>
        <v>0</v>
      </c>
      <c r="J77" s="32">
        <f ca="1">IF(H77=0,0,-1*((H77/B17)*(LN(H77/B17))))</f>
        <v>0</v>
      </c>
      <c r="K77" s="100">
        <f ca="1">IF(H77=0,0,((H77/B17)^2))</f>
        <v>0</v>
      </c>
    </row>
    <row r="78" spans="7:11">
      <c r="G78" s="95" t="s">
        <v>218</v>
      </c>
      <c r="H78">
        <f ca="1">COUNTIF(OFFSET(Transect1_raw!A2,0,0,D9-B9+1,1),"DYS")</f>
        <v>0</v>
      </c>
      <c r="I78" s="32">
        <f ca="1">(H78/H126)*100</f>
        <v>0</v>
      </c>
      <c r="J78" s="32">
        <f ca="1">IF(H78=0,0,-1*((H78/B17)*(LN(H78/B17))))</f>
        <v>0</v>
      </c>
      <c r="K78" s="100">
        <f ca="1">IF(H78=0,0,((H78/B17)^2))</f>
        <v>0</v>
      </c>
    </row>
    <row r="79" spans="7:11">
      <c r="G79" s="95" t="s">
        <v>220</v>
      </c>
      <c r="H79">
        <f ca="1">COUNTIF(OFFSET(Transect1_raw!A2,0,0,D9-B9+1,1),"G")</f>
        <v>0</v>
      </c>
      <c r="I79" s="32">
        <f ca="1">(H79/H126)*100</f>
        <v>0</v>
      </c>
      <c r="J79" s="32">
        <f ca="1">IF(H79=0,0,-1*((H79/B17)*(LN(H79/B17))))</f>
        <v>0</v>
      </c>
      <c r="K79" s="100">
        <f ca="1">IF(H79=0,0,((H79/B17)^2))</f>
        <v>0</v>
      </c>
    </row>
    <row r="80" spans="7:11">
      <c r="G80" s="95" t="s">
        <v>222</v>
      </c>
      <c r="H80">
        <f ca="1">COUNTIF(OFFSET(Transect1_raw!A2,0,0,D9-B9+1,1),"NoIDINV")</f>
        <v>0</v>
      </c>
      <c r="I80" s="32">
        <f ca="1">(H80/H126)*100</f>
        <v>0</v>
      </c>
      <c r="J80" s="32">
        <f ca="1">IF(H80=0,0,-1*((H80/B17)*(LN(H80/B17))))</f>
        <v>0</v>
      </c>
      <c r="K80" s="100">
        <f ca="1">IF(H80=0,0,((H80/B17)^2))</f>
        <v>0</v>
      </c>
    </row>
    <row r="81" spans="7:11">
      <c r="G81" s="95" t="s">
        <v>224</v>
      </c>
      <c r="H81">
        <f ca="1">COUNTIF(OFFSET(Transect1_raw!A2,0,0,D9-B9+1,1),"OLV")</f>
        <v>0</v>
      </c>
      <c r="I81" s="32">
        <f ca="1">(H81/H126)*100</f>
        <v>0</v>
      </c>
      <c r="J81" s="32">
        <f ca="1">IF(H81=0,0,-1*((H81/B17)*(LN(H81/B17))))</f>
        <v>0</v>
      </c>
      <c r="K81" s="100">
        <f ca="1">IF(H81=0,0,((H81/B17)^2))</f>
        <v>0</v>
      </c>
    </row>
    <row r="82" spans="7:11">
      <c r="G82" s="95" t="s">
        <v>226</v>
      </c>
      <c r="H82">
        <f ca="1">COUNTIF(OFFSET(Transect1_raw!A2,0,0,D9-B9+1,1),"SC")</f>
        <v>0</v>
      </c>
      <c r="I82" s="32">
        <f ca="1">(H82/H126)*100</f>
        <v>0</v>
      </c>
      <c r="J82" s="32">
        <f ca="1">IF(H82=0,0,-1*((H82/B17)*(LN(H82/B17))))</f>
        <v>0</v>
      </c>
      <c r="K82" s="100">
        <f ca="1">IF(H82=0,0,((H82/B17)^2))</f>
        <v>0</v>
      </c>
    </row>
    <row r="83" spans="7:11">
      <c r="G83" s="95" t="s">
        <v>228</v>
      </c>
      <c r="H83">
        <f ca="1">COUNTIF(OFFSET(Transect1_raw!A2,0,0,D9-B9+1,1),"S")</f>
        <v>0</v>
      </c>
      <c r="I83" s="32">
        <f ca="1">(H83/H126)*100</f>
        <v>0</v>
      </c>
      <c r="J83" s="32">
        <f ca="1">IF(H83=0,0,-1*((H83/B17)*(LN(H83/B17))))</f>
        <v>0</v>
      </c>
      <c r="K83" s="100">
        <f ca="1">IF(H83=0,0,((H83/B17)^2))</f>
        <v>0</v>
      </c>
    </row>
    <row r="84" spans="7:11">
      <c r="G84" s="95" t="s">
        <v>230</v>
      </c>
      <c r="H84">
        <f ca="1">COUNTIF(OFFSET(Transect1_raw!A2,0,0,D9-B9+1,1),"TERPS")</f>
        <v>0</v>
      </c>
      <c r="I84" s="32">
        <f ca="1">(H84/H126)*100</f>
        <v>0</v>
      </c>
      <c r="J84" s="32">
        <f ca="1">IF(H84=0,0,-1*((H84/B17)*(LN(H84/B17))))</f>
        <v>0</v>
      </c>
      <c r="K84" s="100">
        <f ca="1">IF(H84=0,0,((H84/B17)^2))</f>
        <v>0</v>
      </c>
    </row>
    <row r="85" spans="7:11">
      <c r="G85" s="95" t="s">
        <v>232</v>
      </c>
      <c r="H85">
        <f ca="1">COUNTIF(OFFSET(Transect1_raw!A2,0,0,D9-B9+1,1),"Z")</f>
        <v>0</v>
      </c>
      <c r="I85" s="32">
        <f ca="1">(H85/H126)*100</f>
        <v>0</v>
      </c>
      <c r="J85" s="32">
        <f ca="1">IF(H85=0,0,-1*((H85/B17)*(LN(H85/B17))))</f>
        <v>0</v>
      </c>
      <c r="K85" s="100">
        <f ca="1">IF(H85=0,0,((H85/B17)^2))</f>
        <v>0</v>
      </c>
    </row>
    <row r="86" spans="7:11">
      <c r="G86" s="96" t="s">
        <v>100</v>
      </c>
      <c r="K86" s="101"/>
    </row>
    <row r="87" spans="7:11">
      <c r="G87" s="95" t="s">
        <v>234</v>
      </c>
      <c r="H87">
        <f ca="1">COUNTIF(OFFSET(Transect1_raw!A2,0,0,D9-B9+1,1),"ASP")</f>
        <v>0</v>
      </c>
      <c r="I87" s="32">
        <f ca="1">(H87/H126)*100</f>
        <v>0</v>
      </c>
      <c r="J87" s="32">
        <f ca="1">IF(H87=0,0,-1*((H87/B18)*(LN(H87/B18))))</f>
        <v>0</v>
      </c>
      <c r="K87" s="100">
        <f ca="1">IF(H87=0,0,((H87/B18)^2))</f>
        <v>0</v>
      </c>
    </row>
    <row r="88" spans="7:11">
      <c r="G88" s="95" t="s">
        <v>236</v>
      </c>
      <c r="H88">
        <f ca="1">COUNTIF(OFFSET(Transect1_raw!A2,0,0,D9-B9+1,1),"BG")</f>
        <v>0</v>
      </c>
      <c r="I88" s="32">
        <f ca="1">(H88/H126)*100</f>
        <v>0</v>
      </c>
      <c r="J88" s="32">
        <f ca="1">IF(H88=0,0,-1*((H88/B18)*(LN(H88/B18))))</f>
        <v>0</v>
      </c>
      <c r="K88" s="100">
        <f ca="1">IF(H88=0,0,((H88/B18)^2))</f>
        <v>0</v>
      </c>
    </row>
    <row r="89" spans="7:11">
      <c r="G89" s="95" t="s">
        <v>238</v>
      </c>
      <c r="H89">
        <f ca="1">COUNTIF(OFFSET(Transect1_raw!A2,0,0,D9-B9+1,1),"Bood")</f>
        <v>0</v>
      </c>
      <c r="I89" s="32">
        <f ca="1">(H89/H126)*100</f>
        <v>0</v>
      </c>
      <c r="J89" s="32">
        <f ca="1">IF(H89=0,0,-1*((H89/B18)*(LN(H89/B18))))</f>
        <v>0</v>
      </c>
      <c r="K89" s="100">
        <f ca="1">IF(H89=0,0,((H89/B18)^2))</f>
        <v>0</v>
      </c>
    </row>
    <row r="90" spans="7:11">
      <c r="G90" s="95" t="s">
        <v>240</v>
      </c>
      <c r="H90">
        <f ca="1">COUNTIF(OFFSET(Transect1_raw!A2,0,0,D9-B9+1,1),"BRYP")</f>
        <v>0</v>
      </c>
      <c r="I90" s="32">
        <f ca="1">(H90/H126)*100</f>
        <v>0</v>
      </c>
      <c r="J90" s="32">
        <f ca="1">IF(H90=0,0,-1*((H90/B18)*(LN(H90/B18))))</f>
        <v>0</v>
      </c>
      <c r="K90" s="100">
        <f ca="1">IF(H90=0,0,((H90/B18)^2))</f>
        <v>0</v>
      </c>
    </row>
    <row r="91" spans="7:11">
      <c r="G91" s="95" t="s">
        <v>242</v>
      </c>
      <c r="H91">
        <f ca="1">COUNTIF(OFFSET(Transect1_raw!A2,0,0,D9-B9+1,1),"CLP")</f>
        <v>0</v>
      </c>
      <c r="I91" s="32">
        <f ca="1">(H91/H126)*100</f>
        <v>0</v>
      </c>
      <c r="J91" s="32">
        <f ca="1">IF(H91=0,0,-1*((H91/B18)*(LN(H91/B18))))</f>
        <v>0</v>
      </c>
      <c r="K91" s="100">
        <f ca="1">IF(H91=0,0,((H91/B18)^2))</f>
        <v>0</v>
      </c>
    </row>
    <row r="92" spans="7:11">
      <c r="G92" s="95" t="s">
        <v>244</v>
      </c>
      <c r="H92">
        <f ca="1">COUNTIF(OFFSET(Transect1_raw!A2,0,0,D9-B9+1,1),"CHLDES")</f>
        <v>0</v>
      </c>
      <c r="I92" s="32">
        <f ca="1">(H92/H126)*100</f>
        <v>0</v>
      </c>
      <c r="J92" s="32">
        <f ca="1">IF(H92=0,0,-1*((H92/B18)*(LN(H92/B18))))</f>
        <v>0</v>
      </c>
      <c r="K92" s="100">
        <f ca="1">IF(H92=0,0,((H92/B18)^2))</f>
        <v>0</v>
      </c>
    </row>
    <row r="93" spans="7:11">
      <c r="G93" s="95" t="s">
        <v>246</v>
      </c>
      <c r="H93">
        <f ca="1">COUNTIF(OFFSET(Transect1_raw!A2,0,0,D9-B9+1,1),"DYCTY")</f>
        <v>0</v>
      </c>
      <c r="I93" s="32">
        <f ca="1">(H93/H126)*100</f>
        <v>0</v>
      </c>
      <c r="J93" s="32">
        <f ca="1">IF(H93=0,0,-1*((H93/B18)*(LN(H93/B18))))</f>
        <v>0</v>
      </c>
      <c r="K93" s="100">
        <f ca="1">IF(H93=0,0,((H93/B18)^2))</f>
        <v>0</v>
      </c>
    </row>
    <row r="94" spans="7:11">
      <c r="G94" s="95" t="s">
        <v>248</v>
      </c>
      <c r="H94">
        <f ca="1">COUNTIF(OFFSET(Transect1_raw!A2,0,0,D9-B9+1,1),"DICT")</f>
        <v>0</v>
      </c>
      <c r="I94" s="32">
        <f ca="1">(H94/H126)*100</f>
        <v>0</v>
      </c>
      <c r="J94" s="32">
        <f ca="1">IF(H94=0,0,-1*((H94/B18)*(LN(H94/B18))))</f>
        <v>0</v>
      </c>
      <c r="K94" s="100">
        <f ca="1">IF(H94=0,0,((H94/B18)^2))</f>
        <v>0</v>
      </c>
    </row>
    <row r="95" spans="7:11">
      <c r="G95" s="95" t="s">
        <v>250</v>
      </c>
      <c r="H95">
        <f ca="1">COUNTIF(OFFSET(Transect1_raw!A2,0,0,D9-B9+1,1),"GLXU")</f>
        <v>0</v>
      </c>
      <c r="I95" s="32">
        <f ca="1">(H95/H126)*100</f>
        <v>0</v>
      </c>
      <c r="J95" s="32">
        <f ca="1">IF(H95=0,0,-1*((H95/B18)*(LN(H95/B18))))</f>
        <v>0</v>
      </c>
      <c r="K95" s="100">
        <f ca="1">IF(H95=0,0,((H95/B18)^2))</f>
        <v>0</v>
      </c>
    </row>
    <row r="96" spans="7:11">
      <c r="G96" s="95" t="s">
        <v>252</v>
      </c>
      <c r="H96">
        <f ca="1">COUNTIF(OFFSET(Transect1_raw!A2,0,0,D9-B9+1,1),"HALI")</f>
        <v>0</v>
      </c>
      <c r="I96" s="32">
        <f ca="1">(H96/H126)*100</f>
        <v>0</v>
      </c>
      <c r="J96" s="32">
        <f ca="1">IF(H96=0,0,-1*((H96/B18)*(LN(H96/B18))))</f>
        <v>0</v>
      </c>
      <c r="K96" s="100">
        <f ca="1">IF(H96=0,0,((H96/B18)^2))</f>
        <v>0</v>
      </c>
    </row>
    <row r="97" spans="7:11">
      <c r="G97" s="95" t="s">
        <v>254</v>
      </c>
      <c r="H97">
        <f ca="1">COUNTIF(OFFSET(Transect1_raw!A2,0,0,D9-B9+1,1),"LIAG")</f>
        <v>0</v>
      </c>
      <c r="I97" s="32">
        <f ca="1">(H97/H126)*100</f>
        <v>0</v>
      </c>
      <c r="J97" s="32">
        <f ca="1">IF(H97=0,0,-1*((H97/B18)*(LN(H97/B18))))</f>
        <v>0</v>
      </c>
      <c r="K97" s="100">
        <f ca="1">IF(H97=0,0,((H97/B18)^2))</f>
        <v>0</v>
      </c>
    </row>
    <row r="98" spans="7:11">
      <c r="G98" s="95" t="s">
        <v>256</v>
      </c>
      <c r="H98">
        <f ca="1">COUNTIF(OFFSET(Transect1_raw!A2,0,0,D9-B9+1,1),"LOBO")</f>
        <v>0</v>
      </c>
      <c r="I98" s="32">
        <f ca="1">(H98/H126)*100</f>
        <v>0</v>
      </c>
      <c r="J98" s="32">
        <f ca="1">IF(H98=0,0,-1*((H98/B18)*(LN(H98/B18))))</f>
        <v>0</v>
      </c>
      <c r="K98" s="100">
        <f ca="1">IF(H98=0,0,((H98/B18)^2))</f>
        <v>0</v>
      </c>
    </row>
    <row r="99" spans="7:11">
      <c r="G99" s="95" t="s">
        <v>258</v>
      </c>
      <c r="H99">
        <f ca="1">COUNTIF(OFFSET(Transect1_raw!A2,0,0,D9-B9+1,1),"MAST")</f>
        <v>0</v>
      </c>
      <c r="I99" s="32">
        <f ca="1">(H99/H126)*100</f>
        <v>0</v>
      </c>
      <c r="J99" s="32">
        <f ca="1">IF(H99=0,0,-1*((H99/B18)*(LN(H99/B18))))</f>
        <v>0</v>
      </c>
      <c r="K99" s="100">
        <f ca="1">IF(H99=0,0,((H99/B18)^2))</f>
        <v>0</v>
      </c>
    </row>
    <row r="100" spans="7:11">
      <c r="G100" s="95" t="s">
        <v>260</v>
      </c>
      <c r="H100">
        <f ca="1">COUNTIF(OFFSET(Transect1_raw!A2,0,0,D9-B9+1,1),"MICDTY")</f>
        <v>0</v>
      </c>
      <c r="I100" s="32">
        <f ca="1">(H100/H126)*100</f>
        <v>0</v>
      </c>
      <c r="J100" s="32">
        <f ca="1">IF(H100=0,0,-1*((H100/B18)*(LN(H100/B18))))</f>
        <v>0</v>
      </c>
      <c r="K100" s="100">
        <f ca="1">IF(H100=0,0,((H100/B18)^2))</f>
        <v>0</v>
      </c>
    </row>
    <row r="101" spans="7:11">
      <c r="G101" s="95" t="s">
        <v>262</v>
      </c>
      <c r="H101">
        <f ca="1">COUNTIF(OFFSET(Transect1_raw!A2,0,0,D9-B9+1,1),"NEOM")</f>
        <v>0</v>
      </c>
      <c r="I101" s="32">
        <f ca="1">(H101/H126)*100</f>
        <v>0</v>
      </c>
      <c r="J101" s="32">
        <f ca="1">IF(H101=0,0,-1*((H101/B18)*(LN(H101/B18))))</f>
        <v>0</v>
      </c>
      <c r="K101" s="100">
        <f ca="1">IF(H101=0,0,((H101/B18)^2))</f>
        <v>0</v>
      </c>
    </row>
    <row r="102" spans="7:11">
      <c r="G102" s="95" t="s">
        <v>264</v>
      </c>
      <c r="H102">
        <f ca="1">COUNTIF(OFFSET(Transect1_raw!A2,0,0,D9-B9+1,1),"NOIDMAC")</f>
        <v>0</v>
      </c>
      <c r="I102" s="32">
        <f ca="1">(H102/H126)*100</f>
        <v>0</v>
      </c>
      <c r="J102" s="32">
        <f ca="1">IF(H102=0,0,-1*((H102/B18)*(LN(H102/B18))))</f>
        <v>0</v>
      </c>
      <c r="K102" s="100">
        <f ca="1">IF(H102=0,0,((H102/B18)^2))</f>
        <v>0</v>
      </c>
    </row>
    <row r="103" spans="7:11">
      <c r="G103" s="95" t="s">
        <v>266</v>
      </c>
      <c r="H103">
        <f ca="1">COUNTIF(OFFSET(Transect1_raw!A2,0,0,D9-B9+1,1),"PAD")</f>
        <v>0</v>
      </c>
      <c r="I103" s="32">
        <f ca="1">(H103/H126)*100</f>
        <v>0</v>
      </c>
      <c r="J103" s="32">
        <f ca="1">IF(H103=0,0,-1*((H103/B18)*(LN(H103/B18))))</f>
        <v>0</v>
      </c>
      <c r="K103" s="100">
        <f ca="1">IF(H103=0,0,((H103/B18)^2))</f>
        <v>0</v>
      </c>
    </row>
    <row r="104" spans="7:11">
      <c r="G104" s="95" t="s">
        <v>268</v>
      </c>
      <c r="H104">
        <f ca="1">COUNTIF(OFFSET(Transect1_raw!A2,0,0,D9-B9+1,1),"SARG")</f>
        <v>0</v>
      </c>
      <c r="I104" s="32">
        <f ca="1">(H104/H126)*100</f>
        <v>0</v>
      </c>
      <c r="J104" s="32">
        <f ca="1">IF(H104=0,0,-1*((H104/B18)*(LN(H104/B18))))</f>
        <v>0</v>
      </c>
      <c r="K104" s="100">
        <f ca="1">IF(H104=0,0,((H104/B18)^2))</f>
        <v>0</v>
      </c>
    </row>
    <row r="105" spans="7:11">
      <c r="G105" s="95" t="s">
        <v>270</v>
      </c>
      <c r="H105">
        <f ca="1">COUNTIF(OFFSET(Transect1_raw!A2,0,0,D9-B9+1,1),"SCHIZ")</f>
        <v>0</v>
      </c>
      <c r="I105" s="32">
        <f ca="1">(H105/H126)*100</f>
        <v>0</v>
      </c>
      <c r="J105" s="32">
        <f ca="1">IF(H105=0,0,-1*((H105/B18)*(LN(H105/B18))))</f>
        <v>0</v>
      </c>
      <c r="K105" s="100">
        <f ca="1">IF(H105=0,0,((H105/B18)^2))</f>
        <v>0</v>
      </c>
    </row>
    <row r="106" spans="7:11">
      <c r="G106" s="95" t="s">
        <v>272</v>
      </c>
      <c r="H106">
        <f ca="1">COUNTIF(OFFSET(Transect1_raw!A2,0,0,D9-B9+1,1),"TURB")</f>
        <v>0</v>
      </c>
      <c r="I106" s="32">
        <f ca="1">(H106/H126)*100</f>
        <v>0</v>
      </c>
      <c r="J106" s="32">
        <f ca="1">IF(H106=0,0,-1*((H106/B18)*(LN(H106/B18))))</f>
        <v>0</v>
      </c>
      <c r="K106" s="100">
        <f ca="1">IF(H106=0,0,((H106/B18)^2))</f>
        <v>0</v>
      </c>
    </row>
    <row r="107" spans="7:11">
      <c r="G107" s="95" t="s">
        <v>274</v>
      </c>
      <c r="H107">
        <f ca="1">COUNTIF(OFFSET(Transect1_raw!A2,0,0,D9-B9+1,1),"TYDM")</f>
        <v>0</v>
      </c>
      <c r="I107" s="32">
        <f ca="1">(H107/H126)*100</f>
        <v>0</v>
      </c>
      <c r="J107" s="32">
        <f ca="1">IF(H107=0,0,-1*((H107/B18)*(LN(H107/B18))))</f>
        <v>0</v>
      </c>
      <c r="K107" s="100">
        <f ca="1">IF(H107=0,0,((H107/B18)^2))</f>
        <v>0</v>
      </c>
    </row>
    <row r="108" spans="7:11">
      <c r="G108" s="96" t="s">
        <v>102</v>
      </c>
      <c r="K108" s="101"/>
    </row>
    <row r="109" spans="7:11">
      <c r="G109" s="95" t="s">
        <v>276</v>
      </c>
      <c r="H109">
        <f ca="1">COUNTIF(OFFSET(Transect1_raw!A2,0,0,D9-B9+1,1),"AMP")</f>
        <v>0</v>
      </c>
      <c r="I109" s="32">
        <f ca="1">(H109/H126)*100</f>
        <v>0</v>
      </c>
      <c r="J109" s="32">
        <f ca="1">IF(H109=0,0,-1*((H109/B19)*(LN(H109/B19))))</f>
        <v>0</v>
      </c>
      <c r="K109" s="100">
        <f ca="1">IF(H109=0,0,((H109/B19)^2))</f>
        <v>0</v>
      </c>
    </row>
    <row r="110" spans="7:11">
      <c r="G110" s="95" t="s">
        <v>278</v>
      </c>
      <c r="H110">
        <f ca="1">COUNTIF(OFFSET(Transect1_raw!A2,0,0,D9-B9+1,1),"BCA1")</f>
        <v>3</v>
      </c>
      <c r="I110" s="32">
        <f ca="1">(H110/H126)*100</f>
        <v>1.2048192771084338</v>
      </c>
      <c r="J110" s="32">
        <f ca="1">IF(H110=0,0,-1*((H110/B19)*(LN(H110/B19))))</f>
        <v>0</v>
      </c>
      <c r="K110" s="100">
        <f ca="1">IF(H110=0,0,((H110/B19)^2))</f>
        <v>1</v>
      </c>
    </row>
    <row r="111" spans="7:11">
      <c r="G111" s="95" t="s">
        <v>279</v>
      </c>
      <c r="H111">
        <f ca="1">COUNTIF(OFFSET(Transect1_raw!A2,0,0,D9-B9+1,1),"JAN")</f>
        <v>0</v>
      </c>
      <c r="I111" s="32">
        <f ca="1">(H111/H126)*100</f>
        <v>0</v>
      </c>
      <c r="J111" s="32">
        <f ca="1">IF(H111=0,0,-1*((H111/B19)*(LN(H111/B19))))</f>
        <v>0</v>
      </c>
      <c r="K111" s="100">
        <f ca="1">IF(H111=0,0,((H111/B19)^2))</f>
        <v>0</v>
      </c>
    </row>
    <row r="112" spans="7:11">
      <c r="G112" s="96" t="s">
        <v>103</v>
      </c>
      <c r="K112" s="101"/>
    </row>
    <row r="113" spans="7:11">
      <c r="G113" s="95" t="s">
        <v>281</v>
      </c>
      <c r="H113">
        <f ca="1">COUNTIF(OFFSET(Transect1_raw!A2,0,0,D9-B9+1,1),"CCA1")</f>
        <v>62</v>
      </c>
      <c r="I113" s="32">
        <f ca="1">(H113/H126)*100</f>
        <v>24.899598393574294</v>
      </c>
      <c r="J113" s="32">
        <f ca="1">IF(H113=0,0,-1*((H113/B20)*(LN(H113/B20))))</f>
        <v>0</v>
      </c>
      <c r="K113" s="100">
        <f ca="1">IF(H113=0,0,((H113/B20)^2))</f>
        <v>1</v>
      </c>
    </row>
    <row r="114" spans="7:11">
      <c r="G114" s="96" t="s">
        <v>104</v>
      </c>
      <c r="K114" s="101"/>
    </row>
    <row r="115" spans="7:11">
      <c r="G115" s="95" t="s">
        <v>282</v>
      </c>
      <c r="H115">
        <f ca="1">COUNTIF(OFFSET(Transect1_raw!A2,0,0,D9-B9+1,1),"Sand")</f>
        <v>0</v>
      </c>
      <c r="I115" s="32">
        <f ca="1">(H115/H126)*100</f>
        <v>0</v>
      </c>
      <c r="J115" s="32">
        <f ca="1">IF(H115=0,0,-1*((H115/B21)*(LN(H115/B21))))</f>
        <v>0</v>
      </c>
      <c r="K115" s="100">
        <f ca="1">IF(H115=0,0,((H115/B21)^2))</f>
        <v>0</v>
      </c>
    </row>
    <row r="116" spans="7:11">
      <c r="G116" s="96" t="s">
        <v>106</v>
      </c>
      <c r="K116" s="101"/>
    </row>
    <row r="117" spans="7:11">
      <c r="G117" s="95" t="s">
        <v>283</v>
      </c>
      <c r="H117">
        <f ca="1">COUNTIF(OFFSET(Transect1_raw!A2,0,0,D9-B9+1,1),"FCA1")</f>
        <v>19</v>
      </c>
      <c r="I117" s="32">
        <f ca="1">(H117/H126)*100</f>
        <v>7.6305220883534144</v>
      </c>
      <c r="J117" s="32">
        <f ca="1">IF(H117=0,0,-1*((H117/B22)*(LN(H117/B22))))</f>
        <v>0</v>
      </c>
      <c r="K117" s="100">
        <f ca="1">IF(H117=0,0,((H117/B22)^2))</f>
        <v>1</v>
      </c>
    </row>
    <row r="118" spans="7:11">
      <c r="G118" s="96" t="s">
        <v>107</v>
      </c>
      <c r="K118" s="101"/>
    </row>
    <row r="119" spans="7:11">
      <c r="G119" s="95" t="s">
        <v>284</v>
      </c>
      <c r="H119">
        <f ca="1">COUNTIF(OFFSET(Transect1_raw!A2,0,0,D9-B9+1,1),"CHRYOBRN")</f>
        <v>0</v>
      </c>
      <c r="I119" s="32">
        <f ca="1">(H119/H126)*100</f>
        <v>0</v>
      </c>
      <c r="J119" s="32">
        <f ca="1">IF(H119=0,0,-1*((H119/B23)*(LN(H119/B23))))</f>
        <v>0</v>
      </c>
      <c r="K119" s="100">
        <f ca="1">IF(H119=0,0,((H119/B23)^2))</f>
        <v>0</v>
      </c>
    </row>
    <row r="120" spans="7:11">
      <c r="G120" s="96" t="s">
        <v>109</v>
      </c>
      <c r="K120" s="101"/>
    </row>
    <row r="121" spans="7:11">
      <c r="G121" s="95" t="s">
        <v>286</v>
      </c>
      <c r="H121">
        <f ca="1">COUNTIF(OFFSET(Transect1_raw!A2,0,0,D9-B9+1,1),"TURF")</f>
        <v>61</v>
      </c>
      <c r="I121" s="32">
        <f ca="1">(H121/H126)*100</f>
        <v>24.497991967871485</v>
      </c>
      <c r="J121" s="32">
        <f ca="1">IF(H121=0,0,-1*((H121/B24)*(LN(H121/B24))))</f>
        <v>0</v>
      </c>
      <c r="K121" s="100">
        <f ca="1">IF(H121=0,0,((H121/B24)^2))</f>
        <v>1</v>
      </c>
    </row>
    <row r="122" spans="7:11">
      <c r="G122" s="96" t="s">
        <v>110</v>
      </c>
      <c r="K122" s="101"/>
    </row>
    <row r="123" spans="7:11">
      <c r="G123" s="95" t="s">
        <v>287</v>
      </c>
      <c r="H123">
        <f ca="1">COUNTIF(OFFSET(Transect1_raw!A2,0,0,D9-B9+1,1),"Shadow")</f>
        <v>1</v>
      </c>
      <c r="I123" s="32">
        <f ca="1">(H123/SUM(H15:H125))*100</f>
        <v>0.4</v>
      </c>
      <c r="J123" s="32"/>
      <c r="K123" s="100">
        <f ca="1">IF(H123=0,0,((H123/B25)^2))</f>
        <v>1</v>
      </c>
    </row>
    <row r="124" spans="7:11">
      <c r="G124" s="95" t="s">
        <v>289</v>
      </c>
      <c r="H124">
        <f ca="1">COUNTIF(OFFSET(Transect1_raw!A2,0,0,D9-B9+1,1),"Tape")</f>
        <v>0</v>
      </c>
      <c r="I124" s="32">
        <f ca="1">(H124/SUM(H15:H125))*100</f>
        <v>0</v>
      </c>
      <c r="J124" s="32"/>
      <c r="K124" s="100">
        <f ca="1">IF(H124=0,0,((H124/B25)^2))</f>
        <v>0</v>
      </c>
    </row>
    <row r="125" spans="7:11">
      <c r="G125" s="95" t="s">
        <v>291</v>
      </c>
      <c r="H125">
        <f ca="1">COUNTIF(OFFSET(Transect1_raw!A2,0,0,D9-B9+1,1),"Wand")</f>
        <v>0</v>
      </c>
      <c r="I125" s="32">
        <f ca="1">(H125/SUM(H15:H125))*100</f>
        <v>0</v>
      </c>
      <c r="J125" s="32"/>
      <c r="K125" s="100">
        <f ca="1">IF(H125=0,0,((H125/B25)^2))</f>
        <v>0</v>
      </c>
    </row>
    <row r="126" spans="7:11" ht="15" thickBot="1">
      <c r="G126" s="104" t="s">
        <v>318</v>
      </c>
      <c r="H126" s="42">
        <f ca="1">SUM(H16:H121)</f>
        <v>249</v>
      </c>
      <c r="I126" s="42">
        <f ca="1">SUM(I16:I121)</f>
        <v>100</v>
      </c>
      <c r="J126" s="41"/>
      <c r="K126" s="105"/>
    </row>
    <row r="127" spans="7:11" ht="15" thickTop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topLeftCell="A113" workbookViewId="0">
      <selection activeCell="E45" sqref="E45"/>
    </sheetView>
  </sheetViews>
  <sheetFormatPr baseColWidth="10" defaultColWidth="8.83203125" defaultRowHeight="14" x14ac:dyDescent="0"/>
  <cols>
    <col min="1" max="1" width="32" bestFit="1" customWidth="1"/>
    <col min="2" max="2" width="7.5" customWidth="1"/>
    <col min="3" max="3" width="7.33203125" customWidth="1"/>
    <col min="4" max="4" width="8.6640625" customWidth="1"/>
    <col min="5" max="5" width="12.5" bestFit="1" customWidth="1"/>
    <col min="7" max="7" width="33.83203125" bestFit="1" customWidth="1"/>
    <col min="8" max="8" width="7.5" customWidth="1"/>
    <col min="9" max="9" width="7.1640625" customWidth="1"/>
    <col min="10" max="10" width="8.6640625" customWidth="1"/>
    <col min="11" max="11" width="12.5" bestFit="1" customWidth="1"/>
    <col min="14" max="14" width="0" hidden="1" customWidth="1"/>
  </cols>
  <sheetData>
    <row r="1" spans="1:14">
      <c r="A1" t="s">
        <v>296</v>
      </c>
      <c r="N1">
        <v>9</v>
      </c>
    </row>
    <row r="2" spans="1:14">
      <c r="A2" t="s">
        <v>297</v>
      </c>
      <c r="C2" t="s">
        <v>298</v>
      </c>
      <c r="D2" t="s">
        <v>299</v>
      </c>
      <c r="N2">
        <v>10</v>
      </c>
    </row>
    <row r="3" spans="1:14">
      <c r="A3" t="s">
        <v>300</v>
      </c>
      <c r="N3">
        <v>0</v>
      </c>
    </row>
    <row r="4" spans="1:14">
      <c r="A4" t="s">
        <v>301</v>
      </c>
      <c r="N4">
        <v>0</v>
      </c>
    </row>
    <row r="5" spans="1:14">
      <c r="A5" t="s">
        <v>302</v>
      </c>
      <c r="N5">
        <v>0</v>
      </c>
    </row>
    <row r="6" spans="1:14">
      <c r="A6" t="s">
        <v>303</v>
      </c>
      <c r="N6">
        <v>126</v>
      </c>
    </row>
    <row r="7" spans="1:14">
      <c r="A7" t="s">
        <v>304</v>
      </c>
      <c r="B7">
        <v>5</v>
      </c>
      <c r="D7" s="30" t="s">
        <v>305</v>
      </c>
      <c r="N7">
        <v>16</v>
      </c>
    </row>
    <row r="8" spans="1:14">
      <c r="A8" t="s">
        <v>306</v>
      </c>
      <c r="B8">
        <v>50</v>
      </c>
      <c r="N8">
        <v>25</v>
      </c>
    </row>
    <row r="9" spans="1:14">
      <c r="A9" t="s">
        <v>307</v>
      </c>
      <c r="B9">
        <v>2</v>
      </c>
      <c r="C9" t="s">
        <v>308</v>
      </c>
      <c r="D9">
        <v>251</v>
      </c>
      <c r="N9">
        <v>31</v>
      </c>
    </row>
    <row r="10" spans="1:14">
      <c r="A10" s="31" t="s">
        <v>309</v>
      </c>
      <c r="B10" s="31">
        <f ca="1">COUNTA(OFFSET('Transect 2_raw'!A2,0,0,D9-B9+1,1))</f>
        <v>250</v>
      </c>
      <c r="N10">
        <v>31</v>
      </c>
    </row>
    <row r="11" spans="1:14">
      <c r="A11" t="s">
        <v>310</v>
      </c>
      <c r="N11">
        <v>31</v>
      </c>
    </row>
    <row r="12" spans="1:14">
      <c r="A12" t="s">
        <v>311</v>
      </c>
      <c r="N12">
        <v>29</v>
      </c>
    </row>
    <row r="13" spans="1:14">
      <c r="A13" t="s">
        <v>312</v>
      </c>
      <c r="N13">
        <v>29</v>
      </c>
    </row>
    <row r="14" spans="1:14" ht="15" thickBot="1">
      <c r="N14">
        <v>8</v>
      </c>
    </row>
    <row r="15" spans="1:14" ht="15" thickTop="1">
      <c r="A15" s="63" t="s">
        <v>350</v>
      </c>
      <c r="B15" s="33" t="s">
        <v>314</v>
      </c>
      <c r="C15" s="33" t="s">
        <v>315</v>
      </c>
      <c r="D15" s="33" t="s">
        <v>316</v>
      </c>
      <c r="E15" s="68" t="s">
        <v>317</v>
      </c>
      <c r="G15" s="63" t="s">
        <v>313</v>
      </c>
      <c r="H15" s="33" t="s">
        <v>314</v>
      </c>
      <c r="I15" s="33" t="s">
        <v>315</v>
      </c>
      <c r="J15" s="33" t="s">
        <v>316</v>
      </c>
      <c r="K15" s="68" t="s">
        <v>317</v>
      </c>
      <c r="N15">
        <v>16</v>
      </c>
    </row>
    <row r="16" spans="1:14">
      <c r="A16" s="64" t="s">
        <v>351</v>
      </c>
      <c r="B16" s="35">
        <f ca="1">COUNTIF(OFFSET('Transect 2_raw'!C2,0,0,D9-B9+1,1), "C")</f>
        <v>153</v>
      </c>
      <c r="C16" s="36">
        <f ca="1">(B16/H126)*100</f>
        <v>61.199999999999996</v>
      </c>
      <c r="D16" s="36">
        <f ca="1">SUM(J17:J72)</f>
        <v>2.2339884628328486</v>
      </c>
      <c r="E16" s="69">
        <f ca="1">1-SUM(K17:K72)</f>
        <v>0.8310478875646119</v>
      </c>
      <c r="G16" s="66" t="s">
        <v>97</v>
      </c>
      <c r="K16" s="71"/>
      <c r="N16">
        <v>126</v>
      </c>
    </row>
    <row r="17" spans="1:14">
      <c r="A17" s="65" t="s">
        <v>352</v>
      </c>
      <c r="B17">
        <f ca="1">COUNTIF(OFFSET('Transect 2_raw'!C2,0,0,D9-B9+1,1), "OI")</f>
        <v>0</v>
      </c>
      <c r="C17" s="32">
        <f ca="1">(B17/H126)*100</f>
        <v>0</v>
      </c>
      <c r="D17" s="32">
        <f ca="1">SUM(J74:J85)</f>
        <v>0</v>
      </c>
      <c r="E17" s="70">
        <f ca="1">1-SUM(K74:K85)</f>
        <v>1</v>
      </c>
      <c r="G17" s="65" t="s">
        <v>113</v>
      </c>
      <c r="H17">
        <f ca="1">COUNTIF(OFFSET('Transect 2_raw'!A2,0,0,D9-B9+1,1),"ACAN")</f>
        <v>0</v>
      </c>
      <c r="I17" s="32">
        <f ca="1">(H17/H126)*100</f>
        <v>0</v>
      </c>
      <c r="J17" s="32">
        <f ca="1">IF(H17=0,0,-1*((H17/B16)*(LN(H17/B16))))</f>
        <v>0</v>
      </c>
      <c r="K17" s="70">
        <f ca="1">IF(H17=0,0,((H17/B16)^2))</f>
        <v>0</v>
      </c>
      <c r="N17">
        <v>7</v>
      </c>
    </row>
    <row r="18" spans="1:14">
      <c r="A18" s="64" t="s">
        <v>353</v>
      </c>
      <c r="B18" s="35">
        <f ca="1">COUNTIF(OFFSET('Transect 2_raw'!C2,0,0,D9-B9+1,1), "MA")</f>
        <v>0</v>
      </c>
      <c r="C18" s="36">
        <f ca="1">(B18/H126)*100</f>
        <v>0</v>
      </c>
      <c r="D18" s="36">
        <f ca="1">SUM(J87:J107)</f>
        <v>0</v>
      </c>
      <c r="E18" s="69">
        <f ca="1">1-SUM(K87:K107)</f>
        <v>1</v>
      </c>
      <c r="G18" s="65" t="s">
        <v>115</v>
      </c>
      <c r="H18">
        <f ca="1">COUNTIF(OFFSET('Transect 2_raw'!A2,0,0,D9-B9+1,1),"ACROP")</f>
        <v>3</v>
      </c>
      <c r="I18" s="32">
        <f ca="1">(H18/H126)*100</f>
        <v>1.2</v>
      </c>
      <c r="J18" s="32">
        <f ca="1">IF(H18=0,0,-1*((H18/B16)*(LN(H18/B16))))</f>
        <v>7.7094620249496579E-2</v>
      </c>
      <c r="K18" s="70">
        <f ca="1">IF(H18=0,0,((H18/B16)^2))</f>
        <v>3.8446751249519417E-4</v>
      </c>
    </row>
    <row r="19" spans="1:14">
      <c r="A19" s="65" t="s">
        <v>354</v>
      </c>
      <c r="B19">
        <f ca="1">COUNTIF(OFFSET('Transect 2_raw'!C2,0,0,D9-B9+1,1), "BCA")</f>
        <v>2</v>
      </c>
      <c r="C19" s="32">
        <f ca="1">(B19/H126)*100</f>
        <v>0.8</v>
      </c>
      <c r="D19" s="32">
        <f ca="1">SUM(J109:J111)</f>
        <v>0</v>
      </c>
      <c r="E19" s="70">
        <f ca="1">1-SUM(K109:K111)</f>
        <v>0</v>
      </c>
      <c r="G19" s="65" t="s">
        <v>116</v>
      </c>
      <c r="H19">
        <f ca="1">COUNTIF(OFFSET('Transect 2_raw'!A2,0,0,D9-B9+1,1),"ACROPARB")</f>
        <v>0</v>
      </c>
      <c r="I19" s="32">
        <f ca="1">(H19/H126)*100</f>
        <v>0</v>
      </c>
      <c r="J19" s="32">
        <f ca="1">IF(H19=0,0,-1*((H19/B16)*(LN(H19/B16))))</f>
        <v>0</v>
      </c>
      <c r="K19" s="70">
        <f ca="1">IF(H19=0,0,((H19/B16)^2))</f>
        <v>0</v>
      </c>
    </row>
    <row r="20" spans="1:14">
      <c r="A20" s="64" t="s">
        <v>355</v>
      </c>
      <c r="B20" s="35">
        <f ca="1">COUNTIF(OFFSET('Transect 2_raw'!C2,0,0,D9-B9+1,1), "CCA")</f>
        <v>60</v>
      </c>
      <c r="C20" s="36">
        <f ca="1">(B20/H126)*100</f>
        <v>24</v>
      </c>
      <c r="D20" s="36">
        <f ca="1">SUM(J113:J113)</f>
        <v>0</v>
      </c>
      <c r="E20" s="69">
        <f ca="1">1-SUM(K113:K113)</f>
        <v>0</v>
      </c>
      <c r="G20" s="65" t="s">
        <v>118</v>
      </c>
      <c r="H20">
        <f ca="1">COUNTIF(OFFSET('Transect 2_raw'!A2,0,0,D9-B9+1,1),"ACROST")</f>
        <v>0</v>
      </c>
      <c r="I20" s="32">
        <f ca="1">(H20/H126)*100</f>
        <v>0</v>
      </c>
      <c r="J20" s="32">
        <f ca="1">IF(H20=0,0,-1*((H20/B16)*(LN(H20/B16))))</f>
        <v>0</v>
      </c>
      <c r="K20" s="70">
        <f ca="1">IF(H20=0,0,((H20/B16)^2))</f>
        <v>0</v>
      </c>
    </row>
    <row r="21" spans="1:14">
      <c r="A21" s="65" t="s">
        <v>356</v>
      </c>
      <c r="B21">
        <f ca="1">COUNTIF(OFFSET('Transect 2_raw'!C2,0,0,D9-B9+1,1), "SD")</f>
        <v>0</v>
      </c>
      <c r="C21" s="32">
        <f ca="1">(B21/H126)*100</f>
        <v>0</v>
      </c>
      <c r="D21" s="32">
        <f ca="1">SUM(J115:J115)</f>
        <v>0</v>
      </c>
      <c r="E21" s="70">
        <f ca="1">1-SUM(K115:K115)</f>
        <v>1</v>
      </c>
      <c r="G21" s="65" t="s">
        <v>120</v>
      </c>
      <c r="H21">
        <f ca="1">COUNTIF(OFFSET('Transect 2_raw'!A2,0,0,D9-B9+1,1),"ACROTBL")</f>
        <v>50</v>
      </c>
      <c r="I21" s="32">
        <f ca="1">(H21/H126)*100</f>
        <v>20</v>
      </c>
      <c r="J21" s="32">
        <f ca="1">IF(H21=0,0,-1*((H21/B16)*(LN(H21/B16))))</f>
        <v>0.36549507057656516</v>
      </c>
      <c r="K21" s="70">
        <f ca="1">IF(H21=0,0,((H21/B16)^2))</f>
        <v>0.10679653124866505</v>
      </c>
    </row>
    <row r="22" spans="1:14">
      <c r="A22" s="64" t="s">
        <v>357</v>
      </c>
      <c r="B22" s="35">
        <f ca="1">COUNTIF(OFFSET('Transect 2_raw'!C2,0,0,D9-B9+1,1), "FCA")</f>
        <v>13</v>
      </c>
      <c r="C22" s="36">
        <f ca="1">(B22/H126)*100</f>
        <v>5.2</v>
      </c>
      <c r="D22" s="36">
        <f ca="1">SUM(J117:J117)</f>
        <v>0</v>
      </c>
      <c r="E22" s="69">
        <f ca="1">1-SUM(K117:K117)</f>
        <v>0</v>
      </c>
      <c r="G22" s="65" t="s">
        <v>121</v>
      </c>
      <c r="H22">
        <f ca="1">COUNTIF(OFFSET('Transect 2_raw'!A2,0,0,D9-B9+1,1),"ASTRP")</f>
        <v>1</v>
      </c>
      <c r="I22" s="32">
        <f ca="1">(H22/H126)*100</f>
        <v>0.4</v>
      </c>
      <c r="J22" s="32">
        <f ca="1">IF(H22=0,0,-1*((H22/B16)*(LN(H22/B16))))</f>
        <v>3.2878679224787162E-2</v>
      </c>
      <c r="K22" s="70">
        <f ca="1">IF(H22=0,0,((H22/B16)^2))</f>
        <v>4.2718612499466022E-5</v>
      </c>
    </row>
    <row r="23" spans="1:14">
      <c r="A23" s="65" t="s">
        <v>358</v>
      </c>
      <c r="B23">
        <f ca="1">COUNTIF(OFFSET('Transect 2_raw'!C2,0,0,D9-B9+1,1), "CHRYS")</f>
        <v>0</v>
      </c>
      <c r="C23" s="32">
        <f ca="1">(B23/H126)*100</f>
        <v>0</v>
      </c>
      <c r="D23" s="32">
        <f ca="1">SUM(J119:J119)</f>
        <v>0</v>
      </c>
      <c r="E23" s="70">
        <f ca="1">1-SUM(K119:K119)</f>
        <v>1</v>
      </c>
      <c r="G23" s="65" t="s">
        <v>123</v>
      </c>
      <c r="H23">
        <f ca="1">COUNTIF(OFFSET('Transect 2_raw'!A2,0,0,D9-B9+1,1),"CAUL")</f>
        <v>0</v>
      </c>
      <c r="I23" s="32">
        <f ca="1">(H23/H126)*100</f>
        <v>0</v>
      </c>
      <c r="J23" s="32">
        <f ca="1">IF(H23=0,0,-1*((H23/B16)*(LN(H23/B16))))</f>
        <v>0</v>
      </c>
      <c r="K23" s="70">
        <f ca="1">IF(H23=0,0,((H23/B16)^2))</f>
        <v>0</v>
      </c>
    </row>
    <row r="24" spans="1:14">
      <c r="A24" s="64" t="s">
        <v>359</v>
      </c>
      <c r="B24" s="35">
        <f ca="1">COUNTIF(OFFSET('Transect 2_raw'!C2,0,0,D9-B9+1,1), "T")</f>
        <v>22</v>
      </c>
      <c r="C24" s="36">
        <f ca="1">(B24/H126)*100</f>
        <v>8.7999999999999989</v>
      </c>
      <c r="D24" s="36">
        <f ca="1">SUM(J121:J121)</f>
        <v>0</v>
      </c>
      <c r="E24" s="69">
        <f ca="1">1-SUM(K121:K121)</f>
        <v>0</v>
      </c>
      <c r="G24" s="65" t="s">
        <v>125</v>
      </c>
      <c r="H24">
        <f ca="1">COUNTIF(OFFSET('Transect 2_raw'!A2,0,0,D9-B9+1,1),"COSC")</f>
        <v>0</v>
      </c>
      <c r="I24" s="32">
        <f ca="1">(H24/H126)*100</f>
        <v>0</v>
      </c>
      <c r="J24" s="32">
        <f ca="1">IF(H24=0,0,-1*((H24/B16)*(LN(H24/B16))))</f>
        <v>0</v>
      </c>
      <c r="K24" s="70">
        <f ca="1">IF(H24=0,0,((H24/B16)^2))</f>
        <v>0</v>
      </c>
    </row>
    <row r="25" spans="1:14">
      <c r="A25" s="65" t="s">
        <v>360</v>
      </c>
      <c r="B25">
        <f ca="1">COUNTIF(OFFSET('Transect 2_raw'!C2,0,0,D9-B9+1,1), "TWS")</f>
        <v>0</v>
      </c>
      <c r="C25" s="32">
        <f ca="1">(B25/B26)*100</f>
        <v>0</v>
      </c>
      <c r="E25" s="71"/>
      <c r="G25" s="65" t="s">
        <v>127</v>
      </c>
      <c r="H25">
        <f ca="1">COUNTIF(OFFSET('Transect 2_raw'!A2,0,0,D9-B9+1,1),"CTEN")</f>
        <v>0</v>
      </c>
      <c r="I25" s="32">
        <f ca="1">(H25/H126)*100</f>
        <v>0</v>
      </c>
      <c r="J25" s="32">
        <f ca="1">IF(H25=0,0,-1*((H25/B16)*(LN(H25/B16))))</f>
        <v>0</v>
      </c>
      <c r="K25" s="70">
        <f ca="1">IF(H25=0,0,((H25/B16)^2))</f>
        <v>0</v>
      </c>
    </row>
    <row r="26" spans="1:14">
      <c r="A26" s="66" t="s">
        <v>361</v>
      </c>
      <c r="B26" s="31">
        <f ca="1">SUM(B16:B25)</f>
        <v>250</v>
      </c>
      <c r="C26" s="37">
        <f ca="1">SUM(C16:C25)-C25</f>
        <v>100</v>
      </c>
      <c r="E26" s="71"/>
      <c r="G26" s="65" t="s">
        <v>129</v>
      </c>
      <c r="H26">
        <f ca="1">COUNTIF(OFFSET('Transect 2_raw'!A2,0,0,D9-B9+1,1),"CYPH")</f>
        <v>0</v>
      </c>
      <c r="I26" s="32">
        <f ca="1">(H26/H126)*100</f>
        <v>0</v>
      </c>
      <c r="J26" s="32">
        <f ca="1">IF(H26=0,0,-1*((H26/B16)*(LN(H26/B16))))</f>
        <v>0</v>
      </c>
      <c r="K26" s="70">
        <f ca="1">IF(H26=0,0,((H26/B16)^2))</f>
        <v>0</v>
      </c>
    </row>
    <row r="27" spans="1:14">
      <c r="A27" s="65"/>
      <c r="E27" s="71"/>
      <c r="G27" s="65" t="s">
        <v>130</v>
      </c>
      <c r="H27">
        <f ca="1">COUNTIF(OFFSET('Transect 2_raw'!A2,0,0,D9-B9+1,1),"DIPLO")</f>
        <v>0</v>
      </c>
      <c r="I27" s="32">
        <f ca="1">(H27/H126)*100</f>
        <v>0</v>
      </c>
      <c r="J27" s="32">
        <f ca="1">IF(H27=0,0,-1*((H27/B16)*(LN(H27/B16))))</f>
        <v>0</v>
      </c>
      <c r="K27" s="70">
        <f ca="1">IF(H27=0,0,((H27/B16)^2))</f>
        <v>0</v>
      </c>
    </row>
    <row r="28" spans="1:14">
      <c r="A28" s="66" t="s">
        <v>362</v>
      </c>
      <c r="E28" s="71"/>
      <c r="G28" s="65" t="s">
        <v>132</v>
      </c>
      <c r="H28">
        <f ca="1">COUNTIF(OFFSET('Transect 2_raw'!A2,0,0,D9-B9+1,1),"ECHPO")</f>
        <v>25</v>
      </c>
      <c r="I28" s="32">
        <f ca="1">(H28/H126)*100</f>
        <v>10</v>
      </c>
      <c r="J28" s="32">
        <f ca="1">IF(H28=0,0,-1*((H28/B16)*(LN(H28/B16))))</f>
        <v>0.29600687851703184</v>
      </c>
      <c r="K28" s="70">
        <f ca="1">IF(H28=0,0,((H28/B16)^2))</f>
        <v>2.6699132812166262E-2</v>
      </c>
    </row>
    <row r="29" spans="1:14">
      <c r="A29" s="64" t="s">
        <v>363</v>
      </c>
      <c r="B29" s="35">
        <f t="array" aca="1" ref="B29" ca="1">SUM((OFFSET('Transect 2_raw'!B2,0,0,D9-B9+1,1)="BC") * (OFFSET('Transect 2_raw'!C2,0,0,D9-B9+1,1)&lt;&gt;"TWS"))</f>
        <v>0</v>
      </c>
      <c r="C29" s="36">
        <f ca="1">(B29/H126)*100</f>
        <v>0</v>
      </c>
      <c r="D29" s="35"/>
      <c r="E29" s="72"/>
      <c r="G29" s="65" t="s">
        <v>133</v>
      </c>
      <c r="H29">
        <f ca="1">COUNTIF(OFFSET('Transect 2_raw'!A2,0,0,D9-B9+1,1),"ECHPHY")</f>
        <v>0</v>
      </c>
      <c r="I29" s="32">
        <f ca="1">(H29/H126)*100</f>
        <v>0</v>
      </c>
      <c r="J29" s="32">
        <f ca="1">IF(H29=0,0,-1*((H29/B16)*(LN(H29/B16))))</f>
        <v>0</v>
      </c>
      <c r="K29" s="70">
        <f ca="1">IF(H29=0,0,((H29/B16)^2))</f>
        <v>0</v>
      </c>
    </row>
    <row r="30" spans="1:14">
      <c r="A30" s="66" t="s">
        <v>364</v>
      </c>
      <c r="E30" s="71"/>
      <c r="G30" s="65" t="s">
        <v>135</v>
      </c>
      <c r="H30">
        <f ca="1">COUNTIF(OFFSET('Transect 2_raw'!A2,0,0,D9-B9+1,1),"EUPH")</f>
        <v>0</v>
      </c>
      <c r="I30" s="32">
        <f ca="1">(H30/H126)*100</f>
        <v>0</v>
      </c>
      <c r="J30" s="32">
        <f ca="1">IF(H30=0,0,-1*((H30/B16)*(LN(H30/B16))))</f>
        <v>0</v>
      </c>
      <c r="K30" s="70">
        <f ca="1">IF(H30=0,0,((H30/B16)^2))</f>
        <v>0</v>
      </c>
    </row>
    <row r="31" spans="1:14" ht="15" thickBot="1">
      <c r="A31" s="67" t="s">
        <v>363</v>
      </c>
      <c r="B31" s="39">
        <f ca="1">SUMPRODUCT( (OFFSET('Transect 2_raw'!B2,0,0,D9-B9+1,1)="BC")*( OFFSET('Transect 2_raw'!C2,0,0,D9-B9+1,1)="C"))</f>
        <v>0</v>
      </c>
      <c r="C31" s="40">
        <f ca="1">IF(B16=0,0,(B31/B16)*100)</f>
        <v>0</v>
      </c>
      <c r="D31" s="39"/>
      <c r="E31" s="73"/>
      <c r="G31" s="65" t="s">
        <v>137</v>
      </c>
      <c r="H31">
        <f ca="1">COUNTIF(OFFSET('Transect 2_raw'!A2,0,0,D9-B9+1,1),"FAV")</f>
        <v>4</v>
      </c>
      <c r="I31" s="32">
        <f ca="1">(H31/H126)*100</f>
        <v>1.6</v>
      </c>
      <c r="J31" s="32">
        <f ca="1">IF(H31=0,0,-1*((H31/B16)*(LN(H31/B16))))</f>
        <v>9.5271727065948886E-2</v>
      </c>
      <c r="K31" s="70">
        <f ca="1">IF(H31=0,0,((H31/B16)^2))</f>
        <v>6.8349779999145636E-4</v>
      </c>
    </row>
    <row r="32" spans="1:14" ht="15" thickTop="1">
      <c r="G32" s="65" t="s">
        <v>138</v>
      </c>
      <c r="H32">
        <f ca="1">COUNTIF(OFFSET('Transect 2_raw'!A2,0,0,D9-B9+1,1),"FAVT")</f>
        <v>2</v>
      </c>
      <c r="I32" s="32">
        <f ca="1">(H32/H126)*100</f>
        <v>0.8</v>
      </c>
      <c r="J32" s="32">
        <f ca="1">IF(H32=0,0,-1*((H32/B16)*(LN(H32/B16))))</f>
        <v>5.6696610991274377E-2</v>
      </c>
      <c r="K32" s="70">
        <f ca="1">IF(H32=0,0,((H32/B16)^2))</f>
        <v>1.7087444999786409E-4</v>
      </c>
    </row>
    <row r="33" spans="7:11">
      <c r="G33" s="65" t="s">
        <v>140</v>
      </c>
      <c r="H33">
        <f ca="1">COUNTIF(OFFSET('Transect 2_raw'!A2,0,0,D9-B9+1,1),"FUNG")</f>
        <v>0</v>
      </c>
      <c r="I33" s="32">
        <f ca="1">(H33/H126)*100</f>
        <v>0</v>
      </c>
      <c r="J33" s="32">
        <f ca="1">IF(H33=0,0,-1*((H33/B16)*(LN(H33/B16))))</f>
        <v>0</v>
      </c>
      <c r="K33" s="70">
        <f ca="1">IF(H33=0,0,((H33/B16)^2))</f>
        <v>0</v>
      </c>
    </row>
    <row r="34" spans="7:11">
      <c r="G34" s="65" t="s">
        <v>142</v>
      </c>
      <c r="H34">
        <f ca="1">COUNTIF(OFFSET('Transect 2_raw'!A2,0,0,D9-B9+1,1),"GAL")</f>
        <v>4</v>
      </c>
      <c r="I34" s="32">
        <f ca="1">(H34/H126)*100</f>
        <v>1.6</v>
      </c>
      <c r="J34" s="32">
        <f ca="1">IF(H34=0,0,-1*((H34/B16)*(LN(H34/B16))))</f>
        <v>9.5271727065948886E-2</v>
      </c>
      <c r="K34" s="70">
        <f ca="1">IF(H34=0,0,((H34/B16)^2))</f>
        <v>6.8349779999145636E-4</v>
      </c>
    </row>
    <row r="35" spans="7:11">
      <c r="G35" s="65" t="s">
        <v>143</v>
      </c>
      <c r="H35">
        <f ca="1">COUNTIF(OFFSET('Transect 2_raw'!A2,0,0,D9-B9+1,1),"GARD")</f>
        <v>0</v>
      </c>
      <c r="I35" s="32">
        <f ca="1">(H35/H126)*100</f>
        <v>0</v>
      </c>
      <c r="J35" s="32">
        <f ca="1">IF(H35=0,0,-1*((H35/B16)*(LN(H35/B16))))</f>
        <v>0</v>
      </c>
      <c r="K35" s="70">
        <f ca="1">IF(H35=0,0,((H35/B16)^2))</f>
        <v>0</v>
      </c>
    </row>
    <row r="36" spans="7:11">
      <c r="G36" s="65" t="s">
        <v>145</v>
      </c>
      <c r="H36">
        <f ca="1">COUNTIF(OFFSET('Transect 2_raw'!A2,0,0,D9-B9+1,1),"GON")</f>
        <v>7</v>
      </c>
      <c r="I36" s="32">
        <f ca="1">(H36/H126)*100</f>
        <v>2.8000000000000003</v>
      </c>
      <c r="J36" s="32">
        <f ca="1">IF(H36=0,0,-1*((H36/B16)*(LN(H36/B16))))</f>
        <v>0.14112218566248272</v>
      </c>
      <c r="K36" s="70">
        <f ca="1">IF(H36=0,0,((H36/B16)^2))</f>
        <v>2.0932120124738346E-3</v>
      </c>
    </row>
    <row r="37" spans="7:11">
      <c r="G37" s="65" t="s">
        <v>146</v>
      </c>
      <c r="H37">
        <f ca="1">COUNTIF(OFFSET('Transect 2_raw'!A2,0,0,D9-B9+1,1),"GONIO")</f>
        <v>0</v>
      </c>
      <c r="I37" s="32">
        <f ca="1">(H37/H126)*100</f>
        <v>0</v>
      </c>
      <c r="J37" s="32">
        <f ca="1">IF(H37=0,0,-1*((H37/B16)*(LN(H37/B16))))</f>
        <v>0</v>
      </c>
      <c r="K37" s="70">
        <f ca="1">IF(H37=0,0,((H37/B16)^2))</f>
        <v>0</v>
      </c>
    </row>
    <row r="38" spans="7:11">
      <c r="G38" s="65" t="s">
        <v>148</v>
      </c>
      <c r="H38">
        <f ca="1">COUNTIF(OFFSET('Transect 2_raw'!A2,0,0,D9-B9+1,1),"HELIO")</f>
        <v>0</v>
      </c>
      <c r="I38" s="32">
        <f ca="1">(H38/H126)*100</f>
        <v>0</v>
      </c>
      <c r="J38" s="32">
        <f ca="1">IF(H38=0,0,-1*((H38/B16)*(LN(H38/B16))))</f>
        <v>0</v>
      </c>
      <c r="K38" s="70">
        <f ca="1">IF(H38=0,0,((H38/B16)^2))</f>
        <v>0</v>
      </c>
    </row>
    <row r="39" spans="7:11">
      <c r="G39" s="65" t="s">
        <v>150</v>
      </c>
      <c r="H39">
        <f ca="1">COUNTIF(OFFSET('Transect 2_raw'!A2,0,0,D9-B9+1,1),"HERP")</f>
        <v>0</v>
      </c>
      <c r="I39" s="32">
        <f ca="1">(H39/H126)*100</f>
        <v>0</v>
      </c>
      <c r="J39" s="32">
        <f ca="1">IF(H39=0,0,-1*((H39/B16)*(LN(H39/B16))))</f>
        <v>0</v>
      </c>
      <c r="K39" s="70">
        <f ca="1">IF(H39=0,0,((H39/B16)^2))</f>
        <v>0</v>
      </c>
    </row>
    <row r="40" spans="7:11">
      <c r="G40" s="65" t="s">
        <v>152</v>
      </c>
      <c r="H40">
        <f ca="1">COUNTIF(OFFSET('Transect 2_raw'!A2,0,0,D9-B9+1,1),"HYD")</f>
        <v>1</v>
      </c>
      <c r="I40" s="32">
        <f ca="1">(H40/H126)*100</f>
        <v>0.4</v>
      </c>
      <c r="J40" s="32">
        <f ca="1">IF(H40=0,0,-1*((H40/B16)*(LN(H40/B16))))</f>
        <v>3.2878679224787162E-2</v>
      </c>
      <c r="K40" s="70">
        <f ca="1">IF(H40=0,0,((H40/B16)^2))</f>
        <v>4.2718612499466022E-5</v>
      </c>
    </row>
    <row r="41" spans="7:11">
      <c r="G41" s="65" t="s">
        <v>154</v>
      </c>
      <c r="H41">
        <f ca="1">COUNTIF(OFFSET('Transect 2_raw'!A2,0,0,D9-B9+1,1),"ISOP")</f>
        <v>1</v>
      </c>
      <c r="I41" s="32">
        <f ca="1">(H41/H126)*100</f>
        <v>0.4</v>
      </c>
      <c r="J41" s="32">
        <f ca="1">IF(H41=0,0,-1*((H41/B16)*(LN(H41/B16))))</f>
        <v>3.2878679224787162E-2</v>
      </c>
      <c r="K41" s="70">
        <f ca="1">IF(H41=0,0,((H41/B16)^2))</f>
        <v>4.2718612499466022E-5</v>
      </c>
    </row>
    <row r="42" spans="7:11">
      <c r="G42" s="65" t="s">
        <v>156</v>
      </c>
      <c r="H42">
        <f ca="1">COUNTIF(OFFSET('Transect 2_raw'!A2,0,0,D9-B9+1,1),"LEPT")</f>
        <v>2</v>
      </c>
      <c r="I42" s="32">
        <f ca="1">(H42/H126)*100</f>
        <v>0.8</v>
      </c>
      <c r="J42" s="32">
        <f ca="1">IF(H42=0,0,-1*((H42/B16)*(LN(H42/B16))))</f>
        <v>5.6696610991274377E-2</v>
      </c>
      <c r="K42" s="70">
        <f ca="1">IF(H42=0,0,((H42/B16)^2))</f>
        <v>1.7087444999786409E-4</v>
      </c>
    </row>
    <row r="43" spans="7:11">
      <c r="G43" s="65" t="s">
        <v>158</v>
      </c>
      <c r="H43">
        <f ca="1">COUNTIF(OFFSET('Transect 2_raw'!A2,0,0,D9-B9+1,1),"LEPTOR")</f>
        <v>4</v>
      </c>
      <c r="I43" s="32">
        <f ca="1">(H43/H126)*100</f>
        <v>1.6</v>
      </c>
      <c r="J43" s="32">
        <f ca="1">IF(H43=0,0,-1*((H43/B16)*(LN(H43/B16))))</f>
        <v>9.5271727065948886E-2</v>
      </c>
      <c r="K43" s="70">
        <f ca="1">IF(H43=0,0,((H43/B16)^2))</f>
        <v>6.8349779999145636E-4</v>
      </c>
    </row>
    <row r="44" spans="7:11">
      <c r="G44" s="65" t="s">
        <v>159</v>
      </c>
      <c r="H44">
        <f ca="1">COUNTIF(OFFSET('Transect 2_raw'!A2,0,0,D9-B9+1,1),"LEPTOS")</f>
        <v>0</v>
      </c>
      <c r="I44" s="32">
        <f ca="1">(H44/H126)*100</f>
        <v>0</v>
      </c>
      <c r="J44" s="32">
        <f ca="1">IF(H44=0,0,-1*((H44/B16)*(LN(H44/B16))))</f>
        <v>0</v>
      </c>
      <c r="K44" s="70">
        <f ca="1">IF(H44=0,0,((H44/B16)^2))</f>
        <v>0</v>
      </c>
    </row>
    <row r="45" spans="7:11">
      <c r="G45" s="65" t="s">
        <v>161</v>
      </c>
      <c r="H45">
        <f ca="1">COUNTIF(OFFSET('Transect 2_raw'!A2,0,0,D9-B9+1,1),"LOBOPH")</f>
        <v>4</v>
      </c>
      <c r="I45" s="32">
        <f ca="1">(H45/H126)*100</f>
        <v>1.6</v>
      </c>
      <c r="J45" s="32">
        <f ca="1">IF(H45=0,0,-1*((H45/B16)*(LN(H45/B16))))</f>
        <v>9.5271727065948886E-2</v>
      </c>
      <c r="K45" s="70">
        <f ca="1">IF(H45=0,0,((H45/B16)^2))</f>
        <v>6.8349779999145636E-4</v>
      </c>
    </row>
    <row r="46" spans="7:11">
      <c r="G46" s="65" t="s">
        <v>162</v>
      </c>
      <c r="H46">
        <f ca="1">COUNTIF(OFFSET('Transect 2_raw'!A2,0,0,D9-B9+1,1),"MERU")</f>
        <v>0</v>
      </c>
      <c r="I46" s="32">
        <f ca="1">(H46/H126)*100</f>
        <v>0</v>
      </c>
      <c r="J46" s="32">
        <f ca="1">IF(H46=0,0,-1*((H46/B16)*(LN(H46/B16))))</f>
        <v>0</v>
      </c>
      <c r="K46" s="70">
        <f ca="1">IF(H46=0,0,((H46/B16)^2))</f>
        <v>0</v>
      </c>
    </row>
    <row r="47" spans="7:11">
      <c r="G47" s="65" t="s">
        <v>163</v>
      </c>
      <c r="H47">
        <f ca="1">COUNTIF(OFFSET('Transect 2_raw'!A2,0,0,D9-B9+1,1),"MILL")</f>
        <v>0</v>
      </c>
      <c r="I47" s="32">
        <f ca="1">(H47/H126)*100</f>
        <v>0</v>
      </c>
      <c r="J47" s="32">
        <f ca="1">IF(H47=0,0,-1*((H47/B16)*(LN(H47/B16))))</f>
        <v>0</v>
      </c>
      <c r="K47" s="70">
        <f ca="1">IF(H47=0,0,((H47/B16)^2))</f>
        <v>0</v>
      </c>
    </row>
    <row r="48" spans="7:11">
      <c r="G48" s="65" t="s">
        <v>165</v>
      </c>
      <c r="H48">
        <f ca="1">COUNTIF(OFFSET('Transect 2_raw'!A2,0,0,D9-B9+1,1),"MONT")</f>
        <v>0</v>
      </c>
      <c r="I48" s="32">
        <f ca="1">(H48/H126)*100</f>
        <v>0</v>
      </c>
      <c r="J48" s="32">
        <f ca="1">IF(H48=0,0,-1*((H48/B16)*(LN(H48/B16))))</f>
        <v>0</v>
      </c>
      <c r="K48" s="70">
        <f ca="1">IF(H48=0,0,((H48/B16)^2))</f>
        <v>0</v>
      </c>
    </row>
    <row r="49" spans="7:11">
      <c r="G49" s="65" t="s">
        <v>167</v>
      </c>
      <c r="H49">
        <f ca="1">COUNTIF(OFFSET('Transect 2_raw'!A2,0,0,D9-B9+1,1),"MONTI")</f>
        <v>1</v>
      </c>
      <c r="I49" s="32">
        <f ca="1">(H49/H126)*100</f>
        <v>0.4</v>
      </c>
      <c r="J49" s="32">
        <f ca="1">IF(H49=0,0,-1*((H49/B16)*(LN(H49/B16))))</f>
        <v>3.2878679224787162E-2</v>
      </c>
      <c r="K49" s="70">
        <f ca="1">IF(H49=0,0,((H49/B16)^2))</f>
        <v>4.2718612499466022E-5</v>
      </c>
    </row>
    <row r="50" spans="7:11">
      <c r="G50" s="65" t="s">
        <v>169</v>
      </c>
      <c r="H50">
        <f ca="1">COUNTIF(OFFSET('Transect 2_raw'!A2,0,0,D9-B9+1,1),"MYCED")</f>
        <v>0</v>
      </c>
      <c r="I50" s="32">
        <f ca="1">(H50/H126)*100</f>
        <v>0</v>
      </c>
      <c r="J50" s="32">
        <f ca="1">IF(H50=0,0,-1*((H50/B16)*(LN(H50/B16))))</f>
        <v>0</v>
      </c>
      <c r="K50" s="70">
        <f ca="1">IF(H50=0,0,((H50/B16)^2))</f>
        <v>0</v>
      </c>
    </row>
    <row r="51" spans="7:11">
      <c r="G51" s="65" t="s">
        <v>170</v>
      </c>
      <c r="H51">
        <f ca="1">COUNTIF(OFFSET('Transect 2_raw'!A2,0,0,D9-B9+1,1),"OULO")</f>
        <v>0</v>
      </c>
      <c r="I51" s="32">
        <f ca="1">(H51/H126)*100</f>
        <v>0</v>
      </c>
      <c r="J51" s="32">
        <f ca="1">IF(H51=0,0,-1*((H51/B16)*(LN(H51/B16))))</f>
        <v>0</v>
      </c>
      <c r="K51" s="70">
        <f ca="1">IF(H51=0,0,((H51/B16)^2))</f>
        <v>0</v>
      </c>
    </row>
    <row r="52" spans="7:11">
      <c r="G52" s="65" t="s">
        <v>172</v>
      </c>
      <c r="H52">
        <f ca="1">COUNTIF(OFFSET('Transect 2_raw'!A2,0,0,D9-B9+1,1),"OXYP")</f>
        <v>0</v>
      </c>
      <c r="I52" s="32">
        <f ca="1">(H52/H126)*100</f>
        <v>0</v>
      </c>
      <c r="J52" s="32">
        <f ca="1">IF(H52=0,0,-1*((H52/B16)*(LN(H52/B16))))</f>
        <v>0</v>
      </c>
      <c r="K52" s="70">
        <f ca="1">IF(H52=0,0,((H52/B16)^2))</f>
        <v>0</v>
      </c>
    </row>
    <row r="53" spans="7:11">
      <c r="G53" s="65" t="s">
        <v>174</v>
      </c>
      <c r="H53">
        <f ca="1">COUNTIF(OFFSET('Transect 2_raw'!A2,0,0,D9-B9+1,1),"PLSIA")</f>
        <v>0</v>
      </c>
      <c r="I53" s="32">
        <f ca="1">(H53/H126)*100</f>
        <v>0</v>
      </c>
      <c r="J53" s="32">
        <f ca="1">IF(H53=0,0,-1*((H53/B16)*(LN(H53/B16))))</f>
        <v>0</v>
      </c>
      <c r="K53" s="70">
        <f ca="1">IF(H53=0,0,((H53/B16)^2))</f>
        <v>0</v>
      </c>
    </row>
    <row r="54" spans="7:11">
      <c r="G54" s="65" t="s">
        <v>176</v>
      </c>
      <c r="H54">
        <f ca="1">COUNTIF(OFFSET('Transect 2_raw'!A2,0,0,D9-B9+1,1),"PACHY")</f>
        <v>0</v>
      </c>
      <c r="I54" s="32">
        <f ca="1">(H54/H126)*100</f>
        <v>0</v>
      </c>
      <c r="J54" s="32">
        <f ca="1">IF(H54=0,0,-1*((H54/B16)*(LN(H54/B16))))</f>
        <v>0</v>
      </c>
      <c r="K54" s="70">
        <f ca="1">IF(H54=0,0,((H54/B16)^2))</f>
        <v>0</v>
      </c>
    </row>
    <row r="55" spans="7:11">
      <c r="G55" s="65" t="s">
        <v>177</v>
      </c>
      <c r="H55">
        <f ca="1">COUNTIF(OFFSET('Transect 2_raw'!A2,0,0,D9-B9+1,1),"PAV")</f>
        <v>0</v>
      </c>
      <c r="I55" s="32">
        <f ca="1">(H55/H126)*100</f>
        <v>0</v>
      </c>
      <c r="J55" s="32">
        <f ca="1">IF(H55=0,0,-1*((H55/B16)*(LN(H55/B16))))</f>
        <v>0</v>
      </c>
      <c r="K55" s="70">
        <f ca="1">IF(H55=0,0,((H55/B16)^2))</f>
        <v>0</v>
      </c>
    </row>
    <row r="56" spans="7:11">
      <c r="G56" s="65" t="s">
        <v>179</v>
      </c>
      <c r="H56">
        <f ca="1">COUNTIF(OFFSET('Transect 2_raw'!A2,0,0,D9-B9+1,1),"PECT")</f>
        <v>0</v>
      </c>
      <c r="I56" s="32">
        <f ca="1">(H56/H126)*100</f>
        <v>0</v>
      </c>
      <c r="J56" s="32">
        <f ca="1">IF(H56=0,0,-1*((H56/B16)*(LN(H56/B16))))</f>
        <v>0</v>
      </c>
      <c r="K56" s="70">
        <f ca="1">IF(H56=0,0,((H56/B16)^2))</f>
        <v>0</v>
      </c>
    </row>
    <row r="57" spans="7:11">
      <c r="G57" s="65" t="s">
        <v>181</v>
      </c>
      <c r="H57">
        <f ca="1">COUNTIF(OFFSET('Transect 2_raw'!A2,0,0,D9-B9+1,1),"PHYSO")</f>
        <v>0</v>
      </c>
      <c r="I57" s="32">
        <f ca="1">(H57/H126)*100</f>
        <v>0</v>
      </c>
      <c r="J57" s="32">
        <f ca="1">IF(H57=0,0,-1*((H57/B16)*(LN(H57/B16))))</f>
        <v>0</v>
      </c>
      <c r="K57" s="70">
        <f ca="1">IF(H57=0,0,((H57/B16)^2))</f>
        <v>0</v>
      </c>
    </row>
    <row r="58" spans="7:11">
      <c r="G58" s="65" t="s">
        <v>183</v>
      </c>
      <c r="H58">
        <f ca="1">COUNTIF(OFFSET('Transect 2_raw'!A2,0,0,D9-B9+1,1),"PLAT")</f>
        <v>23</v>
      </c>
      <c r="I58" s="32">
        <f ca="1">(H58/H126)*100</f>
        <v>9.1999999999999993</v>
      </c>
      <c r="J58" s="32">
        <f ca="1">IF(H58=0,0,-1*((H58/B16)*(LN(H58/B16))))</f>
        <v>0.28486081846833705</v>
      </c>
      <c r="K58" s="70">
        <f ca="1">IF(H58=0,0,((H58/B16)^2))</f>
        <v>2.2598146012217522E-2</v>
      </c>
    </row>
    <row r="59" spans="7:11">
      <c r="G59" s="65" t="s">
        <v>184</v>
      </c>
      <c r="H59">
        <f ca="1">COUNTIF(OFFSET('Transect 2_raw'!A2,0,0,D9-B9+1,1),"PLERO")</f>
        <v>0</v>
      </c>
      <c r="I59" s="32">
        <f ca="1">(H59/H126)*100</f>
        <v>0</v>
      </c>
      <c r="J59" s="32">
        <f ca="1">IF(H59=0,0,-1*((H59/B16)*(LN(H59/B16))))</f>
        <v>0</v>
      </c>
      <c r="K59" s="70">
        <f ca="1">IF(H59=0,0,((H59/B16)^2))</f>
        <v>0</v>
      </c>
    </row>
    <row r="60" spans="7:11">
      <c r="G60" s="65" t="s">
        <v>186</v>
      </c>
      <c r="H60">
        <f ca="1">COUNTIF(OFFSET('Transect 2_raw'!A2,0,0,D9-B9+1,1),"POC")</f>
        <v>3</v>
      </c>
      <c r="I60" s="32">
        <f ca="1">(H60/H126)*100</f>
        <v>1.2</v>
      </c>
      <c r="J60" s="32">
        <f ca="1">IF(H60=0,0,-1*((H60/B16)*(LN(H60/B16))))</f>
        <v>7.7094620249496579E-2</v>
      </c>
      <c r="K60" s="70">
        <f ca="1">IF(H60=0,0,((H60/B16)^2))</f>
        <v>3.8446751249519417E-4</v>
      </c>
    </row>
    <row r="61" spans="7:11">
      <c r="G61" s="65" t="s">
        <v>188</v>
      </c>
      <c r="H61">
        <f ca="1">COUNTIF(OFFSET('Transect 2_raw'!A2,0,0,D9-B9+1,1),"POR")</f>
        <v>3</v>
      </c>
      <c r="I61" s="32">
        <f ca="1">(H61/H126)*100</f>
        <v>1.2</v>
      </c>
      <c r="J61" s="32">
        <f ca="1">IF(H61=0,0,-1*((H61/B16)*(LN(H61/B16))))</f>
        <v>7.7094620249496579E-2</v>
      </c>
      <c r="K61" s="70">
        <f ca="1">IF(H61=0,0,((H61/B16)^2))</f>
        <v>3.8446751249519417E-4</v>
      </c>
    </row>
    <row r="62" spans="7:11">
      <c r="G62" s="65" t="s">
        <v>190</v>
      </c>
      <c r="H62">
        <f ca="1">COUNTIF(OFFSET('Transect 2_raw'!A2,0,0,D9-B9+1,1),"PORCYL")</f>
        <v>0</v>
      </c>
      <c r="I62" s="32">
        <f ca="1">(H62/H126)*100</f>
        <v>0</v>
      </c>
      <c r="J62" s="32">
        <f ca="1">IF(H62=0,0,-1*((H62/B16)*(LN(H62/B16))))</f>
        <v>0</v>
      </c>
      <c r="K62" s="70">
        <f ca="1">IF(H62=0,0,((H62/B16)^2))</f>
        <v>0</v>
      </c>
    </row>
    <row r="63" spans="7:11">
      <c r="G63" s="65" t="s">
        <v>192</v>
      </c>
      <c r="H63">
        <f ca="1">COUNTIF(OFFSET('Transect 2_raw'!A2,0,0,D9-B9+1,1),"PORMAS")</f>
        <v>1</v>
      </c>
      <c r="I63" s="32">
        <f ca="1">(H63/H126)*100</f>
        <v>0.4</v>
      </c>
      <c r="J63" s="32">
        <f ca="1">IF(H63=0,0,-1*((H63/B16)*(LN(H63/B16))))</f>
        <v>3.2878679224787162E-2</v>
      </c>
      <c r="K63" s="70">
        <f ca="1">IF(H63=0,0,((H63/B16)^2))</f>
        <v>4.2718612499466022E-5</v>
      </c>
    </row>
    <row r="64" spans="7:11">
      <c r="G64" s="65" t="s">
        <v>194</v>
      </c>
      <c r="H64">
        <f ca="1">COUNTIF(OFFSET('Transect 2_raw'!A2,0,0,D9-B9+1,1),"PORRUS")</f>
        <v>2</v>
      </c>
      <c r="I64" s="32">
        <f ca="1">(H64/H126)*100</f>
        <v>0.8</v>
      </c>
      <c r="J64" s="32">
        <f ca="1">IF(H64=0,0,-1*((H64/B16)*(LN(H64/B16))))</f>
        <v>5.6696610991274377E-2</v>
      </c>
      <c r="K64" s="70">
        <f ca="1">IF(H64=0,0,((H64/B16)^2))</f>
        <v>1.7087444999786409E-4</v>
      </c>
    </row>
    <row r="65" spans="7:11">
      <c r="G65" s="65" t="s">
        <v>195</v>
      </c>
      <c r="H65">
        <f ca="1">COUNTIF(OFFSET('Transect 2_raw'!A2,0,0,D9-B9+1,1),"PSAM")</f>
        <v>0</v>
      </c>
      <c r="I65" s="32">
        <f ca="1">(H65/H126)*100</f>
        <v>0</v>
      </c>
      <c r="J65" s="32">
        <f ca="1">IF(H65=0,0,-1*((H65/B16)*(LN(H65/B16))))</f>
        <v>0</v>
      </c>
      <c r="K65" s="70">
        <f ca="1">IF(H65=0,0,((H65/B16)^2))</f>
        <v>0</v>
      </c>
    </row>
    <row r="66" spans="7:11">
      <c r="G66" s="65" t="s">
        <v>197</v>
      </c>
      <c r="H66">
        <f ca="1">COUNTIF(OFFSET('Transect 2_raw'!A2,0,0,D9-B9+1,1),"SANDO")</f>
        <v>0</v>
      </c>
      <c r="I66" s="32">
        <f ca="1">(H66/H126)*100</f>
        <v>0</v>
      </c>
      <c r="J66" s="32">
        <f ca="1">IF(H66=0,0,-1*((H66/B16)*(LN(H66/B16))))</f>
        <v>0</v>
      </c>
      <c r="K66" s="70">
        <f ca="1">IF(H66=0,0,((H66/B16)^2))</f>
        <v>0</v>
      </c>
    </row>
    <row r="67" spans="7:11">
      <c r="G67" s="65" t="s">
        <v>199</v>
      </c>
      <c r="H67">
        <f ca="1">COUNTIF(OFFSET('Transect 2_raw'!A2,0,0,D9-B9+1,1),"SCAP")</f>
        <v>0</v>
      </c>
      <c r="I67" s="32">
        <f ca="1">(H67/H126)*100</f>
        <v>0</v>
      </c>
      <c r="J67" s="32">
        <f ca="1">IF(H67=0,0,-1*((H67/B16)*(LN(H67/B16))))</f>
        <v>0</v>
      </c>
      <c r="K67" s="70">
        <f ca="1">IF(H67=0,0,((H67/B16)^2))</f>
        <v>0</v>
      </c>
    </row>
    <row r="68" spans="7:11">
      <c r="G68" s="65" t="s">
        <v>201</v>
      </c>
      <c r="H68">
        <f ca="1">COUNTIF(OFFSET('Transect 2_raw'!A2,0,0,D9-B9+1,1),"SERIA")</f>
        <v>0</v>
      </c>
      <c r="I68" s="32">
        <f ca="1">(H68/H126)*100</f>
        <v>0</v>
      </c>
      <c r="J68" s="32">
        <f ca="1">IF(H68=0,0,-1*((H68/B16)*(LN(H68/B16))))</f>
        <v>0</v>
      </c>
      <c r="K68" s="70">
        <f ca="1">IF(H68=0,0,((H68/B16)^2))</f>
        <v>0</v>
      </c>
    </row>
    <row r="69" spans="7:11">
      <c r="G69" s="65" t="s">
        <v>203</v>
      </c>
      <c r="H69">
        <f ca="1">COUNTIF(OFFSET('Transect 2_raw'!A2,0,0,D9-B9+1,1),"STYLC")</f>
        <v>0</v>
      </c>
      <c r="I69" s="32">
        <f ca="1">(H69/H126)*100</f>
        <v>0</v>
      </c>
      <c r="J69" s="32">
        <f ca="1">IF(H69=0,0,-1*((H69/B16)*(LN(H69/B16))))</f>
        <v>0</v>
      </c>
      <c r="K69" s="70">
        <f ca="1">IF(H69=0,0,((H69/B16)^2))</f>
        <v>0</v>
      </c>
    </row>
    <row r="70" spans="7:11">
      <c r="G70" s="65" t="s">
        <v>205</v>
      </c>
      <c r="H70">
        <f ca="1">COUNTIF(OFFSET('Transect 2_raw'!A2,0,0,D9-B9+1,1),"STYLO")</f>
        <v>12</v>
      </c>
      <c r="I70" s="32">
        <f ca="1">(H70/H126)*100</f>
        <v>4.8</v>
      </c>
      <c r="J70" s="32">
        <f ca="1">IF(H70=0,0,-1*((H70/B16)*(LN(H70/B16))))</f>
        <v>0.19964951149838708</v>
      </c>
      <c r="K70" s="70">
        <f ca="1">IF(H70=0,0,((H70/B16)^2))</f>
        <v>6.1514801999231067E-3</v>
      </c>
    </row>
    <row r="71" spans="7:11">
      <c r="G71" s="65" t="s">
        <v>206</v>
      </c>
      <c r="H71">
        <f ca="1">COUNTIF(OFFSET('Transect 2_raw'!A2,0,0,D9-B9+1,1),"SYMP")</f>
        <v>0</v>
      </c>
      <c r="I71" s="32">
        <f ca="1">(H71/H126)*100</f>
        <v>0</v>
      </c>
      <c r="J71" s="32">
        <f ca="1">IF(H71=0,0,-1*((H71/B16)*(LN(H71/B16))))</f>
        <v>0</v>
      </c>
      <c r="K71" s="70">
        <f ca="1">IF(H71=0,0,((H71/B16)^2))</f>
        <v>0</v>
      </c>
    </row>
    <row r="72" spans="7:11">
      <c r="G72" s="65" t="s">
        <v>208</v>
      </c>
      <c r="H72">
        <f ca="1">COUNTIF(OFFSET('Transect 2_raw'!A2,0,0,D9-B9+1,1),"TURBIN")</f>
        <v>0</v>
      </c>
      <c r="I72" s="32">
        <f ca="1">(H72/H126)*100</f>
        <v>0</v>
      </c>
      <c r="J72" s="32">
        <f ca="1">IF(H72=0,0,-1*((H72/B16)*(LN(H72/B16))))</f>
        <v>0</v>
      </c>
      <c r="K72" s="70">
        <f ca="1">IF(H72=0,0,((H72/B16)^2))</f>
        <v>0</v>
      </c>
    </row>
    <row r="73" spans="7:11">
      <c r="G73" s="66" t="s">
        <v>98</v>
      </c>
      <c r="K73" s="71"/>
    </row>
    <row r="74" spans="7:11">
      <c r="G74" s="65" t="s">
        <v>210</v>
      </c>
      <c r="H74">
        <f ca="1">COUNTIF(OFFSET('Transect 2_raw'!A2,0,0,D9-B9+1,1),"ANEM")</f>
        <v>0</v>
      </c>
      <c r="I74" s="32">
        <f ca="1">(H74/H126)*100</f>
        <v>0</v>
      </c>
      <c r="J74" s="32">
        <f ca="1">IF(H74=0,0,-1*((H74/B17)*(LN(H74/B17))))</f>
        <v>0</v>
      </c>
      <c r="K74" s="70">
        <f ca="1">IF(H74=0,0,((H74/B17)^2))</f>
        <v>0</v>
      </c>
    </row>
    <row r="75" spans="7:11">
      <c r="G75" s="65" t="s">
        <v>212</v>
      </c>
      <c r="H75">
        <f ca="1">COUNTIF(OFFSET('Transect 2_raw'!A2,0,0,D9-B9+1,1),"ASC")</f>
        <v>0</v>
      </c>
      <c r="I75" s="32">
        <f ca="1">(H75/H126)*100</f>
        <v>0</v>
      </c>
      <c r="J75" s="32">
        <f ca="1">IF(H75=0,0,-1*((H75/B17)*(LN(H75/B17))))</f>
        <v>0</v>
      </c>
      <c r="K75" s="70">
        <f ca="1">IF(H75=0,0,((H75/B17)^2))</f>
        <v>0</v>
      </c>
    </row>
    <row r="76" spans="7:11">
      <c r="G76" s="65" t="s">
        <v>214</v>
      </c>
      <c r="H76">
        <f ca="1">COUNTIF(OFFSET('Transect 2_raw'!A2,0,0,D9-B9+1,1),"CUPS")</f>
        <v>0</v>
      </c>
      <c r="I76" s="32">
        <f ca="1">(H76/H126)*100</f>
        <v>0</v>
      </c>
      <c r="J76" s="32">
        <f ca="1">IF(H76=0,0,-1*((H76/B17)*(LN(H76/B17))))</f>
        <v>0</v>
      </c>
      <c r="K76" s="70">
        <f ca="1">IF(H76=0,0,((H76/B17)^2))</f>
        <v>0</v>
      </c>
    </row>
    <row r="77" spans="7:11">
      <c r="G77" s="65" t="s">
        <v>216</v>
      </c>
      <c r="H77">
        <f ca="1">COUNTIF(OFFSET('Transect 2_raw'!A2,0,0,D9-B9+1,1),"DISCO")</f>
        <v>0</v>
      </c>
      <c r="I77" s="32">
        <f ca="1">(H77/H126)*100</f>
        <v>0</v>
      </c>
      <c r="J77" s="32">
        <f ca="1">IF(H77=0,0,-1*((H77/B17)*(LN(H77/B17))))</f>
        <v>0</v>
      </c>
      <c r="K77" s="70">
        <f ca="1">IF(H77=0,0,((H77/B17)^2))</f>
        <v>0</v>
      </c>
    </row>
    <row r="78" spans="7:11">
      <c r="G78" s="65" t="s">
        <v>218</v>
      </c>
      <c r="H78">
        <f ca="1">COUNTIF(OFFSET('Transect 2_raw'!A2,0,0,D9-B9+1,1),"DYS")</f>
        <v>0</v>
      </c>
      <c r="I78" s="32">
        <f ca="1">(H78/H126)*100</f>
        <v>0</v>
      </c>
      <c r="J78" s="32">
        <f ca="1">IF(H78=0,0,-1*((H78/B17)*(LN(H78/B17))))</f>
        <v>0</v>
      </c>
      <c r="K78" s="70">
        <f ca="1">IF(H78=0,0,((H78/B17)^2))</f>
        <v>0</v>
      </c>
    </row>
    <row r="79" spans="7:11">
      <c r="G79" s="65" t="s">
        <v>220</v>
      </c>
      <c r="H79">
        <f ca="1">COUNTIF(OFFSET('Transect 2_raw'!A2,0,0,D9-B9+1,1),"G")</f>
        <v>0</v>
      </c>
      <c r="I79" s="32">
        <f ca="1">(H79/H126)*100</f>
        <v>0</v>
      </c>
      <c r="J79" s="32">
        <f ca="1">IF(H79=0,0,-1*((H79/B17)*(LN(H79/B17))))</f>
        <v>0</v>
      </c>
      <c r="K79" s="70">
        <f ca="1">IF(H79=0,0,((H79/B17)^2))</f>
        <v>0</v>
      </c>
    </row>
    <row r="80" spans="7:11">
      <c r="G80" s="65" t="s">
        <v>222</v>
      </c>
      <c r="H80">
        <f ca="1">COUNTIF(OFFSET('Transect 2_raw'!A2,0,0,D9-B9+1,1),"NoIDINV")</f>
        <v>0</v>
      </c>
      <c r="I80" s="32">
        <f ca="1">(H80/H126)*100</f>
        <v>0</v>
      </c>
      <c r="J80" s="32">
        <f ca="1">IF(H80=0,0,-1*((H80/B17)*(LN(H80/B17))))</f>
        <v>0</v>
      </c>
      <c r="K80" s="70">
        <f ca="1">IF(H80=0,0,((H80/B17)^2))</f>
        <v>0</v>
      </c>
    </row>
    <row r="81" spans="7:11">
      <c r="G81" s="65" t="s">
        <v>224</v>
      </c>
      <c r="H81">
        <f ca="1">COUNTIF(OFFSET('Transect 2_raw'!A2,0,0,D9-B9+1,1),"OLV")</f>
        <v>0</v>
      </c>
      <c r="I81" s="32">
        <f ca="1">(H81/H126)*100</f>
        <v>0</v>
      </c>
      <c r="J81" s="32">
        <f ca="1">IF(H81=0,0,-1*((H81/B17)*(LN(H81/B17))))</f>
        <v>0</v>
      </c>
      <c r="K81" s="70">
        <f ca="1">IF(H81=0,0,((H81/B17)^2))</f>
        <v>0</v>
      </c>
    </row>
    <row r="82" spans="7:11">
      <c r="G82" s="65" t="s">
        <v>226</v>
      </c>
      <c r="H82">
        <f ca="1">COUNTIF(OFFSET('Transect 2_raw'!A2,0,0,D9-B9+1,1),"SC")</f>
        <v>0</v>
      </c>
      <c r="I82" s="32">
        <f ca="1">(H82/H126)*100</f>
        <v>0</v>
      </c>
      <c r="J82" s="32">
        <f ca="1">IF(H82=0,0,-1*((H82/B17)*(LN(H82/B17))))</f>
        <v>0</v>
      </c>
      <c r="K82" s="70">
        <f ca="1">IF(H82=0,0,((H82/B17)^2))</f>
        <v>0</v>
      </c>
    </row>
    <row r="83" spans="7:11">
      <c r="G83" s="65" t="s">
        <v>228</v>
      </c>
      <c r="H83">
        <f ca="1">COUNTIF(OFFSET('Transect 2_raw'!A2,0,0,D9-B9+1,1),"S")</f>
        <v>0</v>
      </c>
      <c r="I83" s="32">
        <f ca="1">(H83/H126)*100</f>
        <v>0</v>
      </c>
      <c r="J83" s="32">
        <f ca="1">IF(H83=0,0,-1*((H83/B17)*(LN(H83/B17))))</f>
        <v>0</v>
      </c>
      <c r="K83" s="70">
        <f ca="1">IF(H83=0,0,((H83/B17)^2))</f>
        <v>0</v>
      </c>
    </row>
    <row r="84" spans="7:11">
      <c r="G84" s="65" t="s">
        <v>230</v>
      </c>
      <c r="H84">
        <f ca="1">COUNTIF(OFFSET('Transect 2_raw'!A2,0,0,D9-B9+1,1),"TERPS")</f>
        <v>0</v>
      </c>
      <c r="I84" s="32">
        <f ca="1">(H84/H126)*100</f>
        <v>0</v>
      </c>
      <c r="J84" s="32">
        <f ca="1">IF(H84=0,0,-1*((H84/B17)*(LN(H84/B17))))</f>
        <v>0</v>
      </c>
      <c r="K84" s="70">
        <f ca="1">IF(H84=0,0,((H84/B17)^2))</f>
        <v>0</v>
      </c>
    </row>
    <row r="85" spans="7:11">
      <c r="G85" s="65" t="s">
        <v>232</v>
      </c>
      <c r="H85">
        <f ca="1">COUNTIF(OFFSET('Transect 2_raw'!A2,0,0,D9-B9+1,1),"Z")</f>
        <v>0</v>
      </c>
      <c r="I85" s="32">
        <f ca="1">(H85/H126)*100</f>
        <v>0</v>
      </c>
      <c r="J85" s="32">
        <f ca="1">IF(H85=0,0,-1*((H85/B17)*(LN(H85/B17))))</f>
        <v>0</v>
      </c>
      <c r="K85" s="70">
        <f ca="1">IF(H85=0,0,((H85/B17)^2))</f>
        <v>0</v>
      </c>
    </row>
    <row r="86" spans="7:11">
      <c r="G86" s="66" t="s">
        <v>100</v>
      </c>
      <c r="K86" s="71"/>
    </row>
    <row r="87" spans="7:11">
      <c r="G87" s="65" t="s">
        <v>234</v>
      </c>
      <c r="H87">
        <f ca="1">COUNTIF(OFFSET('Transect 2_raw'!A2,0,0,D9-B9+1,1),"ASP")</f>
        <v>0</v>
      </c>
      <c r="I87" s="32">
        <f ca="1">(H87/H126)*100</f>
        <v>0</v>
      </c>
      <c r="J87" s="32">
        <f ca="1">IF(H87=0,0,-1*((H87/B18)*(LN(H87/B18))))</f>
        <v>0</v>
      </c>
      <c r="K87" s="70">
        <f ca="1">IF(H87=0,0,((H87/B18)^2))</f>
        <v>0</v>
      </c>
    </row>
    <row r="88" spans="7:11">
      <c r="G88" s="65" t="s">
        <v>236</v>
      </c>
      <c r="H88">
        <f ca="1">COUNTIF(OFFSET('Transect 2_raw'!A2,0,0,D9-B9+1,1),"BG")</f>
        <v>0</v>
      </c>
      <c r="I88" s="32">
        <f ca="1">(H88/H126)*100</f>
        <v>0</v>
      </c>
      <c r="J88" s="32">
        <f ca="1">IF(H88=0,0,-1*((H88/B18)*(LN(H88/B18))))</f>
        <v>0</v>
      </c>
      <c r="K88" s="70">
        <f ca="1">IF(H88=0,0,((H88/B18)^2))</f>
        <v>0</v>
      </c>
    </row>
    <row r="89" spans="7:11">
      <c r="G89" s="65" t="s">
        <v>238</v>
      </c>
      <c r="H89">
        <f ca="1">COUNTIF(OFFSET('Transect 2_raw'!A2,0,0,D9-B9+1,1),"Bood")</f>
        <v>0</v>
      </c>
      <c r="I89" s="32">
        <f ca="1">(H89/H126)*100</f>
        <v>0</v>
      </c>
      <c r="J89" s="32">
        <f ca="1">IF(H89=0,0,-1*((H89/B18)*(LN(H89/B18))))</f>
        <v>0</v>
      </c>
      <c r="K89" s="70">
        <f ca="1">IF(H89=0,0,((H89/B18)^2))</f>
        <v>0</v>
      </c>
    </row>
    <row r="90" spans="7:11">
      <c r="G90" s="65" t="s">
        <v>240</v>
      </c>
      <c r="H90">
        <f ca="1">COUNTIF(OFFSET('Transect 2_raw'!A2,0,0,D9-B9+1,1),"BRYP")</f>
        <v>0</v>
      </c>
      <c r="I90" s="32">
        <f ca="1">(H90/H126)*100</f>
        <v>0</v>
      </c>
      <c r="J90" s="32">
        <f ca="1">IF(H90=0,0,-1*((H90/B18)*(LN(H90/B18))))</f>
        <v>0</v>
      </c>
      <c r="K90" s="70">
        <f ca="1">IF(H90=0,0,((H90/B18)^2))</f>
        <v>0</v>
      </c>
    </row>
    <row r="91" spans="7:11">
      <c r="G91" s="65" t="s">
        <v>242</v>
      </c>
      <c r="H91">
        <f ca="1">COUNTIF(OFFSET('Transect 2_raw'!A2,0,0,D9-B9+1,1),"CLP")</f>
        <v>0</v>
      </c>
      <c r="I91" s="32">
        <f ca="1">(H91/H126)*100</f>
        <v>0</v>
      </c>
      <c r="J91" s="32">
        <f ca="1">IF(H91=0,0,-1*((H91/B18)*(LN(H91/B18))))</f>
        <v>0</v>
      </c>
      <c r="K91" s="70">
        <f ca="1">IF(H91=0,0,((H91/B18)^2))</f>
        <v>0</v>
      </c>
    </row>
    <row r="92" spans="7:11">
      <c r="G92" s="65" t="s">
        <v>244</v>
      </c>
      <c r="H92">
        <f ca="1">COUNTIF(OFFSET('Transect 2_raw'!A2,0,0,D9-B9+1,1),"CHLDES")</f>
        <v>0</v>
      </c>
      <c r="I92" s="32">
        <f ca="1">(H92/H126)*100</f>
        <v>0</v>
      </c>
      <c r="J92" s="32">
        <f ca="1">IF(H92=0,0,-1*((H92/B18)*(LN(H92/B18))))</f>
        <v>0</v>
      </c>
      <c r="K92" s="70">
        <f ca="1">IF(H92=0,0,((H92/B18)^2))</f>
        <v>0</v>
      </c>
    </row>
    <row r="93" spans="7:11">
      <c r="G93" s="65" t="s">
        <v>246</v>
      </c>
      <c r="H93">
        <f ca="1">COUNTIF(OFFSET('Transect 2_raw'!A2,0,0,D9-B9+1,1),"DYCTY")</f>
        <v>0</v>
      </c>
      <c r="I93" s="32">
        <f ca="1">(H93/H126)*100</f>
        <v>0</v>
      </c>
      <c r="J93" s="32">
        <f ca="1">IF(H93=0,0,-1*((H93/B18)*(LN(H93/B18))))</f>
        <v>0</v>
      </c>
      <c r="K93" s="70">
        <f ca="1">IF(H93=0,0,((H93/B18)^2))</f>
        <v>0</v>
      </c>
    </row>
    <row r="94" spans="7:11">
      <c r="G94" s="65" t="s">
        <v>248</v>
      </c>
      <c r="H94">
        <f ca="1">COUNTIF(OFFSET('Transect 2_raw'!A2,0,0,D9-B9+1,1),"DICT")</f>
        <v>0</v>
      </c>
      <c r="I94" s="32">
        <f ca="1">(H94/H126)*100</f>
        <v>0</v>
      </c>
      <c r="J94" s="32">
        <f ca="1">IF(H94=0,0,-1*((H94/B18)*(LN(H94/B18))))</f>
        <v>0</v>
      </c>
      <c r="K94" s="70">
        <f ca="1">IF(H94=0,0,((H94/B18)^2))</f>
        <v>0</v>
      </c>
    </row>
    <row r="95" spans="7:11">
      <c r="G95" s="65" t="s">
        <v>250</v>
      </c>
      <c r="H95">
        <f ca="1">COUNTIF(OFFSET('Transect 2_raw'!A2,0,0,D9-B9+1,1),"GLXU")</f>
        <v>0</v>
      </c>
      <c r="I95" s="32">
        <f ca="1">(H95/H126)*100</f>
        <v>0</v>
      </c>
      <c r="J95" s="32">
        <f ca="1">IF(H95=0,0,-1*((H95/B18)*(LN(H95/B18))))</f>
        <v>0</v>
      </c>
      <c r="K95" s="70">
        <f ca="1">IF(H95=0,0,((H95/B18)^2))</f>
        <v>0</v>
      </c>
    </row>
    <row r="96" spans="7:11">
      <c r="G96" s="65" t="s">
        <v>252</v>
      </c>
      <c r="H96">
        <f ca="1">COUNTIF(OFFSET('Transect 2_raw'!A2,0,0,D9-B9+1,1),"HALI")</f>
        <v>0</v>
      </c>
      <c r="I96" s="32">
        <f ca="1">(H96/H126)*100</f>
        <v>0</v>
      </c>
      <c r="J96" s="32">
        <f ca="1">IF(H96=0,0,-1*((H96/B18)*(LN(H96/B18))))</f>
        <v>0</v>
      </c>
      <c r="K96" s="70">
        <f ca="1">IF(H96=0,0,((H96/B18)^2))</f>
        <v>0</v>
      </c>
    </row>
    <row r="97" spans="7:11">
      <c r="G97" s="65" t="s">
        <v>254</v>
      </c>
      <c r="H97">
        <f ca="1">COUNTIF(OFFSET('Transect 2_raw'!A2,0,0,D9-B9+1,1),"LIAG")</f>
        <v>0</v>
      </c>
      <c r="I97" s="32">
        <f ca="1">(H97/H126)*100</f>
        <v>0</v>
      </c>
      <c r="J97" s="32">
        <f ca="1">IF(H97=0,0,-1*((H97/B18)*(LN(H97/B18))))</f>
        <v>0</v>
      </c>
      <c r="K97" s="70">
        <f ca="1">IF(H97=0,0,((H97/B18)^2))</f>
        <v>0</v>
      </c>
    </row>
    <row r="98" spans="7:11">
      <c r="G98" s="65" t="s">
        <v>256</v>
      </c>
      <c r="H98">
        <f ca="1">COUNTIF(OFFSET('Transect 2_raw'!A2,0,0,D9-B9+1,1),"LOBO")</f>
        <v>0</v>
      </c>
      <c r="I98" s="32">
        <f ca="1">(H98/H126)*100</f>
        <v>0</v>
      </c>
      <c r="J98" s="32">
        <f ca="1">IF(H98=0,0,-1*((H98/B18)*(LN(H98/B18))))</f>
        <v>0</v>
      </c>
      <c r="K98" s="70">
        <f ca="1">IF(H98=0,0,((H98/B18)^2))</f>
        <v>0</v>
      </c>
    </row>
    <row r="99" spans="7:11">
      <c r="G99" s="65" t="s">
        <v>258</v>
      </c>
      <c r="H99">
        <f ca="1">COUNTIF(OFFSET('Transect 2_raw'!A2,0,0,D9-B9+1,1),"MAST")</f>
        <v>0</v>
      </c>
      <c r="I99" s="32">
        <f ca="1">(H99/H126)*100</f>
        <v>0</v>
      </c>
      <c r="J99" s="32">
        <f ca="1">IF(H99=0,0,-1*((H99/B18)*(LN(H99/B18))))</f>
        <v>0</v>
      </c>
      <c r="K99" s="70">
        <f ca="1">IF(H99=0,0,((H99/B18)^2))</f>
        <v>0</v>
      </c>
    </row>
    <row r="100" spans="7:11">
      <c r="G100" s="65" t="s">
        <v>260</v>
      </c>
      <c r="H100">
        <f ca="1">COUNTIF(OFFSET('Transect 2_raw'!A2,0,0,D9-B9+1,1),"MICDTY")</f>
        <v>0</v>
      </c>
      <c r="I100" s="32">
        <f ca="1">(H100/H126)*100</f>
        <v>0</v>
      </c>
      <c r="J100" s="32">
        <f ca="1">IF(H100=0,0,-1*((H100/B18)*(LN(H100/B18))))</f>
        <v>0</v>
      </c>
      <c r="K100" s="70">
        <f ca="1">IF(H100=0,0,((H100/B18)^2))</f>
        <v>0</v>
      </c>
    </row>
    <row r="101" spans="7:11">
      <c r="G101" s="65" t="s">
        <v>262</v>
      </c>
      <c r="H101">
        <f ca="1">COUNTIF(OFFSET('Transect 2_raw'!A2,0,0,D9-B9+1,1),"NEOM")</f>
        <v>0</v>
      </c>
      <c r="I101" s="32">
        <f ca="1">(H101/H126)*100</f>
        <v>0</v>
      </c>
      <c r="J101" s="32">
        <f ca="1">IF(H101=0,0,-1*((H101/B18)*(LN(H101/B18))))</f>
        <v>0</v>
      </c>
      <c r="K101" s="70">
        <f ca="1">IF(H101=0,0,((H101/B18)^2))</f>
        <v>0</v>
      </c>
    </row>
    <row r="102" spans="7:11">
      <c r="G102" s="65" t="s">
        <v>264</v>
      </c>
      <c r="H102">
        <f ca="1">COUNTIF(OFFSET('Transect 2_raw'!A2,0,0,D9-B9+1,1),"NOIDMAC")</f>
        <v>0</v>
      </c>
      <c r="I102" s="32">
        <f ca="1">(H102/H126)*100</f>
        <v>0</v>
      </c>
      <c r="J102" s="32">
        <f ca="1">IF(H102=0,0,-1*((H102/B18)*(LN(H102/B18))))</f>
        <v>0</v>
      </c>
      <c r="K102" s="70">
        <f ca="1">IF(H102=0,0,((H102/B18)^2))</f>
        <v>0</v>
      </c>
    </row>
    <row r="103" spans="7:11">
      <c r="G103" s="65" t="s">
        <v>266</v>
      </c>
      <c r="H103">
        <f ca="1">COUNTIF(OFFSET('Transect 2_raw'!A2,0,0,D9-B9+1,1),"PAD")</f>
        <v>0</v>
      </c>
      <c r="I103" s="32">
        <f ca="1">(H103/H126)*100</f>
        <v>0</v>
      </c>
      <c r="J103" s="32">
        <f ca="1">IF(H103=0,0,-1*((H103/B18)*(LN(H103/B18))))</f>
        <v>0</v>
      </c>
      <c r="K103" s="70">
        <f ca="1">IF(H103=0,0,((H103/B18)^2))</f>
        <v>0</v>
      </c>
    </row>
    <row r="104" spans="7:11">
      <c r="G104" s="65" t="s">
        <v>268</v>
      </c>
      <c r="H104">
        <f ca="1">COUNTIF(OFFSET('Transect 2_raw'!A2,0,0,D9-B9+1,1),"SARG")</f>
        <v>0</v>
      </c>
      <c r="I104" s="32">
        <f ca="1">(H104/H126)*100</f>
        <v>0</v>
      </c>
      <c r="J104" s="32">
        <f ca="1">IF(H104=0,0,-1*((H104/B18)*(LN(H104/B18))))</f>
        <v>0</v>
      </c>
      <c r="K104" s="70">
        <f ca="1">IF(H104=0,0,((H104/B18)^2))</f>
        <v>0</v>
      </c>
    </row>
    <row r="105" spans="7:11">
      <c r="G105" s="65" t="s">
        <v>270</v>
      </c>
      <c r="H105">
        <f ca="1">COUNTIF(OFFSET('Transect 2_raw'!A2,0,0,D9-B9+1,1),"SCHIZ")</f>
        <v>0</v>
      </c>
      <c r="I105" s="32">
        <f ca="1">(H105/H126)*100</f>
        <v>0</v>
      </c>
      <c r="J105" s="32">
        <f ca="1">IF(H105=0,0,-1*((H105/B18)*(LN(H105/B18))))</f>
        <v>0</v>
      </c>
      <c r="K105" s="70">
        <f ca="1">IF(H105=0,0,((H105/B18)^2))</f>
        <v>0</v>
      </c>
    </row>
    <row r="106" spans="7:11">
      <c r="G106" s="65" t="s">
        <v>272</v>
      </c>
      <c r="H106">
        <f ca="1">COUNTIF(OFFSET('Transect 2_raw'!A2,0,0,D9-B9+1,1),"TURB")</f>
        <v>0</v>
      </c>
      <c r="I106" s="32">
        <f ca="1">(H106/H126)*100</f>
        <v>0</v>
      </c>
      <c r="J106" s="32">
        <f ca="1">IF(H106=0,0,-1*((H106/B18)*(LN(H106/B18))))</f>
        <v>0</v>
      </c>
      <c r="K106" s="70">
        <f ca="1">IF(H106=0,0,((H106/B18)^2))</f>
        <v>0</v>
      </c>
    </row>
    <row r="107" spans="7:11">
      <c r="G107" s="65" t="s">
        <v>274</v>
      </c>
      <c r="H107">
        <f ca="1">COUNTIF(OFFSET('Transect 2_raw'!A2,0,0,D9-B9+1,1),"TYDM")</f>
        <v>0</v>
      </c>
      <c r="I107" s="32">
        <f ca="1">(H107/H126)*100</f>
        <v>0</v>
      </c>
      <c r="J107" s="32">
        <f ca="1">IF(H107=0,0,-1*((H107/B18)*(LN(H107/B18))))</f>
        <v>0</v>
      </c>
      <c r="K107" s="70">
        <f ca="1">IF(H107=0,0,((H107/B18)^2))</f>
        <v>0</v>
      </c>
    </row>
    <row r="108" spans="7:11">
      <c r="G108" s="66" t="s">
        <v>102</v>
      </c>
      <c r="K108" s="71"/>
    </row>
    <row r="109" spans="7:11">
      <c r="G109" s="65" t="s">
        <v>276</v>
      </c>
      <c r="H109">
        <f ca="1">COUNTIF(OFFSET('Transect 2_raw'!A2,0,0,D9-B9+1,1),"AMP")</f>
        <v>0</v>
      </c>
      <c r="I109" s="32">
        <f ca="1">(H109/H126)*100</f>
        <v>0</v>
      </c>
      <c r="J109" s="32">
        <f ca="1">IF(H109=0,0,-1*((H109/B19)*(LN(H109/B19))))</f>
        <v>0</v>
      </c>
      <c r="K109" s="70">
        <f ca="1">IF(H109=0,0,((H109/B19)^2))</f>
        <v>0</v>
      </c>
    </row>
    <row r="110" spans="7:11">
      <c r="G110" s="65" t="s">
        <v>278</v>
      </c>
      <c r="H110">
        <f ca="1">COUNTIF(OFFSET('Transect 2_raw'!A2,0,0,D9-B9+1,1),"BCA1")</f>
        <v>2</v>
      </c>
      <c r="I110" s="32">
        <f ca="1">(H110/H126)*100</f>
        <v>0.8</v>
      </c>
      <c r="J110" s="32">
        <f ca="1">IF(H110=0,0,-1*((H110/B19)*(LN(H110/B19))))</f>
        <v>0</v>
      </c>
      <c r="K110" s="70">
        <f ca="1">IF(H110=0,0,((H110/B19)^2))</f>
        <v>1</v>
      </c>
    </row>
    <row r="111" spans="7:11">
      <c r="G111" s="65" t="s">
        <v>279</v>
      </c>
      <c r="H111">
        <f ca="1">COUNTIF(OFFSET('Transect 2_raw'!A2,0,0,D9-B9+1,1),"JAN")</f>
        <v>0</v>
      </c>
      <c r="I111" s="32">
        <f ca="1">(H111/H126)*100</f>
        <v>0</v>
      </c>
      <c r="J111" s="32">
        <f ca="1">IF(H111=0,0,-1*((H111/B19)*(LN(H111/B19))))</f>
        <v>0</v>
      </c>
      <c r="K111" s="70">
        <f ca="1">IF(H111=0,0,((H111/B19)^2))</f>
        <v>0</v>
      </c>
    </row>
    <row r="112" spans="7:11">
      <c r="G112" s="66" t="s">
        <v>103</v>
      </c>
      <c r="K112" s="71"/>
    </row>
    <row r="113" spans="7:11">
      <c r="G113" s="65" t="s">
        <v>281</v>
      </c>
      <c r="H113">
        <f ca="1">COUNTIF(OFFSET('Transect 2_raw'!A2,0,0,D9-B9+1,1),"CCA1")</f>
        <v>60</v>
      </c>
      <c r="I113" s="32">
        <f ca="1">(H113/H126)*100</f>
        <v>24</v>
      </c>
      <c r="J113" s="32">
        <f ca="1">IF(H113=0,0,-1*((H113/B20)*(LN(H113/B20))))</f>
        <v>0</v>
      </c>
      <c r="K113" s="70">
        <f ca="1">IF(H113=0,0,((H113/B20)^2))</f>
        <v>1</v>
      </c>
    </row>
    <row r="114" spans="7:11">
      <c r="G114" s="66" t="s">
        <v>104</v>
      </c>
      <c r="K114" s="71"/>
    </row>
    <row r="115" spans="7:11">
      <c r="G115" s="65" t="s">
        <v>282</v>
      </c>
      <c r="H115">
        <f ca="1">COUNTIF(OFFSET('Transect 2_raw'!A2,0,0,D9-B9+1,1),"Sand")</f>
        <v>0</v>
      </c>
      <c r="I115" s="32">
        <f ca="1">(H115/H126)*100</f>
        <v>0</v>
      </c>
      <c r="J115" s="32">
        <f ca="1">IF(H115=0,0,-1*((H115/B21)*(LN(H115/B21))))</f>
        <v>0</v>
      </c>
      <c r="K115" s="70">
        <f ca="1">IF(H115=0,0,((H115/B21)^2))</f>
        <v>0</v>
      </c>
    </row>
    <row r="116" spans="7:11">
      <c r="G116" s="66" t="s">
        <v>106</v>
      </c>
      <c r="K116" s="71"/>
    </row>
    <row r="117" spans="7:11">
      <c r="G117" s="65" t="s">
        <v>283</v>
      </c>
      <c r="H117">
        <f ca="1">COUNTIF(OFFSET('Transect 2_raw'!A2,0,0,D9-B9+1,1),"FCA1")</f>
        <v>13</v>
      </c>
      <c r="I117" s="32">
        <f ca="1">(H117/H126)*100</f>
        <v>5.2</v>
      </c>
      <c r="J117" s="32">
        <f ca="1">IF(H117=0,0,-1*((H117/B22)*(LN(H117/B22))))</f>
        <v>0</v>
      </c>
      <c r="K117" s="70">
        <f ca="1">IF(H117=0,0,((H117/B22)^2))</f>
        <v>1</v>
      </c>
    </row>
    <row r="118" spans="7:11">
      <c r="G118" s="66" t="s">
        <v>107</v>
      </c>
      <c r="K118" s="71"/>
    </row>
    <row r="119" spans="7:11">
      <c r="G119" s="65" t="s">
        <v>284</v>
      </c>
      <c r="H119">
        <f ca="1">COUNTIF(OFFSET('Transect 2_raw'!A2,0,0,D9-B9+1,1),"CHRYOBRN")</f>
        <v>0</v>
      </c>
      <c r="I119" s="32">
        <f ca="1">(H119/H126)*100</f>
        <v>0</v>
      </c>
      <c r="J119" s="32">
        <f ca="1">IF(H119=0,0,-1*((H119/B23)*(LN(H119/B23))))</f>
        <v>0</v>
      </c>
      <c r="K119" s="70">
        <f ca="1">IF(H119=0,0,((H119/B23)^2))</f>
        <v>0</v>
      </c>
    </row>
    <row r="120" spans="7:11">
      <c r="G120" s="66" t="s">
        <v>109</v>
      </c>
      <c r="K120" s="71"/>
    </row>
    <row r="121" spans="7:11">
      <c r="G121" s="65" t="s">
        <v>286</v>
      </c>
      <c r="H121">
        <f ca="1">COUNTIF(OFFSET('Transect 2_raw'!A2,0,0,D9-B9+1,1),"TURF")</f>
        <v>22</v>
      </c>
      <c r="I121" s="32">
        <f ca="1">(H121/H126)*100</f>
        <v>8.7999999999999989</v>
      </c>
      <c r="J121" s="32">
        <f ca="1">IF(H121=0,0,-1*((H121/B24)*(LN(H121/B24))))</f>
        <v>0</v>
      </c>
      <c r="K121" s="70">
        <f ca="1">IF(H121=0,0,((H121/B24)^2))</f>
        <v>1</v>
      </c>
    </row>
    <row r="122" spans="7:11">
      <c r="G122" s="66" t="s">
        <v>110</v>
      </c>
      <c r="K122" s="71"/>
    </row>
    <row r="123" spans="7:11">
      <c r="G123" s="65" t="s">
        <v>287</v>
      </c>
      <c r="H123">
        <f ca="1">COUNTIF(OFFSET('Transect 2_raw'!A2,0,0,D9-B9+1,1),"Shadow")</f>
        <v>0</v>
      </c>
      <c r="I123" s="32">
        <f ca="1">(H123/SUM(H15:H125))*100</f>
        <v>0</v>
      </c>
      <c r="J123" s="32"/>
      <c r="K123" s="70">
        <f ca="1">IF(H123=0,0,((H123/B25)^2))</f>
        <v>0</v>
      </c>
    </row>
    <row r="124" spans="7:11">
      <c r="G124" s="65" t="s">
        <v>289</v>
      </c>
      <c r="H124">
        <f ca="1">COUNTIF(OFFSET('Transect 2_raw'!A2,0,0,D9-B9+1,1),"Tape")</f>
        <v>0</v>
      </c>
      <c r="I124" s="32">
        <f ca="1">(H124/SUM(H15:H125))*100</f>
        <v>0</v>
      </c>
      <c r="J124" s="32"/>
      <c r="K124" s="70">
        <f ca="1">IF(H124=0,0,((H124/B25)^2))</f>
        <v>0</v>
      </c>
    </row>
    <row r="125" spans="7:11">
      <c r="G125" s="65" t="s">
        <v>291</v>
      </c>
      <c r="H125">
        <f ca="1">COUNTIF(OFFSET('Transect 2_raw'!A2,0,0,D9-B9+1,1),"Wand")</f>
        <v>0</v>
      </c>
      <c r="I125" s="32">
        <f ca="1">(H125/SUM(H15:H125))*100</f>
        <v>0</v>
      </c>
      <c r="J125" s="32"/>
      <c r="K125" s="70">
        <f ca="1">IF(H125=0,0,((H125/B25)^2))</f>
        <v>0</v>
      </c>
    </row>
    <row r="126" spans="7:11" ht="15" thickBot="1">
      <c r="G126" s="74" t="s">
        <v>318</v>
      </c>
      <c r="H126" s="42">
        <f ca="1">SUM(H16:H121)</f>
        <v>250</v>
      </c>
      <c r="I126" s="42">
        <f ca="1">SUM(I16:I121)</f>
        <v>99.999999999999972</v>
      </c>
      <c r="J126" s="41"/>
      <c r="K126" s="75"/>
    </row>
    <row r="127" spans="7:11" ht="15" thickTop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workbookViewId="0">
      <selection activeCell="E7" sqref="E7"/>
    </sheetView>
  </sheetViews>
  <sheetFormatPr baseColWidth="10" defaultColWidth="8.83203125" defaultRowHeight="14" x14ac:dyDescent="0"/>
  <cols>
    <col min="1" max="1" width="32" bestFit="1" customWidth="1"/>
    <col min="2" max="2" width="7.5" customWidth="1"/>
    <col min="3" max="3" width="7.33203125" customWidth="1"/>
    <col min="4" max="4" width="8.6640625" customWidth="1"/>
    <col min="5" max="5" width="12.5" bestFit="1" customWidth="1"/>
    <col min="7" max="7" width="33.83203125" bestFit="1" customWidth="1"/>
    <col min="8" max="8" width="7.5" customWidth="1"/>
    <col min="9" max="9" width="7.1640625" customWidth="1"/>
    <col min="10" max="10" width="8.6640625" customWidth="1"/>
    <col min="11" max="11" width="12.5" bestFit="1" customWidth="1"/>
    <col min="14" max="14" width="0" hidden="1" customWidth="1"/>
  </cols>
  <sheetData>
    <row r="1" spans="1:14">
      <c r="A1" t="s">
        <v>296</v>
      </c>
      <c r="N1">
        <v>9</v>
      </c>
    </row>
    <row r="2" spans="1:14">
      <c r="A2" t="s">
        <v>297</v>
      </c>
      <c r="C2" t="s">
        <v>298</v>
      </c>
      <c r="D2" t="s">
        <v>299</v>
      </c>
      <c r="N2">
        <v>10</v>
      </c>
    </row>
    <row r="3" spans="1:14">
      <c r="A3" t="s">
        <v>300</v>
      </c>
      <c r="N3">
        <v>0</v>
      </c>
    </row>
    <row r="4" spans="1:14">
      <c r="A4" t="s">
        <v>301</v>
      </c>
      <c r="N4">
        <v>0</v>
      </c>
    </row>
    <row r="5" spans="1:14">
      <c r="A5" t="s">
        <v>302</v>
      </c>
      <c r="N5">
        <v>0</v>
      </c>
    </row>
    <row r="6" spans="1:14">
      <c r="A6" t="s">
        <v>303</v>
      </c>
      <c r="N6">
        <v>126</v>
      </c>
    </row>
    <row r="7" spans="1:14">
      <c r="A7" t="s">
        <v>304</v>
      </c>
      <c r="B7">
        <v>5</v>
      </c>
      <c r="D7" s="30" t="s">
        <v>305</v>
      </c>
      <c r="N7">
        <v>16</v>
      </c>
    </row>
    <row r="8" spans="1:14">
      <c r="A8" t="s">
        <v>306</v>
      </c>
      <c r="B8">
        <v>50</v>
      </c>
      <c r="N8">
        <v>25</v>
      </c>
    </row>
    <row r="9" spans="1:14">
      <c r="A9" t="s">
        <v>307</v>
      </c>
      <c r="B9">
        <v>2</v>
      </c>
      <c r="C9" t="s">
        <v>308</v>
      </c>
      <c r="D9">
        <v>251</v>
      </c>
      <c r="N9">
        <v>31</v>
      </c>
    </row>
    <row r="10" spans="1:14">
      <c r="A10" s="31" t="s">
        <v>309</v>
      </c>
      <c r="B10" s="31">
        <f ca="1">COUNTA(OFFSET('Transect 3_raw'!A2,0,0,D9-B9+1,1))</f>
        <v>250</v>
      </c>
      <c r="N10">
        <v>31</v>
      </c>
    </row>
    <row r="11" spans="1:14">
      <c r="A11" t="s">
        <v>310</v>
      </c>
      <c r="N11">
        <v>31</v>
      </c>
    </row>
    <row r="12" spans="1:14">
      <c r="A12" t="s">
        <v>311</v>
      </c>
      <c r="N12">
        <v>29</v>
      </c>
    </row>
    <row r="13" spans="1:14">
      <c r="A13" t="s">
        <v>312</v>
      </c>
      <c r="N13">
        <v>29</v>
      </c>
    </row>
    <row r="14" spans="1:14" ht="15" thickBot="1">
      <c r="N14">
        <v>8</v>
      </c>
    </row>
    <row r="15" spans="1:14" ht="15" thickTop="1">
      <c r="A15" s="78" t="s">
        <v>350</v>
      </c>
      <c r="B15" s="33" t="s">
        <v>314</v>
      </c>
      <c r="C15" s="33" t="s">
        <v>315</v>
      </c>
      <c r="D15" s="33" t="s">
        <v>316</v>
      </c>
      <c r="E15" s="83" t="s">
        <v>317</v>
      </c>
      <c r="G15" s="78" t="s">
        <v>313</v>
      </c>
      <c r="H15" s="33" t="s">
        <v>314</v>
      </c>
      <c r="I15" s="33" t="s">
        <v>315</v>
      </c>
      <c r="J15" s="33" t="s">
        <v>316</v>
      </c>
      <c r="K15" s="83" t="s">
        <v>317</v>
      </c>
      <c r="N15">
        <v>16</v>
      </c>
    </row>
    <row r="16" spans="1:14">
      <c r="A16" s="79" t="s">
        <v>351</v>
      </c>
      <c r="B16" s="35">
        <f ca="1">COUNTIF(OFFSET('Transect 3_raw'!C2,0,0,D9-B9+1,1), "C")</f>
        <v>143</v>
      </c>
      <c r="C16" s="36">
        <f ca="1">(B16/H126)*100</f>
        <v>57.199999999999996</v>
      </c>
      <c r="D16" s="36">
        <f ca="1">SUM(J17:J72)</f>
        <v>2.0813722686114331</v>
      </c>
      <c r="E16" s="84">
        <f ca="1">1-SUM(K17:K72)</f>
        <v>0.79964790454300938</v>
      </c>
      <c r="G16" s="81" t="s">
        <v>97</v>
      </c>
      <c r="K16" s="86"/>
      <c r="N16">
        <v>126</v>
      </c>
    </row>
    <row r="17" spans="1:14">
      <c r="A17" s="80" t="s">
        <v>352</v>
      </c>
      <c r="B17">
        <f ca="1">COUNTIF(OFFSET('Transect 3_raw'!C2,0,0,D9-B9+1,1), "OI")</f>
        <v>0</v>
      </c>
      <c r="C17" s="32">
        <f ca="1">(B17/H126)*100</f>
        <v>0</v>
      </c>
      <c r="D17" s="32">
        <f ca="1">SUM(J74:J85)</f>
        <v>0</v>
      </c>
      <c r="E17" s="85">
        <f ca="1">1-SUM(K74:K85)</f>
        <v>1</v>
      </c>
      <c r="G17" s="80" t="s">
        <v>113</v>
      </c>
      <c r="H17">
        <f ca="1">COUNTIF(OFFSET('Transect 3_raw'!A2,0,0,D9-B9+1,1),"ACAN")</f>
        <v>0</v>
      </c>
      <c r="I17" s="32">
        <f ca="1">(H17/H126)*100</f>
        <v>0</v>
      </c>
      <c r="J17" s="32">
        <f ca="1">IF(H17=0,0,-1*((H17/B16)*(LN(H17/B16))))</f>
        <v>0</v>
      </c>
      <c r="K17" s="85">
        <f ca="1">IF(H17=0,0,((H17/B16)^2))</f>
        <v>0</v>
      </c>
      <c r="N17">
        <v>7</v>
      </c>
    </row>
    <row r="18" spans="1:14">
      <c r="A18" s="79" t="s">
        <v>353</v>
      </c>
      <c r="B18" s="35">
        <f ca="1">COUNTIF(OFFSET('Transect 3_raw'!C2,0,0,D9-B9+1,1), "MA")</f>
        <v>0</v>
      </c>
      <c r="C18" s="36">
        <f ca="1">(B18/H126)*100</f>
        <v>0</v>
      </c>
      <c r="D18" s="36">
        <f ca="1">SUM(J87:J107)</f>
        <v>0</v>
      </c>
      <c r="E18" s="84">
        <f ca="1">1-SUM(K87:K107)</f>
        <v>1</v>
      </c>
      <c r="G18" s="80" t="s">
        <v>115</v>
      </c>
      <c r="H18">
        <f ca="1">COUNTIF(OFFSET('Transect 3_raw'!A2,0,0,D9-B9+1,1),"ACROP")</f>
        <v>7</v>
      </c>
      <c r="I18" s="32">
        <f ca="1">(H18/H126)*100</f>
        <v>2.8000000000000003</v>
      </c>
      <c r="J18" s="32">
        <f ca="1">IF(H18=0,0,-1*((H18/B16)*(LN(H18/B16))))</f>
        <v>0.14768210747155355</v>
      </c>
      <c r="K18" s="85">
        <f ca="1">IF(H18=0,0,((H18/B16)^2))</f>
        <v>2.3962051934079908E-3</v>
      </c>
    </row>
    <row r="19" spans="1:14">
      <c r="A19" s="80" t="s">
        <v>354</v>
      </c>
      <c r="B19">
        <f ca="1">COUNTIF(OFFSET('Transect 3_raw'!C2,0,0,D9-B9+1,1), "BCA")</f>
        <v>0</v>
      </c>
      <c r="C19" s="32">
        <f ca="1">(B19/H126)*100</f>
        <v>0</v>
      </c>
      <c r="D19" s="32">
        <f ca="1">SUM(J109:J111)</f>
        <v>0</v>
      </c>
      <c r="E19" s="85">
        <f ca="1">1-SUM(K109:K111)</f>
        <v>1</v>
      </c>
      <c r="G19" s="80" t="s">
        <v>116</v>
      </c>
      <c r="H19">
        <f ca="1">COUNTIF(OFFSET('Transect 3_raw'!A2,0,0,D9-B9+1,1),"ACROPARB")</f>
        <v>0</v>
      </c>
      <c r="I19" s="32">
        <f ca="1">(H19/H126)*100</f>
        <v>0</v>
      </c>
      <c r="J19" s="32">
        <f ca="1">IF(H19=0,0,-1*((H19/B16)*(LN(H19/B16))))</f>
        <v>0</v>
      </c>
      <c r="K19" s="85">
        <f ca="1">IF(H19=0,0,((H19/B16)^2))</f>
        <v>0</v>
      </c>
    </row>
    <row r="20" spans="1:14">
      <c r="A20" s="79" t="s">
        <v>355</v>
      </c>
      <c r="B20" s="35">
        <f ca="1">COUNTIF(OFFSET('Transect 3_raw'!C2,0,0,D9-B9+1,1), "CCA")</f>
        <v>59</v>
      </c>
      <c r="C20" s="36">
        <f ca="1">(B20/H126)*100</f>
        <v>23.599999999999998</v>
      </c>
      <c r="D20" s="36">
        <f ca="1">SUM(J113:J113)</f>
        <v>0</v>
      </c>
      <c r="E20" s="84">
        <f ca="1">1-SUM(K113:K113)</f>
        <v>0</v>
      </c>
      <c r="G20" s="80" t="s">
        <v>118</v>
      </c>
      <c r="H20">
        <f ca="1">COUNTIF(OFFSET('Transect 3_raw'!A2,0,0,D9-B9+1,1),"ACROST")</f>
        <v>0</v>
      </c>
      <c r="I20" s="32">
        <f ca="1">(H20/H126)*100</f>
        <v>0</v>
      </c>
      <c r="J20" s="32">
        <f ca="1">IF(H20=0,0,-1*((H20/B16)*(LN(H20/B16))))</f>
        <v>0</v>
      </c>
      <c r="K20" s="85">
        <f ca="1">IF(H20=0,0,((H20/B16)^2))</f>
        <v>0</v>
      </c>
    </row>
    <row r="21" spans="1:14">
      <c r="A21" s="80" t="s">
        <v>356</v>
      </c>
      <c r="B21">
        <f ca="1">COUNTIF(OFFSET('Transect 3_raw'!C2,0,0,D9-B9+1,1), "SD")</f>
        <v>0</v>
      </c>
      <c r="C21" s="32">
        <f ca="1">(B21/H126)*100</f>
        <v>0</v>
      </c>
      <c r="D21" s="32">
        <f ca="1">SUM(J115:J115)</f>
        <v>0</v>
      </c>
      <c r="E21" s="85">
        <f ca="1">1-SUM(K115:K115)</f>
        <v>1</v>
      </c>
      <c r="G21" s="80" t="s">
        <v>120</v>
      </c>
      <c r="H21">
        <f ca="1">COUNTIF(OFFSET('Transect 3_raw'!A2,0,0,D9-B9+1,1),"ACROTBL")</f>
        <v>28</v>
      </c>
      <c r="I21" s="32">
        <f ca="1">(H21/H126)*100</f>
        <v>11.200000000000001</v>
      </c>
      <c r="J21" s="32">
        <f ca="1">IF(H21=0,0,-1*((H21/B16)*(LN(H21/B16))))</f>
        <v>0.31928617735924264</v>
      </c>
      <c r="K21" s="85">
        <f ca="1">IF(H21=0,0,((H21/B16)^2))</f>
        <v>3.8339283094527853E-2</v>
      </c>
    </row>
    <row r="22" spans="1:14">
      <c r="A22" s="79" t="s">
        <v>357</v>
      </c>
      <c r="B22" s="35">
        <f ca="1">COUNTIF(OFFSET('Transect 3_raw'!C2,0,0,D9-B9+1,1), "FCA")</f>
        <v>7</v>
      </c>
      <c r="C22" s="36">
        <f ca="1">(B22/H126)*100</f>
        <v>2.8000000000000003</v>
      </c>
      <c r="D22" s="36">
        <f ca="1">SUM(J117:J117)</f>
        <v>0</v>
      </c>
      <c r="E22" s="84">
        <f ca="1">1-SUM(K117:K117)</f>
        <v>0</v>
      </c>
      <c r="G22" s="80" t="s">
        <v>121</v>
      </c>
      <c r="H22">
        <f ca="1">COUNTIF(OFFSET('Transect 3_raw'!A2,0,0,D9-B9+1,1),"ASTRP")</f>
        <v>1</v>
      </c>
      <c r="I22" s="32">
        <f ca="1">(H22/H126)*100</f>
        <v>0.4</v>
      </c>
      <c r="J22" s="32">
        <f ca="1">IF(H22=0,0,-1*((H22/B16)*(LN(H22/B16))))</f>
        <v>3.4705207204614737E-2</v>
      </c>
      <c r="K22" s="85">
        <f ca="1">IF(H22=0,0,((H22/B16)^2))</f>
        <v>4.8902146804244705E-5</v>
      </c>
    </row>
    <row r="23" spans="1:14">
      <c r="A23" s="80" t="s">
        <v>358</v>
      </c>
      <c r="B23">
        <f ca="1">COUNTIF(OFFSET('Transect 3_raw'!C2,0,0,D9-B9+1,1), "CHRYS")</f>
        <v>0</v>
      </c>
      <c r="C23" s="32">
        <f ca="1">(B23/H126)*100</f>
        <v>0</v>
      </c>
      <c r="D23" s="32">
        <f ca="1">SUM(J119:J119)</f>
        <v>0</v>
      </c>
      <c r="E23" s="85">
        <f ca="1">1-SUM(K119:K119)</f>
        <v>1</v>
      </c>
      <c r="G23" s="80" t="s">
        <v>123</v>
      </c>
      <c r="H23">
        <f ca="1">COUNTIF(OFFSET('Transect 3_raw'!A2,0,0,D9-B9+1,1),"CAUL")</f>
        <v>0</v>
      </c>
      <c r="I23" s="32">
        <f ca="1">(H23/H126)*100</f>
        <v>0</v>
      </c>
      <c r="J23" s="32">
        <f ca="1">IF(H23=0,0,-1*((H23/B16)*(LN(H23/B16))))</f>
        <v>0</v>
      </c>
      <c r="K23" s="85">
        <f ca="1">IF(H23=0,0,((H23/B16)^2))</f>
        <v>0</v>
      </c>
    </row>
    <row r="24" spans="1:14">
      <c r="A24" s="79" t="s">
        <v>359</v>
      </c>
      <c r="B24" s="35">
        <f ca="1">COUNTIF(OFFSET('Transect 3_raw'!C2,0,0,D9-B9+1,1), "T")</f>
        <v>41</v>
      </c>
      <c r="C24" s="36">
        <f ca="1">(B24/H126)*100</f>
        <v>16.400000000000002</v>
      </c>
      <c r="D24" s="36">
        <f ca="1">SUM(J121:J121)</f>
        <v>0</v>
      </c>
      <c r="E24" s="84">
        <f ca="1">1-SUM(K121:K121)</f>
        <v>0</v>
      </c>
      <c r="G24" s="80" t="s">
        <v>125</v>
      </c>
      <c r="H24">
        <f ca="1">COUNTIF(OFFSET('Transect 3_raw'!A2,0,0,D9-B9+1,1),"COSC")</f>
        <v>0</v>
      </c>
      <c r="I24" s="32">
        <f ca="1">(H24/H126)*100</f>
        <v>0</v>
      </c>
      <c r="J24" s="32">
        <f ca="1">IF(H24=0,0,-1*((H24/B16)*(LN(H24/B16))))</f>
        <v>0</v>
      </c>
      <c r="K24" s="85">
        <f ca="1">IF(H24=0,0,((H24/B16)^2))</f>
        <v>0</v>
      </c>
    </row>
    <row r="25" spans="1:14">
      <c r="A25" s="80" t="s">
        <v>360</v>
      </c>
      <c r="B25">
        <f ca="1">COUNTIF(OFFSET('Transect 3_raw'!C2,0,0,D9-B9+1,1), "TWS")</f>
        <v>0</v>
      </c>
      <c r="C25" s="32">
        <f ca="1">(B25/B26)*100</f>
        <v>0</v>
      </c>
      <c r="E25" s="86"/>
      <c r="G25" s="80" t="s">
        <v>127</v>
      </c>
      <c r="H25">
        <f ca="1">COUNTIF(OFFSET('Transect 3_raw'!A2,0,0,D9-B9+1,1),"CTEN")</f>
        <v>0</v>
      </c>
      <c r="I25" s="32">
        <f ca="1">(H25/H126)*100</f>
        <v>0</v>
      </c>
      <c r="J25" s="32">
        <f ca="1">IF(H25=0,0,-1*((H25/B16)*(LN(H25/B16))))</f>
        <v>0</v>
      </c>
      <c r="K25" s="85">
        <f ca="1">IF(H25=0,0,((H25/B16)^2))</f>
        <v>0</v>
      </c>
    </row>
    <row r="26" spans="1:14">
      <c r="A26" s="81" t="s">
        <v>361</v>
      </c>
      <c r="B26" s="31">
        <f ca="1">SUM(B16:B25)</f>
        <v>250</v>
      </c>
      <c r="C26" s="37">
        <f ca="1">SUM(C16:C25)-C25</f>
        <v>100</v>
      </c>
      <c r="E26" s="86"/>
      <c r="G26" s="80" t="s">
        <v>129</v>
      </c>
      <c r="H26">
        <f ca="1">COUNTIF(OFFSET('Transect 3_raw'!A2,0,0,D9-B9+1,1),"CYPH")</f>
        <v>0</v>
      </c>
      <c r="I26" s="32">
        <f ca="1">(H26/H126)*100</f>
        <v>0</v>
      </c>
      <c r="J26" s="32">
        <f ca="1">IF(H26=0,0,-1*((H26/B16)*(LN(H26/B16))))</f>
        <v>0</v>
      </c>
      <c r="K26" s="85">
        <f ca="1">IF(H26=0,0,((H26/B16)^2))</f>
        <v>0</v>
      </c>
    </row>
    <row r="27" spans="1:14">
      <c r="A27" s="80"/>
      <c r="E27" s="86"/>
      <c r="G27" s="80" t="s">
        <v>130</v>
      </c>
      <c r="H27">
        <f ca="1">COUNTIF(OFFSET('Transect 3_raw'!A2,0,0,D9-B9+1,1),"DIPLO")</f>
        <v>0</v>
      </c>
      <c r="I27" s="32">
        <f ca="1">(H27/H126)*100</f>
        <v>0</v>
      </c>
      <c r="J27" s="32">
        <f ca="1">IF(H27=0,0,-1*((H27/B16)*(LN(H27/B16))))</f>
        <v>0</v>
      </c>
      <c r="K27" s="85">
        <f ca="1">IF(H27=0,0,((H27/B16)^2))</f>
        <v>0</v>
      </c>
    </row>
    <row r="28" spans="1:14">
      <c r="A28" s="81" t="s">
        <v>362</v>
      </c>
      <c r="E28" s="86"/>
      <c r="G28" s="80" t="s">
        <v>132</v>
      </c>
      <c r="H28">
        <f ca="1">COUNTIF(OFFSET('Transect 3_raw'!A2,0,0,D9-B9+1,1),"ECHPO")</f>
        <v>54</v>
      </c>
      <c r="I28" s="32">
        <f ca="1">(H28/H126)*100</f>
        <v>21.6</v>
      </c>
      <c r="J28" s="32">
        <f ca="1">IF(H28=0,0,-1*((H28/B16)*(LN(H28/B16))))</f>
        <v>0.3677515490878614</v>
      </c>
      <c r="K28" s="85">
        <f ca="1">IF(H28=0,0,((H28/B16)^2))</f>
        <v>0.14259866008117755</v>
      </c>
    </row>
    <row r="29" spans="1:14">
      <c r="A29" s="79" t="s">
        <v>363</v>
      </c>
      <c r="B29" s="35">
        <f t="array" aca="1" ref="B29" ca="1">SUM((OFFSET('Transect 3_raw'!B2,0,0,D9-B9+1,1)="BC") * (OFFSET('Transect 3_raw'!C2,0,0,D9-B9+1,1)&lt;&gt;"TWS"))</f>
        <v>0</v>
      </c>
      <c r="C29" s="36">
        <f ca="1">(B29/H126)*100</f>
        <v>0</v>
      </c>
      <c r="D29" s="35"/>
      <c r="E29" s="87"/>
      <c r="G29" s="80" t="s">
        <v>133</v>
      </c>
      <c r="H29">
        <f ca="1">COUNTIF(OFFSET('Transect 3_raw'!A2,0,0,D9-B9+1,1),"ECHPHY")</f>
        <v>0</v>
      </c>
      <c r="I29" s="32">
        <f ca="1">(H29/H126)*100</f>
        <v>0</v>
      </c>
      <c r="J29" s="32">
        <f ca="1">IF(H29=0,0,-1*((H29/B16)*(LN(H29/B16))))</f>
        <v>0</v>
      </c>
      <c r="K29" s="85">
        <f ca="1">IF(H29=0,0,((H29/B16)^2))</f>
        <v>0</v>
      </c>
    </row>
    <row r="30" spans="1:14">
      <c r="A30" s="81" t="s">
        <v>364</v>
      </c>
      <c r="E30" s="86"/>
      <c r="G30" s="80" t="s">
        <v>135</v>
      </c>
      <c r="H30">
        <f ca="1">COUNTIF(OFFSET('Transect 3_raw'!A2,0,0,D9-B9+1,1),"EUPH")</f>
        <v>0</v>
      </c>
      <c r="I30" s="32">
        <f ca="1">(H30/H126)*100</f>
        <v>0</v>
      </c>
      <c r="J30" s="32">
        <f ca="1">IF(H30=0,0,-1*((H30/B16)*(LN(H30/B16))))</f>
        <v>0</v>
      </c>
      <c r="K30" s="85">
        <f ca="1">IF(H30=0,0,((H30/B16)^2))</f>
        <v>0</v>
      </c>
    </row>
    <row r="31" spans="1:14" ht="15" thickBot="1">
      <c r="A31" s="82" t="s">
        <v>363</v>
      </c>
      <c r="B31" s="39">
        <f ca="1">SUMPRODUCT( (OFFSET('Transect 3_raw'!B2,0,0,D9-B9+1,1)="BC")*( OFFSET('Transect 3_raw'!C2,0,0,D9-B9+1,1)="C"))</f>
        <v>0</v>
      </c>
      <c r="C31" s="40">
        <f ca="1">IF(B16=0,0,(B31/B16)*100)</f>
        <v>0</v>
      </c>
      <c r="D31" s="39"/>
      <c r="E31" s="88"/>
      <c r="G31" s="80" t="s">
        <v>137</v>
      </c>
      <c r="H31">
        <f ca="1">COUNTIF(OFFSET('Transect 3_raw'!A2,0,0,D9-B9+1,1),"FAV")</f>
        <v>1</v>
      </c>
      <c r="I31" s="32">
        <f ca="1">(H31/H126)*100</f>
        <v>0.4</v>
      </c>
      <c r="J31" s="32">
        <f ca="1">IF(H31=0,0,-1*((H31/B16)*(LN(H31/B16))))</f>
        <v>3.4705207204614737E-2</v>
      </c>
      <c r="K31" s="85">
        <f ca="1">IF(H31=0,0,((H31/B16)^2))</f>
        <v>4.8902146804244705E-5</v>
      </c>
    </row>
    <row r="32" spans="1:14" ht="15" thickTop="1">
      <c r="G32" s="80" t="s">
        <v>138</v>
      </c>
      <c r="H32">
        <f ca="1">COUNTIF(OFFSET('Transect 3_raw'!A2,0,0,D9-B9+1,1),"FAVT")</f>
        <v>4</v>
      </c>
      <c r="I32" s="32">
        <f ca="1">(H32/H126)*100</f>
        <v>1.6</v>
      </c>
      <c r="J32" s="32">
        <f ca="1">IF(H32=0,0,-1*((H32/B16)*(LN(H32/B16))))</f>
        <v>0.10004336417174872</v>
      </c>
      <c r="K32" s="85">
        <f ca="1">IF(H32=0,0,((H32/B16)^2))</f>
        <v>7.8243434886791528E-4</v>
      </c>
    </row>
    <row r="33" spans="7:11">
      <c r="G33" s="80" t="s">
        <v>140</v>
      </c>
      <c r="H33">
        <f ca="1">COUNTIF(OFFSET('Transect 3_raw'!A2,0,0,D9-B9+1,1),"FUNG")</f>
        <v>0</v>
      </c>
      <c r="I33" s="32">
        <f ca="1">(H33/H126)*100</f>
        <v>0</v>
      </c>
      <c r="J33" s="32">
        <f ca="1">IF(H33=0,0,-1*((H33/B16)*(LN(H33/B16))))</f>
        <v>0</v>
      </c>
      <c r="K33" s="85">
        <f ca="1">IF(H33=0,0,((H33/B16)^2))</f>
        <v>0</v>
      </c>
    </row>
    <row r="34" spans="7:11">
      <c r="G34" s="80" t="s">
        <v>142</v>
      </c>
      <c r="H34">
        <f ca="1">COUNTIF(OFFSET('Transect 3_raw'!A2,0,0,D9-B9+1,1),"GAL")</f>
        <v>2</v>
      </c>
      <c r="I34" s="32">
        <f ca="1">(H34/H126)*100</f>
        <v>0.8</v>
      </c>
      <c r="J34" s="32">
        <f ca="1">IF(H34=0,0,-1*((H34/B16)*(LN(H34/B16))))</f>
        <v>5.971604824755191E-2</v>
      </c>
      <c r="K34" s="85">
        <f ca="1">IF(H34=0,0,((H34/B16)^2))</f>
        <v>1.9560858721697882E-4</v>
      </c>
    </row>
    <row r="35" spans="7:11">
      <c r="G35" s="80" t="s">
        <v>143</v>
      </c>
      <c r="H35">
        <f ca="1">COUNTIF(OFFSET('Transect 3_raw'!A2,0,0,D9-B9+1,1),"GARD")</f>
        <v>0</v>
      </c>
      <c r="I35" s="32">
        <f ca="1">(H35/H126)*100</f>
        <v>0</v>
      </c>
      <c r="J35" s="32">
        <f ca="1">IF(H35=0,0,-1*((H35/B16)*(LN(H35/B16))))</f>
        <v>0</v>
      </c>
      <c r="K35" s="85">
        <f ca="1">IF(H35=0,0,((H35/B16)^2))</f>
        <v>0</v>
      </c>
    </row>
    <row r="36" spans="7:11">
      <c r="G36" s="80" t="s">
        <v>145</v>
      </c>
      <c r="H36">
        <f ca="1">COUNTIF(OFFSET('Transect 3_raw'!A2,0,0,D9-B9+1,1),"GON")</f>
        <v>5</v>
      </c>
      <c r="I36" s="32">
        <f ca="1">(H36/H126)*100</f>
        <v>2</v>
      </c>
      <c r="J36" s="32">
        <f ca="1">IF(H36=0,0,-1*((H36/B16)*(LN(H36/B16))))</f>
        <v>0.11725198314076249</v>
      </c>
      <c r="K36" s="85">
        <f ca="1">IF(H36=0,0,((H36/B16)^2))</f>
        <v>1.2225536701061179E-3</v>
      </c>
    </row>
    <row r="37" spans="7:11">
      <c r="G37" s="80" t="s">
        <v>146</v>
      </c>
      <c r="H37">
        <f ca="1">COUNTIF(OFFSET('Transect 3_raw'!A2,0,0,D9-B9+1,1),"GONIO")</f>
        <v>1</v>
      </c>
      <c r="I37" s="32">
        <f ca="1">(H37/H126)*100</f>
        <v>0.4</v>
      </c>
      <c r="J37" s="32">
        <f ca="1">IF(H37=0,0,-1*((H37/B16)*(LN(H37/B16))))</f>
        <v>3.4705207204614737E-2</v>
      </c>
      <c r="K37" s="85">
        <f ca="1">IF(H37=0,0,((H37/B16)^2))</f>
        <v>4.8902146804244705E-5</v>
      </c>
    </row>
    <row r="38" spans="7:11">
      <c r="G38" s="80" t="s">
        <v>148</v>
      </c>
      <c r="H38">
        <f ca="1">COUNTIF(OFFSET('Transect 3_raw'!A2,0,0,D9-B9+1,1),"HELIO")</f>
        <v>0</v>
      </c>
      <c r="I38" s="32">
        <f ca="1">(H38/H126)*100</f>
        <v>0</v>
      </c>
      <c r="J38" s="32">
        <f ca="1">IF(H38=0,0,-1*((H38/B16)*(LN(H38/B16))))</f>
        <v>0</v>
      </c>
      <c r="K38" s="85">
        <f ca="1">IF(H38=0,0,((H38/B16)^2))</f>
        <v>0</v>
      </c>
    </row>
    <row r="39" spans="7:11">
      <c r="G39" s="80" t="s">
        <v>150</v>
      </c>
      <c r="H39">
        <f ca="1">COUNTIF(OFFSET('Transect 3_raw'!A2,0,0,D9-B9+1,1),"HERP")</f>
        <v>0</v>
      </c>
      <c r="I39" s="32">
        <f ca="1">(H39/H126)*100</f>
        <v>0</v>
      </c>
      <c r="J39" s="32">
        <f ca="1">IF(H39=0,0,-1*((H39/B16)*(LN(H39/B16))))</f>
        <v>0</v>
      </c>
      <c r="K39" s="85">
        <f ca="1">IF(H39=0,0,((H39/B16)^2))</f>
        <v>0</v>
      </c>
    </row>
    <row r="40" spans="7:11">
      <c r="G40" s="80" t="s">
        <v>152</v>
      </c>
      <c r="H40">
        <f ca="1">COUNTIF(OFFSET('Transect 3_raw'!A2,0,0,D9-B9+1,1),"HYD")</f>
        <v>4</v>
      </c>
      <c r="I40" s="32">
        <f ca="1">(H40/H126)*100</f>
        <v>1.6</v>
      </c>
      <c r="J40" s="32">
        <f ca="1">IF(H40=0,0,-1*((H40/B16)*(LN(H40/B16))))</f>
        <v>0.10004336417174872</v>
      </c>
      <c r="K40" s="85">
        <f ca="1">IF(H40=0,0,((H40/B16)^2))</f>
        <v>7.8243434886791528E-4</v>
      </c>
    </row>
    <row r="41" spans="7:11">
      <c r="G41" s="80" t="s">
        <v>154</v>
      </c>
      <c r="H41">
        <f ca="1">COUNTIF(OFFSET('Transect 3_raw'!A2,0,0,D9-B9+1,1),"ISOP")</f>
        <v>0</v>
      </c>
      <c r="I41" s="32">
        <f ca="1">(H41/H126)*100</f>
        <v>0</v>
      </c>
      <c r="J41" s="32">
        <f ca="1">IF(H41=0,0,-1*((H41/B16)*(LN(H41/B16))))</f>
        <v>0</v>
      </c>
      <c r="K41" s="85">
        <f ca="1">IF(H41=0,0,((H41/B16)^2))</f>
        <v>0</v>
      </c>
    </row>
    <row r="42" spans="7:11">
      <c r="G42" s="80" t="s">
        <v>156</v>
      </c>
      <c r="H42">
        <f ca="1">COUNTIF(OFFSET('Transect 3_raw'!A2,0,0,D9-B9+1,1),"LEPT")</f>
        <v>0</v>
      </c>
      <c r="I42" s="32">
        <f ca="1">(H42/H126)*100</f>
        <v>0</v>
      </c>
      <c r="J42" s="32">
        <f ca="1">IF(H42=0,0,-1*((H42/B16)*(LN(H42/B16))))</f>
        <v>0</v>
      </c>
      <c r="K42" s="85">
        <f ca="1">IF(H42=0,0,((H42/B16)^2))</f>
        <v>0</v>
      </c>
    </row>
    <row r="43" spans="7:11">
      <c r="G43" s="80" t="s">
        <v>158</v>
      </c>
      <c r="H43">
        <f ca="1">COUNTIF(OFFSET('Transect 3_raw'!A2,0,0,D9-B9+1,1),"LEPTOR")</f>
        <v>12</v>
      </c>
      <c r="I43" s="32">
        <f ca="1">(H43/H126)*100</f>
        <v>4.8</v>
      </c>
      <c r="J43" s="32">
        <f ca="1">IF(H43=0,0,-1*((H43/B16)*(LN(H43/B16))))</f>
        <v>0.20793885150813207</v>
      </c>
      <c r="K43" s="85">
        <f ca="1">IF(H43=0,0,((H43/B16)^2))</f>
        <v>7.0419091398112379E-3</v>
      </c>
    </row>
    <row r="44" spans="7:11">
      <c r="G44" s="80" t="s">
        <v>159</v>
      </c>
      <c r="H44">
        <f ca="1">COUNTIF(OFFSET('Transect 3_raw'!A2,0,0,D9-B9+1,1),"LEPTOS")</f>
        <v>0</v>
      </c>
      <c r="I44" s="32">
        <f ca="1">(H44/H126)*100</f>
        <v>0</v>
      </c>
      <c r="J44" s="32">
        <f ca="1">IF(H44=0,0,-1*((H44/B16)*(LN(H44/B16))))</f>
        <v>0</v>
      </c>
      <c r="K44" s="85">
        <f ca="1">IF(H44=0,0,((H44/B16)^2))</f>
        <v>0</v>
      </c>
    </row>
    <row r="45" spans="7:11">
      <c r="G45" s="80" t="s">
        <v>161</v>
      </c>
      <c r="H45">
        <f ca="1">COUNTIF(OFFSET('Transect 3_raw'!A2,0,0,D9-B9+1,1),"LOBOPH")</f>
        <v>0</v>
      </c>
      <c r="I45" s="32">
        <f ca="1">(H45/H126)*100</f>
        <v>0</v>
      </c>
      <c r="J45" s="32">
        <f ca="1">IF(H45=0,0,-1*((H45/B16)*(LN(H45/B16))))</f>
        <v>0</v>
      </c>
      <c r="K45" s="85">
        <f ca="1">IF(H45=0,0,((H45/B16)^2))</f>
        <v>0</v>
      </c>
    </row>
    <row r="46" spans="7:11">
      <c r="G46" s="80" t="s">
        <v>162</v>
      </c>
      <c r="H46">
        <f ca="1">COUNTIF(OFFSET('Transect 3_raw'!A2,0,0,D9-B9+1,1),"MERU")</f>
        <v>0</v>
      </c>
      <c r="I46" s="32">
        <f ca="1">(H46/H126)*100</f>
        <v>0</v>
      </c>
      <c r="J46" s="32">
        <f ca="1">IF(H46=0,0,-1*((H46/B16)*(LN(H46/B16))))</f>
        <v>0</v>
      </c>
      <c r="K46" s="85">
        <f ca="1">IF(H46=0,0,((H46/B16)^2))</f>
        <v>0</v>
      </c>
    </row>
    <row r="47" spans="7:11">
      <c r="G47" s="80" t="s">
        <v>163</v>
      </c>
      <c r="H47">
        <f ca="1">COUNTIF(OFFSET('Transect 3_raw'!A2,0,0,D9-B9+1,1),"MILL")</f>
        <v>1</v>
      </c>
      <c r="I47" s="32">
        <f ca="1">(H47/H126)*100</f>
        <v>0.4</v>
      </c>
      <c r="J47" s="32">
        <f ca="1">IF(H47=0,0,-1*((H47/B16)*(LN(H47/B16))))</f>
        <v>3.4705207204614737E-2</v>
      </c>
      <c r="K47" s="85">
        <f ca="1">IF(H47=0,0,((H47/B16)^2))</f>
        <v>4.8902146804244705E-5</v>
      </c>
    </row>
    <row r="48" spans="7:11">
      <c r="G48" s="80" t="s">
        <v>165</v>
      </c>
      <c r="H48">
        <f ca="1">COUNTIF(OFFSET('Transect 3_raw'!A2,0,0,D9-B9+1,1),"MONT")</f>
        <v>1</v>
      </c>
      <c r="I48" s="32">
        <f ca="1">(H48/H126)*100</f>
        <v>0.4</v>
      </c>
      <c r="J48" s="32">
        <f ca="1">IF(H48=0,0,-1*((H48/B16)*(LN(H48/B16))))</f>
        <v>3.4705207204614737E-2</v>
      </c>
      <c r="K48" s="85">
        <f ca="1">IF(H48=0,0,((H48/B16)^2))</f>
        <v>4.8902146804244705E-5</v>
      </c>
    </row>
    <row r="49" spans="7:11">
      <c r="G49" s="80" t="s">
        <v>167</v>
      </c>
      <c r="H49">
        <f ca="1">COUNTIF(OFFSET('Transect 3_raw'!A2,0,0,D9-B9+1,1),"MONTI")</f>
        <v>0</v>
      </c>
      <c r="I49" s="32">
        <f ca="1">(H49/H126)*100</f>
        <v>0</v>
      </c>
      <c r="J49" s="32">
        <f ca="1">IF(H49=0,0,-1*((H49/B16)*(LN(H49/B16))))</f>
        <v>0</v>
      </c>
      <c r="K49" s="85">
        <f ca="1">IF(H49=0,0,((H49/B16)^2))</f>
        <v>0</v>
      </c>
    </row>
    <row r="50" spans="7:11">
      <c r="G50" s="80" t="s">
        <v>169</v>
      </c>
      <c r="H50">
        <f ca="1">COUNTIF(OFFSET('Transect 3_raw'!A2,0,0,D9-B9+1,1),"MYCED")</f>
        <v>0</v>
      </c>
      <c r="I50" s="32">
        <f ca="1">(H50/H126)*100</f>
        <v>0</v>
      </c>
      <c r="J50" s="32">
        <f ca="1">IF(H50=0,0,-1*((H50/B16)*(LN(H50/B16))))</f>
        <v>0</v>
      </c>
      <c r="K50" s="85">
        <f ca="1">IF(H50=0,0,((H50/B16)^2))</f>
        <v>0</v>
      </c>
    </row>
    <row r="51" spans="7:11">
      <c r="G51" s="80" t="s">
        <v>170</v>
      </c>
      <c r="H51">
        <f ca="1">COUNTIF(OFFSET('Transect 3_raw'!A2,0,0,D9-B9+1,1),"OULO")</f>
        <v>0</v>
      </c>
      <c r="I51" s="32">
        <f ca="1">(H51/H126)*100</f>
        <v>0</v>
      </c>
      <c r="J51" s="32">
        <f ca="1">IF(H51=0,0,-1*((H51/B16)*(LN(H51/B16))))</f>
        <v>0</v>
      </c>
      <c r="K51" s="85">
        <f ca="1">IF(H51=0,0,((H51/B16)^2))</f>
        <v>0</v>
      </c>
    </row>
    <row r="52" spans="7:11">
      <c r="G52" s="80" t="s">
        <v>172</v>
      </c>
      <c r="H52">
        <f ca="1">COUNTIF(OFFSET('Transect 3_raw'!A2,0,0,D9-B9+1,1),"OXYP")</f>
        <v>0</v>
      </c>
      <c r="I52" s="32">
        <f ca="1">(H52/H126)*100</f>
        <v>0</v>
      </c>
      <c r="J52" s="32">
        <f ca="1">IF(H52=0,0,-1*((H52/B16)*(LN(H52/B16))))</f>
        <v>0</v>
      </c>
      <c r="K52" s="85">
        <f ca="1">IF(H52=0,0,((H52/B16)^2))</f>
        <v>0</v>
      </c>
    </row>
    <row r="53" spans="7:11">
      <c r="G53" s="80" t="s">
        <v>174</v>
      </c>
      <c r="H53">
        <f ca="1">COUNTIF(OFFSET('Transect 3_raw'!A2,0,0,D9-B9+1,1),"PLSIA")</f>
        <v>0</v>
      </c>
      <c r="I53" s="32">
        <f ca="1">(H53/H126)*100</f>
        <v>0</v>
      </c>
      <c r="J53" s="32">
        <f ca="1">IF(H53=0,0,-1*((H53/B16)*(LN(H53/B16))))</f>
        <v>0</v>
      </c>
      <c r="K53" s="85">
        <f ca="1">IF(H53=0,0,((H53/B16)^2))</f>
        <v>0</v>
      </c>
    </row>
    <row r="54" spans="7:11">
      <c r="G54" s="80" t="s">
        <v>176</v>
      </c>
      <c r="H54">
        <f ca="1">COUNTIF(OFFSET('Transect 3_raw'!A2,0,0,D9-B9+1,1),"PACHY")</f>
        <v>0</v>
      </c>
      <c r="I54" s="32">
        <f ca="1">(H54/H126)*100</f>
        <v>0</v>
      </c>
      <c r="J54" s="32">
        <f ca="1">IF(H54=0,0,-1*((H54/B16)*(LN(H54/B16))))</f>
        <v>0</v>
      </c>
      <c r="K54" s="85">
        <f ca="1">IF(H54=0,0,((H54/B16)^2))</f>
        <v>0</v>
      </c>
    </row>
    <row r="55" spans="7:11">
      <c r="G55" s="80" t="s">
        <v>177</v>
      </c>
      <c r="H55">
        <f ca="1">COUNTIF(OFFSET('Transect 3_raw'!A2,0,0,D9-B9+1,1),"PAV")</f>
        <v>0</v>
      </c>
      <c r="I55" s="32">
        <f ca="1">(H55/H126)*100</f>
        <v>0</v>
      </c>
      <c r="J55" s="32">
        <f ca="1">IF(H55=0,0,-1*((H55/B16)*(LN(H55/B16))))</f>
        <v>0</v>
      </c>
      <c r="K55" s="85">
        <f ca="1">IF(H55=0,0,((H55/B16)^2))</f>
        <v>0</v>
      </c>
    </row>
    <row r="56" spans="7:11">
      <c r="G56" s="80" t="s">
        <v>179</v>
      </c>
      <c r="H56">
        <f ca="1">COUNTIF(OFFSET('Transect 3_raw'!A2,0,0,D9-B9+1,1),"PECT")</f>
        <v>0</v>
      </c>
      <c r="I56" s="32">
        <f ca="1">(H56/H126)*100</f>
        <v>0</v>
      </c>
      <c r="J56" s="32">
        <f ca="1">IF(H56=0,0,-1*((H56/B16)*(LN(H56/B16))))</f>
        <v>0</v>
      </c>
      <c r="K56" s="85">
        <f ca="1">IF(H56=0,0,((H56/B16)^2))</f>
        <v>0</v>
      </c>
    </row>
    <row r="57" spans="7:11">
      <c r="G57" s="80" t="s">
        <v>181</v>
      </c>
      <c r="H57">
        <f ca="1">COUNTIF(OFFSET('Transect 3_raw'!A2,0,0,D9-B9+1,1),"PHYSO")</f>
        <v>0</v>
      </c>
      <c r="I57" s="32">
        <f ca="1">(H57/H126)*100</f>
        <v>0</v>
      </c>
      <c r="J57" s="32">
        <f ca="1">IF(H57=0,0,-1*((H57/B16)*(LN(H57/B16))))</f>
        <v>0</v>
      </c>
      <c r="K57" s="85">
        <f ca="1">IF(H57=0,0,((H57/B16)^2))</f>
        <v>0</v>
      </c>
    </row>
    <row r="58" spans="7:11">
      <c r="G58" s="80" t="s">
        <v>183</v>
      </c>
      <c r="H58">
        <f ca="1">COUNTIF(OFFSET('Transect 3_raw'!A2,0,0,D9-B9+1,1),"PLAT")</f>
        <v>7</v>
      </c>
      <c r="I58" s="32">
        <f ca="1">(H58/H126)*100</f>
        <v>2.8000000000000003</v>
      </c>
      <c r="J58" s="32">
        <f ca="1">IF(H58=0,0,-1*((H58/B16)*(LN(H58/B16))))</f>
        <v>0.14768210747155355</v>
      </c>
      <c r="K58" s="85">
        <f ca="1">IF(H58=0,0,((H58/B16)^2))</f>
        <v>2.3962051934079908E-3</v>
      </c>
    </row>
    <row r="59" spans="7:11">
      <c r="G59" s="80" t="s">
        <v>184</v>
      </c>
      <c r="H59">
        <f ca="1">COUNTIF(OFFSET('Transect 3_raw'!A2,0,0,D9-B9+1,1),"PLERO")</f>
        <v>0</v>
      </c>
      <c r="I59" s="32">
        <f ca="1">(H59/H126)*100</f>
        <v>0</v>
      </c>
      <c r="J59" s="32">
        <f ca="1">IF(H59=0,0,-1*((H59/B16)*(LN(H59/B16))))</f>
        <v>0</v>
      </c>
      <c r="K59" s="85">
        <f ca="1">IF(H59=0,0,((H59/B16)^2))</f>
        <v>0</v>
      </c>
    </row>
    <row r="60" spans="7:11">
      <c r="G60" s="80" t="s">
        <v>186</v>
      </c>
      <c r="H60">
        <f ca="1">COUNTIF(OFFSET('Transect 3_raw'!A2,0,0,D9-B9+1,1),"POC")</f>
        <v>2</v>
      </c>
      <c r="I60" s="32">
        <f ca="1">(H60/H126)*100</f>
        <v>0.8</v>
      </c>
      <c r="J60" s="32">
        <f ca="1">IF(H60=0,0,-1*((H60/B16)*(LN(H60/B16))))</f>
        <v>5.971604824755191E-2</v>
      </c>
      <c r="K60" s="85">
        <f ca="1">IF(H60=0,0,((H60/B16)^2))</f>
        <v>1.9560858721697882E-4</v>
      </c>
    </row>
    <row r="61" spans="7:11">
      <c r="G61" s="80" t="s">
        <v>188</v>
      </c>
      <c r="H61">
        <f ca="1">COUNTIF(OFFSET('Transect 3_raw'!A2,0,0,D9-B9+1,1),"POR")</f>
        <v>0</v>
      </c>
      <c r="I61" s="32">
        <f ca="1">(H61/H126)*100</f>
        <v>0</v>
      </c>
      <c r="J61" s="32">
        <f ca="1">IF(H61=0,0,-1*((H61/B16)*(LN(H61/B16))))</f>
        <v>0</v>
      </c>
      <c r="K61" s="85">
        <f ca="1">IF(H61=0,0,((H61/B16)^2))</f>
        <v>0</v>
      </c>
    </row>
    <row r="62" spans="7:11">
      <c r="G62" s="80" t="s">
        <v>190</v>
      </c>
      <c r="H62">
        <f ca="1">COUNTIF(OFFSET('Transect 3_raw'!A2,0,0,D9-B9+1,1),"PORCYL")</f>
        <v>0</v>
      </c>
      <c r="I62" s="32">
        <f ca="1">(H62/H126)*100</f>
        <v>0</v>
      </c>
      <c r="J62" s="32">
        <f ca="1">IF(H62=0,0,-1*((H62/B16)*(LN(H62/B16))))</f>
        <v>0</v>
      </c>
      <c r="K62" s="85">
        <f ca="1">IF(H62=0,0,((H62/B16)^2))</f>
        <v>0</v>
      </c>
    </row>
    <row r="63" spans="7:11">
      <c r="G63" s="80" t="s">
        <v>192</v>
      </c>
      <c r="H63">
        <f ca="1">COUNTIF(OFFSET('Transect 3_raw'!A2,0,0,D9-B9+1,1),"PORMAS")</f>
        <v>0</v>
      </c>
      <c r="I63" s="32">
        <f ca="1">(H63/H126)*100</f>
        <v>0</v>
      </c>
      <c r="J63" s="32">
        <f ca="1">IF(H63=0,0,-1*((H63/B16)*(LN(H63/B16))))</f>
        <v>0</v>
      </c>
      <c r="K63" s="85">
        <f ca="1">IF(H63=0,0,((H63/B16)^2))</f>
        <v>0</v>
      </c>
    </row>
    <row r="64" spans="7:11">
      <c r="G64" s="80" t="s">
        <v>194</v>
      </c>
      <c r="H64">
        <f ca="1">COUNTIF(OFFSET('Transect 3_raw'!A2,0,0,D9-B9+1,1),"PORRUS")</f>
        <v>7</v>
      </c>
      <c r="I64" s="32">
        <f ca="1">(H64/H126)*100</f>
        <v>2.8000000000000003</v>
      </c>
      <c r="J64" s="32">
        <f ca="1">IF(H64=0,0,-1*((H64/B16)*(LN(H64/B16))))</f>
        <v>0.14768210747155355</v>
      </c>
      <c r="K64" s="85">
        <f ca="1">IF(H64=0,0,((H64/B16)^2))</f>
        <v>2.3962051934079908E-3</v>
      </c>
    </row>
    <row r="65" spans="7:11">
      <c r="G65" s="80" t="s">
        <v>195</v>
      </c>
      <c r="H65">
        <f ca="1">COUNTIF(OFFSET('Transect 3_raw'!A2,0,0,D9-B9+1,1),"PSAM")</f>
        <v>0</v>
      </c>
      <c r="I65" s="32">
        <f ca="1">(H65/H126)*100</f>
        <v>0</v>
      </c>
      <c r="J65" s="32">
        <f ca="1">IF(H65=0,0,-1*((H65/B16)*(LN(H65/B16))))</f>
        <v>0</v>
      </c>
      <c r="K65" s="85">
        <f ca="1">IF(H65=0,0,((H65/B16)^2))</f>
        <v>0</v>
      </c>
    </row>
    <row r="66" spans="7:11">
      <c r="G66" s="80" t="s">
        <v>197</v>
      </c>
      <c r="H66">
        <f ca="1">COUNTIF(OFFSET('Transect 3_raw'!A2,0,0,D9-B9+1,1),"SANDO")</f>
        <v>0</v>
      </c>
      <c r="I66" s="32">
        <f ca="1">(H66/H126)*100</f>
        <v>0</v>
      </c>
      <c r="J66" s="32">
        <f ca="1">IF(H66=0,0,-1*((H66/B16)*(LN(H66/B16))))</f>
        <v>0</v>
      </c>
      <c r="K66" s="85">
        <f ca="1">IF(H66=0,0,((H66/B16)^2))</f>
        <v>0</v>
      </c>
    </row>
    <row r="67" spans="7:11">
      <c r="G67" s="80" t="s">
        <v>199</v>
      </c>
      <c r="H67">
        <f ca="1">COUNTIF(OFFSET('Transect 3_raw'!A2,0,0,D9-B9+1,1),"SCAP")</f>
        <v>0</v>
      </c>
      <c r="I67" s="32">
        <f ca="1">(H67/H126)*100</f>
        <v>0</v>
      </c>
      <c r="J67" s="32">
        <f ca="1">IF(H67=0,0,-1*((H67/B16)*(LN(H67/B16))))</f>
        <v>0</v>
      </c>
      <c r="K67" s="85">
        <f ca="1">IF(H67=0,0,((H67/B16)^2))</f>
        <v>0</v>
      </c>
    </row>
    <row r="68" spans="7:11">
      <c r="G68" s="80" t="s">
        <v>201</v>
      </c>
      <c r="H68">
        <f ca="1">COUNTIF(OFFSET('Transect 3_raw'!A2,0,0,D9-B9+1,1),"SERIA")</f>
        <v>0</v>
      </c>
      <c r="I68" s="32">
        <f ca="1">(H68/H126)*100</f>
        <v>0</v>
      </c>
      <c r="J68" s="32">
        <f ca="1">IF(H68=0,0,-1*((H68/B16)*(LN(H68/B16))))</f>
        <v>0</v>
      </c>
      <c r="K68" s="85">
        <f ca="1">IF(H68=0,0,((H68/B16)^2))</f>
        <v>0</v>
      </c>
    </row>
    <row r="69" spans="7:11">
      <c r="G69" s="80" t="s">
        <v>203</v>
      </c>
      <c r="H69">
        <f ca="1">COUNTIF(OFFSET('Transect 3_raw'!A2,0,0,D9-B9+1,1),"STYLC")</f>
        <v>0</v>
      </c>
      <c r="I69" s="32">
        <f ca="1">(H69/H126)*100</f>
        <v>0</v>
      </c>
      <c r="J69" s="32">
        <f ca="1">IF(H69=0,0,-1*((H69/B16)*(LN(H69/B16))))</f>
        <v>0</v>
      </c>
      <c r="K69" s="85">
        <f ca="1">IF(H69=0,0,((H69/B16)^2))</f>
        <v>0</v>
      </c>
    </row>
    <row r="70" spans="7:11">
      <c r="G70" s="80" t="s">
        <v>205</v>
      </c>
      <c r="H70">
        <f ca="1">COUNTIF(OFFSET('Transect 3_raw'!A2,0,0,D9-B9+1,1),"STYLO")</f>
        <v>6</v>
      </c>
      <c r="I70" s="32">
        <f ca="1">(H70/H126)*100</f>
        <v>2.4</v>
      </c>
      <c r="J70" s="32">
        <f ca="1">IF(H70=0,0,-1*((H70/B16)*(LN(H70/B16))))</f>
        <v>0.13305252423909872</v>
      </c>
      <c r="K70" s="85">
        <f ca="1">IF(H70=0,0,((H70/B16)^2))</f>
        <v>1.7604772849528095E-3</v>
      </c>
    </row>
    <row r="71" spans="7:11">
      <c r="G71" s="80" t="s">
        <v>206</v>
      </c>
      <c r="H71">
        <f ca="1">COUNTIF(OFFSET('Transect 3_raw'!A2,0,0,D9-B9+1,1),"SYMP")</f>
        <v>0</v>
      </c>
      <c r="I71" s="32">
        <f ca="1">(H71/H126)*100</f>
        <v>0</v>
      </c>
      <c r="J71" s="32">
        <f ca="1">IF(H71=0,0,-1*((H71/B16)*(LN(H71/B16))))</f>
        <v>0</v>
      </c>
      <c r="K71" s="85">
        <f ca="1">IF(H71=0,0,((H71/B16)^2))</f>
        <v>0</v>
      </c>
    </row>
    <row r="72" spans="7:11">
      <c r="G72" s="80" t="s">
        <v>208</v>
      </c>
      <c r="H72">
        <f ca="1">COUNTIF(OFFSET('Transect 3_raw'!A2,0,0,D9-B9+1,1),"TURBIN")</f>
        <v>0</v>
      </c>
      <c r="I72" s="32">
        <f ca="1">(H72/H126)*100</f>
        <v>0</v>
      </c>
      <c r="J72" s="32">
        <f ca="1">IF(H72=0,0,-1*((H72/B16)*(LN(H72/B16))))</f>
        <v>0</v>
      </c>
      <c r="K72" s="85">
        <f ca="1">IF(H72=0,0,((H72/B16)^2))</f>
        <v>0</v>
      </c>
    </row>
    <row r="73" spans="7:11">
      <c r="G73" s="81" t="s">
        <v>98</v>
      </c>
      <c r="K73" s="86"/>
    </row>
    <row r="74" spans="7:11">
      <c r="G74" s="80" t="s">
        <v>210</v>
      </c>
      <c r="H74">
        <f ca="1">COUNTIF(OFFSET('Transect 3_raw'!A2,0,0,D9-B9+1,1),"ANEM")</f>
        <v>0</v>
      </c>
      <c r="I74" s="32">
        <f ca="1">(H74/H126)*100</f>
        <v>0</v>
      </c>
      <c r="J74" s="32">
        <f ca="1">IF(H74=0,0,-1*((H74/B17)*(LN(H74/B17))))</f>
        <v>0</v>
      </c>
      <c r="K74" s="85">
        <f ca="1">IF(H74=0,0,((H74/B17)^2))</f>
        <v>0</v>
      </c>
    </row>
    <row r="75" spans="7:11">
      <c r="G75" s="80" t="s">
        <v>212</v>
      </c>
      <c r="H75">
        <f ca="1">COUNTIF(OFFSET('Transect 3_raw'!A2,0,0,D9-B9+1,1),"ASC")</f>
        <v>0</v>
      </c>
      <c r="I75" s="32">
        <f ca="1">(H75/H126)*100</f>
        <v>0</v>
      </c>
      <c r="J75" s="32">
        <f ca="1">IF(H75=0,0,-1*((H75/B17)*(LN(H75/B17))))</f>
        <v>0</v>
      </c>
      <c r="K75" s="85">
        <f ca="1">IF(H75=0,0,((H75/B17)^2))</f>
        <v>0</v>
      </c>
    </row>
    <row r="76" spans="7:11">
      <c r="G76" s="80" t="s">
        <v>214</v>
      </c>
      <c r="H76">
        <f ca="1">COUNTIF(OFFSET('Transect 3_raw'!A2,0,0,D9-B9+1,1),"CUPS")</f>
        <v>0</v>
      </c>
      <c r="I76" s="32">
        <f ca="1">(H76/H126)*100</f>
        <v>0</v>
      </c>
      <c r="J76" s="32">
        <f ca="1">IF(H76=0,0,-1*((H76/B17)*(LN(H76/B17))))</f>
        <v>0</v>
      </c>
      <c r="K76" s="85">
        <f ca="1">IF(H76=0,0,((H76/B17)^2))</f>
        <v>0</v>
      </c>
    </row>
    <row r="77" spans="7:11">
      <c r="G77" s="80" t="s">
        <v>216</v>
      </c>
      <c r="H77">
        <f ca="1">COUNTIF(OFFSET('Transect 3_raw'!A2,0,0,D9-B9+1,1),"DISCO")</f>
        <v>0</v>
      </c>
      <c r="I77" s="32">
        <f ca="1">(H77/H126)*100</f>
        <v>0</v>
      </c>
      <c r="J77" s="32">
        <f ca="1">IF(H77=0,0,-1*((H77/B17)*(LN(H77/B17))))</f>
        <v>0</v>
      </c>
      <c r="K77" s="85">
        <f ca="1">IF(H77=0,0,((H77/B17)^2))</f>
        <v>0</v>
      </c>
    </row>
    <row r="78" spans="7:11">
      <c r="G78" s="80" t="s">
        <v>218</v>
      </c>
      <c r="H78">
        <f ca="1">COUNTIF(OFFSET('Transect 3_raw'!A2,0,0,D9-B9+1,1),"DYS")</f>
        <v>0</v>
      </c>
      <c r="I78" s="32">
        <f ca="1">(H78/H126)*100</f>
        <v>0</v>
      </c>
      <c r="J78" s="32">
        <f ca="1">IF(H78=0,0,-1*((H78/B17)*(LN(H78/B17))))</f>
        <v>0</v>
      </c>
      <c r="K78" s="85">
        <f ca="1">IF(H78=0,0,((H78/B17)^2))</f>
        <v>0</v>
      </c>
    </row>
    <row r="79" spans="7:11">
      <c r="G79" s="80" t="s">
        <v>220</v>
      </c>
      <c r="H79">
        <f ca="1">COUNTIF(OFFSET('Transect 3_raw'!A2,0,0,D9-B9+1,1),"G")</f>
        <v>0</v>
      </c>
      <c r="I79" s="32">
        <f ca="1">(H79/H126)*100</f>
        <v>0</v>
      </c>
      <c r="J79" s="32">
        <f ca="1">IF(H79=0,0,-1*((H79/B17)*(LN(H79/B17))))</f>
        <v>0</v>
      </c>
      <c r="K79" s="85">
        <f ca="1">IF(H79=0,0,((H79/B17)^2))</f>
        <v>0</v>
      </c>
    </row>
    <row r="80" spans="7:11">
      <c r="G80" s="80" t="s">
        <v>222</v>
      </c>
      <c r="H80">
        <f ca="1">COUNTIF(OFFSET('Transect 3_raw'!A2,0,0,D9-B9+1,1),"NoIDINV")</f>
        <v>0</v>
      </c>
      <c r="I80" s="32">
        <f ca="1">(H80/H126)*100</f>
        <v>0</v>
      </c>
      <c r="J80" s="32">
        <f ca="1">IF(H80=0,0,-1*((H80/B17)*(LN(H80/B17))))</f>
        <v>0</v>
      </c>
      <c r="K80" s="85">
        <f ca="1">IF(H80=0,0,((H80/B17)^2))</f>
        <v>0</v>
      </c>
    </row>
    <row r="81" spans="7:11">
      <c r="G81" s="80" t="s">
        <v>224</v>
      </c>
      <c r="H81">
        <f ca="1">COUNTIF(OFFSET('Transect 3_raw'!A2,0,0,D9-B9+1,1),"OLV")</f>
        <v>0</v>
      </c>
      <c r="I81" s="32">
        <f ca="1">(H81/H126)*100</f>
        <v>0</v>
      </c>
      <c r="J81" s="32">
        <f ca="1">IF(H81=0,0,-1*((H81/B17)*(LN(H81/B17))))</f>
        <v>0</v>
      </c>
      <c r="K81" s="85">
        <f ca="1">IF(H81=0,0,((H81/B17)^2))</f>
        <v>0</v>
      </c>
    </row>
    <row r="82" spans="7:11">
      <c r="G82" s="80" t="s">
        <v>226</v>
      </c>
      <c r="H82">
        <f ca="1">COUNTIF(OFFSET('Transect 3_raw'!A2,0,0,D9-B9+1,1),"SC")</f>
        <v>0</v>
      </c>
      <c r="I82" s="32">
        <f ca="1">(H82/H126)*100</f>
        <v>0</v>
      </c>
      <c r="J82" s="32">
        <f ca="1">IF(H82=0,0,-1*((H82/B17)*(LN(H82/B17))))</f>
        <v>0</v>
      </c>
      <c r="K82" s="85">
        <f ca="1">IF(H82=0,0,((H82/B17)^2))</f>
        <v>0</v>
      </c>
    </row>
    <row r="83" spans="7:11">
      <c r="G83" s="80" t="s">
        <v>228</v>
      </c>
      <c r="H83">
        <f ca="1">COUNTIF(OFFSET('Transect 3_raw'!A2,0,0,D9-B9+1,1),"S")</f>
        <v>0</v>
      </c>
      <c r="I83" s="32">
        <f ca="1">(H83/H126)*100</f>
        <v>0</v>
      </c>
      <c r="J83" s="32">
        <f ca="1">IF(H83=0,0,-1*((H83/B17)*(LN(H83/B17))))</f>
        <v>0</v>
      </c>
      <c r="K83" s="85">
        <f ca="1">IF(H83=0,0,((H83/B17)^2))</f>
        <v>0</v>
      </c>
    </row>
    <row r="84" spans="7:11">
      <c r="G84" s="80" t="s">
        <v>230</v>
      </c>
      <c r="H84">
        <f ca="1">COUNTIF(OFFSET('Transect 3_raw'!A2,0,0,D9-B9+1,1),"TERPS")</f>
        <v>0</v>
      </c>
      <c r="I84" s="32">
        <f ca="1">(H84/H126)*100</f>
        <v>0</v>
      </c>
      <c r="J84" s="32">
        <f ca="1">IF(H84=0,0,-1*((H84/B17)*(LN(H84/B17))))</f>
        <v>0</v>
      </c>
      <c r="K84" s="85">
        <f ca="1">IF(H84=0,0,((H84/B17)^2))</f>
        <v>0</v>
      </c>
    </row>
    <row r="85" spans="7:11">
      <c r="G85" s="80" t="s">
        <v>232</v>
      </c>
      <c r="H85">
        <f ca="1">COUNTIF(OFFSET('Transect 3_raw'!A2,0,0,D9-B9+1,1),"Z")</f>
        <v>0</v>
      </c>
      <c r="I85" s="32">
        <f ca="1">(H85/H126)*100</f>
        <v>0</v>
      </c>
      <c r="J85" s="32">
        <f ca="1">IF(H85=0,0,-1*((H85/B17)*(LN(H85/B17))))</f>
        <v>0</v>
      </c>
      <c r="K85" s="85">
        <f ca="1">IF(H85=0,0,((H85/B17)^2))</f>
        <v>0</v>
      </c>
    </row>
    <row r="86" spans="7:11">
      <c r="G86" s="81" t="s">
        <v>100</v>
      </c>
      <c r="K86" s="86"/>
    </row>
    <row r="87" spans="7:11">
      <c r="G87" s="80" t="s">
        <v>234</v>
      </c>
      <c r="H87">
        <f ca="1">COUNTIF(OFFSET('Transect 3_raw'!A2,0,0,D9-B9+1,1),"ASP")</f>
        <v>0</v>
      </c>
      <c r="I87" s="32">
        <f ca="1">(H87/H126)*100</f>
        <v>0</v>
      </c>
      <c r="J87" s="32">
        <f ca="1">IF(H87=0,0,-1*((H87/B18)*(LN(H87/B18))))</f>
        <v>0</v>
      </c>
      <c r="K87" s="85">
        <f ca="1">IF(H87=0,0,((H87/B18)^2))</f>
        <v>0</v>
      </c>
    </row>
    <row r="88" spans="7:11">
      <c r="G88" s="80" t="s">
        <v>236</v>
      </c>
      <c r="H88">
        <f ca="1">COUNTIF(OFFSET('Transect 3_raw'!A2,0,0,D9-B9+1,1),"BG")</f>
        <v>0</v>
      </c>
      <c r="I88" s="32">
        <f ca="1">(H88/H126)*100</f>
        <v>0</v>
      </c>
      <c r="J88" s="32">
        <f ca="1">IF(H88=0,0,-1*((H88/B18)*(LN(H88/B18))))</f>
        <v>0</v>
      </c>
      <c r="K88" s="85">
        <f ca="1">IF(H88=0,0,((H88/B18)^2))</f>
        <v>0</v>
      </c>
    </row>
    <row r="89" spans="7:11">
      <c r="G89" s="80" t="s">
        <v>238</v>
      </c>
      <c r="H89">
        <f ca="1">COUNTIF(OFFSET('Transect 3_raw'!A2,0,0,D9-B9+1,1),"Bood")</f>
        <v>0</v>
      </c>
      <c r="I89" s="32">
        <f ca="1">(H89/H126)*100</f>
        <v>0</v>
      </c>
      <c r="J89" s="32">
        <f ca="1">IF(H89=0,0,-1*((H89/B18)*(LN(H89/B18))))</f>
        <v>0</v>
      </c>
      <c r="K89" s="85">
        <f ca="1">IF(H89=0,0,((H89/B18)^2))</f>
        <v>0</v>
      </c>
    </row>
    <row r="90" spans="7:11">
      <c r="G90" s="80" t="s">
        <v>240</v>
      </c>
      <c r="H90">
        <f ca="1">COUNTIF(OFFSET('Transect 3_raw'!A2,0,0,D9-B9+1,1),"BRYP")</f>
        <v>0</v>
      </c>
      <c r="I90" s="32">
        <f ca="1">(H90/H126)*100</f>
        <v>0</v>
      </c>
      <c r="J90" s="32">
        <f ca="1">IF(H90=0,0,-1*((H90/B18)*(LN(H90/B18))))</f>
        <v>0</v>
      </c>
      <c r="K90" s="85">
        <f ca="1">IF(H90=0,0,((H90/B18)^2))</f>
        <v>0</v>
      </c>
    </row>
    <row r="91" spans="7:11">
      <c r="G91" s="80" t="s">
        <v>242</v>
      </c>
      <c r="H91">
        <f ca="1">COUNTIF(OFFSET('Transect 3_raw'!A2,0,0,D9-B9+1,1),"CLP")</f>
        <v>0</v>
      </c>
      <c r="I91" s="32">
        <f ca="1">(H91/H126)*100</f>
        <v>0</v>
      </c>
      <c r="J91" s="32">
        <f ca="1">IF(H91=0,0,-1*((H91/B18)*(LN(H91/B18))))</f>
        <v>0</v>
      </c>
      <c r="K91" s="85">
        <f ca="1">IF(H91=0,0,((H91/B18)^2))</f>
        <v>0</v>
      </c>
    </row>
    <row r="92" spans="7:11">
      <c r="G92" s="80" t="s">
        <v>244</v>
      </c>
      <c r="H92">
        <f ca="1">COUNTIF(OFFSET('Transect 3_raw'!A2,0,0,D9-B9+1,1),"CHLDES")</f>
        <v>0</v>
      </c>
      <c r="I92" s="32">
        <f ca="1">(H92/H126)*100</f>
        <v>0</v>
      </c>
      <c r="J92" s="32">
        <f ca="1">IF(H92=0,0,-1*((H92/B18)*(LN(H92/B18))))</f>
        <v>0</v>
      </c>
      <c r="K92" s="85">
        <f ca="1">IF(H92=0,0,((H92/B18)^2))</f>
        <v>0</v>
      </c>
    </row>
    <row r="93" spans="7:11">
      <c r="G93" s="80" t="s">
        <v>246</v>
      </c>
      <c r="H93">
        <f ca="1">COUNTIF(OFFSET('Transect 3_raw'!A2,0,0,D9-B9+1,1),"DYCTY")</f>
        <v>0</v>
      </c>
      <c r="I93" s="32">
        <f ca="1">(H93/H126)*100</f>
        <v>0</v>
      </c>
      <c r="J93" s="32">
        <f ca="1">IF(H93=0,0,-1*((H93/B18)*(LN(H93/B18))))</f>
        <v>0</v>
      </c>
      <c r="K93" s="85">
        <f ca="1">IF(H93=0,0,((H93/B18)^2))</f>
        <v>0</v>
      </c>
    </row>
    <row r="94" spans="7:11">
      <c r="G94" s="80" t="s">
        <v>248</v>
      </c>
      <c r="H94">
        <f ca="1">COUNTIF(OFFSET('Transect 3_raw'!A2,0,0,D9-B9+1,1),"DICT")</f>
        <v>0</v>
      </c>
      <c r="I94" s="32">
        <f ca="1">(H94/H126)*100</f>
        <v>0</v>
      </c>
      <c r="J94" s="32">
        <f ca="1">IF(H94=0,0,-1*((H94/B18)*(LN(H94/B18))))</f>
        <v>0</v>
      </c>
      <c r="K94" s="85">
        <f ca="1">IF(H94=0,0,((H94/B18)^2))</f>
        <v>0</v>
      </c>
    </row>
    <row r="95" spans="7:11">
      <c r="G95" s="80" t="s">
        <v>250</v>
      </c>
      <c r="H95">
        <f ca="1">COUNTIF(OFFSET('Transect 3_raw'!A2,0,0,D9-B9+1,1),"GLXU")</f>
        <v>0</v>
      </c>
      <c r="I95" s="32">
        <f ca="1">(H95/H126)*100</f>
        <v>0</v>
      </c>
      <c r="J95" s="32">
        <f ca="1">IF(H95=0,0,-1*((H95/B18)*(LN(H95/B18))))</f>
        <v>0</v>
      </c>
      <c r="K95" s="85">
        <f ca="1">IF(H95=0,0,((H95/B18)^2))</f>
        <v>0</v>
      </c>
    </row>
    <row r="96" spans="7:11">
      <c r="G96" s="80" t="s">
        <v>252</v>
      </c>
      <c r="H96">
        <f ca="1">COUNTIF(OFFSET('Transect 3_raw'!A2,0,0,D9-B9+1,1),"HALI")</f>
        <v>0</v>
      </c>
      <c r="I96" s="32">
        <f ca="1">(H96/H126)*100</f>
        <v>0</v>
      </c>
      <c r="J96" s="32">
        <f ca="1">IF(H96=0,0,-1*((H96/B18)*(LN(H96/B18))))</f>
        <v>0</v>
      </c>
      <c r="K96" s="85">
        <f ca="1">IF(H96=0,0,((H96/B18)^2))</f>
        <v>0</v>
      </c>
    </row>
    <row r="97" spans="7:11">
      <c r="G97" s="80" t="s">
        <v>254</v>
      </c>
      <c r="H97">
        <f ca="1">COUNTIF(OFFSET('Transect 3_raw'!A2,0,0,D9-B9+1,1),"LIAG")</f>
        <v>0</v>
      </c>
      <c r="I97" s="32">
        <f ca="1">(H97/H126)*100</f>
        <v>0</v>
      </c>
      <c r="J97" s="32">
        <f ca="1">IF(H97=0,0,-1*((H97/B18)*(LN(H97/B18))))</f>
        <v>0</v>
      </c>
      <c r="K97" s="85">
        <f ca="1">IF(H97=0,0,((H97/B18)^2))</f>
        <v>0</v>
      </c>
    </row>
    <row r="98" spans="7:11">
      <c r="G98" s="80" t="s">
        <v>256</v>
      </c>
      <c r="H98">
        <f ca="1">COUNTIF(OFFSET('Transect 3_raw'!A2,0,0,D9-B9+1,1),"LOBO")</f>
        <v>0</v>
      </c>
      <c r="I98" s="32">
        <f ca="1">(H98/H126)*100</f>
        <v>0</v>
      </c>
      <c r="J98" s="32">
        <f ca="1">IF(H98=0,0,-1*((H98/B18)*(LN(H98/B18))))</f>
        <v>0</v>
      </c>
      <c r="K98" s="85">
        <f ca="1">IF(H98=0,0,((H98/B18)^2))</f>
        <v>0</v>
      </c>
    </row>
    <row r="99" spans="7:11">
      <c r="G99" s="80" t="s">
        <v>258</v>
      </c>
      <c r="H99">
        <f ca="1">COUNTIF(OFFSET('Transect 3_raw'!A2,0,0,D9-B9+1,1),"MAST")</f>
        <v>0</v>
      </c>
      <c r="I99" s="32">
        <f ca="1">(H99/H126)*100</f>
        <v>0</v>
      </c>
      <c r="J99" s="32">
        <f ca="1">IF(H99=0,0,-1*((H99/B18)*(LN(H99/B18))))</f>
        <v>0</v>
      </c>
      <c r="K99" s="85">
        <f ca="1">IF(H99=0,0,((H99/B18)^2))</f>
        <v>0</v>
      </c>
    </row>
    <row r="100" spans="7:11">
      <c r="G100" s="80" t="s">
        <v>260</v>
      </c>
      <c r="H100">
        <f ca="1">COUNTIF(OFFSET('Transect 3_raw'!A2,0,0,D9-B9+1,1),"MICDTY")</f>
        <v>0</v>
      </c>
      <c r="I100" s="32">
        <f ca="1">(H100/H126)*100</f>
        <v>0</v>
      </c>
      <c r="J100" s="32">
        <f ca="1">IF(H100=0,0,-1*((H100/B18)*(LN(H100/B18))))</f>
        <v>0</v>
      </c>
      <c r="K100" s="85">
        <f ca="1">IF(H100=0,0,((H100/B18)^2))</f>
        <v>0</v>
      </c>
    </row>
    <row r="101" spans="7:11">
      <c r="G101" s="80" t="s">
        <v>262</v>
      </c>
      <c r="H101">
        <f ca="1">COUNTIF(OFFSET('Transect 3_raw'!A2,0,0,D9-B9+1,1),"NEOM")</f>
        <v>0</v>
      </c>
      <c r="I101" s="32">
        <f ca="1">(H101/H126)*100</f>
        <v>0</v>
      </c>
      <c r="J101" s="32">
        <f ca="1">IF(H101=0,0,-1*((H101/B18)*(LN(H101/B18))))</f>
        <v>0</v>
      </c>
      <c r="K101" s="85">
        <f ca="1">IF(H101=0,0,((H101/B18)^2))</f>
        <v>0</v>
      </c>
    </row>
    <row r="102" spans="7:11">
      <c r="G102" s="80" t="s">
        <v>264</v>
      </c>
      <c r="H102">
        <f ca="1">COUNTIF(OFFSET('Transect 3_raw'!A2,0,0,D9-B9+1,1),"NOIDMAC")</f>
        <v>0</v>
      </c>
      <c r="I102" s="32">
        <f ca="1">(H102/H126)*100</f>
        <v>0</v>
      </c>
      <c r="J102" s="32">
        <f ca="1">IF(H102=0,0,-1*((H102/B18)*(LN(H102/B18))))</f>
        <v>0</v>
      </c>
      <c r="K102" s="85">
        <f ca="1">IF(H102=0,0,((H102/B18)^2))</f>
        <v>0</v>
      </c>
    </row>
    <row r="103" spans="7:11">
      <c r="G103" s="80" t="s">
        <v>266</v>
      </c>
      <c r="H103">
        <f ca="1">COUNTIF(OFFSET('Transect 3_raw'!A2,0,0,D9-B9+1,1),"PAD")</f>
        <v>0</v>
      </c>
      <c r="I103" s="32">
        <f ca="1">(H103/H126)*100</f>
        <v>0</v>
      </c>
      <c r="J103" s="32">
        <f ca="1">IF(H103=0,0,-1*((H103/B18)*(LN(H103/B18))))</f>
        <v>0</v>
      </c>
      <c r="K103" s="85">
        <f ca="1">IF(H103=0,0,((H103/B18)^2))</f>
        <v>0</v>
      </c>
    </row>
    <row r="104" spans="7:11">
      <c r="G104" s="80" t="s">
        <v>268</v>
      </c>
      <c r="H104">
        <f ca="1">COUNTIF(OFFSET('Transect 3_raw'!A2,0,0,D9-B9+1,1),"SARG")</f>
        <v>0</v>
      </c>
      <c r="I104" s="32">
        <f ca="1">(H104/H126)*100</f>
        <v>0</v>
      </c>
      <c r="J104" s="32">
        <f ca="1">IF(H104=0,0,-1*((H104/B18)*(LN(H104/B18))))</f>
        <v>0</v>
      </c>
      <c r="K104" s="85">
        <f ca="1">IF(H104=0,0,((H104/B18)^2))</f>
        <v>0</v>
      </c>
    </row>
    <row r="105" spans="7:11">
      <c r="G105" s="80" t="s">
        <v>270</v>
      </c>
      <c r="H105">
        <f ca="1">COUNTIF(OFFSET('Transect 3_raw'!A2,0,0,D9-B9+1,1),"SCHIZ")</f>
        <v>0</v>
      </c>
      <c r="I105" s="32">
        <f ca="1">(H105/H126)*100</f>
        <v>0</v>
      </c>
      <c r="J105" s="32">
        <f ca="1">IF(H105=0,0,-1*((H105/B18)*(LN(H105/B18))))</f>
        <v>0</v>
      </c>
      <c r="K105" s="85">
        <f ca="1">IF(H105=0,0,((H105/B18)^2))</f>
        <v>0</v>
      </c>
    </row>
    <row r="106" spans="7:11">
      <c r="G106" s="80" t="s">
        <v>272</v>
      </c>
      <c r="H106">
        <f ca="1">COUNTIF(OFFSET('Transect 3_raw'!A2,0,0,D9-B9+1,1),"TURB")</f>
        <v>0</v>
      </c>
      <c r="I106" s="32">
        <f ca="1">(H106/H126)*100</f>
        <v>0</v>
      </c>
      <c r="J106" s="32">
        <f ca="1">IF(H106=0,0,-1*((H106/B18)*(LN(H106/B18))))</f>
        <v>0</v>
      </c>
      <c r="K106" s="85">
        <f ca="1">IF(H106=0,0,((H106/B18)^2))</f>
        <v>0</v>
      </c>
    </row>
    <row r="107" spans="7:11">
      <c r="G107" s="80" t="s">
        <v>274</v>
      </c>
      <c r="H107">
        <f ca="1">COUNTIF(OFFSET('Transect 3_raw'!A2,0,0,D9-B9+1,1),"TYDM")</f>
        <v>0</v>
      </c>
      <c r="I107" s="32">
        <f ca="1">(H107/H126)*100</f>
        <v>0</v>
      </c>
      <c r="J107" s="32">
        <f ca="1">IF(H107=0,0,-1*((H107/B18)*(LN(H107/B18))))</f>
        <v>0</v>
      </c>
      <c r="K107" s="85">
        <f ca="1">IF(H107=0,0,((H107/B18)^2))</f>
        <v>0</v>
      </c>
    </row>
    <row r="108" spans="7:11">
      <c r="G108" s="81" t="s">
        <v>102</v>
      </c>
      <c r="K108" s="86"/>
    </row>
    <row r="109" spans="7:11">
      <c r="G109" s="80" t="s">
        <v>276</v>
      </c>
      <c r="H109">
        <f ca="1">COUNTIF(OFFSET('Transect 3_raw'!A2,0,0,D9-B9+1,1),"AMP")</f>
        <v>0</v>
      </c>
      <c r="I109" s="32">
        <f ca="1">(H109/H126)*100</f>
        <v>0</v>
      </c>
      <c r="J109" s="32">
        <f ca="1">IF(H109=0,0,-1*((H109/B19)*(LN(H109/B19))))</f>
        <v>0</v>
      </c>
      <c r="K109" s="85">
        <f ca="1">IF(H109=0,0,((H109/B19)^2))</f>
        <v>0</v>
      </c>
    </row>
    <row r="110" spans="7:11">
      <c r="G110" s="80" t="s">
        <v>278</v>
      </c>
      <c r="H110">
        <f ca="1">COUNTIF(OFFSET('Transect 3_raw'!A2,0,0,D9-B9+1,1),"BCA1")</f>
        <v>0</v>
      </c>
      <c r="I110" s="32">
        <f ca="1">(H110/H126)*100</f>
        <v>0</v>
      </c>
      <c r="J110" s="32">
        <f ca="1">IF(H110=0,0,-1*((H110/B19)*(LN(H110/B19))))</f>
        <v>0</v>
      </c>
      <c r="K110" s="85">
        <f ca="1">IF(H110=0,0,((H110/B19)^2))</f>
        <v>0</v>
      </c>
    </row>
    <row r="111" spans="7:11">
      <c r="G111" s="80" t="s">
        <v>279</v>
      </c>
      <c r="H111">
        <f ca="1">COUNTIF(OFFSET('Transect 3_raw'!A2,0,0,D9-B9+1,1),"JAN")</f>
        <v>0</v>
      </c>
      <c r="I111" s="32">
        <f ca="1">(H111/H126)*100</f>
        <v>0</v>
      </c>
      <c r="J111" s="32">
        <f ca="1">IF(H111=0,0,-1*((H111/B19)*(LN(H111/B19))))</f>
        <v>0</v>
      </c>
      <c r="K111" s="85">
        <f ca="1">IF(H111=0,0,((H111/B19)^2))</f>
        <v>0</v>
      </c>
    </row>
    <row r="112" spans="7:11">
      <c r="G112" s="81" t="s">
        <v>103</v>
      </c>
      <c r="K112" s="86"/>
    </row>
    <row r="113" spans="7:11">
      <c r="G113" s="80" t="s">
        <v>281</v>
      </c>
      <c r="H113">
        <f ca="1">COUNTIF(OFFSET('Transect 3_raw'!A2,0,0,D9-B9+1,1),"CCA1")</f>
        <v>59</v>
      </c>
      <c r="I113" s="32">
        <f ca="1">(H113/H126)*100</f>
        <v>23.599999999999998</v>
      </c>
      <c r="J113" s="32">
        <f ca="1">IF(H113=0,0,-1*((H113/B20)*(LN(H113/B20))))</f>
        <v>0</v>
      </c>
      <c r="K113" s="85">
        <f ca="1">IF(H113=0,0,((H113/B20)^2))</f>
        <v>1</v>
      </c>
    </row>
    <row r="114" spans="7:11">
      <c r="G114" s="81" t="s">
        <v>104</v>
      </c>
      <c r="K114" s="86"/>
    </row>
    <row r="115" spans="7:11">
      <c r="G115" s="80" t="s">
        <v>282</v>
      </c>
      <c r="H115">
        <f ca="1">COUNTIF(OFFSET('Transect 3_raw'!A2,0,0,D9-B9+1,1),"Sand")</f>
        <v>0</v>
      </c>
      <c r="I115" s="32">
        <f ca="1">(H115/H126)*100</f>
        <v>0</v>
      </c>
      <c r="J115" s="32">
        <f ca="1">IF(H115=0,0,-1*((H115/B21)*(LN(H115/B21))))</f>
        <v>0</v>
      </c>
      <c r="K115" s="85">
        <f ca="1">IF(H115=0,0,((H115/B21)^2))</f>
        <v>0</v>
      </c>
    </row>
    <row r="116" spans="7:11">
      <c r="G116" s="81" t="s">
        <v>106</v>
      </c>
      <c r="K116" s="86"/>
    </row>
    <row r="117" spans="7:11">
      <c r="G117" s="80" t="s">
        <v>283</v>
      </c>
      <c r="H117">
        <f ca="1">COUNTIF(OFFSET('Transect 3_raw'!A2,0,0,D9-B9+1,1),"FCA1")</f>
        <v>7</v>
      </c>
      <c r="I117" s="32">
        <f ca="1">(H117/H126)*100</f>
        <v>2.8000000000000003</v>
      </c>
      <c r="J117" s="32">
        <f ca="1">IF(H117=0,0,-1*((H117/B22)*(LN(H117/B22))))</f>
        <v>0</v>
      </c>
      <c r="K117" s="85">
        <f ca="1">IF(H117=0,0,((H117/B22)^2))</f>
        <v>1</v>
      </c>
    </row>
    <row r="118" spans="7:11">
      <c r="G118" s="81" t="s">
        <v>107</v>
      </c>
      <c r="K118" s="86"/>
    </row>
    <row r="119" spans="7:11">
      <c r="G119" s="80" t="s">
        <v>284</v>
      </c>
      <c r="H119">
        <f ca="1">COUNTIF(OFFSET('Transect 3_raw'!A2,0,0,D9-B9+1,1),"CHRYOBRN")</f>
        <v>0</v>
      </c>
      <c r="I119" s="32">
        <f ca="1">(H119/H126)*100</f>
        <v>0</v>
      </c>
      <c r="J119" s="32">
        <f ca="1">IF(H119=0,0,-1*((H119/B23)*(LN(H119/B23))))</f>
        <v>0</v>
      </c>
      <c r="K119" s="85">
        <f ca="1">IF(H119=0,0,((H119/B23)^2))</f>
        <v>0</v>
      </c>
    </row>
    <row r="120" spans="7:11">
      <c r="G120" s="81" t="s">
        <v>109</v>
      </c>
      <c r="K120" s="86"/>
    </row>
    <row r="121" spans="7:11">
      <c r="G121" s="80" t="s">
        <v>286</v>
      </c>
      <c r="H121">
        <f ca="1">COUNTIF(OFFSET('Transect 3_raw'!A2,0,0,D9-B9+1,1),"TURF")</f>
        <v>41</v>
      </c>
      <c r="I121" s="32">
        <f ca="1">(H121/H126)*100</f>
        <v>16.400000000000002</v>
      </c>
      <c r="J121" s="32">
        <f ca="1">IF(H121=0,0,-1*((H121/B24)*(LN(H121/B24))))</f>
        <v>0</v>
      </c>
      <c r="K121" s="85">
        <f ca="1">IF(H121=0,0,((H121/B24)^2))</f>
        <v>1</v>
      </c>
    </row>
    <row r="122" spans="7:11">
      <c r="G122" s="81" t="s">
        <v>110</v>
      </c>
      <c r="K122" s="86"/>
    </row>
    <row r="123" spans="7:11">
      <c r="G123" s="80" t="s">
        <v>287</v>
      </c>
      <c r="H123">
        <f ca="1">COUNTIF(OFFSET('Transect 3_raw'!A2,0,0,D9-B9+1,1),"Shadow")</f>
        <v>0</v>
      </c>
      <c r="I123" s="32">
        <f ca="1">(H123/SUM(H15:H125))*100</f>
        <v>0</v>
      </c>
      <c r="J123" s="32"/>
      <c r="K123" s="85">
        <f ca="1">IF(H123=0,0,((H123/B25)^2))</f>
        <v>0</v>
      </c>
    </row>
    <row r="124" spans="7:11">
      <c r="G124" s="80" t="s">
        <v>289</v>
      </c>
      <c r="H124">
        <f ca="1">COUNTIF(OFFSET('Transect 3_raw'!A2,0,0,D9-B9+1,1),"Tape")</f>
        <v>0</v>
      </c>
      <c r="I124" s="32">
        <f ca="1">(H124/SUM(H15:H125))*100</f>
        <v>0</v>
      </c>
      <c r="J124" s="32"/>
      <c r="K124" s="85">
        <f ca="1">IF(H124=0,0,((H124/B25)^2))</f>
        <v>0</v>
      </c>
    </row>
    <row r="125" spans="7:11">
      <c r="G125" s="80" t="s">
        <v>291</v>
      </c>
      <c r="H125">
        <f ca="1">COUNTIF(OFFSET('Transect 3_raw'!A2,0,0,D9-B9+1,1),"Wand")</f>
        <v>0</v>
      </c>
      <c r="I125" s="32">
        <f ca="1">(H125/SUM(H15:H125))*100</f>
        <v>0</v>
      </c>
      <c r="J125" s="32"/>
      <c r="K125" s="85">
        <f ca="1">IF(H125=0,0,((H125/B25)^2))</f>
        <v>0</v>
      </c>
    </row>
    <row r="126" spans="7:11" ht="15" thickBot="1">
      <c r="G126" s="89" t="s">
        <v>318</v>
      </c>
      <c r="H126" s="42">
        <f ca="1">SUM(H16:H121)</f>
        <v>250</v>
      </c>
      <c r="I126" s="42">
        <f ca="1">SUM(I16:I121)</f>
        <v>99.999999999999986</v>
      </c>
      <c r="J126" s="41"/>
      <c r="K126" s="90"/>
    </row>
    <row r="127" spans="7:11" ht="15" thickTop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topLeftCell="A130" workbookViewId="0">
      <selection activeCell="B13" sqref="B13"/>
    </sheetView>
  </sheetViews>
  <sheetFormatPr baseColWidth="10" defaultColWidth="8.83203125" defaultRowHeight="14" x14ac:dyDescent="0"/>
  <cols>
    <col min="1" max="1" width="32" bestFit="1" customWidth="1"/>
    <col min="2" max="2" width="7.5" customWidth="1"/>
    <col min="3" max="3" width="7.33203125" customWidth="1"/>
    <col min="4" max="4" width="8.6640625" customWidth="1"/>
    <col min="5" max="5" width="12.5" bestFit="1" customWidth="1"/>
    <col min="7" max="7" width="33.83203125" bestFit="1" customWidth="1"/>
    <col min="8" max="8" width="7.5" customWidth="1"/>
    <col min="9" max="9" width="7.1640625" customWidth="1"/>
    <col min="10" max="10" width="8.6640625" customWidth="1"/>
    <col min="11" max="11" width="12.5" bestFit="1" customWidth="1"/>
    <col min="14" max="14" width="0" hidden="1" customWidth="1"/>
  </cols>
  <sheetData>
    <row r="1" spans="1:14">
      <c r="A1" t="s">
        <v>296</v>
      </c>
      <c r="N1">
        <v>9</v>
      </c>
    </row>
    <row r="2" spans="1:14">
      <c r="A2" t="s">
        <v>297</v>
      </c>
      <c r="C2" t="s">
        <v>298</v>
      </c>
      <c r="D2" t="s">
        <v>299</v>
      </c>
      <c r="N2">
        <v>10</v>
      </c>
    </row>
    <row r="3" spans="1:14">
      <c r="A3" t="s">
        <v>300</v>
      </c>
      <c r="N3">
        <v>0</v>
      </c>
    </row>
    <row r="4" spans="1:14">
      <c r="A4" t="s">
        <v>301</v>
      </c>
      <c r="N4">
        <v>0</v>
      </c>
    </row>
    <row r="5" spans="1:14">
      <c r="A5" t="s">
        <v>302</v>
      </c>
      <c r="N5">
        <v>0</v>
      </c>
    </row>
    <row r="6" spans="1:14">
      <c r="A6" t="s">
        <v>303</v>
      </c>
      <c r="N6">
        <v>126</v>
      </c>
    </row>
    <row r="7" spans="1:14">
      <c r="A7" t="s">
        <v>304</v>
      </c>
      <c r="B7">
        <v>5</v>
      </c>
      <c r="D7" s="30" t="s">
        <v>305</v>
      </c>
      <c r="N7">
        <v>16</v>
      </c>
    </row>
    <row r="8" spans="1:14">
      <c r="A8" t="s">
        <v>306</v>
      </c>
      <c r="B8">
        <v>50</v>
      </c>
      <c r="N8">
        <v>25</v>
      </c>
    </row>
    <row r="9" spans="1:14">
      <c r="A9" t="s">
        <v>307</v>
      </c>
      <c r="B9">
        <v>2</v>
      </c>
      <c r="C9" t="s">
        <v>308</v>
      </c>
      <c r="D9">
        <v>251</v>
      </c>
      <c r="N9">
        <v>31</v>
      </c>
    </row>
    <row r="10" spans="1:14">
      <c r="A10" s="31" t="s">
        <v>309</v>
      </c>
      <c r="B10" s="31">
        <f ca="1">COUNTA(OFFSET('Transect 4_raw'!A2,0,0,D9-B9+1,1))</f>
        <v>250</v>
      </c>
      <c r="N10">
        <v>31</v>
      </c>
    </row>
    <row r="11" spans="1:14">
      <c r="A11" t="s">
        <v>310</v>
      </c>
      <c r="N11">
        <v>31</v>
      </c>
    </row>
    <row r="12" spans="1:14">
      <c r="A12" t="s">
        <v>311</v>
      </c>
      <c r="N12">
        <v>29</v>
      </c>
    </row>
    <row r="13" spans="1:14">
      <c r="A13" t="s">
        <v>312</v>
      </c>
      <c r="N13">
        <v>29</v>
      </c>
    </row>
    <row r="14" spans="1:14" ht="15" thickBot="1">
      <c r="N14">
        <v>8</v>
      </c>
    </row>
    <row r="15" spans="1:14" ht="15" thickTop="1">
      <c r="A15" s="108" t="s">
        <v>350</v>
      </c>
      <c r="B15" s="33" t="s">
        <v>314</v>
      </c>
      <c r="C15" s="33" t="s">
        <v>315</v>
      </c>
      <c r="D15" s="33" t="s">
        <v>316</v>
      </c>
      <c r="E15" s="113" t="s">
        <v>317</v>
      </c>
      <c r="G15" s="108" t="s">
        <v>313</v>
      </c>
      <c r="H15" s="33" t="s">
        <v>314</v>
      </c>
      <c r="I15" s="33" t="s">
        <v>315</v>
      </c>
      <c r="J15" s="33" t="s">
        <v>316</v>
      </c>
      <c r="K15" s="113" t="s">
        <v>317</v>
      </c>
      <c r="N15">
        <v>16</v>
      </c>
    </row>
    <row r="16" spans="1:14">
      <c r="A16" s="109" t="s">
        <v>351</v>
      </c>
      <c r="B16" s="35">
        <f ca="1">COUNTIF(OFFSET('Transect 4_raw'!C2,0,0,D9-B9+1,1), "C")</f>
        <v>151</v>
      </c>
      <c r="C16" s="36">
        <f ca="1">(B16/H126)*100</f>
        <v>60.4</v>
      </c>
      <c r="D16" s="36">
        <f ca="1">SUM(J17:J72)</f>
        <v>2.1429696440634953</v>
      </c>
      <c r="E16" s="114">
        <f ca="1">1-SUM(K17:K72)</f>
        <v>0.81426253234507251</v>
      </c>
      <c r="G16" s="111" t="s">
        <v>97</v>
      </c>
      <c r="K16" s="116"/>
      <c r="N16">
        <v>126</v>
      </c>
    </row>
    <row r="17" spans="1:14">
      <c r="A17" s="110" t="s">
        <v>352</v>
      </c>
      <c r="B17">
        <f ca="1">COUNTIF(OFFSET('Transect 4_raw'!C2,0,0,D9-B9+1,1), "OI")</f>
        <v>0</v>
      </c>
      <c r="C17" s="32">
        <f ca="1">(B17/H126)*100</f>
        <v>0</v>
      </c>
      <c r="D17" s="32">
        <f ca="1">SUM(J74:J85)</f>
        <v>0</v>
      </c>
      <c r="E17" s="115">
        <f ca="1">1-SUM(K74:K85)</f>
        <v>1</v>
      </c>
      <c r="G17" s="110" t="s">
        <v>113</v>
      </c>
      <c r="H17">
        <f ca="1">COUNTIF(OFFSET('Transect 4_raw'!A2,0,0,D9-B9+1,1),"ACAN")</f>
        <v>0</v>
      </c>
      <c r="I17" s="32">
        <f ca="1">(H17/H126)*100</f>
        <v>0</v>
      </c>
      <c r="J17" s="32">
        <f ca="1">IF(H17=0,0,-1*((H17/B16)*(LN(H17/B16))))</f>
        <v>0</v>
      </c>
      <c r="K17" s="115">
        <f ca="1">IF(H17=0,0,((H17/B16)^2))</f>
        <v>0</v>
      </c>
      <c r="N17">
        <v>7</v>
      </c>
    </row>
    <row r="18" spans="1:14">
      <c r="A18" s="109" t="s">
        <v>353</v>
      </c>
      <c r="B18" s="35">
        <f ca="1">COUNTIF(OFFSET('Transect 4_raw'!C2,0,0,D9-B9+1,1), "MA")</f>
        <v>0</v>
      </c>
      <c r="C18" s="36">
        <f ca="1">(B18/H126)*100</f>
        <v>0</v>
      </c>
      <c r="D18" s="36">
        <f ca="1">SUM(J87:J107)</f>
        <v>0</v>
      </c>
      <c r="E18" s="114">
        <f ca="1">1-SUM(K87:K107)</f>
        <v>1</v>
      </c>
      <c r="G18" s="110" t="s">
        <v>115</v>
      </c>
      <c r="H18">
        <f ca="1">COUNTIF(OFFSET('Transect 4_raw'!A2,0,0,D9-B9+1,1),"ACROP")</f>
        <v>6</v>
      </c>
      <c r="I18" s="32">
        <f ca="1">(H18/H126)*100</f>
        <v>2.4</v>
      </c>
      <c r="J18" s="32">
        <f ca="1">IF(H18=0,0,-1*((H18/B16)*(LN(H18/B16))))</f>
        <v>0.12816637222199481</v>
      </c>
      <c r="K18" s="115">
        <f ca="1">IF(H18=0,0,((H18/B16)^2))</f>
        <v>1.578878119380729E-3</v>
      </c>
    </row>
    <row r="19" spans="1:14">
      <c r="A19" s="110" t="s">
        <v>354</v>
      </c>
      <c r="B19">
        <f ca="1">COUNTIF(OFFSET('Transect 4_raw'!C2,0,0,D9-B9+1,1), "BCA")</f>
        <v>4</v>
      </c>
      <c r="C19" s="32">
        <f ca="1">(B19/H126)*100</f>
        <v>1.6</v>
      </c>
      <c r="D19" s="32">
        <f ca="1">SUM(J109:J111)</f>
        <v>0</v>
      </c>
      <c r="E19" s="115">
        <f ca="1">1-SUM(K109:K111)</f>
        <v>0</v>
      </c>
      <c r="G19" s="110" t="s">
        <v>116</v>
      </c>
      <c r="H19">
        <f ca="1">COUNTIF(OFFSET('Transect 4_raw'!A2,0,0,D9-B9+1,1),"ACROPARB")</f>
        <v>0</v>
      </c>
      <c r="I19" s="32">
        <f ca="1">(H19/H126)*100</f>
        <v>0</v>
      </c>
      <c r="J19" s="32">
        <f ca="1">IF(H19=0,0,-1*((H19/B16)*(LN(H19/B16))))</f>
        <v>0</v>
      </c>
      <c r="K19" s="115">
        <f ca="1">IF(H19=0,0,((H19/B16)^2))</f>
        <v>0</v>
      </c>
    </row>
    <row r="20" spans="1:14">
      <c r="A20" s="109" t="s">
        <v>355</v>
      </c>
      <c r="B20" s="35">
        <f ca="1">COUNTIF(OFFSET('Transect 4_raw'!C2,0,0,D9-B9+1,1), "CCA")</f>
        <v>54</v>
      </c>
      <c r="C20" s="36">
        <f ca="1">(B20/H126)*100</f>
        <v>21.6</v>
      </c>
      <c r="D20" s="36">
        <f ca="1">SUM(J113:J113)</f>
        <v>0</v>
      </c>
      <c r="E20" s="114">
        <f ca="1">1-SUM(K113:K113)</f>
        <v>0</v>
      </c>
      <c r="G20" s="110" t="s">
        <v>118</v>
      </c>
      <c r="H20">
        <f ca="1">COUNTIF(OFFSET('Transect 4_raw'!A2,0,0,D9-B9+1,1),"ACROST")</f>
        <v>0</v>
      </c>
      <c r="I20" s="32">
        <f ca="1">(H20/H126)*100</f>
        <v>0</v>
      </c>
      <c r="J20" s="32">
        <f ca="1">IF(H20=0,0,-1*((H20/B16)*(LN(H20/B16))))</f>
        <v>0</v>
      </c>
      <c r="K20" s="115">
        <f ca="1">IF(H20=0,0,((H20/B16)^2))</f>
        <v>0</v>
      </c>
    </row>
    <row r="21" spans="1:14">
      <c r="A21" s="110" t="s">
        <v>356</v>
      </c>
      <c r="B21">
        <f ca="1">COUNTIF(OFFSET('Transect 4_raw'!C2,0,0,D9-B9+1,1), "SD")</f>
        <v>0</v>
      </c>
      <c r="C21" s="32">
        <f ca="1">(B21/H126)*100</f>
        <v>0</v>
      </c>
      <c r="D21" s="32">
        <f ca="1">SUM(J115:J115)</f>
        <v>0</v>
      </c>
      <c r="E21" s="115">
        <f ca="1">1-SUM(K115:K115)</f>
        <v>1</v>
      </c>
      <c r="G21" s="110" t="s">
        <v>120</v>
      </c>
      <c r="H21">
        <f ca="1">COUNTIF(OFFSET('Transect 4_raw'!A2,0,0,D9-B9+1,1),"ACROTBL")</f>
        <v>55</v>
      </c>
      <c r="I21" s="32">
        <f ca="1">(H21/H126)*100</f>
        <v>22</v>
      </c>
      <c r="J21" s="32">
        <f ca="1">IF(H21=0,0,-1*((H21/B16)*(LN(H21/B16))))</f>
        <v>0.36786136315917178</v>
      </c>
      <c r="K21" s="115">
        <f ca="1">IF(H21=0,0,((H21/B16)^2))</f>
        <v>0.13266961975351957</v>
      </c>
    </row>
    <row r="22" spans="1:14">
      <c r="A22" s="109" t="s">
        <v>357</v>
      </c>
      <c r="B22" s="35">
        <f ca="1">COUNTIF(OFFSET('Transect 4_raw'!C2,0,0,D9-B9+1,1), "FCA")</f>
        <v>7</v>
      </c>
      <c r="C22" s="36">
        <f ca="1">(B22/H126)*100</f>
        <v>2.8000000000000003</v>
      </c>
      <c r="D22" s="36">
        <f ca="1">SUM(J117:J117)</f>
        <v>0</v>
      </c>
      <c r="E22" s="114">
        <f ca="1">1-SUM(K117:K117)</f>
        <v>0</v>
      </c>
      <c r="G22" s="110" t="s">
        <v>121</v>
      </c>
      <c r="H22">
        <f ca="1">COUNTIF(OFFSET('Transect 4_raw'!A2,0,0,D9-B9+1,1),"ASTRP")</f>
        <v>0</v>
      </c>
      <c r="I22" s="32">
        <f ca="1">(H22/H126)*100</f>
        <v>0</v>
      </c>
      <c r="J22" s="32">
        <f ca="1">IF(H22=0,0,-1*((H22/B16)*(LN(H22/B16))))</f>
        <v>0</v>
      </c>
      <c r="K22" s="115">
        <f ca="1">IF(H22=0,0,((H22/B16)^2))</f>
        <v>0</v>
      </c>
    </row>
    <row r="23" spans="1:14">
      <c r="A23" s="110" t="s">
        <v>358</v>
      </c>
      <c r="B23">
        <f ca="1">COUNTIF(OFFSET('Transect 4_raw'!C2,0,0,D9-B9+1,1), "CHRYS")</f>
        <v>0</v>
      </c>
      <c r="C23" s="32">
        <f ca="1">(B23/H126)*100</f>
        <v>0</v>
      </c>
      <c r="D23" s="32">
        <f ca="1">SUM(J119:J119)</f>
        <v>0</v>
      </c>
      <c r="E23" s="115">
        <f ca="1">1-SUM(K119:K119)</f>
        <v>1</v>
      </c>
      <c r="G23" s="110" t="s">
        <v>123</v>
      </c>
      <c r="H23">
        <f ca="1">COUNTIF(OFFSET('Transect 4_raw'!A2,0,0,D9-B9+1,1),"CAUL")</f>
        <v>0</v>
      </c>
      <c r="I23" s="32">
        <f ca="1">(H23/H126)*100</f>
        <v>0</v>
      </c>
      <c r="J23" s="32">
        <f ca="1">IF(H23=0,0,-1*((H23/B16)*(LN(H23/B16))))</f>
        <v>0</v>
      </c>
      <c r="K23" s="115">
        <f ca="1">IF(H23=0,0,((H23/B16)^2))</f>
        <v>0</v>
      </c>
    </row>
    <row r="24" spans="1:14">
      <c r="A24" s="109" t="s">
        <v>359</v>
      </c>
      <c r="B24" s="35">
        <f ca="1">COUNTIF(OFFSET('Transect 4_raw'!C2,0,0,D9-B9+1,1), "T")</f>
        <v>34</v>
      </c>
      <c r="C24" s="36">
        <f ca="1">(B24/H126)*100</f>
        <v>13.600000000000001</v>
      </c>
      <c r="D24" s="36">
        <f ca="1">SUM(J121:J121)</f>
        <v>0</v>
      </c>
      <c r="E24" s="114">
        <f ca="1">1-SUM(K121:K121)</f>
        <v>0</v>
      </c>
      <c r="G24" s="110" t="s">
        <v>125</v>
      </c>
      <c r="H24">
        <f ca="1">COUNTIF(OFFSET('Transect 4_raw'!A2,0,0,D9-B9+1,1),"COSC")</f>
        <v>0</v>
      </c>
      <c r="I24" s="32">
        <f ca="1">(H24/H126)*100</f>
        <v>0</v>
      </c>
      <c r="J24" s="32">
        <f ca="1">IF(H24=0,0,-1*((H24/B16)*(LN(H24/B16))))</f>
        <v>0</v>
      </c>
      <c r="K24" s="115">
        <f ca="1">IF(H24=0,0,((H24/B16)^2))</f>
        <v>0</v>
      </c>
    </row>
    <row r="25" spans="1:14">
      <c r="A25" s="110" t="s">
        <v>360</v>
      </c>
      <c r="B25">
        <f ca="1">COUNTIF(OFFSET('Transect 4_raw'!C2,0,0,D9-B9+1,1), "TWS")</f>
        <v>0</v>
      </c>
      <c r="C25" s="32">
        <f ca="1">(B25/B26)*100</f>
        <v>0</v>
      </c>
      <c r="E25" s="116"/>
      <c r="G25" s="110" t="s">
        <v>127</v>
      </c>
      <c r="H25">
        <f ca="1">COUNTIF(OFFSET('Transect 4_raw'!A2,0,0,D9-B9+1,1),"CTEN")</f>
        <v>0</v>
      </c>
      <c r="I25" s="32">
        <f ca="1">(H25/H126)*100</f>
        <v>0</v>
      </c>
      <c r="J25" s="32">
        <f ca="1">IF(H25=0,0,-1*((H25/B16)*(LN(H25/B16))))</f>
        <v>0</v>
      </c>
      <c r="K25" s="115">
        <f ca="1">IF(H25=0,0,((H25/B16)^2))</f>
        <v>0</v>
      </c>
    </row>
    <row r="26" spans="1:14">
      <c r="A26" s="111" t="s">
        <v>361</v>
      </c>
      <c r="B26" s="31">
        <f ca="1">SUM(B16:B25)</f>
        <v>250</v>
      </c>
      <c r="C26" s="37">
        <f ca="1">SUM(C16:C25)-C25</f>
        <v>100</v>
      </c>
      <c r="E26" s="116"/>
      <c r="G26" s="110" t="s">
        <v>129</v>
      </c>
      <c r="H26">
        <f ca="1">COUNTIF(OFFSET('Transect 4_raw'!A2,0,0,D9-B9+1,1),"CYPH")</f>
        <v>0</v>
      </c>
      <c r="I26" s="32">
        <f ca="1">(H26/H126)*100</f>
        <v>0</v>
      </c>
      <c r="J26" s="32">
        <f ca="1">IF(H26=0,0,-1*((H26/B16)*(LN(H26/B16))))</f>
        <v>0</v>
      </c>
      <c r="K26" s="115">
        <f ca="1">IF(H26=0,0,((H26/B16)^2))</f>
        <v>0</v>
      </c>
    </row>
    <row r="27" spans="1:14">
      <c r="A27" s="110"/>
      <c r="E27" s="116"/>
      <c r="G27" s="110" t="s">
        <v>130</v>
      </c>
      <c r="H27">
        <f ca="1">COUNTIF(OFFSET('Transect 4_raw'!A2,0,0,D9-B9+1,1),"DIPLO")</f>
        <v>0</v>
      </c>
      <c r="I27" s="32">
        <f ca="1">(H27/H126)*100</f>
        <v>0</v>
      </c>
      <c r="J27" s="32">
        <f ca="1">IF(H27=0,0,-1*((H27/B16)*(LN(H27/B16))))</f>
        <v>0</v>
      </c>
      <c r="K27" s="115">
        <f ca="1">IF(H27=0,0,((H27/B16)^2))</f>
        <v>0</v>
      </c>
    </row>
    <row r="28" spans="1:14">
      <c r="A28" s="111" t="s">
        <v>362</v>
      </c>
      <c r="E28" s="116"/>
      <c r="G28" s="110" t="s">
        <v>132</v>
      </c>
      <c r="H28">
        <f ca="1">COUNTIF(OFFSET('Transect 4_raw'!A2,0,0,D9-B9+1,1),"ECHPO")</f>
        <v>20</v>
      </c>
      <c r="I28" s="32">
        <f ca="1">(H28/H126)*100</f>
        <v>8</v>
      </c>
      <c r="J28" s="32">
        <f ca="1">IF(H28=0,0,-1*((H28/B16)*(LN(H28/B16))))</f>
        <v>0.26775464414052103</v>
      </c>
      <c r="K28" s="115">
        <f ca="1">IF(H28=0,0,((H28/B16)^2))</f>
        <v>1.7543090215341436E-2</v>
      </c>
    </row>
    <row r="29" spans="1:14">
      <c r="A29" s="109" t="s">
        <v>363</v>
      </c>
      <c r="B29" s="35">
        <f t="array" aca="1" ref="B29" ca="1">SUM((OFFSET('Transect 4_raw'!B2,0,0,D9-B9+1,1)="BC") * (OFFSET('Transect 4_raw'!C2,0,0,D9-B9+1,1)&lt;&gt;"TWS"))</f>
        <v>0</v>
      </c>
      <c r="C29" s="36">
        <f ca="1">(B29/H126)*100</f>
        <v>0</v>
      </c>
      <c r="D29" s="35"/>
      <c r="E29" s="117"/>
      <c r="G29" s="110" t="s">
        <v>133</v>
      </c>
      <c r="H29">
        <f ca="1">COUNTIF(OFFSET('Transect 4_raw'!A2,0,0,D9-B9+1,1),"ECHPHY")</f>
        <v>0</v>
      </c>
      <c r="I29" s="32">
        <f ca="1">(H29/H126)*100</f>
        <v>0</v>
      </c>
      <c r="J29" s="32">
        <f ca="1">IF(H29=0,0,-1*((H29/B16)*(LN(H29/B16))))</f>
        <v>0</v>
      </c>
      <c r="K29" s="115">
        <f ca="1">IF(H29=0,0,((H29/B16)^2))</f>
        <v>0</v>
      </c>
    </row>
    <row r="30" spans="1:14">
      <c r="A30" s="111" t="s">
        <v>364</v>
      </c>
      <c r="E30" s="116"/>
      <c r="G30" s="110" t="s">
        <v>135</v>
      </c>
      <c r="H30">
        <f ca="1">COUNTIF(OFFSET('Transect 4_raw'!A2,0,0,D9-B9+1,1),"EUPH")</f>
        <v>0</v>
      </c>
      <c r="I30" s="32">
        <f ca="1">(H30/H126)*100</f>
        <v>0</v>
      </c>
      <c r="J30" s="32">
        <f ca="1">IF(H30=0,0,-1*((H30/B16)*(LN(H30/B16))))</f>
        <v>0</v>
      </c>
      <c r="K30" s="115">
        <f ca="1">IF(H30=0,0,((H30/B16)^2))</f>
        <v>0</v>
      </c>
    </row>
    <row r="31" spans="1:14" ht="15" thickBot="1">
      <c r="A31" s="112" t="s">
        <v>363</v>
      </c>
      <c r="B31" s="39">
        <f ca="1">SUMPRODUCT( (OFFSET('Transect 4_raw'!B2,0,0,D9-B9+1,1)="BC")*( OFFSET('Transect 4_raw'!C2,0,0,D9-B9+1,1)="C"))</f>
        <v>0</v>
      </c>
      <c r="C31" s="40">
        <f ca="1">IF(B16=0,0,(B31/B16)*100)</f>
        <v>0</v>
      </c>
      <c r="D31" s="39"/>
      <c r="E31" s="118"/>
      <c r="G31" s="110" t="s">
        <v>137</v>
      </c>
      <c r="H31">
        <f ca="1">COUNTIF(OFFSET('Transect 4_raw'!A2,0,0,D9-B9+1,1),"FAV")</f>
        <v>1</v>
      </c>
      <c r="I31" s="32">
        <f ca="1">(H31/H126)*100</f>
        <v>0.4</v>
      </c>
      <c r="J31" s="32">
        <f ca="1">IF(H31=0,0,-1*((H31/B16)*(LN(H31/B16))))</f>
        <v>3.3227018786853801E-2</v>
      </c>
      <c r="K31" s="115">
        <f ca="1">IF(H31=0,0,((H31/B16)^2))</f>
        <v>4.3857725538353582E-5</v>
      </c>
    </row>
    <row r="32" spans="1:14" ht="15" thickTop="1">
      <c r="G32" s="110" t="s">
        <v>138</v>
      </c>
      <c r="H32">
        <f ca="1">COUNTIF(OFFSET('Transect 4_raw'!A2,0,0,D9-B9+1,1),"FAVT")</f>
        <v>2</v>
      </c>
      <c r="I32" s="32">
        <f ca="1">(H32/H126)*100</f>
        <v>0.8</v>
      </c>
      <c r="J32" s="32">
        <f ca="1">IF(H32=0,0,-1*((H32/B16)*(LN(H32/B16))))</f>
        <v>5.7273280215297734E-2</v>
      </c>
      <c r="K32" s="115">
        <f ca="1">IF(H32=0,0,((H32/B16)^2))</f>
        <v>1.7543090215341433E-4</v>
      </c>
    </row>
    <row r="33" spans="7:11">
      <c r="G33" s="110" t="s">
        <v>140</v>
      </c>
      <c r="H33">
        <f ca="1">COUNTIF(OFFSET('Transect 4_raw'!A2,0,0,D9-B9+1,1),"FUNG")</f>
        <v>0</v>
      </c>
      <c r="I33" s="32">
        <f ca="1">(H33/H126)*100</f>
        <v>0</v>
      </c>
      <c r="J33" s="32">
        <f ca="1">IF(H33=0,0,-1*((H33/B16)*(LN(H33/B16))))</f>
        <v>0</v>
      </c>
      <c r="K33" s="115">
        <f ca="1">IF(H33=0,0,((H33/B16)^2))</f>
        <v>0</v>
      </c>
    </row>
    <row r="34" spans="7:11">
      <c r="G34" s="110" t="s">
        <v>142</v>
      </c>
      <c r="H34">
        <f ca="1">COUNTIF(OFFSET('Transect 4_raw'!A2,0,0,D9-B9+1,1),"GAL")</f>
        <v>0</v>
      </c>
      <c r="I34" s="32">
        <f ca="1">(H34/H126)*100</f>
        <v>0</v>
      </c>
      <c r="J34" s="32">
        <f ca="1">IF(H34=0,0,-1*((H34/B16)*(LN(H34/B16))))</f>
        <v>0</v>
      </c>
      <c r="K34" s="115">
        <f ca="1">IF(H34=0,0,((H34/B16)^2))</f>
        <v>0</v>
      </c>
    </row>
    <row r="35" spans="7:11">
      <c r="G35" s="110" t="s">
        <v>143</v>
      </c>
      <c r="H35">
        <f ca="1">COUNTIF(OFFSET('Transect 4_raw'!A2,0,0,D9-B9+1,1),"GARD")</f>
        <v>0</v>
      </c>
      <c r="I35" s="32">
        <f ca="1">(H35/H126)*100</f>
        <v>0</v>
      </c>
      <c r="J35" s="32">
        <f ca="1">IF(H35=0,0,-1*((H35/B16)*(LN(H35/B16))))</f>
        <v>0</v>
      </c>
      <c r="K35" s="115">
        <f ca="1">IF(H35=0,0,((H35/B16)^2))</f>
        <v>0</v>
      </c>
    </row>
    <row r="36" spans="7:11">
      <c r="G36" s="110" t="s">
        <v>145</v>
      </c>
      <c r="H36">
        <f ca="1">COUNTIF(OFFSET('Transect 4_raw'!A2,0,0,D9-B9+1,1),"GON")</f>
        <v>0</v>
      </c>
      <c r="I36" s="32">
        <f ca="1">(H36/H126)*100</f>
        <v>0</v>
      </c>
      <c r="J36" s="32">
        <f ca="1">IF(H36=0,0,-1*((H36/B16)*(LN(H36/B16))))</f>
        <v>0</v>
      </c>
      <c r="K36" s="115">
        <f ca="1">IF(H36=0,0,((H36/B16)^2))</f>
        <v>0</v>
      </c>
    </row>
    <row r="37" spans="7:11">
      <c r="G37" s="110" t="s">
        <v>146</v>
      </c>
      <c r="H37">
        <f ca="1">COUNTIF(OFFSET('Transect 4_raw'!A2,0,0,D9-B9+1,1),"GONIO")</f>
        <v>3</v>
      </c>
      <c r="I37" s="32">
        <f ca="1">(H37/H126)*100</f>
        <v>1.2</v>
      </c>
      <c r="J37" s="32">
        <f ca="1">IF(H37=0,0,-1*((H37/B16)*(LN(H37/B16))))</f>
        <v>7.7854322148612223E-2</v>
      </c>
      <c r="K37" s="115">
        <f ca="1">IF(H37=0,0,((H37/B16)^2))</f>
        <v>3.9471952984518224E-4</v>
      </c>
    </row>
    <row r="38" spans="7:11">
      <c r="G38" s="110" t="s">
        <v>148</v>
      </c>
      <c r="H38">
        <f ca="1">COUNTIF(OFFSET('Transect 4_raw'!A2,0,0,D9-B9+1,1),"HELIO")</f>
        <v>0</v>
      </c>
      <c r="I38" s="32">
        <f ca="1">(H38/H126)*100</f>
        <v>0</v>
      </c>
      <c r="J38" s="32">
        <f ca="1">IF(H38=0,0,-1*((H38/B16)*(LN(H38/B16))))</f>
        <v>0</v>
      </c>
      <c r="K38" s="115">
        <f ca="1">IF(H38=0,0,((H38/B16)^2))</f>
        <v>0</v>
      </c>
    </row>
    <row r="39" spans="7:11">
      <c r="G39" s="110" t="s">
        <v>150</v>
      </c>
      <c r="H39">
        <f ca="1">COUNTIF(OFFSET('Transect 4_raw'!A2,0,0,D9-B9+1,1),"HERP")</f>
        <v>0</v>
      </c>
      <c r="I39" s="32">
        <f ca="1">(H39/H126)*100</f>
        <v>0</v>
      </c>
      <c r="J39" s="32">
        <f ca="1">IF(H39=0,0,-1*((H39/B16)*(LN(H39/B16))))</f>
        <v>0</v>
      </c>
      <c r="K39" s="115">
        <f ca="1">IF(H39=0,0,((H39/B16)^2))</f>
        <v>0</v>
      </c>
    </row>
    <row r="40" spans="7:11">
      <c r="G40" s="110" t="s">
        <v>152</v>
      </c>
      <c r="H40">
        <f ca="1">COUNTIF(OFFSET('Transect 4_raw'!A2,0,0,D9-B9+1,1),"HYD")</f>
        <v>3</v>
      </c>
      <c r="I40" s="32">
        <f ca="1">(H40/H126)*100</f>
        <v>1.2</v>
      </c>
      <c r="J40" s="32">
        <f ca="1">IF(H40=0,0,-1*((H40/B16)*(LN(H40/B16))))</f>
        <v>7.7854322148612223E-2</v>
      </c>
      <c r="K40" s="115">
        <f ca="1">IF(H40=0,0,((H40/B16)^2))</f>
        <v>3.9471952984518224E-4</v>
      </c>
    </row>
    <row r="41" spans="7:11">
      <c r="G41" s="110" t="s">
        <v>154</v>
      </c>
      <c r="H41">
        <f ca="1">COUNTIF(OFFSET('Transect 4_raw'!A2,0,0,D9-B9+1,1),"ISOP")</f>
        <v>1</v>
      </c>
      <c r="I41" s="32">
        <f ca="1">(H41/H126)*100</f>
        <v>0.4</v>
      </c>
      <c r="J41" s="32">
        <f ca="1">IF(H41=0,0,-1*((H41/B16)*(LN(H41/B16))))</f>
        <v>3.3227018786853801E-2</v>
      </c>
      <c r="K41" s="115">
        <f ca="1">IF(H41=0,0,((H41/B16)^2))</f>
        <v>4.3857725538353582E-5</v>
      </c>
    </row>
    <row r="42" spans="7:11">
      <c r="G42" s="110" t="s">
        <v>156</v>
      </c>
      <c r="H42">
        <f ca="1">COUNTIF(OFFSET('Transect 4_raw'!A2,0,0,D9-B9+1,1),"LEPT")</f>
        <v>6</v>
      </c>
      <c r="I42" s="32">
        <f ca="1">(H42/H126)*100</f>
        <v>2.4</v>
      </c>
      <c r="J42" s="32">
        <f ca="1">IF(H42=0,0,-1*((H42/B16)*(LN(H42/B16))))</f>
        <v>0.12816637222199481</v>
      </c>
      <c r="K42" s="115">
        <f ca="1">IF(H42=0,0,((H42/B16)^2))</f>
        <v>1.578878119380729E-3</v>
      </c>
    </row>
    <row r="43" spans="7:11">
      <c r="G43" s="110" t="s">
        <v>158</v>
      </c>
      <c r="H43">
        <f ca="1">COUNTIF(OFFSET('Transect 4_raw'!A2,0,0,D9-B9+1,1),"LEPTOR")</f>
        <v>17</v>
      </c>
      <c r="I43" s="32">
        <f ca="1">(H43/H126)*100</f>
        <v>6.8000000000000007</v>
      </c>
      <c r="J43" s="32">
        <f ca="1">IF(H43=0,0,-1*((H43/B16)*(LN(H43/B16))))</f>
        <v>0.24588828064170887</v>
      </c>
      <c r="K43" s="115">
        <f ca="1">IF(H43=0,0,((H43/B16)^2))</f>
        <v>1.2674882680584186E-2</v>
      </c>
    </row>
    <row r="44" spans="7:11">
      <c r="G44" s="110" t="s">
        <v>159</v>
      </c>
      <c r="H44">
        <f ca="1">COUNTIF(OFFSET('Transect 4_raw'!A2,0,0,D9-B9+1,1),"LEPTOS")</f>
        <v>0</v>
      </c>
      <c r="I44" s="32">
        <f ca="1">(H44/H126)*100</f>
        <v>0</v>
      </c>
      <c r="J44" s="32">
        <f ca="1">IF(H44=0,0,-1*((H44/B16)*(LN(H44/B16))))</f>
        <v>0</v>
      </c>
      <c r="K44" s="115">
        <f ca="1">IF(H44=0,0,((H44/B16)^2))</f>
        <v>0</v>
      </c>
    </row>
    <row r="45" spans="7:11">
      <c r="G45" s="110" t="s">
        <v>161</v>
      </c>
      <c r="H45">
        <f ca="1">COUNTIF(OFFSET('Transect 4_raw'!A2,0,0,D9-B9+1,1),"LOBOPH")</f>
        <v>0</v>
      </c>
      <c r="I45" s="32">
        <f ca="1">(H45/H126)*100</f>
        <v>0</v>
      </c>
      <c r="J45" s="32">
        <f ca="1">IF(H45=0,0,-1*((H45/B16)*(LN(H45/B16))))</f>
        <v>0</v>
      </c>
      <c r="K45" s="115">
        <f ca="1">IF(H45=0,0,((H45/B16)^2))</f>
        <v>0</v>
      </c>
    </row>
    <row r="46" spans="7:11">
      <c r="G46" s="110" t="s">
        <v>162</v>
      </c>
      <c r="H46">
        <f ca="1">COUNTIF(OFFSET('Transect 4_raw'!A2,0,0,D9-B9+1,1),"MERU")</f>
        <v>1</v>
      </c>
      <c r="I46" s="32">
        <f ca="1">(H46/H126)*100</f>
        <v>0.4</v>
      </c>
      <c r="J46" s="32">
        <f ca="1">IF(H46=0,0,-1*((H46/B16)*(LN(H46/B16))))</f>
        <v>3.3227018786853801E-2</v>
      </c>
      <c r="K46" s="115">
        <f ca="1">IF(H46=0,0,((H46/B16)^2))</f>
        <v>4.3857725538353582E-5</v>
      </c>
    </row>
    <row r="47" spans="7:11">
      <c r="G47" s="110" t="s">
        <v>163</v>
      </c>
      <c r="H47">
        <f ca="1">COUNTIF(OFFSET('Transect 4_raw'!A2,0,0,D9-B9+1,1),"MILL")</f>
        <v>0</v>
      </c>
      <c r="I47" s="32">
        <f ca="1">(H47/H126)*100</f>
        <v>0</v>
      </c>
      <c r="J47" s="32">
        <f ca="1">IF(H47=0,0,-1*((H47/B16)*(LN(H47/B16))))</f>
        <v>0</v>
      </c>
      <c r="K47" s="115">
        <f ca="1">IF(H47=0,0,((H47/B16)^2))</f>
        <v>0</v>
      </c>
    </row>
    <row r="48" spans="7:11">
      <c r="G48" s="110" t="s">
        <v>165</v>
      </c>
      <c r="H48">
        <f ca="1">COUNTIF(OFFSET('Transect 4_raw'!A2,0,0,D9-B9+1,1),"MONT")</f>
        <v>0</v>
      </c>
      <c r="I48" s="32">
        <f ca="1">(H48/H126)*100</f>
        <v>0</v>
      </c>
      <c r="J48" s="32">
        <f ca="1">IF(H48=0,0,-1*((H48/B16)*(LN(H48/B16))))</f>
        <v>0</v>
      </c>
      <c r="K48" s="115">
        <f ca="1">IF(H48=0,0,((H48/B16)^2))</f>
        <v>0</v>
      </c>
    </row>
    <row r="49" spans="7:11">
      <c r="G49" s="110" t="s">
        <v>167</v>
      </c>
      <c r="H49">
        <f ca="1">COUNTIF(OFFSET('Transect 4_raw'!A2,0,0,D9-B9+1,1),"MONTI")</f>
        <v>3</v>
      </c>
      <c r="I49" s="32">
        <f ca="1">(H49/H126)*100</f>
        <v>1.2</v>
      </c>
      <c r="J49" s="32">
        <f ca="1">IF(H49=0,0,-1*((H49/B16)*(LN(H49/B16))))</f>
        <v>7.7854322148612223E-2</v>
      </c>
      <c r="K49" s="115">
        <f ca="1">IF(H49=0,0,((H49/B16)^2))</f>
        <v>3.9471952984518224E-4</v>
      </c>
    </row>
    <row r="50" spans="7:11">
      <c r="G50" s="110" t="s">
        <v>169</v>
      </c>
      <c r="H50">
        <f ca="1">COUNTIF(OFFSET('Transect 4_raw'!A2,0,0,D9-B9+1,1),"MYCED")</f>
        <v>0</v>
      </c>
      <c r="I50" s="32">
        <f ca="1">(H50/H126)*100</f>
        <v>0</v>
      </c>
      <c r="J50" s="32">
        <f ca="1">IF(H50=0,0,-1*((H50/B16)*(LN(H50/B16))))</f>
        <v>0</v>
      </c>
      <c r="K50" s="115">
        <f ca="1">IF(H50=0,0,((H50/B16)^2))</f>
        <v>0</v>
      </c>
    </row>
    <row r="51" spans="7:11">
      <c r="G51" s="110" t="s">
        <v>170</v>
      </c>
      <c r="H51">
        <f ca="1">COUNTIF(OFFSET('Transect 4_raw'!A2,0,0,D9-B9+1,1),"OULO")</f>
        <v>0</v>
      </c>
      <c r="I51" s="32">
        <f ca="1">(H51/H126)*100</f>
        <v>0</v>
      </c>
      <c r="J51" s="32">
        <f ca="1">IF(H51=0,0,-1*((H51/B16)*(LN(H51/B16))))</f>
        <v>0</v>
      </c>
      <c r="K51" s="115">
        <f ca="1">IF(H51=0,0,((H51/B16)^2))</f>
        <v>0</v>
      </c>
    </row>
    <row r="52" spans="7:11">
      <c r="G52" s="110" t="s">
        <v>172</v>
      </c>
      <c r="H52">
        <f ca="1">COUNTIF(OFFSET('Transect 4_raw'!A2,0,0,D9-B9+1,1),"OXYP")</f>
        <v>0</v>
      </c>
      <c r="I52" s="32">
        <f ca="1">(H52/H126)*100</f>
        <v>0</v>
      </c>
      <c r="J52" s="32">
        <f ca="1">IF(H52=0,0,-1*((H52/B16)*(LN(H52/B16))))</f>
        <v>0</v>
      </c>
      <c r="K52" s="115">
        <f ca="1">IF(H52=0,0,((H52/B16)^2))</f>
        <v>0</v>
      </c>
    </row>
    <row r="53" spans="7:11">
      <c r="G53" s="110" t="s">
        <v>174</v>
      </c>
      <c r="H53">
        <f ca="1">COUNTIF(OFFSET('Transect 4_raw'!A2,0,0,D9-B9+1,1),"PLSIA")</f>
        <v>0</v>
      </c>
      <c r="I53" s="32">
        <f ca="1">(H53/H126)*100</f>
        <v>0</v>
      </c>
      <c r="J53" s="32">
        <f ca="1">IF(H53=0,0,-1*((H53/B16)*(LN(H53/B16))))</f>
        <v>0</v>
      </c>
      <c r="K53" s="115">
        <f ca="1">IF(H53=0,0,((H53/B16)^2))</f>
        <v>0</v>
      </c>
    </row>
    <row r="54" spans="7:11">
      <c r="G54" s="110" t="s">
        <v>176</v>
      </c>
      <c r="H54">
        <f ca="1">COUNTIF(OFFSET('Transect 4_raw'!A2,0,0,D9-B9+1,1),"PACHY")</f>
        <v>2</v>
      </c>
      <c r="I54" s="32">
        <f ca="1">(H54/H126)*100</f>
        <v>0.8</v>
      </c>
      <c r="J54" s="32">
        <f ca="1">IF(H54=0,0,-1*((H54/B16)*(LN(H54/B16))))</f>
        <v>5.7273280215297734E-2</v>
      </c>
      <c r="K54" s="115">
        <f ca="1">IF(H54=0,0,((H54/B16)^2))</f>
        <v>1.7543090215341433E-4</v>
      </c>
    </row>
    <row r="55" spans="7:11">
      <c r="G55" s="110" t="s">
        <v>177</v>
      </c>
      <c r="H55">
        <f ca="1">COUNTIF(OFFSET('Transect 4_raw'!A2,0,0,D9-B9+1,1),"PAV")</f>
        <v>0</v>
      </c>
      <c r="I55" s="32">
        <f ca="1">(H55/H126)*100</f>
        <v>0</v>
      </c>
      <c r="J55" s="32">
        <f ca="1">IF(H55=0,0,-1*((H55/B16)*(LN(H55/B16))))</f>
        <v>0</v>
      </c>
      <c r="K55" s="115">
        <f ca="1">IF(H55=0,0,((H55/B16)^2))</f>
        <v>0</v>
      </c>
    </row>
    <row r="56" spans="7:11">
      <c r="G56" s="110" t="s">
        <v>179</v>
      </c>
      <c r="H56">
        <f ca="1">COUNTIF(OFFSET('Transect 4_raw'!A2,0,0,D9-B9+1,1),"PECT")</f>
        <v>0</v>
      </c>
      <c r="I56" s="32">
        <f ca="1">(H56/H126)*100</f>
        <v>0</v>
      </c>
      <c r="J56" s="32">
        <f ca="1">IF(H56=0,0,-1*((H56/B16)*(LN(H56/B16))))</f>
        <v>0</v>
      </c>
      <c r="K56" s="115">
        <f ca="1">IF(H56=0,0,((H56/B16)^2))</f>
        <v>0</v>
      </c>
    </row>
    <row r="57" spans="7:11">
      <c r="G57" s="110" t="s">
        <v>181</v>
      </c>
      <c r="H57">
        <f ca="1">COUNTIF(OFFSET('Transect 4_raw'!A2,0,0,D9-B9+1,1),"PHYSO")</f>
        <v>0</v>
      </c>
      <c r="I57" s="32">
        <f ca="1">(H57/H126)*100</f>
        <v>0</v>
      </c>
      <c r="J57" s="32">
        <f ca="1">IF(H57=0,0,-1*((H57/B16)*(LN(H57/B16))))</f>
        <v>0</v>
      </c>
      <c r="K57" s="115">
        <f ca="1">IF(H57=0,0,((H57/B16)^2))</f>
        <v>0</v>
      </c>
    </row>
    <row r="58" spans="7:11">
      <c r="G58" s="110" t="s">
        <v>183</v>
      </c>
      <c r="H58">
        <f ca="1">COUNTIF(OFFSET('Transect 4_raw'!A2,0,0,D9-B9+1,1),"PLAT")</f>
        <v>6</v>
      </c>
      <c r="I58" s="32">
        <f ca="1">(H58/H126)*100</f>
        <v>2.4</v>
      </c>
      <c r="J58" s="32">
        <f ca="1">IF(H58=0,0,-1*((H58/B16)*(LN(H58/B16))))</f>
        <v>0.12816637222199481</v>
      </c>
      <c r="K58" s="115">
        <f ca="1">IF(H58=0,0,((H58/B16)^2))</f>
        <v>1.578878119380729E-3</v>
      </c>
    </row>
    <row r="59" spans="7:11">
      <c r="G59" s="110" t="s">
        <v>184</v>
      </c>
      <c r="H59">
        <f ca="1">COUNTIF(OFFSET('Transect 4_raw'!A2,0,0,D9-B9+1,1),"PLERO")</f>
        <v>0</v>
      </c>
      <c r="I59" s="32">
        <f ca="1">(H59/H126)*100</f>
        <v>0</v>
      </c>
      <c r="J59" s="32">
        <f ca="1">IF(H59=0,0,-1*((H59/B16)*(LN(H59/B16))))</f>
        <v>0</v>
      </c>
      <c r="K59" s="115">
        <f ca="1">IF(H59=0,0,((H59/B16)^2))</f>
        <v>0</v>
      </c>
    </row>
    <row r="60" spans="7:11">
      <c r="G60" s="110" t="s">
        <v>186</v>
      </c>
      <c r="H60">
        <f ca="1">COUNTIF(OFFSET('Transect 4_raw'!A2,0,0,D9-B9+1,1),"POC")</f>
        <v>1</v>
      </c>
      <c r="I60" s="32">
        <f ca="1">(H60/H126)*100</f>
        <v>0.4</v>
      </c>
      <c r="J60" s="32">
        <f ca="1">IF(H60=0,0,-1*((H60/B16)*(LN(H60/B16))))</f>
        <v>3.3227018786853801E-2</v>
      </c>
      <c r="K60" s="115">
        <f ca="1">IF(H60=0,0,((H60/B16)^2))</f>
        <v>4.3857725538353582E-5</v>
      </c>
    </row>
    <row r="61" spans="7:11">
      <c r="G61" s="110" t="s">
        <v>188</v>
      </c>
      <c r="H61">
        <f ca="1">COUNTIF(OFFSET('Transect 4_raw'!A2,0,0,D9-B9+1,1),"POR")</f>
        <v>0</v>
      </c>
      <c r="I61" s="32">
        <f ca="1">(H61/H126)*100</f>
        <v>0</v>
      </c>
      <c r="J61" s="32">
        <f ca="1">IF(H61=0,0,-1*((H61/B16)*(LN(H61/B16))))</f>
        <v>0</v>
      </c>
      <c r="K61" s="115">
        <f ca="1">IF(H61=0,0,((H61/B16)^2))</f>
        <v>0</v>
      </c>
    </row>
    <row r="62" spans="7:11">
      <c r="G62" s="110" t="s">
        <v>190</v>
      </c>
      <c r="H62">
        <f ca="1">COUNTIF(OFFSET('Transect 4_raw'!A2,0,0,D9-B9+1,1),"PORCYL")</f>
        <v>0</v>
      </c>
      <c r="I62" s="32">
        <f ca="1">(H62/H126)*100</f>
        <v>0</v>
      </c>
      <c r="J62" s="32">
        <f ca="1">IF(H62=0,0,-1*((H62/B16)*(LN(H62/B16))))</f>
        <v>0</v>
      </c>
      <c r="K62" s="115">
        <f ca="1">IF(H62=0,0,((H62/B16)^2))</f>
        <v>0</v>
      </c>
    </row>
    <row r="63" spans="7:11">
      <c r="G63" s="110" t="s">
        <v>192</v>
      </c>
      <c r="H63">
        <f ca="1">COUNTIF(OFFSET('Transect 4_raw'!A2,0,0,D9-B9+1,1),"PORMAS")</f>
        <v>0</v>
      </c>
      <c r="I63" s="32">
        <f ca="1">(H63/H126)*100</f>
        <v>0</v>
      </c>
      <c r="J63" s="32">
        <f ca="1">IF(H63=0,0,-1*((H63/B16)*(LN(H63/B16))))</f>
        <v>0</v>
      </c>
      <c r="K63" s="115">
        <f ca="1">IF(H63=0,0,((H63/B16)^2))</f>
        <v>0</v>
      </c>
    </row>
    <row r="64" spans="7:11">
      <c r="G64" s="110" t="s">
        <v>194</v>
      </c>
      <c r="H64">
        <f ca="1">COUNTIF(OFFSET('Transect 4_raw'!A2,0,0,D9-B9+1,1),"PORRUS")</f>
        <v>2</v>
      </c>
      <c r="I64" s="32">
        <f ca="1">(H64/H126)*100</f>
        <v>0.8</v>
      </c>
      <c r="J64" s="32">
        <f ca="1">IF(H64=0,0,-1*((H64/B16)*(LN(H64/B16))))</f>
        <v>5.7273280215297734E-2</v>
      </c>
      <c r="K64" s="115">
        <f ca="1">IF(H64=0,0,((H64/B16)^2))</f>
        <v>1.7543090215341433E-4</v>
      </c>
    </row>
    <row r="65" spans="7:11">
      <c r="G65" s="110" t="s">
        <v>195</v>
      </c>
      <c r="H65">
        <f ca="1">COUNTIF(OFFSET('Transect 4_raw'!A2,0,0,D9-B9+1,1),"PSAM")</f>
        <v>0</v>
      </c>
      <c r="I65" s="32">
        <f ca="1">(H65/H126)*100</f>
        <v>0</v>
      </c>
      <c r="J65" s="32">
        <f ca="1">IF(H65=0,0,-1*((H65/B16)*(LN(H65/B16))))</f>
        <v>0</v>
      </c>
      <c r="K65" s="115">
        <f ca="1">IF(H65=0,0,((H65/B16)^2))</f>
        <v>0</v>
      </c>
    </row>
    <row r="66" spans="7:11">
      <c r="G66" s="110" t="s">
        <v>197</v>
      </c>
      <c r="H66">
        <f ca="1">COUNTIF(OFFSET('Transect 4_raw'!A2,0,0,D9-B9+1,1),"SANDO")</f>
        <v>0</v>
      </c>
      <c r="I66" s="32">
        <f ca="1">(H66/H126)*100</f>
        <v>0</v>
      </c>
      <c r="J66" s="32">
        <f ca="1">IF(H66=0,0,-1*((H66/B16)*(LN(H66/B16))))</f>
        <v>0</v>
      </c>
      <c r="K66" s="115">
        <f ca="1">IF(H66=0,0,((H66/B16)^2))</f>
        <v>0</v>
      </c>
    </row>
    <row r="67" spans="7:11">
      <c r="G67" s="110" t="s">
        <v>199</v>
      </c>
      <c r="H67">
        <f ca="1">COUNTIF(OFFSET('Transect 4_raw'!A2,0,0,D9-B9+1,1),"SCAP")</f>
        <v>0</v>
      </c>
      <c r="I67" s="32">
        <f ca="1">(H67/H126)*100</f>
        <v>0</v>
      </c>
      <c r="J67" s="32">
        <f ca="1">IF(H67=0,0,-1*((H67/B16)*(LN(H67/B16))))</f>
        <v>0</v>
      </c>
      <c r="K67" s="115">
        <f ca="1">IF(H67=0,0,((H67/B16)^2))</f>
        <v>0</v>
      </c>
    </row>
    <row r="68" spans="7:11">
      <c r="G68" s="110" t="s">
        <v>201</v>
      </c>
      <c r="H68">
        <f ca="1">COUNTIF(OFFSET('Transect 4_raw'!A2,0,0,D9-B9+1,1),"SERIA")</f>
        <v>0</v>
      </c>
      <c r="I68" s="32">
        <f ca="1">(H68/H126)*100</f>
        <v>0</v>
      </c>
      <c r="J68" s="32">
        <f ca="1">IF(H68=0,0,-1*((H68/B16)*(LN(H68/B16))))</f>
        <v>0</v>
      </c>
      <c r="K68" s="115">
        <f ca="1">IF(H68=0,0,((H68/B16)^2))</f>
        <v>0</v>
      </c>
    </row>
    <row r="69" spans="7:11">
      <c r="G69" s="110" t="s">
        <v>203</v>
      </c>
      <c r="H69">
        <f ca="1">COUNTIF(OFFSET('Transect 4_raw'!A2,0,0,D9-B9+1,1),"STYLC")</f>
        <v>0</v>
      </c>
      <c r="I69" s="32">
        <f ca="1">(H69/H126)*100</f>
        <v>0</v>
      </c>
      <c r="J69" s="32">
        <f ca="1">IF(H69=0,0,-1*((H69/B16)*(LN(H69/B16))))</f>
        <v>0</v>
      </c>
      <c r="K69" s="115">
        <f ca="1">IF(H69=0,0,((H69/B16)^2))</f>
        <v>0</v>
      </c>
    </row>
    <row r="70" spans="7:11">
      <c r="G70" s="110" t="s">
        <v>205</v>
      </c>
      <c r="H70">
        <f ca="1">COUNTIF(OFFSET('Transect 4_raw'!A2,0,0,D9-B9+1,1),"STYLO")</f>
        <v>19</v>
      </c>
      <c r="I70" s="32">
        <f ca="1">(H70/H126)*100</f>
        <v>7.6</v>
      </c>
      <c r="J70" s="32">
        <f ca="1">IF(H70=0,0,-1*((H70/B16)*(LN(H70/B16))))</f>
        <v>0.2608210350683523</v>
      </c>
      <c r="K70" s="115">
        <f ca="1">IF(H70=0,0,((H70/B16)^2))</f>
        <v>1.5832638919345644E-2</v>
      </c>
    </row>
    <row r="71" spans="7:11">
      <c r="G71" s="110" t="s">
        <v>206</v>
      </c>
      <c r="H71">
        <f ca="1">COUNTIF(OFFSET('Transect 4_raw'!A2,0,0,D9-B9+1,1),"SYMP")</f>
        <v>3</v>
      </c>
      <c r="I71" s="32">
        <f ca="1">(H71/H126)*100</f>
        <v>1.2</v>
      </c>
      <c r="J71" s="32">
        <f ca="1">IF(H71=0,0,-1*((H71/B16)*(LN(H71/B16))))</f>
        <v>7.7854322148612223E-2</v>
      </c>
      <c r="K71" s="115">
        <f ca="1">IF(H71=0,0,((H71/B16)^2))</f>
        <v>3.9471952984518224E-4</v>
      </c>
    </row>
    <row r="72" spans="7:11">
      <c r="G72" s="110" t="s">
        <v>208</v>
      </c>
      <c r="H72">
        <f ca="1">COUNTIF(OFFSET('Transect 4_raw'!A2,0,0,D9-B9+1,1),"TURBIN")</f>
        <v>0</v>
      </c>
      <c r="I72" s="32">
        <f ca="1">(H72/H126)*100</f>
        <v>0</v>
      </c>
      <c r="J72" s="32">
        <f ca="1">IF(H72=0,0,-1*((H72/B16)*(LN(H72/B16))))</f>
        <v>0</v>
      </c>
      <c r="K72" s="115">
        <f ca="1">IF(H72=0,0,((H72/B16)^2))</f>
        <v>0</v>
      </c>
    </row>
    <row r="73" spans="7:11">
      <c r="G73" s="111" t="s">
        <v>98</v>
      </c>
      <c r="K73" s="116"/>
    </row>
    <row r="74" spans="7:11">
      <c r="G74" s="110" t="s">
        <v>210</v>
      </c>
      <c r="H74">
        <f ca="1">COUNTIF(OFFSET('Transect 4_raw'!A2,0,0,D9-B9+1,1),"ANEM")</f>
        <v>0</v>
      </c>
      <c r="I74" s="32">
        <f ca="1">(H74/H126)*100</f>
        <v>0</v>
      </c>
      <c r="J74" s="32">
        <f ca="1">IF(H74=0,0,-1*((H74/B17)*(LN(H74/B17))))</f>
        <v>0</v>
      </c>
      <c r="K74" s="115">
        <f ca="1">IF(H74=0,0,((H74/B17)^2))</f>
        <v>0</v>
      </c>
    </row>
    <row r="75" spans="7:11">
      <c r="G75" s="110" t="s">
        <v>212</v>
      </c>
      <c r="H75">
        <f ca="1">COUNTIF(OFFSET('Transect 4_raw'!A2,0,0,D9-B9+1,1),"ASC")</f>
        <v>0</v>
      </c>
      <c r="I75" s="32">
        <f ca="1">(H75/H126)*100</f>
        <v>0</v>
      </c>
      <c r="J75" s="32">
        <f ca="1">IF(H75=0,0,-1*((H75/B17)*(LN(H75/B17))))</f>
        <v>0</v>
      </c>
      <c r="K75" s="115">
        <f ca="1">IF(H75=0,0,((H75/B17)^2))</f>
        <v>0</v>
      </c>
    </row>
    <row r="76" spans="7:11">
      <c r="G76" s="110" t="s">
        <v>214</v>
      </c>
      <c r="H76">
        <f ca="1">COUNTIF(OFFSET('Transect 4_raw'!A2,0,0,D9-B9+1,1),"CUPS")</f>
        <v>0</v>
      </c>
      <c r="I76" s="32">
        <f ca="1">(H76/H126)*100</f>
        <v>0</v>
      </c>
      <c r="J76" s="32">
        <f ca="1">IF(H76=0,0,-1*((H76/B17)*(LN(H76/B17))))</f>
        <v>0</v>
      </c>
      <c r="K76" s="115">
        <f ca="1">IF(H76=0,0,((H76/B17)^2))</f>
        <v>0</v>
      </c>
    </row>
    <row r="77" spans="7:11">
      <c r="G77" s="110" t="s">
        <v>216</v>
      </c>
      <c r="H77">
        <f ca="1">COUNTIF(OFFSET('Transect 4_raw'!A2,0,0,D9-B9+1,1),"DISCO")</f>
        <v>0</v>
      </c>
      <c r="I77" s="32">
        <f ca="1">(H77/H126)*100</f>
        <v>0</v>
      </c>
      <c r="J77" s="32">
        <f ca="1">IF(H77=0,0,-1*((H77/B17)*(LN(H77/B17))))</f>
        <v>0</v>
      </c>
      <c r="K77" s="115">
        <f ca="1">IF(H77=0,0,((H77/B17)^2))</f>
        <v>0</v>
      </c>
    </row>
    <row r="78" spans="7:11">
      <c r="G78" s="110" t="s">
        <v>218</v>
      </c>
      <c r="H78">
        <f ca="1">COUNTIF(OFFSET('Transect 4_raw'!A2,0,0,D9-B9+1,1),"DYS")</f>
        <v>0</v>
      </c>
      <c r="I78" s="32">
        <f ca="1">(H78/H126)*100</f>
        <v>0</v>
      </c>
      <c r="J78" s="32">
        <f ca="1">IF(H78=0,0,-1*((H78/B17)*(LN(H78/B17))))</f>
        <v>0</v>
      </c>
      <c r="K78" s="115">
        <f ca="1">IF(H78=0,0,((H78/B17)^2))</f>
        <v>0</v>
      </c>
    </row>
    <row r="79" spans="7:11">
      <c r="G79" s="110" t="s">
        <v>220</v>
      </c>
      <c r="H79">
        <f ca="1">COUNTIF(OFFSET('Transect 4_raw'!A2,0,0,D9-B9+1,1),"G")</f>
        <v>0</v>
      </c>
      <c r="I79" s="32">
        <f ca="1">(H79/H126)*100</f>
        <v>0</v>
      </c>
      <c r="J79" s="32">
        <f ca="1">IF(H79=0,0,-1*((H79/B17)*(LN(H79/B17))))</f>
        <v>0</v>
      </c>
      <c r="K79" s="115">
        <f ca="1">IF(H79=0,0,((H79/B17)^2))</f>
        <v>0</v>
      </c>
    </row>
    <row r="80" spans="7:11">
      <c r="G80" s="110" t="s">
        <v>222</v>
      </c>
      <c r="H80">
        <f ca="1">COUNTIF(OFFSET('Transect 4_raw'!A2,0,0,D9-B9+1,1),"NoIDINV")</f>
        <v>0</v>
      </c>
      <c r="I80" s="32">
        <f ca="1">(H80/H126)*100</f>
        <v>0</v>
      </c>
      <c r="J80" s="32">
        <f ca="1">IF(H80=0,0,-1*((H80/B17)*(LN(H80/B17))))</f>
        <v>0</v>
      </c>
      <c r="K80" s="115">
        <f ca="1">IF(H80=0,0,((H80/B17)^2))</f>
        <v>0</v>
      </c>
    </row>
    <row r="81" spans="7:11">
      <c r="G81" s="110" t="s">
        <v>224</v>
      </c>
      <c r="H81">
        <f ca="1">COUNTIF(OFFSET('Transect 4_raw'!A2,0,0,D9-B9+1,1),"OLV")</f>
        <v>0</v>
      </c>
      <c r="I81" s="32">
        <f ca="1">(H81/H126)*100</f>
        <v>0</v>
      </c>
      <c r="J81" s="32">
        <f ca="1">IF(H81=0,0,-1*((H81/B17)*(LN(H81/B17))))</f>
        <v>0</v>
      </c>
      <c r="K81" s="115">
        <f ca="1">IF(H81=0,0,((H81/B17)^2))</f>
        <v>0</v>
      </c>
    </row>
    <row r="82" spans="7:11">
      <c r="G82" s="110" t="s">
        <v>226</v>
      </c>
      <c r="H82">
        <f ca="1">COUNTIF(OFFSET('Transect 4_raw'!A2,0,0,D9-B9+1,1),"SC")</f>
        <v>0</v>
      </c>
      <c r="I82" s="32">
        <f ca="1">(H82/H126)*100</f>
        <v>0</v>
      </c>
      <c r="J82" s="32">
        <f ca="1">IF(H82=0,0,-1*((H82/B17)*(LN(H82/B17))))</f>
        <v>0</v>
      </c>
      <c r="K82" s="115">
        <f ca="1">IF(H82=0,0,((H82/B17)^2))</f>
        <v>0</v>
      </c>
    </row>
    <row r="83" spans="7:11">
      <c r="G83" s="110" t="s">
        <v>228</v>
      </c>
      <c r="H83">
        <f ca="1">COUNTIF(OFFSET('Transect 4_raw'!A2,0,0,D9-B9+1,1),"S")</f>
        <v>0</v>
      </c>
      <c r="I83" s="32">
        <f ca="1">(H83/H126)*100</f>
        <v>0</v>
      </c>
      <c r="J83" s="32">
        <f ca="1">IF(H83=0,0,-1*((H83/B17)*(LN(H83/B17))))</f>
        <v>0</v>
      </c>
      <c r="K83" s="115">
        <f ca="1">IF(H83=0,0,((H83/B17)^2))</f>
        <v>0</v>
      </c>
    </row>
    <row r="84" spans="7:11">
      <c r="G84" s="110" t="s">
        <v>230</v>
      </c>
      <c r="H84">
        <f ca="1">COUNTIF(OFFSET('Transect 4_raw'!A2,0,0,D9-B9+1,1),"TERPS")</f>
        <v>0</v>
      </c>
      <c r="I84" s="32">
        <f ca="1">(H84/H126)*100</f>
        <v>0</v>
      </c>
      <c r="J84" s="32">
        <f ca="1">IF(H84=0,0,-1*((H84/B17)*(LN(H84/B17))))</f>
        <v>0</v>
      </c>
      <c r="K84" s="115">
        <f ca="1">IF(H84=0,0,((H84/B17)^2))</f>
        <v>0</v>
      </c>
    </row>
    <row r="85" spans="7:11">
      <c r="G85" s="110" t="s">
        <v>232</v>
      </c>
      <c r="H85">
        <f ca="1">COUNTIF(OFFSET('Transect 4_raw'!A2,0,0,D9-B9+1,1),"Z")</f>
        <v>0</v>
      </c>
      <c r="I85" s="32">
        <f ca="1">(H85/H126)*100</f>
        <v>0</v>
      </c>
      <c r="J85" s="32">
        <f ca="1">IF(H85=0,0,-1*((H85/B17)*(LN(H85/B17))))</f>
        <v>0</v>
      </c>
      <c r="K85" s="115">
        <f ca="1">IF(H85=0,0,((H85/B17)^2))</f>
        <v>0</v>
      </c>
    </row>
    <row r="86" spans="7:11">
      <c r="G86" s="111" t="s">
        <v>100</v>
      </c>
      <c r="K86" s="116"/>
    </row>
    <row r="87" spans="7:11">
      <c r="G87" s="110" t="s">
        <v>234</v>
      </c>
      <c r="H87">
        <f ca="1">COUNTIF(OFFSET('Transect 4_raw'!A2,0,0,D9-B9+1,1),"ASP")</f>
        <v>0</v>
      </c>
      <c r="I87" s="32">
        <f ca="1">(H87/H126)*100</f>
        <v>0</v>
      </c>
      <c r="J87" s="32">
        <f ca="1">IF(H87=0,0,-1*((H87/B18)*(LN(H87/B18))))</f>
        <v>0</v>
      </c>
      <c r="K87" s="115">
        <f ca="1">IF(H87=0,0,((H87/B18)^2))</f>
        <v>0</v>
      </c>
    </row>
    <row r="88" spans="7:11">
      <c r="G88" s="110" t="s">
        <v>236</v>
      </c>
      <c r="H88">
        <f ca="1">COUNTIF(OFFSET('Transect 4_raw'!A2,0,0,D9-B9+1,1),"BG")</f>
        <v>0</v>
      </c>
      <c r="I88" s="32">
        <f ca="1">(H88/H126)*100</f>
        <v>0</v>
      </c>
      <c r="J88" s="32">
        <f ca="1">IF(H88=0,0,-1*((H88/B18)*(LN(H88/B18))))</f>
        <v>0</v>
      </c>
      <c r="K88" s="115">
        <f ca="1">IF(H88=0,0,((H88/B18)^2))</f>
        <v>0</v>
      </c>
    </row>
    <row r="89" spans="7:11">
      <c r="G89" s="110" t="s">
        <v>238</v>
      </c>
      <c r="H89">
        <f ca="1">COUNTIF(OFFSET('Transect 4_raw'!A2,0,0,D9-B9+1,1),"Bood")</f>
        <v>0</v>
      </c>
      <c r="I89" s="32">
        <f ca="1">(H89/H126)*100</f>
        <v>0</v>
      </c>
      <c r="J89" s="32">
        <f ca="1">IF(H89=0,0,-1*((H89/B18)*(LN(H89/B18))))</f>
        <v>0</v>
      </c>
      <c r="K89" s="115">
        <f ca="1">IF(H89=0,0,((H89/B18)^2))</f>
        <v>0</v>
      </c>
    </row>
    <row r="90" spans="7:11">
      <c r="G90" s="110" t="s">
        <v>240</v>
      </c>
      <c r="H90">
        <f ca="1">COUNTIF(OFFSET('Transect 4_raw'!A2,0,0,D9-B9+1,1),"BRYP")</f>
        <v>0</v>
      </c>
      <c r="I90" s="32">
        <f ca="1">(H90/H126)*100</f>
        <v>0</v>
      </c>
      <c r="J90" s="32">
        <f ca="1">IF(H90=0,0,-1*((H90/B18)*(LN(H90/B18))))</f>
        <v>0</v>
      </c>
      <c r="K90" s="115">
        <f ca="1">IF(H90=0,0,((H90/B18)^2))</f>
        <v>0</v>
      </c>
    </row>
    <row r="91" spans="7:11">
      <c r="G91" s="110" t="s">
        <v>242</v>
      </c>
      <c r="H91">
        <f ca="1">COUNTIF(OFFSET('Transect 4_raw'!A2,0,0,D9-B9+1,1),"CLP")</f>
        <v>0</v>
      </c>
      <c r="I91" s="32">
        <f ca="1">(H91/H126)*100</f>
        <v>0</v>
      </c>
      <c r="J91" s="32">
        <f ca="1">IF(H91=0,0,-1*((H91/B18)*(LN(H91/B18))))</f>
        <v>0</v>
      </c>
      <c r="K91" s="115">
        <f ca="1">IF(H91=0,0,((H91/B18)^2))</f>
        <v>0</v>
      </c>
    </row>
    <row r="92" spans="7:11">
      <c r="G92" s="110" t="s">
        <v>244</v>
      </c>
      <c r="H92">
        <f ca="1">COUNTIF(OFFSET('Transect 4_raw'!A2,0,0,D9-B9+1,1),"CHLDES")</f>
        <v>0</v>
      </c>
      <c r="I92" s="32">
        <f ca="1">(H92/H126)*100</f>
        <v>0</v>
      </c>
      <c r="J92" s="32">
        <f ca="1">IF(H92=0,0,-1*((H92/B18)*(LN(H92/B18))))</f>
        <v>0</v>
      </c>
      <c r="K92" s="115">
        <f ca="1">IF(H92=0,0,((H92/B18)^2))</f>
        <v>0</v>
      </c>
    </row>
    <row r="93" spans="7:11">
      <c r="G93" s="110" t="s">
        <v>246</v>
      </c>
      <c r="H93">
        <f ca="1">COUNTIF(OFFSET('Transect 4_raw'!A2,0,0,D9-B9+1,1),"DYCTY")</f>
        <v>0</v>
      </c>
      <c r="I93" s="32">
        <f ca="1">(H93/H126)*100</f>
        <v>0</v>
      </c>
      <c r="J93" s="32">
        <f ca="1">IF(H93=0,0,-1*((H93/B18)*(LN(H93/B18))))</f>
        <v>0</v>
      </c>
      <c r="K93" s="115">
        <f ca="1">IF(H93=0,0,((H93/B18)^2))</f>
        <v>0</v>
      </c>
    </row>
    <row r="94" spans="7:11">
      <c r="G94" s="110" t="s">
        <v>248</v>
      </c>
      <c r="H94">
        <f ca="1">COUNTIF(OFFSET('Transect 4_raw'!A2,0,0,D9-B9+1,1),"DICT")</f>
        <v>0</v>
      </c>
      <c r="I94" s="32">
        <f ca="1">(H94/H126)*100</f>
        <v>0</v>
      </c>
      <c r="J94" s="32">
        <f ca="1">IF(H94=0,0,-1*((H94/B18)*(LN(H94/B18))))</f>
        <v>0</v>
      </c>
      <c r="K94" s="115">
        <f ca="1">IF(H94=0,0,((H94/B18)^2))</f>
        <v>0</v>
      </c>
    </row>
    <row r="95" spans="7:11">
      <c r="G95" s="110" t="s">
        <v>250</v>
      </c>
      <c r="H95">
        <f ca="1">COUNTIF(OFFSET('Transect 4_raw'!A2,0,0,D9-B9+1,1),"GLXU")</f>
        <v>0</v>
      </c>
      <c r="I95" s="32">
        <f ca="1">(H95/H126)*100</f>
        <v>0</v>
      </c>
      <c r="J95" s="32">
        <f ca="1">IF(H95=0,0,-1*((H95/B18)*(LN(H95/B18))))</f>
        <v>0</v>
      </c>
      <c r="K95" s="115">
        <f ca="1">IF(H95=0,0,((H95/B18)^2))</f>
        <v>0</v>
      </c>
    </row>
    <row r="96" spans="7:11">
      <c r="G96" s="110" t="s">
        <v>252</v>
      </c>
      <c r="H96">
        <f ca="1">COUNTIF(OFFSET('Transect 4_raw'!A2,0,0,D9-B9+1,1),"HALI")</f>
        <v>0</v>
      </c>
      <c r="I96" s="32">
        <f ca="1">(H96/H126)*100</f>
        <v>0</v>
      </c>
      <c r="J96" s="32">
        <f ca="1">IF(H96=0,0,-1*((H96/B18)*(LN(H96/B18))))</f>
        <v>0</v>
      </c>
      <c r="K96" s="115">
        <f ca="1">IF(H96=0,0,((H96/B18)^2))</f>
        <v>0</v>
      </c>
    </row>
    <row r="97" spans="7:11">
      <c r="G97" s="110" t="s">
        <v>254</v>
      </c>
      <c r="H97">
        <f ca="1">COUNTIF(OFFSET('Transect 4_raw'!A2,0,0,D9-B9+1,1),"LIAG")</f>
        <v>0</v>
      </c>
      <c r="I97" s="32">
        <f ca="1">(H97/H126)*100</f>
        <v>0</v>
      </c>
      <c r="J97" s="32">
        <f ca="1">IF(H97=0,0,-1*((H97/B18)*(LN(H97/B18))))</f>
        <v>0</v>
      </c>
      <c r="K97" s="115">
        <f ca="1">IF(H97=0,0,((H97/B18)^2))</f>
        <v>0</v>
      </c>
    </row>
    <row r="98" spans="7:11">
      <c r="G98" s="110" t="s">
        <v>256</v>
      </c>
      <c r="H98">
        <f ca="1">COUNTIF(OFFSET('Transect 4_raw'!A2,0,0,D9-B9+1,1),"LOBO")</f>
        <v>0</v>
      </c>
      <c r="I98" s="32">
        <f ca="1">(H98/H126)*100</f>
        <v>0</v>
      </c>
      <c r="J98" s="32">
        <f ca="1">IF(H98=0,0,-1*((H98/B18)*(LN(H98/B18))))</f>
        <v>0</v>
      </c>
      <c r="K98" s="115">
        <f ca="1">IF(H98=0,0,((H98/B18)^2))</f>
        <v>0</v>
      </c>
    </row>
    <row r="99" spans="7:11">
      <c r="G99" s="110" t="s">
        <v>258</v>
      </c>
      <c r="H99">
        <f ca="1">COUNTIF(OFFSET('Transect 4_raw'!A2,0,0,D9-B9+1,1),"MAST")</f>
        <v>0</v>
      </c>
      <c r="I99" s="32">
        <f ca="1">(H99/H126)*100</f>
        <v>0</v>
      </c>
      <c r="J99" s="32">
        <f ca="1">IF(H99=0,0,-1*((H99/B18)*(LN(H99/B18))))</f>
        <v>0</v>
      </c>
      <c r="K99" s="115">
        <f ca="1">IF(H99=0,0,((H99/B18)^2))</f>
        <v>0</v>
      </c>
    </row>
    <row r="100" spans="7:11">
      <c r="G100" s="110" t="s">
        <v>260</v>
      </c>
      <c r="H100">
        <f ca="1">COUNTIF(OFFSET('Transect 4_raw'!A2,0,0,D9-B9+1,1),"MICDTY")</f>
        <v>0</v>
      </c>
      <c r="I100" s="32">
        <f ca="1">(H100/H126)*100</f>
        <v>0</v>
      </c>
      <c r="J100" s="32">
        <f ca="1">IF(H100=0,0,-1*((H100/B18)*(LN(H100/B18))))</f>
        <v>0</v>
      </c>
      <c r="K100" s="115">
        <f ca="1">IF(H100=0,0,((H100/B18)^2))</f>
        <v>0</v>
      </c>
    </row>
    <row r="101" spans="7:11">
      <c r="G101" s="110" t="s">
        <v>262</v>
      </c>
      <c r="H101">
        <f ca="1">COUNTIF(OFFSET('Transect 4_raw'!A2,0,0,D9-B9+1,1),"NEOM")</f>
        <v>0</v>
      </c>
      <c r="I101" s="32">
        <f ca="1">(H101/H126)*100</f>
        <v>0</v>
      </c>
      <c r="J101" s="32">
        <f ca="1">IF(H101=0,0,-1*((H101/B18)*(LN(H101/B18))))</f>
        <v>0</v>
      </c>
      <c r="K101" s="115">
        <f ca="1">IF(H101=0,0,((H101/B18)^2))</f>
        <v>0</v>
      </c>
    </row>
    <row r="102" spans="7:11">
      <c r="G102" s="110" t="s">
        <v>264</v>
      </c>
      <c r="H102">
        <f ca="1">COUNTIF(OFFSET('Transect 4_raw'!A2,0,0,D9-B9+1,1),"NOIDMAC")</f>
        <v>0</v>
      </c>
      <c r="I102" s="32">
        <f ca="1">(H102/H126)*100</f>
        <v>0</v>
      </c>
      <c r="J102" s="32">
        <f ca="1">IF(H102=0,0,-1*((H102/B18)*(LN(H102/B18))))</f>
        <v>0</v>
      </c>
      <c r="K102" s="115">
        <f ca="1">IF(H102=0,0,((H102/B18)^2))</f>
        <v>0</v>
      </c>
    </row>
    <row r="103" spans="7:11">
      <c r="G103" s="110" t="s">
        <v>266</v>
      </c>
      <c r="H103">
        <f ca="1">COUNTIF(OFFSET('Transect 4_raw'!A2,0,0,D9-B9+1,1),"PAD")</f>
        <v>0</v>
      </c>
      <c r="I103" s="32">
        <f ca="1">(H103/H126)*100</f>
        <v>0</v>
      </c>
      <c r="J103" s="32">
        <f ca="1">IF(H103=0,0,-1*((H103/B18)*(LN(H103/B18))))</f>
        <v>0</v>
      </c>
      <c r="K103" s="115">
        <f ca="1">IF(H103=0,0,((H103/B18)^2))</f>
        <v>0</v>
      </c>
    </row>
    <row r="104" spans="7:11">
      <c r="G104" s="110" t="s">
        <v>268</v>
      </c>
      <c r="H104">
        <f ca="1">COUNTIF(OFFSET('Transect 4_raw'!A2,0,0,D9-B9+1,1),"SARG")</f>
        <v>0</v>
      </c>
      <c r="I104" s="32">
        <f ca="1">(H104/H126)*100</f>
        <v>0</v>
      </c>
      <c r="J104" s="32">
        <f ca="1">IF(H104=0,0,-1*((H104/B18)*(LN(H104/B18))))</f>
        <v>0</v>
      </c>
      <c r="K104" s="115">
        <f ca="1">IF(H104=0,0,((H104/B18)^2))</f>
        <v>0</v>
      </c>
    </row>
    <row r="105" spans="7:11">
      <c r="G105" s="110" t="s">
        <v>270</v>
      </c>
      <c r="H105">
        <f ca="1">COUNTIF(OFFSET('Transect 4_raw'!A2,0,0,D9-B9+1,1),"SCHIZ")</f>
        <v>0</v>
      </c>
      <c r="I105" s="32">
        <f ca="1">(H105/H126)*100</f>
        <v>0</v>
      </c>
      <c r="J105" s="32">
        <f ca="1">IF(H105=0,0,-1*((H105/B18)*(LN(H105/B18))))</f>
        <v>0</v>
      </c>
      <c r="K105" s="115">
        <f ca="1">IF(H105=0,0,((H105/B18)^2))</f>
        <v>0</v>
      </c>
    </row>
    <row r="106" spans="7:11">
      <c r="G106" s="110" t="s">
        <v>272</v>
      </c>
      <c r="H106">
        <f ca="1">COUNTIF(OFFSET('Transect 4_raw'!A2,0,0,D9-B9+1,1),"TURB")</f>
        <v>0</v>
      </c>
      <c r="I106" s="32">
        <f ca="1">(H106/H126)*100</f>
        <v>0</v>
      </c>
      <c r="J106" s="32">
        <f ca="1">IF(H106=0,0,-1*((H106/B18)*(LN(H106/B18))))</f>
        <v>0</v>
      </c>
      <c r="K106" s="115">
        <f ca="1">IF(H106=0,0,((H106/B18)^2))</f>
        <v>0</v>
      </c>
    </row>
    <row r="107" spans="7:11">
      <c r="G107" s="110" t="s">
        <v>274</v>
      </c>
      <c r="H107">
        <f ca="1">COUNTIF(OFFSET('Transect 4_raw'!A2,0,0,D9-B9+1,1),"TYDM")</f>
        <v>0</v>
      </c>
      <c r="I107" s="32">
        <f ca="1">(H107/H126)*100</f>
        <v>0</v>
      </c>
      <c r="J107" s="32">
        <f ca="1">IF(H107=0,0,-1*((H107/B18)*(LN(H107/B18))))</f>
        <v>0</v>
      </c>
      <c r="K107" s="115">
        <f ca="1">IF(H107=0,0,((H107/B18)^2))</f>
        <v>0</v>
      </c>
    </row>
    <row r="108" spans="7:11">
      <c r="G108" s="111" t="s">
        <v>102</v>
      </c>
      <c r="K108" s="116"/>
    </row>
    <row r="109" spans="7:11">
      <c r="G109" s="110" t="s">
        <v>276</v>
      </c>
      <c r="H109">
        <f ca="1">COUNTIF(OFFSET('Transect 4_raw'!A2,0,0,D9-B9+1,1),"AMP")</f>
        <v>0</v>
      </c>
      <c r="I109" s="32">
        <f ca="1">(H109/H126)*100</f>
        <v>0</v>
      </c>
      <c r="J109" s="32">
        <f ca="1">IF(H109=0,0,-1*((H109/B19)*(LN(H109/B19))))</f>
        <v>0</v>
      </c>
      <c r="K109" s="115">
        <f ca="1">IF(H109=0,0,((H109/B19)^2))</f>
        <v>0</v>
      </c>
    </row>
    <row r="110" spans="7:11">
      <c r="G110" s="110" t="s">
        <v>278</v>
      </c>
      <c r="H110">
        <f ca="1">COUNTIF(OFFSET('Transect 4_raw'!A2,0,0,D9-B9+1,1),"BCA1")</f>
        <v>4</v>
      </c>
      <c r="I110" s="32">
        <f ca="1">(H110/H126)*100</f>
        <v>1.6</v>
      </c>
      <c r="J110" s="32">
        <f ca="1">IF(H110=0,0,-1*((H110/B19)*(LN(H110/B19))))</f>
        <v>0</v>
      </c>
      <c r="K110" s="115">
        <f ca="1">IF(H110=0,0,((H110/B19)^2))</f>
        <v>1</v>
      </c>
    </row>
    <row r="111" spans="7:11">
      <c r="G111" s="110" t="s">
        <v>279</v>
      </c>
      <c r="H111">
        <f ca="1">COUNTIF(OFFSET('Transect 4_raw'!A2,0,0,D9-B9+1,1),"JAN")</f>
        <v>0</v>
      </c>
      <c r="I111" s="32">
        <f ca="1">(H111/H126)*100</f>
        <v>0</v>
      </c>
      <c r="J111" s="32">
        <f ca="1">IF(H111=0,0,-1*((H111/B19)*(LN(H111/B19))))</f>
        <v>0</v>
      </c>
      <c r="K111" s="115">
        <f ca="1">IF(H111=0,0,((H111/B19)^2))</f>
        <v>0</v>
      </c>
    </row>
    <row r="112" spans="7:11">
      <c r="G112" s="111" t="s">
        <v>103</v>
      </c>
      <c r="K112" s="116"/>
    </row>
    <row r="113" spans="7:11">
      <c r="G113" s="110" t="s">
        <v>281</v>
      </c>
      <c r="H113">
        <f ca="1">COUNTIF(OFFSET('Transect 4_raw'!A2,0,0,D9-B9+1,1),"CCA1")</f>
        <v>54</v>
      </c>
      <c r="I113" s="32">
        <f ca="1">(H113/H126)*100</f>
        <v>21.6</v>
      </c>
      <c r="J113" s="32">
        <f ca="1">IF(H113=0,0,-1*((H113/B20)*(LN(H113/B20))))</f>
        <v>0</v>
      </c>
      <c r="K113" s="115">
        <f ca="1">IF(H113=0,0,((H113/B20)^2))</f>
        <v>1</v>
      </c>
    </row>
    <row r="114" spans="7:11">
      <c r="G114" s="111" t="s">
        <v>104</v>
      </c>
      <c r="K114" s="116"/>
    </row>
    <row r="115" spans="7:11">
      <c r="G115" s="110" t="s">
        <v>282</v>
      </c>
      <c r="H115">
        <f ca="1">COUNTIF(OFFSET('Transect 4_raw'!A2,0,0,D9-B9+1,1),"Sand")</f>
        <v>0</v>
      </c>
      <c r="I115" s="32">
        <f ca="1">(H115/H126)*100</f>
        <v>0</v>
      </c>
      <c r="J115" s="32">
        <f ca="1">IF(H115=0,0,-1*((H115/B21)*(LN(H115/B21))))</f>
        <v>0</v>
      </c>
      <c r="K115" s="115">
        <f ca="1">IF(H115=0,0,((H115/B21)^2))</f>
        <v>0</v>
      </c>
    </row>
    <row r="116" spans="7:11">
      <c r="G116" s="111" t="s">
        <v>106</v>
      </c>
      <c r="K116" s="116"/>
    </row>
    <row r="117" spans="7:11">
      <c r="G117" s="110" t="s">
        <v>283</v>
      </c>
      <c r="H117">
        <f ca="1">COUNTIF(OFFSET('Transect 4_raw'!A2,0,0,D9-B9+1,1),"FCA1")</f>
        <v>7</v>
      </c>
      <c r="I117" s="32">
        <f ca="1">(H117/H126)*100</f>
        <v>2.8000000000000003</v>
      </c>
      <c r="J117" s="32">
        <f ca="1">IF(H117=0,0,-1*((H117/B22)*(LN(H117/B22))))</f>
        <v>0</v>
      </c>
      <c r="K117" s="115">
        <f ca="1">IF(H117=0,0,((H117/B22)^2))</f>
        <v>1</v>
      </c>
    </row>
    <row r="118" spans="7:11">
      <c r="G118" s="111" t="s">
        <v>107</v>
      </c>
      <c r="K118" s="116"/>
    </row>
    <row r="119" spans="7:11">
      <c r="G119" s="110" t="s">
        <v>284</v>
      </c>
      <c r="H119">
        <f ca="1">COUNTIF(OFFSET('Transect 4_raw'!A2,0,0,D9-B9+1,1),"CHRYOBRN")</f>
        <v>0</v>
      </c>
      <c r="I119" s="32">
        <f ca="1">(H119/H126)*100</f>
        <v>0</v>
      </c>
      <c r="J119" s="32">
        <f ca="1">IF(H119=0,0,-1*((H119/B23)*(LN(H119/B23))))</f>
        <v>0</v>
      </c>
      <c r="K119" s="115">
        <f ca="1">IF(H119=0,0,((H119/B23)^2))</f>
        <v>0</v>
      </c>
    </row>
    <row r="120" spans="7:11">
      <c r="G120" s="111" t="s">
        <v>109</v>
      </c>
      <c r="K120" s="116"/>
    </row>
    <row r="121" spans="7:11">
      <c r="G121" s="110" t="s">
        <v>286</v>
      </c>
      <c r="H121">
        <f ca="1">COUNTIF(OFFSET('Transect 4_raw'!A2,0,0,D9-B9+1,1),"TURF")</f>
        <v>34</v>
      </c>
      <c r="I121" s="32">
        <f ca="1">(H121/H126)*100</f>
        <v>13.600000000000001</v>
      </c>
      <c r="J121" s="32">
        <f ca="1">IF(H121=0,0,-1*((H121/B24)*(LN(H121/B24))))</f>
        <v>0</v>
      </c>
      <c r="K121" s="115">
        <f ca="1">IF(H121=0,0,((H121/B24)^2))</f>
        <v>1</v>
      </c>
    </row>
    <row r="122" spans="7:11">
      <c r="G122" s="111" t="s">
        <v>110</v>
      </c>
      <c r="K122" s="116"/>
    </row>
    <row r="123" spans="7:11">
      <c r="G123" s="110" t="s">
        <v>287</v>
      </c>
      <c r="H123">
        <f ca="1">COUNTIF(OFFSET('Transect 4_raw'!A2,0,0,D9-B9+1,1),"Shadow")</f>
        <v>0</v>
      </c>
      <c r="I123" s="32">
        <f ca="1">(H123/SUM(H15:H125))*100</f>
        <v>0</v>
      </c>
      <c r="J123" s="32"/>
      <c r="K123" s="115">
        <f ca="1">IF(H123=0,0,((H123/B25)^2))</f>
        <v>0</v>
      </c>
    </row>
    <row r="124" spans="7:11">
      <c r="G124" s="110" t="s">
        <v>289</v>
      </c>
      <c r="H124">
        <f ca="1">COUNTIF(OFFSET('Transect 4_raw'!A2,0,0,D9-B9+1,1),"Tape")</f>
        <v>0</v>
      </c>
      <c r="I124" s="32">
        <f ca="1">(H124/SUM(H15:H125))*100</f>
        <v>0</v>
      </c>
      <c r="J124" s="32"/>
      <c r="K124" s="115">
        <f ca="1">IF(H124=0,0,((H124/B25)^2))</f>
        <v>0</v>
      </c>
    </row>
    <row r="125" spans="7:11">
      <c r="G125" s="110" t="s">
        <v>291</v>
      </c>
      <c r="H125">
        <f ca="1">COUNTIF(OFFSET('Transect 4_raw'!A2,0,0,D9-B9+1,1),"Wand")</f>
        <v>0</v>
      </c>
      <c r="I125" s="32">
        <f ca="1">(H125/SUM(H15:H125))*100</f>
        <v>0</v>
      </c>
      <c r="J125" s="32"/>
      <c r="K125" s="115">
        <f ca="1">IF(H125=0,0,((H125/B25)^2))</f>
        <v>0</v>
      </c>
    </row>
    <row r="126" spans="7:11" ht="15" thickBot="1">
      <c r="G126" s="119" t="s">
        <v>318</v>
      </c>
      <c r="H126" s="42">
        <f ca="1">SUM(H16:H121)</f>
        <v>250</v>
      </c>
      <c r="I126" s="42">
        <f ca="1">SUM(I16:I121)</f>
        <v>100</v>
      </c>
      <c r="J126" s="41"/>
      <c r="K126" s="120"/>
    </row>
    <row r="127" spans="7:11" ht="15" thickTop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topLeftCell="A186" workbookViewId="0">
      <selection activeCell="D41" sqref="D41"/>
    </sheetView>
  </sheetViews>
  <sheetFormatPr baseColWidth="10" defaultColWidth="8.83203125" defaultRowHeight="14" x14ac:dyDescent="0"/>
  <cols>
    <col min="1" max="1" width="32" bestFit="1" customWidth="1"/>
    <col min="2" max="2" width="7.5" customWidth="1"/>
    <col min="3" max="3" width="7.33203125" customWidth="1"/>
    <col min="4" max="4" width="8.6640625" customWidth="1"/>
    <col min="5" max="5" width="12.5" bestFit="1" customWidth="1"/>
    <col min="7" max="7" width="33.83203125" bestFit="1" customWidth="1"/>
    <col min="8" max="8" width="7.5" customWidth="1"/>
    <col min="9" max="9" width="7.1640625" customWidth="1"/>
    <col min="10" max="10" width="8.6640625" customWidth="1"/>
    <col min="11" max="11" width="12.5" bestFit="1" customWidth="1"/>
    <col min="14" max="14" width="0" hidden="1" customWidth="1"/>
  </cols>
  <sheetData>
    <row r="1" spans="1:14">
      <c r="A1" t="s">
        <v>296</v>
      </c>
      <c r="N1">
        <v>9</v>
      </c>
    </row>
    <row r="2" spans="1:14">
      <c r="A2" t="s">
        <v>297</v>
      </c>
      <c r="C2" t="s">
        <v>298</v>
      </c>
      <c r="D2" t="s">
        <v>299</v>
      </c>
      <c r="N2">
        <v>10</v>
      </c>
    </row>
    <row r="3" spans="1:14">
      <c r="A3" t="s">
        <v>300</v>
      </c>
      <c r="N3">
        <v>0</v>
      </c>
    </row>
    <row r="4" spans="1:14">
      <c r="A4" t="s">
        <v>301</v>
      </c>
      <c r="N4">
        <v>0</v>
      </c>
    </row>
    <row r="5" spans="1:14">
      <c r="A5" t="s">
        <v>302</v>
      </c>
      <c r="N5">
        <v>0</v>
      </c>
    </row>
    <row r="6" spans="1:14">
      <c r="A6" t="s">
        <v>303</v>
      </c>
      <c r="N6">
        <v>126</v>
      </c>
    </row>
    <row r="7" spans="1:14">
      <c r="A7" t="s">
        <v>304</v>
      </c>
      <c r="B7">
        <v>5</v>
      </c>
      <c r="D7" s="30" t="s">
        <v>305</v>
      </c>
      <c r="N7">
        <v>16</v>
      </c>
    </row>
    <row r="8" spans="1:14">
      <c r="A8" t="s">
        <v>306</v>
      </c>
      <c r="B8">
        <v>50</v>
      </c>
      <c r="N8">
        <v>25</v>
      </c>
    </row>
    <row r="9" spans="1:14">
      <c r="A9" t="s">
        <v>307</v>
      </c>
      <c r="B9">
        <v>2</v>
      </c>
      <c r="C9" t="s">
        <v>308</v>
      </c>
      <c r="D9">
        <v>251</v>
      </c>
      <c r="N9">
        <v>31</v>
      </c>
    </row>
    <row r="10" spans="1:14">
      <c r="A10" s="31" t="s">
        <v>309</v>
      </c>
      <c r="B10" s="31">
        <f ca="1">COUNTA(OFFSET(Transect5_raw!A2,0,0,D9-B9+1,1))</f>
        <v>250</v>
      </c>
      <c r="N10">
        <v>31</v>
      </c>
    </row>
    <row r="11" spans="1:14">
      <c r="A11" t="s">
        <v>310</v>
      </c>
      <c r="N11">
        <v>31</v>
      </c>
    </row>
    <row r="12" spans="1:14">
      <c r="A12" t="s">
        <v>311</v>
      </c>
      <c r="N12">
        <v>29</v>
      </c>
    </row>
    <row r="13" spans="1:14">
      <c r="A13" t="s">
        <v>312</v>
      </c>
      <c r="N13">
        <v>29</v>
      </c>
    </row>
    <row r="14" spans="1:14" ht="15" thickBot="1">
      <c r="N14">
        <v>8</v>
      </c>
    </row>
    <row r="15" spans="1:14" ht="15" thickTop="1">
      <c r="A15" s="123" t="s">
        <v>350</v>
      </c>
      <c r="B15" s="33" t="s">
        <v>314</v>
      </c>
      <c r="C15" s="33" t="s">
        <v>315</v>
      </c>
      <c r="D15" s="33" t="s">
        <v>316</v>
      </c>
      <c r="E15" s="128" t="s">
        <v>317</v>
      </c>
      <c r="G15" s="123" t="s">
        <v>313</v>
      </c>
      <c r="H15" s="33" t="s">
        <v>314</v>
      </c>
      <c r="I15" s="33" t="s">
        <v>315</v>
      </c>
      <c r="J15" s="33" t="s">
        <v>316</v>
      </c>
      <c r="K15" s="128" t="s">
        <v>317</v>
      </c>
      <c r="N15">
        <v>16</v>
      </c>
    </row>
    <row r="16" spans="1:14">
      <c r="A16" s="124" t="s">
        <v>351</v>
      </c>
      <c r="B16" s="35">
        <f ca="1">COUNTIF(OFFSET(Transect5_raw!C2,0,0,D9-B9+1,1), "C")</f>
        <v>117</v>
      </c>
      <c r="C16" s="36">
        <f ca="1">(B16/H126)*100</f>
        <v>46.800000000000004</v>
      </c>
      <c r="D16" s="36">
        <f ca="1">SUM(J17:J72)</f>
        <v>2.0716779217405801</v>
      </c>
      <c r="E16" s="129">
        <f ca="1">1-SUM(K17:K72)</f>
        <v>0.81364599313317265</v>
      </c>
      <c r="G16" s="126" t="s">
        <v>97</v>
      </c>
      <c r="K16" s="131"/>
      <c r="N16">
        <v>126</v>
      </c>
    </row>
    <row r="17" spans="1:14">
      <c r="A17" s="125" t="s">
        <v>352</v>
      </c>
      <c r="B17">
        <f ca="1">COUNTIF(OFFSET(Transect5_raw!C2,0,0,D9-B9+1,1), "OI")</f>
        <v>0</v>
      </c>
      <c r="C17" s="32">
        <f ca="1">(B17/H126)*100</f>
        <v>0</v>
      </c>
      <c r="D17" s="32">
        <f ca="1">SUM(J74:J85)</f>
        <v>0</v>
      </c>
      <c r="E17" s="130">
        <f ca="1">1-SUM(K74:K85)</f>
        <v>1</v>
      </c>
      <c r="G17" s="125" t="s">
        <v>113</v>
      </c>
      <c r="H17">
        <f ca="1">COUNTIF(OFFSET(Transect5_raw!A2,0,0,D9-B9+1,1),"ACAN")</f>
        <v>0</v>
      </c>
      <c r="I17" s="32">
        <f ca="1">(H17/H126)*100</f>
        <v>0</v>
      </c>
      <c r="J17" s="32">
        <f ca="1">IF(H17=0,0,-1*((H17/B16)*(LN(H17/B16))))</f>
        <v>0</v>
      </c>
      <c r="K17" s="130">
        <f ca="1">IF(H17=0,0,((H17/B16)^2))</f>
        <v>0</v>
      </c>
      <c r="N17">
        <v>7</v>
      </c>
    </row>
    <row r="18" spans="1:14">
      <c r="A18" s="124" t="s">
        <v>353</v>
      </c>
      <c r="B18" s="35">
        <f ca="1">COUNTIF(OFFSET(Transect5_raw!C2,0,0,D9-B9+1,1), "MA")</f>
        <v>0</v>
      </c>
      <c r="C18" s="36">
        <f ca="1">(B18/H126)*100</f>
        <v>0</v>
      </c>
      <c r="D18" s="36">
        <f ca="1">SUM(J87:J107)</f>
        <v>0</v>
      </c>
      <c r="E18" s="129">
        <f ca="1">1-SUM(K87:K107)</f>
        <v>1</v>
      </c>
      <c r="G18" s="125" t="s">
        <v>115</v>
      </c>
      <c r="H18">
        <f ca="1">COUNTIF(OFFSET(Transect5_raw!A2,0,0,D9-B9+1,1),"ACROP")</f>
        <v>3</v>
      </c>
      <c r="I18" s="32">
        <f ca="1">(H18/H126)*100</f>
        <v>1.2</v>
      </c>
      <c r="J18" s="32">
        <f ca="1">IF(H18=0,0,-1*((H18/B16)*(LN(H18/B16))))</f>
        <v>9.3937478105888358E-2</v>
      </c>
      <c r="K18" s="130">
        <f ca="1">IF(H18=0,0,((H18/B16)^2))</f>
        <v>6.5746219592373431E-4</v>
      </c>
    </row>
    <row r="19" spans="1:14">
      <c r="A19" s="125" t="s">
        <v>354</v>
      </c>
      <c r="B19">
        <f ca="1">COUNTIF(OFFSET(Transect5_raw!C2,0,0,D9-B9+1,1), "BCA")</f>
        <v>8</v>
      </c>
      <c r="C19" s="32">
        <f ca="1">(B19/H126)*100</f>
        <v>3.2</v>
      </c>
      <c r="D19" s="32">
        <f ca="1">SUM(J109:J111)</f>
        <v>0</v>
      </c>
      <c r="E19" s="130">
        <f ca="1">1-SUM(K109:K111)</f>
        <v>0</v>
      </c>
      <c r="G19" s="125" t="s">
        <v>116</v>
      </c>
      <c r="H19">
        <f ca="1">COUNTIF(OFFSET(Transect5_raw!A2,0,0,D9-B9+1,1),"ACROPARB")</f>
        <v>0</v>
      </c>
      <c r="I19" s="32">
        <f ca="1">(H19/H126)*100</f>
        <v>0</v>
      </c>
      <c r="J19" s="32">
        <f ca="1">IF(H19=0,0,-1*((H19/B16)*(LN(H19/B16))))</f>
        <v>0</v>
      </c>
      <c r="K19" s="130">
        <f ca="1">IF(H19=0,0,((H19/B16)^2))</f>
        <v>0</v>
      </c>
    </row>
    <row r="20" spans="1:14">
      <c r="A20" s="124" t="s">
        <v>355</v>
      </c>
      <c r="B20" s="35">
        <f ca="1">COUNTIF(OFFSET(Transect5_raw!C2,0,0,D9-B9+1,1), "CCA")</f>
        <v>76</v>
      </c>
      <c r="C20" s="36">
        <f ca="1">(B20/H126)*100</f>
        <v>30.4</v>
      </c>
      <c r="D20" s="36">
        <f ca="1">SUM(J113:J113)</f>
        <v>0</v>
      </c>
      <c r="E20" s="129">
        <f ca="1">1-SUM(K113:K113)</f>
        <v>0</v>
      </c>
      <c r="G20" s="125" t="s">
        <v>118</v>
      </c>
      <c r="H20">
        <f ca="1">COUNTIF(OFFSET(Transect5_raw!A2,0,0,D9-B9+1,1),"ACROST")</f>
        <v>1</v>
      </c>
      <c r="I20" s="32">
        <f ca="1">(H20/H126)*100</f>
        <v>0.4</v>
      </c>
      <c r="J20" s="32">
        <f ca="1">IF(H20=0,0,-1*((H20/B16)*(LN(H20/B16))))</f>
        <v>4.070234132305775E-2</v>
      </c>
      <c r="K20" s="130">
        <f ca="1">IF(H20=0,0,((H20/B16)^2))</f>
        <v>7.3051355102637171E-5</v>
      </c>
    </row>
    <row r="21" spans="1:14">
      <c r="A21" s="125" t="s">
        <v>356</v>
      </c>
      <c r="B21">
        <f ca="1">COUNTIF(OFFSET(Transect5_raw!C2,0,0,D9-B9+1,1), "SD")</f>
        <v>0</v>
      </c>
      <c r="C21" s="32">
        <f ca="1">(B21/H126)*100</f>
        <v>0</v>
      </c>
      <c r="D21" s="32">
        <f ca="1">SUM(J115:J115)</f>
        <v>0</v>
      </c>
      <c r="E21" s="130">
        <f ca="1">1-SUM(K115:K115)</f>
        <v>1</v>
      </c>
      <c r="G21" s="125" t="s">
        <v>120</v>
      </c>
      <c r="H21">
        <f ca="1">COUNTIF(OFFSET(Transect5_raw!A2,0,0,D9-B9+1,1),"ACROTBL")</f>
        <v>11</v>
      </c>
      <c r="I21" s="32">
        <f ca="1">(H21/H126)*100</f>
        <v>4.3999999999999995</v>
      </c>
      <c r="J21" s="32">
        <f ca="1">IF(H21=0,0,-1*((H21/B16)*(LN(H21/B16))))</f>
        <v>0.22228260924780549</v>
      </c>
      <c r="K21" s="130">
        <f ca="1">IF(H21=0,0,((H21/B16)^2))</f>
        <v>8.8392139674190948E-3</v>
      </c>
    </row>
    <row r="22" spans="1:14">
      <c r="A22" s="124" t="s">
        <v>357</v>
      </c>
      <c r="B22" s="35">
        <f ca="1">COUNTIF(OFFSET(Transect5_raw!C2,0,0,D9-B9+1,1), "FCA")</f>
        <v>5</v>
      </c>
      <c r="C22" s="36">
        <f ca="1">(B22/H126)*100</f>
        <v>2</v>
      </c>
      <c r="D22" s="36">
        <f ca="1">SUM(J117:J117)</f>
        <v>0</v>
      </c>
      <c r="E22" s="129">
        <f ca="1">1-SUM(K117:K117)</f>
        <v>0</v>
      </c>
      <c r="G22" s="125" t="s">
        <v>121</v>
      </c>
      <c r="H22">
        <f ca="1">COUNTIF(OFFSET(Transect5_raw!A2,0,0,D9-B9+1,1),"ASTRP")</f>
        <v>0</v>
      </c>
      <c r="I22" s="32">
        <f ca="1">(H22/H126)*100</f>
        <v>0</v>
      </c>
      <c r="J22" s="32">
        <f ca="1">IF(H22=0,0,-1*((H22/B16)*(LN(H22/B16))))</f>
        <v>0</v>
      </c>
      <c r="K22" s="130">
        <f ca="1">IF(H22=0,0,((H22/B16)^2))</f>
        <v>0</v>
      </c>
    </row>
    <row r="23" spans="1:14">
      <c r="A23" s="125" t="s">
        <v>358</v>
      </c>
      <c r="B23">
        <f ca="1">COUNTIF(OFFSET(Transect5_raw!C2,0,0,D9-B9+1,1), "CHRYS")</f>
        <v>0</v>
      </c>
      <c r="C23" s="32">
        <f ca="1">(B23/H126)*100</f>
        <v>0</v>
      </c>
      <c r="D23" s="32">
        <f ca="1">SUM(J119:J119)</f>
        <v>0</v>
      </c>
      <c r="E23" s="130">
        <f ca="1">1-SUM(K119:K119)</f>
        <v>1</v>
      </c>
      <c r="G23" s="125" t="s">
        <v>123</v>
      </c>
      <c r="H23">
        <f ca="1">COUNTIF(OFFSET(Transect5_raw!A2,0,0,D9-B9+1,1),"CAUL")</f>
        <v>0</v>
      </c>
      <c r="I23" s="32">
        <f ca="1">(H23/H126)*100</f>
        <v>0</v>
      </c>
      <c r="J23" s="32">
        <f ca="1">IF(H23=0,0,-1*((H23/B16)*(LN(H23/B16))))</f>
        <v>0</v>
      </c>
      <c r="K23" s="130">
        <f ca="1">IF(H23=0,0,((H23/B16)^2))</f>
        <v>0</v>
      </c>
    </row>
    <row r="24" spans="1:14">
      <c r="A24" s="124" t="s">
        <v>359</v>
      </c>
      <c r="B24" s="35">
        <f ca="1">COUNTIF(OFFSET(Transect5_raw!C2,0,0,D9-B9+1,1), "T")</f>
        <v>44</v>
      </c>
      <c r="C24" s="36">
        <f ca="1">(B24/H126)*100</f>
        <v>17.599999999999998</v>
      </c>
      <c r="D24" s="36">
        <f ca="1">SUM(J121:J121)</f>
        <v>0</v>
      </c>
      <c r="E24" s="129">
        <f ca="1">1-SUM(K121:K121)</f>
        <v>0</v>
      </c>
      <c r="G24" s="125" t="s">
        <v>125</v>
      </c>
      <c r="H24">
        <f ca="1">COUNTIF(OFFSET(Transect5_raw!A2,0,0,D9-B9+1,1),"COSC")</f>
        <v>0</v>
      </c>
      <c r="I24" s="32">
        <f ca="1">(H24/H126)*100</f>
        <v>0</v>
      </c>
      <c r="J24" s="32">
        <f ca="1">IF(H24=0,0,-1*((H24/B16)*(LN(H24/B16))))</f>
        <v>0</v>
      </c>
      <c r="K24" s="130">
        <f ca="1">IF(H24=0,0,((H24/B16)^2))</f>
        <v>0</v>
      </c>
    </row>
    <row r="25" spans="1:14">
      <c r="A25" s="125" t="s">
        <v>360</v>
      </c>
      <c r="B25">
        <f ca="1">COUNTIF(OFFSET(Transect5_raw!C2,0,0,D9-B9+1,1), "TWS")</f>
        <v>0</v>
      </c>
      <c r="C25" s="32">
        <f ca="1">(B25/B26)*100</f>
        <v>0</v>
      </c>
      <c r="E25" s="131"/>
      <c r="G25" s="125" t="s">
        <v>127</v>
      </c>
      <c r="H25">
        <f ca="1">COUNTIF(OFFSET(Transect5_raw!A2,0,0,D9-B9+1,1),"CTEN")</f>
        <v>0</v>
      </c>
      <c r="I25" s="32">
        <f ca="1">(H25/H126)*100</f>
        <v>0</v>
      </c>
      <c r="J25" s="32">
        <f ca="1">IF(H25=0,0,-1*((H25/B16)*(LN(H25/B16))))</f>
        <v>0</v>
      </c>
      <c r="K25" s="130">
        <f ca="1">IF(H25=0,0,((H25/B16)^2))</f>
        <v>0</v>
      </c>
    </row>
    <row r="26" spans="1:14">
      <c r="A26" s="126" t="s">
        <v>361</v>
      </c>
      <c r="B26" s="31">
        <f ca="1">SUM(B16:B25)</f>
        <v>250</v>
      </c>
      <c r="C26" s="37">
        <f ca="1">SUM(C16:C25)-C25</f>
        <v>100</v>
      </c>
      <c r="E26" s="131"/>
      <c r="G26" s="125" t="s">
        <v>129</v>
      </c>
      <c r="H26">
        <f ca="1">COUNTIF(OFFSET(Transect5_raw!A2,0,0,D9-B9+1,1),"CYPH")</f>
        <v>0</v>
      </c>
      <c r="I26" s="32">
        <f ca="1">(H26/H126)*100</f>
        <v>0</v>
      </c>
      <c r="J26" s="32">
        <f ca="1">IF(H26=0,0,-1*((H26/B16)*(LN(H26/B16))))</f>
        <v>0</v>
      </c>
      <c r="K26" s="130">
        <f ca="1">IF(H26=0,0,((H26/B16)^2))</f>
        <v>0</v>
      </c>
    </row>
    <row r="27" spans="1:14">
      <c r="A27" s="125"/>
      <c r="E27" s="131"/>
      <c r="G27" s="125" t="s">
        <v>130</v>
      </c>
      <c r="H27">
        <f ca="1">COUNTIF(OFFSET(Transect5_raw!A2,0,0,D9-B9+1,1),"DIPLO")</f>
        <v>0</v>
      </c>
      <c r="I27" s="32">
        <f ca="1">(H27/H126)*100</f>
        <v>0</v>
      </c>
      <c r="J27" s="32">
        <f ca="1">IF(H27=0,0,-1*((H27/B16)*(LN(H27/B16))))</f>
        <v>0</v>
      </c>
      <c r="K27" s="130">
        <f ca="1">IF(H27=0,0,((H27/B16)^2))</f>
        <v>0</v>
      </c>
    </row>
    <row r="28" spans="1:14">
      <c r="A28" s="126" t="s">
        <v>362</v>
      </c>
      <c r="E28" s="131"/>
      <c r="G28" s="125" t="s">
        <v>132</v>
      </c>
      <c r="H28">
        <f ca="1">COUNTIF(OFFSET(Transect5_raw!A2,0,0,D9-B9+1,1),"ECHPO")</f>
        <v>24</v>
      </c>
      <c r="I28" s="32">
        <f ca="1">(H28/H126)*100</f>
        <v>9.6</v>
      </c>
      <c r="J28" s="32">
        <f ca="1">IF(H28=0,0,-1*((H28/B16)*(LN(H28/B16))))</f>
        <v>0.32494771373329445</v>
      </c>
      <c r="K28" s="130">
        <f ca="1">IF(H28=0,0,((H28/B16)^2))</f>
        <v>4.2077580539118996E-2</v>
      </c>
    </row>
    <row r="29" spans="1:14">
      <c r="A29" s="124" t="s">
        <v>363</v>
      </c>
      <c r="B29" s="35">
        <f t="array" aca="1" ref="B29" ca="1">SUM((OFFSET(Transect5_raw!B2,0,0,D9-B9+1,1)="BC") * (OFFSET(Transect5_raw!C2,0,0,D9-B9+1,1)&lt;&gt;"TWS"))</f>
        <v>0</v>
      </c>
      <c r="C29" s="36">
        <f ca="1">(B29/H126)*100</f>
        <v>0</v>
      </c>
      <c r="D29" s="35"/>
      <c r="E29" s="132"/>
      <c r="G29" s="125" t="s">
        <v>133</v>
      </c>
      <c r="H29">
        <f ca="1">COUNTIF(OFFSET(Transect5_raw!A2,0,0,D9-B9+1,1),"ECHPHY")</f>
        <v>0</v>
      </c>
      <c r="I29" s="32">
        <f ca="1">(H29/H126)*100</f>
        <v>0</v>
      </c>
      <c r="J29" s="32">
        <f ca="1">IF(H29=0,0,-1*((H29/B16)*(LN(H29/B16))))</f>
        <v>0</v>
      </c>
      <c r="K29" s="130">
        <f ca="1">IF(H29=0,0,((H29/B16)^2))</f>
        <v>0</v>
      </c>
    </row>
    <row r="30" spans="1:14">
      <c r="A30" s="126" t="s">
        <v>364</v>
      </c>
      <c r="E30" s="131"/>
      <c r="G30" s="125" t="s">
        <v>135</v>
      </c>
      <c r="H30">
        <f ca="1">COUNTIF(OFFSET(Transect5_raw!A2,0,0,D9-B9+1,1),"EUPH")</f>
        <v>0</v>
      </c>
      <c r="I30" s="32">
        <f ca="1">(H30/H126)*100</f>
        <v>0</v>
      </c>
      <c r="J30" s="32">
        <f ca="1">IF(H30=0,0,-1*((H30/B16)*(LN(H30/B16))))</f>
        <v>0</v>
      </c>
      <c r="K30" s="130">
        <f ca="1">IF(H30=0,0,((H30/B16)^2))</f>
        <v>0</v>
      </c>
    </row>
    <row r="31" spans="1:14" ht="15" thickBot="1">
      <c r="A31" s="127" t="s">
        <v>363</v>
      </c>
      <c r="B31" s="39">
        <f ca="1">SUMPRODUCT( (OFFSET(Transect5_raw!B2,0,0,D9-B9+1,1)="BC")*( OFFSET(Transect5_raw!C2,0,0,D9-B9+1,1)="C"))</f>
        <v>0</v>
      </c>
      <c r="C31" s="40">
        <f ca="1">IF(B16=0,0,(B31/B16)*100)</f>
        <v>0</v>
      </c>
      <c r="D31" s="39"/>
      <c r="E31" s="133"/>
      <c r="G31" s="125" t="s">
        <v>137</v>
      </c>
      <c r="H31">
        <f ca="1">COUNTIF(OFFSET(Transect5_raw!A2,0,0,D9-B9+1,1),"FAV")</f>
        <v>0</v>
      </c>
      <c r="I31" s="32">
        <f ca="1">(H31/H126)*100</f>
        <v>0</v>
      </c>
      <c r="J31" s="32">
        <f ca="1">IF(H31=0,0,-1*((H31/B16)*(LN(H31/B16))))</f>
        <v>0</v>
      </c>
      <c r="K31" s="130">
        <f ca="1">IF(H31=0,0,((H31/B16)^2))</f>
        <v>0</v>
      </c>
    </row>
    <row r="32" spans="1:14" ht="15" thickTop="1">
      <c r="G32" s="125" t="s">
        <v>138</v>
      </c>
      <c r="H32">
        <f ca="1">COUNTIF(OFFSET(Transect5_raw!A2,0,0,D9-B9+1,1),"FAVT")</f>
        <v>0</v>
      </c>
      <c r="I32" s="32">
        <f ca="1">(H32/H126)*100</f>
        <v>0</v>
      </c>
      <c r="J32" s="32">
        <f ca="1">IF(H32=0,0,-1*((H32/B16)*(LN(H32/B16))))</f>
        <v>0</v>
      </c>
      <c r="K32" s="130">
        <f ca="1">IF(H32=0,0,((H32/B16)^2))</f>
        <v>0</v>
      </c>
    </row>
    <row r="33" spans="7:11">
      <c r="G33" s="125" t="s">
        <v>140</v>
      </c>
      <c r="H33">
        <f ca="1">COUNTIF(OFFSET(Transect5_raw!A2,0,0,D9-B9+1,1),"FUNG")</f>
        <v>1</v>
      </c>
      <c r="I33" s="32">
        <f ca="1">(H33/H126)*100</f>
        <v>0.4</v>
      </c>
      <c r="J33" s="32">
        <f ca="1">IF(H33=0,0,-1*((H33/B16)*(LN(H33/B16))))</f>
        <v>4.070234132305775E-2</v>
      </c>
      <c r="K33" s="130">
        <f ca="1">IF(H33=0,0,((H33/B16)^2))</f>
        <v>7.3051355102637171E-5</v>
      </c>
    </row>
    <row r="34" spans="7:11">
      <c r="G34" s="125" t="s">
        <v>142</v>
      </c>
      <c r="H34">
        <f ca="1">COUNTIF(OFFSET(Transect5_raw!A2,0,0,D9-B9+1,1),"GAL")</f>
        <v>0</v>
      </c>
      <c r="I34" s="32">
        <f ca="1">(H34/H126)*100</f>
        <v>0</v>
      </c>
      <c r="J34" s="32">
        <f ca="1">IF(H34=0,0,-1*((H34/B16)*(LN(H34/B16))))</f>
        <v>0</v>
      </c>
      <c r="K34" s="130">
        <f ca="1">IF(H34=0,0,((H34/B16)^2))</f>
        <v>0</v>
      </c>
    </row>
    <row r="35" spans="7:11">
      <c r="G35" s="125" t="s">
        <v>143</v>
      </c>
      <c r="H35">
        <f ca="1">COUNTIF(OFFSET(Transect5_raw!A2,0,0,D9-B9+1,1),"GARD")</f>
        <v>0</v>
      </c>
      <c r="I35" s="32">
        <f ca="1">(H35/H126)*100</f>
        <v>0</v>
      </c>
      <c r="J35" s="32">
        <f ca="1">IF(H35=0,0,-1*((H35/B16)*(LN(H35/B16))))</f>
        <v>0</v>
      </c>
      <c r="K35" s="130">
        <f ca="1">IF(H35=0,0,((H35/B16)^2))</f>
        <v>0</v>
      </c>
    </row>
    <row r="36" spans="7:11">
      <c r="G36" s="125" t="s">
        <v>145</v>
      </c>
      <c r="H36">
        <f ca="1">COUNTIF(OFFSET(Transect5_raw!A2,0,0,D9-B9+1,1),"GON")</f>
        <v>3</v>
      </c>
      <c r="I36" s="32">
        <f ca="1">(H36/H126)*100</f>
        <v>1.2</v>
      </c>
      <c r="J36" s="32">
        <f ca="1">IF(H36=0,0,-1*((H36/B16)*(LN(H36/B16))))</f>
        <v>9.3937478105888358E-2</v>
      </c>
      <c r="K36" s="130">
        <f ca="1">IF(H36=0,0,((H36/B16)^2))</f>
        <v>6.5746219592373431E-4</v>
      </c>
    </row>
    <row r="37" spans="7:11">
      <c r="G37" s="125" t="s">
        <v>146</v>
      </c>
      <c r="H37">
        <f ca="1">COUNTIF(OFFSET(Transect5_raw!A2,0,0,D9-B9+1,1),"GONIO")</f>
        <v>2</v>
      </c>
      <c r="I37" s="32">
        <f ca="1">(H37/H126)*100</f>
        <v>0.8</v>
      </c>
      <c r="J37" s="32">
        <f ca="1">IF(H37=0,0,-1*((H37/B16)*(LN(H37/B16))))</f>
        <v>6.9556012892954044E-2</v>
      </c>
      <c r="K37" s="130">
        <f ca="1">IF(H37=0,0,((H37/B16)^2))</f>
        <v>2.9220542041054868E-4</v>
      </c>
    </row>
    <row r="38" spans="7:11">
      <c r="G38" s="125" t="s">
        <v>148</v>
      </c>
      <c r="H38">
        <f ca="1">COUNTIF(OFFSET(Transect5_raw!A2,0,0,D9-B9+1,1),"HELIO")</f>
        <v>0</v>
      </c>
      <c r="I38" s="32">
        <f ca="1">(H38/H126)*100</f>
        <v>0</v>
      </c>
      <c r="J38" s="32">
        <f ca="1">IF(H38=0,0,-1*((H38/B16)*(LN(H38/B16))))</f>
        <v>0</v>
      </c>
      <c r="K38" s="130">
        <f ca="1">IF(H38=0,0,((H38/B16)^2))</f>
        <v>0</v>
      </c>
    </row>
    <row r="39" spans="7:11">
      <c r="G39" s="125" t="s">
        <v>150</v>
      </c>
      <c r="H39">
        <f ca="1">COUNTIF(OFFSET(Transect5_raw!A2,0,0,D9-B9+1,1),"HERP")</f>
        <v>0</v>
      </c>
      <c r="I39" s="32">
        <f ca="1">(H39/H126)*100</f>
        <v>0</v>
      </c>
      <c r="J39" s="32">
        <f ca="1">IF(H39=0,0,-1*((H39/B16)*(LN(H39/B16))))</f>
        <v>0</v>
      </c>
      <c r="K39" s="130">
        <f ca="1">IF(H39=0,0,((H39/B16)^2))</f>
        <v>0</v>
      </c>
    </row>
    <row r="40" spans="7:11">
      <c r="G40" s="125" t="s">
        <v>152</v>
      </c>
      <c r="H40">
        <f ca="1">COUNTIF(OFFSET(Transect5_raw!A2,0,0,D9-B9+1,1),"HYD")</f>
        <v>4</v>
      </c>
      <c r="I40" s="32">
        <f ca="1">(H40/H126)*100</f>
        <v>1.6</v>
      </c>
      <c r="J40" s="32">
        <f ca="1">IF(H40=0,0,-1*((H40/B16)*(LN(H40/B16))))</f>
        <v>0.11541468627958516</v>
      </c>
      <c r="K40" s="130">
        <f ca="1">IF(H40=0,0,((H40/B16)^2))</f>
        <v>1.1688216816421947E-3</v>
      </c>
    </row>
    <row r="41" spans="7:11">
      <c r="G41" s="125" t="s">
        <v>154</v>
      </c>
      <c r="H41">
        <f ca="1">COUNTIF(OFFSET(Transect5_raw!A2,0,0,D9-B9+1,1),"ISOP")</f>
        <v>1</v>
      </c>
      <c r="I41" s="32">
        <f ca="1">(H41/H126)*100</f>
        <v>0.4</v>
      </c>
      <c r="J41" s="32">
        <f ca="1">IF(H41=0,0,-1*((H41/B16)*(LN(H41/B16))))</f>
        <v>4.070234132305775E-2</v>
      </c>
      <c r="K41" s="130">
        <f ca="1">IF(H41=0,0,((H41/B16)^2))</f>
        <v>7.3051355102637171E-5</v>
      </c>
    </row>
    <row r="42" spans="7:11">
      <c r="G42" s="125" t="s">
        <v>156</v>
      </c>
      <c r="H42">
        <f ca="1">COUNTIF(OFFSET(Transect5_raw!A2,0,0,D9-B9+1,1),"LEPT")</f>
        <v>1</v>
      </c>
      <c r="I42" s="32">
        <f ca="1">(H42/H126)*100</f>
        <v>0.4</v>
      </c>
      <c r="J42" s="32">
        <f ca="1">IF(H42=0,0,-1*((H42/B16)*(LN(H42/B16))))</f>
        <v>4.070234132305775E-2</v>
      </c>
      <c r="K42" s="130">
        <f ca="1">IF(H42=0,0,((H42/B16)^2))</f>
        <v>7.3051355102637171E-5</v>
      </c>
    </row>
    <row r="43" spans="7:11">
      <c r="G43" s="125" t="s">
        <v>158</v>
      </c>
      <c r="H43">
        <f ca="1">COUNTIF(OFFSET(Transect5_raw!A2,0,0,D9-B9+1,1),"LEPTOR")</f>
        <v>11</v>
      </c>
      <c r="I43" s="32">
        <f ca="1">(H43/H126)*100</f>
        <v>4.3999999999999995</v>
      </c>
      <c r="J43" s="32">
        <f ca="1">IF(H43=0,0,-1*((H43/B16)*(LN(H43/B16))))</f>
        <v>0.22228260924780549</v>
      </c>
      <c r="K43" s="130">
        <f ca="1">IF(H43=0,0,((H43/B16)^2))</f>
        <v>8.8392139674190948E-3</v>
      </c>
    </row>
    <row r="44" spans="7:11">
      <c r="G44" s="125" t="s">
        <v>159</v>
      </c>
      <c r="H44">
        <f ca="1">COUNTIF(OFFSET(Transect5_raw!A2,0,0,D9-B9+1,1),"LEPTOS")</f>
        <v>0</v>
      </c>
      <c r="I44" s="32">
        <f ca="1">(H44/H126)*100</f>
        <v>0</v>
      </c>
      <c r="J44" s="32">
        <f ca="1">IF(H44=0,0,-1*((H44/B16)*(LN(H44/B16))))</f>
        <v>0</v>
      </c>
      <c r="K44" s="130">
        <f ca="1">IF(H44=0,0,((H44/B16)^2))</f>
        <v>0</v>
      </c>
    </row>
    <row r="45" spans="7:11">
      <c r="G45" s="125" t="s">
        <v>161</v>
      </c>
      <c r="H45">
        <f ca="1">COUNTIF(OFFSET(Transect5_raw!A2,0,0,D9-B9+1,1),"LOBOPH")</f>
        <v>0</v>
      </c>
      <c r="I45" s="32">
        <f ca="1">(H45/H126)*100</f>
        <v>0</v>
      </c>
      <c r="J45" s="32">
        <f ca="1">IF(H45=0,0,-1*((H45/B16)*(LN(H45/B16))))</f>
        <v>0</v>
      </c>
      <c r="K45" s="130">
        <f ca="1">IF(H45=0,0,((H45/B16)^2))</f>
        <v>0</v>
      </c>
    </row>
    <row r="46" spans="7:11">
      <c r="G46" s="125" t="s">
        <v>162</v>
      </c>
      <c r="H46">
        <f ca="1">COUNTIF(OFFSET(Transect5_raw!A2,0,0,D9-B9+1,1),"MERU")</f>
        <v>40</v>
      </c>
      <c r="I46" s="32">
        <f ca="1">(H46/H126)*100</f>
        <v>16</v>
      </c>
      <c r="J46" s="32">
        <f ca="1">IF(H46=0,0,-1*((H46/B16)*(LN(H46/B16))))</f>
        <v>0.36693828399446832</v>
      </c>
      <c r="K46" s="130">
        <f ca="1">IF(H46=0,0,((H46/B16)^2))</f>
        <v>0.11688216816421945</v>
      </c>
    </row>
    <row r="47" spans="7:11">
      <c r="G47" s="125" t="s">
        <v>163</v>
      </c>
      <c r="H47">
        <f ca="1">COUNTIF(OFFSET(Transect5_raw!A2,0,0,D9-B9+1,1),"MILL")</f>
        <v>1</v>
      </c>
      <c r="I47" s="32">
        <f ca="1">(H47/H126)*100</f>
        <v>0.4</v>
      </c>
      <c r="J47" s="32">
        <f ca="1">IF(H47=0,0,-1*((H47/B16)*(LN(H47/B16))))</f>
        <v>4.070234132305775E-2</v>
      </c>
      <c r="K47" s="130">
        <f ca="1">IF(H47=0,0,((H47/B16)^2))</f>
        <v>7.3051355102637171E-5</v>
      </c>
    </row>
    <row r="48" spans="7:11">
      <c r="G48" s="125" t="s">
        <v>165</v>
      </c>
      <c r="H48">
        <f ca="1">COUNTIF(OFFSET(Transect5_raw!A2,0,0,D9-B9+1,1),"MONT")</f>
        <v>0</v>
      </c>
      <c r="I48" s="32">
        <f ca="1">(H48/H126)*100</f>
        <v>0</v>
      </c>
      <c r="J48" s="32">
        <f ca="1">IF(H48=0,0,-1*((H48/B16)*(LN(H48/B16))))</f>
        <v>0</v>
      </c>
      <c r="K48" s="130">
        <f ca="1">IF(H48=0,0,((H48/B16)^2))</f>
        <v>0</v>
      </c>
    </row>
    <row r="49" spans="7:11">
      <c r="G49" s="125" t="s">
        <v>167</v>
      </c>
      <c r="H49">
        <f ca="1">COUNTIF(OFFSET(Transect5_raw!A2,0,0,D9-B9+1,1),"MONTI")</f>
        <v>0</v>
      </c>
      <c r="I49" s="32">
        <f ca="1">(H49/H126)*100</f>
        <v>0</v>
      </c>
      <c r="J49" s="32">
        <f ca="1">IF(H49=0,0,-1*((H49/B16)*(LN(H49/B16))))</f>
        <v>0</v>
      </c>
      <c r="K49" s="130">
        <f ca="1">IF(H49=0,0,((H49/B16)^2))</f>
        <v>0</v>
      </c>
    </row>
    <row r="50" spans="7:11">
      <c r="G50" s="125" t="s">
        <v>169</v>
      </c>
      <c r="H50">
        <f ca="1">COUNTIF(OFFSET(Transect5_raw!A2,0,0,D9-B9+1,1),"MYCED")</f>
        <v>0</v>
      </c>
      <c r="I50" s="32">
        <f ca="1">(H50/H126)*100</f>
        <v>0</v>
      </c>
      <c r="J50" s="32">
        <f ca="1">IF(H50=0,0,-1*((H50/B16)*(LN(H50/B16))))</f>
        <v>0</v>
      </c>
      <c r="K50" s="130">
        <f ca="1">IF(H50=0,0,((H50/B16)^2))</f>
        <v>0</v>
      </c>
    </row>
    <row r="51" spans="7:11">
      <c r="G51" s="125" t="s">
        <v>170</v>
      </c>
      <c r="H51">
        <f ca="1">COUNTIF(OFFSET(Transect5_raw!A2,0,0,D9-B9+1,1),"OULO")</f>
        <v>0</v>
      </c>
      <c r="I51" s="32">
        <f ca="1">(H51/H126)*100</f>
        <v>0</v>
      </c>
      <c r="J51" s="32">
        <f ca="1">IF(H51=0,0,-1*((H51/B16)*(LN(H51/B16))))</f>
        <v>0</v>
      </c>
      <c r="K51" s="130">
        <f ca="1">IF(H51=0,0,((H51/B16)^2))</f>
        <v>0</v>
      </c>
    </row>
    <row r="52" spans="7:11">
      <c r="G52" s="125" t="s">
        <v>172</v>
      </c>
      <c r="H52">
        <f ca="1">COUNTIF(OFFSET(Transect5_raw!A2,0,0,D9-B9+1,1),"OXYP")</f>
        <v>0</v>
      </c>
      <c r="I52" s="32">
        <f ca="1">(H52/H126)*100</f>
        <v>0</v>
      </c>
      <c r="J52" s="32">
        <f ca="1">IF(H52=0,0,-1*((H52/B16)*(LN(H52/B16))))</f>
        <v>0</v>
      </c>
      <c r="K52" s="130">
        <f ca="1">IF(H52=0,0,((H52/B16)^2))</f>
        <v>0</v>
      </c>
    </row>
    <row r="53" spans="7:11">
      <c r="G53" s="125" t="s">
        <v>174</v>
      </c>
      <c r="H53">
        <f ca="1">COUNTIF(OFFSET(Transect5_raw!A2,0,0,D9-B9+1,1),"PLSIA")</f>
        <v>0</v>
      </c>
      <c r="I53" s="32">
        <f ca="1">(H53/H126)*100</f>
        <v>0</v>
      </c>
      <c r="J53" s="32">
        <f ca="1">IF(H53=0,0,-1*((H53/B16)*(LN(H53/B16))))</f>
        <v>0</v>
      </c>
      <c r="K53" s="130">
        <f ca="1">IF(H53=0,0,((H53/B16)^2))</f>
        <v>0</v>
      </c>
    </row>
    <row r="54" spans="7:11">
      <c r="G54" s="125" t="s">
        <v>176</v>
      </c>
      <c r="H54">
        <f ca="1">COUNTIF(OFFSET(Transect5_raw!A2,0,0,D9-B9+1,1),"PACHY")</f>
        <v>0</v>
      </c>
      <c r="I54" s="32">
        <f ca="1">(H54/H126)*100</f>
        <v>0</v>
      </c>
      <c r="J54" s="32">
        <f ca="1">IF(H54=0,0,-1*((H54/B16)*(LN(H54/B16))))</f>
        <v>0</v>
      </c>
      <c r="K54" s="130">
        <f ca="1">IF(H54=0,0,((H54/B16)^2))</f>
        <v>0</v>
      </c>
    </row>
    <row r="55" spans="7:11">
      <c r="G55" s="125" t="s">
        <v>177</v>
      </c>
      <c r="H55">
        <f ca="1">COUNTIF(OFFSET(Transect5_raw!A2,0,0,D9-B9+1,1),"PAV")</f>
        <v>0</v>
      </c>
      <c r="I55" s="32">
        <f ca="1">(H55/H126)*100</f>
        <v>0</v>
      </c>
      <c r="J55" s="32">
        <f ca="1">IF(H55=0,0,-1*((H55/B16)*(LN(H55/B16))))</f>
        <v>0</v>
      </c>
      <c r="K55" s="130">
        <f ca="1">IF(H55=0,0,((H55/B16)^2))</f>
        <v>0</v>
      </c>
    </row>
    <row r="56" spans="7:11">
      <c r="G56" s="125" t="s">
        <v>179</v>
      </c>
      <c r="H56">
        <f ca="1">COUNTIF(OFFSET(Transect5_raw!A2,0,0,D9-B9+1,1),"PECT")</f>
        <v>0</v>
      </c>
      <c r="I56" s="32">
        <f ca="1">(H56/H126)*100</f>
        <v>0</v>
      </c>
      <c r="J56" s="32">
        <f ca="1">IF(H56=0,0,-1*((H56/B16)*(LN(H56/B16))))</f>
        <v>0</v>
      </c>
      <c r="K56" s="130">
        <f ca="1">IF(H56=0,0,((H56/B16)^2))</f>
        <v>0</v>
      </c>
    </row>
    <row r="57" spans="7:11">
      <c r="G57" s="125" t="s">
        <v>181</v>
      </c>
      <c r="H57">
        <f ca="1">COUNTIF(OFFSET(Transect5_raw!A2,0,0,D9-B9+1,1),"PHYSO")</f>
        <v>0</v>
      </c>
      <c r="I57" s="32">
        <f ca="1">(H57/H126)*100</f>
        <v>0</v>
      </c>
      <c r="J57" s="32">
        <f ca="1">IF(H57=0,0,-1*((H57/B16)*(LN(H57/B16))))</f>
        <v>0</v>
      </c>
      <c r="K57" s="130">
        <f ca="1">IF(H57=0,0,((H57/B16)^2))</f>
        <v>0</v>
      </c>
    </row>
    <row r="58" spans="7:11">
      <c r="G58" s="125" t="s">
        <v>183</v>
      </c>
      <c r="H58">
        <f ca="1">COUNTIF(OFFSET(Transect5_raw!A2,0,0,D9-B9+1,1),"PLAT")</f>
        <v>5</v>
      </c>
      <c r="I58" s="32">
        <f ca="1">(H58/H126)*100</f>
        <v>2</v>
      </c>
      <c r="J58" s="32">
        <f ca="1">IF(H58=0,0,-1*((H58/B16)*(LN(H58/B16))))</f>
        <v>0.13473230864801949</v>
      </c>
      <c r="K58" s="130">
        <f ca="1">IF(H58=0,0,((H58/B16)^2))</f>
        <v>1.8262838775659289E-3</v>
      </c>
    </row>
    <row r="59" spans="7:11">
      <c r="G59" s="125" t="s">
        <v>184</v>
      </c>
      <c r="H59">
        <f ca="1">COUNTIF(OFFSET(Transect5_raw!A2,0,0,D9-B9+1,1),"PLERO")</f>
        <v>0</v>
      </c>
      <c r="I59" s="32">
        <f ca="1">(H59/H126)*100</f>
        <v>0</v>
      </c>
      <c r="J59" s="32">
        <f ca="1">IF(H59=0,0,-1*((H59/B16)*(LN(H59/B16))))</f>
        <v>0</v>
      </c>
      <c r="K59" s="130">
        <f ca="1">IF(H59=0,0,((H59/B16)^2))</f>
        <v>0</v>
      </c>
    </row>
    <row r="60" spans="7:11">
      <c r="G60" s="125" t="s">
        <v>186</v>
      </c>
      <c r="H60">
        <f ca="1">COUNTIF(OFFSET(Transect5_raw!A2,0,0,D9-B9+1,1),"POC")</f>
        <v>0</v>
      </c>
      <c r="I60" s="32">
        <f ca="1">(H60/H126)*100</f>
        <v>0</v>
      </c>
      <c r="J60" s="32">
        <f ca="1">IF(H60=0,0,-1*((H60/B16)*(LN(H60/B16))))</f>
        <v>0</v>
      </c>
      <c r="K60" s="130">
        <f ca="1">IF(H60=0,0,((H60/B16)^2))</f>
        <v>0</v>
      </c>
    </row>
    <row r="61" spans="7:11">
      <c r="G61" s="125" t="s">
        <v>188</v>
      </c>
      <c r="H61">
        <f ca="1">COUNTIF(OFFSET(Transect5_raw!A2,0,0,D9-B9+1,1),"POR")</f>
        <v>1</v>
      </c>
      <c r="I61" s="32">
        <f ca="1">(H61/H126)*100</f>
        <v>0.4</v>
      </c>
      <c r="J61" s="32">
        <f ca="1">IF(H61=0,0,-1*((H61/B16)*(LN(H61/B16))))</f>
        <v>4.070234132305775E-2</v>
      </c>
      <c r="K61" s="130">
        <f ca="1">IF(H61=0,0,((H61/B16)^2))</f>
        <v>7.3051355102637171E-5</v>
      </c>
    </row>
    <row r="62" spans="7:11">
      <c r="G62" s="125" t="s">
        <v>190</v>
      </c>
      <c r="H62">
        <f ca="1">COUNTIF(OFFSET(Transect5_raw!A2,0,0,D9-B9+1,1),"PORCYL")</f>
        <v>0</v>
      </c>
      <c r="I62" s="32">
        <f ca="1">(H62/H126)*100</f>
        <v>0</v>
      </c>
      <c r="J62" s="32">
        <f ca="1">IF(H62=0,0,-1*((H62/B16)*(LN(H62/B16))))</f>
        <v>0</v>
      </c>
      <c r="K62" s="130">
        <f ca="1">IF(H62=0,0,((H62/B16)^2))</f>
        <v>0</v>
      </c>
    </row>
    <row r="63" spans="7:11">
      <c r="G63" s="125" t="s">
        <v>192</v>
      </c>
      <c r="H63">
        <f ca="1">COUNTIF(OFFSET(Transect5_raw!A2,0,0,D9-B9+1,1),"PORMAS")</f>
        <v>0</v>
      </c>
      <c r="I63" s="32">
        <f ca="1">(H63/H126)*100</f>
        <v>0</v>
      </c>
      <c r="J63" s="32">
        <f ca="1">IF(H63=0,0,-1*((H63/B16)*(LN(H63/B16))))</f>
        <v>0</v>
      </c>
      <c r="K63" s="130">
        <f ca="1">IF(H63=0,0,((H63/B16)^2))</f>
        <v>0</v>
      </c>
    </row>
    <row r="64" spans="7:11">
      <c r="G64" s="125" t="s">
        <v>194</v>
      </c>
      <c r="H64">
        <f ca="1">COUNTIF(OFFSET(Transect5_raw!A2,0,0,D9-B9+1,1),"PORRUS")</f>
        <v>0</v>
      </c>
      <c r="I64" s="32">
        <f ca="1">(H64/H126)*100</f>
        <v>0</v>
      </c>
      <c r="J64" s="32">
        <f ca="1">IF(H64=0,0,-1*((H64/B16)*(LN(H64/B16))))</f>
        <v>0</v>
      </c>
      <c r="K64" s="130">
        <f ca="1">IF(H64=0,0,((H64/B16)^2))</f>
        <v>0</v>
      </c>
    </row>
    <row r="65" spans="7:11">
      <c r="G65" s="125" t="s">
        <v>195</v>
      </c>
      <c r="H65">
        <f ca="1">COUNTIF(OFFSET(Transect5_raw!A2,0,0,D9-B9+1,1),"PSAM")</f>
        <v>0</v>
      </c>
      <c r="I65" s="32">
        <f ca="1">(H65/H126)*100</f>
        <v>0</v>
      </c>
      <c r="J65" s="32">
        <f ca="1">IF(H65=0,0,-1*((H65/B16)*(LN(H65/B16))))</f>
        <v>0</v>
      </c>
      <c r="K65" s="130">
        <f ca="1">IF(H65=0,0,((H65/B16)^2))</f>
        <v>0</v>
      </c>
    </row>
    <row r="66" spans="7:11">
      <c r="G66" s="125" t="s">
        <v>197</v>
      </c>
      <c r="H66">
        <f ca="1">COUNTIF(OFFSET(Transect5_raw!A2,0,0,D9-B9+1,1),"SANDO")</f>
        <v>0</v>
      </c>
      <c r="I66" s="32">
        <f ca="1">(H66/H126)*100</f>
        <v>0</v>
      </c>
      <c r="J66" s="32">
        <f ca="1">IF(H66=0,0,-1*((H66/B16)*(LN(H66/B16))))</f>
        <v>0</v>
      </c>
      <c r="K66" s="130">
        <f ca="1">IF(H66=0,0,((H66/B16)^2))</f>
        <v>0</v>
      </c>
    </row>
    <row r="67" spans="7:11">
      <c r="G67" s="125" t="s">
        <v>199</v>
      </c>
      <c r="H67">
        <f ca="1">COUNTIF(OFFSET(Transect5_raw!A2,0,0,D9-B9+1,1),"SCAP")</f>
        <v>0</v>
      </c>
      <c r="I67" s="32">
        <f ca="1">(H67/H126)*100</f>
        <v>0</v>
      </c>
      <c r="J67" s="32">
        <f ca="1">IF(H67=0,0,-1*((H67/B16)*(LN(H67/B16))))</f>
        <v>0</v>
      </c>
      <c r="K67" s="130">
        <f ca="1">IF(H67=0,0,((H67/B16)^2))</f>
        <v>0</v>
      </c>
    </row>
    <row r="68" spans="7:11">
      <c r="G68" s="125" t="s">
        <v>201</v>
      </c>
      <c r="H68">
        <f ca="1">COUNTIF(OFFSET(Transect5_raw!A2,0,0,D9-B9+1,1),"SERIA")</f>
        <v>0</v>
      </c>
      <c r="I68" s="32">
        <f ca="1">(H68/H126)*100</f>
        <v>0</v>
      </c>
      <c r="J68" s="32">
        <f ca="1">IF(H68=0,0,-1*((H68/B16)*(LN(H68/B16))))</f>
        <v>0</v>
      </c>
      <c r="K68" s="130">
        <f ca="1">IF(H68=0,0,((H68/B16)^2))</f>
        <v>0</v>
      </c>
    </row>
    <row r="69" spans="7:11">
      <c r="G69" s="125" t="s">
        <v>203</v>
      </c>
      <c r="H69">
        <f ca="1">COUNTIF(OFFSET(Transect5_raw!A2,0,0,D9-B9+1,1),"STYLC")</f>
        <v>0</v>
      </c>
      <c r="I69" s="32">
        <f ca="1">(H69/H126)*100</f>
        <v>0</v>
      </c>
      <c r="J69" s="32">
        <f ca="1">IF(H69=0,0,-1*((H69/B16)*(LN(H69/B16))))</f>
        <v>0</v>
      </c>
      <c r="K69" s="130">
        <f ca="1">IF(H69=0,0,((H69/B16)^2))</f>
        <v>0</v>
      </c>
    </row>
    <row r="70" spans="7:11">
      <c r="G70" s="125" t="s">
        <v>205</v>
      </c>
      <c r="H70">
        <f ca="1">COUNTIF(OFFSET(Transect5_raw!A2,0,0,D9-B9+1,1),"STYLO")</f>
        <v>8</v>
      </c>
      <c r="I70" s="32">
        <f ca="1">(H70/H126)*100</f>
        <v>3.2</v>
      </c>
      <c r="J70" s="32">
        <f ca="1">IF(H70=0,0,-1*((H70/B16)*(LN(H70/B16))))</f>
        <v>0.18343469354652447</v>
      </c>
      <c r="K70" s="130">
        <f ca="1">IF(H70=0,0,((H70/B16)^2))</f>
        <v>4.675286726568779E-3</v>
      </c>
    </row>
    <row r="71" spans="7:11">
      <c r="G71" s="125" t="s">
        <v>206</v>
      </c>
      <c r="H71">
        <f ca="1">COUNTIF(OFFSET(Transect5_raw!A2,0,0,D9-B9+1,1),"SYMP")</f>
        <v>0</v>
      </c>
      <c r="I71" s="32">
        <f ca="1">(H71/H126)*100</f>
        <v>0</v>
      </c>
      <c r="J71" s="32">
        <f ca="1">IF(H71=0,0,-1*((H71/B16)*(LN(H71/B16))))</f>
        <v>0</v>
      </c>
      <c r="K71" s="130">
        <f ca="1">IF(H71=0,0,((H71/B16)^2))</f>
        <v>0</v>
      </c>
    </row>
    <row r="72" spans="7:11">
      <c r="G72" s="125" t="s">
        <v>208</v>
      </c>
      <c r="H72">
        <f ca="1">COUNTIF(OFFSET(Transect5_raw!A2,0,0,D9-B9+1,1),"TURBIN")</f>
        <v>0</v>
      </c>
      <c r="I72" s="32">
        <f ca="1">(H72/H126)*100</f>
        <v>0</v>
      </c>
      <c r="J72" s="32">
        <f ca="1">IF(H72=0,0,-1*((H72/B16)*(LN(H72/B16))))</f>
        <v>0</v>
      </c>
      <c r="K72" s="130">
        <f ca="1">IF(H72=0,0,((H72/B16)^2))</f>
        <v>0</v>
      </c>
    </row>
    <row r="73" spans="7:11">
      <c r="G73" s="126" t="s">
        <v>98</v>
      </c>
      <c r="K73" s="131"/>
    </row>
    <row r="74" spans="7:11">
      <c r="G74" s="125" t="s">
        <v>210</v>
      </c>
      <c r="H74">
        <f ca="1">COUNTIF(OFFSET(Transect5_raw!A2,0,0,D9-B9+1,1),"ANEM")</f>
        <v>0</v>
      </c>
      <c r="I74" s="32">
        <f ca="1">(H74/H126)*100</f>
        <v>0</v>
      </c>
      <c r="J74" s="32">
        <f ca="1">IF(H74=0,0,-1*((H74/B17)*(LN(H74/B17))))</f>
        <v>0</v>
      </c>
      <c r="K74" s="130">
        <f ca="1">IF(H74=0,0,((H74/B17)^2))</f>
        <v>0</v>
      </c>
    </row>
    <row r="75" spans="7:11">
      <c r="G75" s="125" t="s">
        <v>212</v>
      </c>
      <c r="H75">
        <f ca="1">COUNTIF(OFFSET(Transect5_raw!A2,0,0,D9-B9+1,1),"ASC")</f>
        <v>0</v>
      </c>
      <c r="I75" s="32">
        <f ca="1">(H75/H126)*100</f>
        <v>0</v>
      </c>
      <c r="J75" s="32">
        <f ca="1">IF(H75=0,0,-1*((H75/B17)*(LN(H75/B17))))</f>
        <v>0</v>
      </c>
      <c r="K75" s="130">
        <f ca="1">IF(H75=0,0,((H75/B17)^2))</f>
        <v>0</v>
      </c>
    </row>
    <row r="76" spans="7:11">
      <c r="G76" s="125" t="s">
        <v>214</v>
      </c>
      <c r="H76">
        <f ca="1">COUNTIF(OFFSET(Transect5_raw!A2,0,0,D9-B9+1,1),"CUPS")</f>
        <v>0</v>
      </c>
      <c r="I76" s="32">
        <f ca="1">(H76/H126)*100</f>
        <v>0</v>
      </c>
      <c r="J76" s="32">
        <f ca="1">IF(H76=0,0,-1*((H76/B17)*(LN(H76/B17))))</f>
        <v>0</v>
      </c>
      <c r="K76" s="130">
        <f ca="1">IF(H76=0,0,((H76/B17)^2))</f>
        <v>0</v>
      </c>
    </row>
    <row r="77" spans="7:11">
      <c r="G77" s="125" t="s">
        <v>216</v>
      </c>
      <c r="H77">
        <f ca="1">COUNTIF(OFFSET(Transect5_raw!A2,0,0,D9-B9+1,1),"DISCO")</f>
        <v>0</v>
      </c>
      <c r="I77" s="32">
        <f ca="1">(H77/H126)*100</f>
        <v>0</v>
      </c>
      <c r="J77" s="32">
        <f ca="1">IF(H77=0,0,-1*((H77/B17)*(LN(H77/B17))))</f>
        <v>0</v>
      </c>
      <c r="K77" s="130">
        <f ca="1">IF(H77=0,0,((H77/B17)^2))</f>
        <v>0</v>
      </c>
    </row>
    <row r="78" spans="7:11">
      <c r="G78" s="125" t="s">
        <v>218</v>
      </c>
      <c r="H78">
        <f ca="1">COUNTIF(OFFSET(Transect5_raw!A2,0,0,D9-B9+1,1),"DYS")</f>
        <v>0</v>
      </c>
      <c r="I78" s="32">
        <f ca="1">(H78/H126)*100</f>
        <v>0</v>
      </c>
      <c r="J78" s="32">
        <f ca="1">IF(H78=0,0,-1*((H78/B17)*(LN(H78/B17))))</f>
        <v>0</v>
      </c>
      <c r="K78" s="130">
        <f ca="1">IF(H78=0,0,((H78/B17)^2))</f>
        <v>0</v>
      </c>
    </row>
    <row r="79" spans="7:11">
      <c r="G79" s="125" t="s">
        <v>220</v>
      </c>
      <c r="H79">
        <f ca="1">COUNTIF(OFFSET(Transect5_raw!A2,0,0,D9-B9+1,1),"G")</f>
        <v>0</v>
      </c>
      <c r="I79" s="32">
        <f ca="1">(H79/H126)*100</f>
        <v>0</v>
      </c>
      <c r="J79" s="32">
        <f ca="1">IF(H79=0,0,-1*((H79/B17)*(LN(H79/B17))))</f>
        <v>0</v>
      </c>
      <c r="K79" s="130">
        <f ca="1">IF(H79=0,0,((H79/B17)^2))</f>
        <v>0</v>
      </c>
    </row>
    <row r="80" spans="7:11">
      <c r="G80" s="125" t="s">
        <v>222</v>
      </c>
      <c r="H80">
        <f ca="1">COUNTIF(OFFSET(Transect5_raw!A2,0,0,D9-B9+1,1),"NoIDINV")</f>
        <v>0</v>
      </c>
      <c r="I80" s="32">
        <f ca="1">(H80/H126)*100</f>
        <v>0</v>
      </c>
      <c r="J80" s="32">
        <f ca="1">IF(H80=0,0,-1*((H80/B17)*(LN(H80/B17))))</f>
        <v>0</v>
      </c>
      <c r="K80" s="130">
        <f ca="1">IF(H80=0,0,((H80/B17)^2))</f>
        <v>0</v>
      </c>
    </row>
    <row r="81" spans="7:11">
      <c r="G81" s="125" t="s">
        <v>224</v>
      </c>
      <c r="H81">
        <f ca="1">COUNTIF(OFFSET(Transect5_raw!A2,0,0,D9-B9+1,1),"OLV")</f>
        <v>0</v>
      </c>
      <c r="I81" s="32">
        <f ca="1">(H81/H126)*100</f>
        <v>0</v>
      </c>
      <c r="J81" s="32">
        <f ca="1">IF(H81=0,0,-1*((H81/B17)*(LN(H81/B17))))</f>
        <v>0</v>
      </c>
      <c r="K81" s="130">
        <f ca="1">IF(H81=0,0,((H81/B17)^2))</f>
        <v>0</v>
      </c>
    </row>
    <row r="82" spans="7:11">
      <c r="G82" s="125" t="s">
        <v>226</v>
      </c>
      <c r="H82">
        <f ca="1">COUNTIF(OFFSET(Transect5_raw!A2,0,0,D9-B9+1,1),"SC")</f>
        <v>0</v>
      </c>
      <c r="I82" s="32">
        <f ca="1">(H82/H126)*100</f>
        <v>0</v>
      </c>
      <c r="J82" s="32">
        <f ca="1">IF(H82=0,0,-1*((H82/B17)*(LN(H82/B17))))</f>
        <v>0</v>
      </c>
      <c r="K82" s="130">
        <f ca="1">IF(H82=0,0,((H82/B17)^2))</f>
        <v>0</v>
      </c>
    </row>
    <row r="83" spans="7:11">
      <c r="G83" s="125" t="s">
        <v>228</v>
      </c>
      <c r="H83">
        <f ca="1">COUNTIF(OFFSET(Transect5_raw!A2,0,0,D9-B9+1,1),"S")</f>
        <v>0</v>
      </c>
      <c r="I83" s="32">
        <f ca="1">(H83/H126)*100</f>
        <v>0</v>
      </c>
      <c r="J83" s="32">
        <f ca="1">IF(H83=0,0,-1*((H83/B17)*(LN(H83/B17))))</f>
        <v>0</v>
      </c>
      <c r="K83" s="130">
        <f ca="1">IF(H83=0,0,((H83/B17)^2))</f>
        <v>0</v>
      </c>
    </row>
    <row r="84" spans="7:11">
      <c r="G84" s="125" t="s">
        <v>230</v>
      </c>
      <c r="H84">
        <f ca="1">COUNTIF(OFFSET(Transect5_raw!A2,0,0,D9-B9+1,1),"TERPS")</f>
        <v>0</v>
      </c>
      <c r="I84" s="32">
        <f ca="1">(H84/H126)*100</f>
        <v>0</v>
      </c>
      <c r="J84" s="32">
        <f ca="1">IF(H84=0,0,-1*((H84/B17)*(LN(H84/B17))))</f>
        <v>0</v>
      </c>
      <c r="K84" s="130">
        <f ca="1">IF(H84=0,0,((H84/B17)^2))</f>
        <v>0</v>
      </c>
    </row>
    <row r="85" spans="7:11">
      <c r="G85" s="125" t="s">
        <v>232</v>
      </c>
      <c r="H85">
        <f ca="1">COUNTIF(OFFSET(Transect5_raw!A2,0,0,D9-B9+1,1),"Z")</f>
        <v>0</v>
      </c>
      <c r="I85" s="32">
        <f ca="1">(H85/H126)*100</f>
        <v>0</v>
      </c>
      <c r="J85" s="32">
        <f ca="1">IF(H85=0,0,-1*((H85/B17)*(LN(H85/B17))))</f>
        <v>0</v>
      </c>
      <c r="K85" s="130">
        <f ca="1">IF(H85=0,0,((H85/B17)^2))</f>
        <v>0</v>
      </c>
    </row>
    <row r="86" spans="7:11">
      <c r="G86" s="126" t="s">
        <v>100</v>
      </c>
      <c r="K86" s="131"/>
    </row>
    <row r="87" spans="7:11">
      <c r="G87" s="125" t="s">
        <v>234</v>
      </c>
      <c r="H87">
        <f ca="1">COUNTIF(OFFSET(Transect5_raw!A2,0,0,D9-B9+1,1),"ASP")</f>
        <v>0</v>
      </c>
      <c r="I87" s="32">
        <f ca="1">(H87/H126)*100</f>
        <v>0</v>
      </c>
      <c r="J87" s="32">
        <f ca="1">IF(H87=0,0,-1*((H87/B18)*(LN(H87/B18))))</f>
        <v>0</v>
      </c>
      <c r="K87" s="130">
        <f ca="1">IF(H87=0,0,((H87/B18)^2))</f>
        <v>0</v>
      </c>
    </row>
    <row r="88" spans="7:11">
      <c r="G88" s="125" t="s">
        <v>236</v>
      </c>
      <c r="H88">
        <f ca="1">COUNTIF(OFFSET(Transect5_raw!A2,0,0,D9-B9+1,1),"BG")</f>
        <v>0</v>
      </c>
      <c r="I88" s="32">
        <f ca="1">(H88/H126)*100</f>
        <v>0</v>
      </c>
      <c r="J88" s="32">
        <f ca="1">IF(H88=0,0,-1*((H88/B18)*(LN(H88/B18))))</f>
        <v>0</v>
      </c>
      <c r="K88" s="130">
        <f ca="1">IF(H88=0,0,((H88/B18)^2))</f>
        <v>0</v>
      </c>
    </row>
    <row r="89" spans="7:11">
      <c r="G89" s="125" t="s">
        <v>238</v>
      </c>
      <c r="H89">
        <f ca="1">COUNTIF(OFFSET(Transect5_raw!A2,0,0,D9-B9+1,1),"Bood")</f>
        <v>0</v>
      </c>
      <c r="I89" s="32">
        <f ca="1">(H89/H126)*100</f>
        <v>0</v>
      </c>
      <c r="J89" s="32">
        <f ca="1">IF(H89=0,0,-1*((H89/B18)*(LN(H89/B18))))</f>
        <v>0</v>
      </c>
      <c r="K89" s="130">
        <f ca="1">IF(H89=0,0,((H89/B18)^2))</f>
        <v>0</v>
      </c>
    </row>
    <row r="90" spans="7:11">
      <c r="G90" s="125" t="s">
        <v>240</v>
      </c>
      <c r="H90">
        <f ca="1">COUNTIF(OFFSET(Transect5_raw!A2,0,0,D9-B9+1,1),"BRYP")</f>
        <v>0</v>
      </c>
      <c r="I90" s="32">
        <f ca="1">(H90/H126)*100</f>
        <v>0</v>
      </c>
      <c r="J90" s="32">
        <f ca="1">IF(H90=0,0,-1*((H90/B18)*(LN(H90/B18))))</f>
        <v>0</v>
      </c>
      <c r="K90" s="130">
        <f ca="1">IF(H90=0,0,((H90/B18)^2))</f>
        <v>0</v>
      </c>
    </row>
    <row r="91" spans="7:11">
      <c r="G91" s="125" t="s">
        <v>242</v>
      </c>
      <c r="H91">
        <f ca="1">COUNTIF(OFFSET(Transect5_raw!A2,0,0,D9-B9+1,1),"CLP")</f>
        <v>0</v>
      </c>
      <c r="I91" s="32">
        <f ca="1">(H91/H126)*100</f>
        <v>0</v>
      </c>
      <c r="J91" s="32">
        <f ca="1">IF(H91=0,0,-1*((H91/B18)*(LN(H91/B18))))</f>
        <v>0</v>
      </c>
      <c r="K91" s="130">
        <f ca="1">IF(H91=0,0,((H91/B18)^2))</f>
        <v>0</v>
      </c>
    </row>
    <row r="92" spans="7:11">
      <c r="G92" s="125" t="s">
        <v>244</v>
      </c>
      <c r="H92">
        <f ca="1">COUNTIF(OFFSET(Transect5_raw!A2,0,0,D9-B9+1,1),"CHLDES")</f>
        <v>0</v>
      </c>
      <c r="I92" s="32">
        <f ca="1">(H92/H126)*100</f>
        <v>0</v>
      </c>
      <c r="J92" s="32">
        <f ca="1">IF(H92=0,0,-1*((H92/B18)*(LN(H92/B18))))</f>
        <v>0</v>
      </c>
      <c r="K92" s="130">
        <f ca="1">IF(H92=0,0,((H92/B18)^2))</f>
        <v>0</v>
      </c>
    </row>
    <row r="93" spans="7:11">
      <c r="G93" s="125" t="s">
        <v>246</v>
      </c>
      <c r="H93">
        <f ca="1">COUNTIF(OFFSET(Transect5_raw!A2,0,0,D9-B9+1,1),"DYCTY")</f>
        <v>0</v>
      </c>
      <c r="I93" s="32">
        <f ca="1">(H93/H126)*100</f>
        <v>0</v>
      </c>
      <c r="J93" s="32">
        <f ca="1">IF(H93=0,0,-1*((H93/B18)*(LN(H93/B18))))</f>
        <v>0</v>
      </c>
      <c r="K93" s="130">
        <f ca="1">IF(H93=0,0,((H93/B18)^2))</f>
        <v>0</v>
      </c>
    </row>
    <row r="94" spans="7:11">
      <c r="G94" s="125" t="s">
        <v>248</v>
      </c>
      <c r="H94">
        <f ca="1">COUNTIF(OFFSET(Transect5_raw!A2,0,0,D9-B9+1,1),"DICT")</f>
        <v>0</v>
      </c>
      <c r="I94" s="32">
        <f ca="1">(H94/H126)*100</f>
        <v>0</v>
      </c>
      <c r="J94" s="32">
        <f ca="1">IF(H94=0,0,-1*((H94/B18)*(LN(H94/B18))))</f>
        <v>0</v>
      </c>
      <c r="K94" s="130">
        <f ca="1">IF(H94=0,0,((H94/B18)^2))</f>
        <v>0</v>
      </c>
    </row>
    <row r="95" spans="7:11">
      <c r="G95" s="125" t="s">
        <v>250</v>
      </c>
      <c r="H95">
        <f ca="1">COUNTIF(OFFSET(Transect5_raw!A2,0,0,D9-B9+1,1),"GLXU")</f>
        <v>0</v>
      </c>
      <c r="I95" s="32">
        <f ca="1">(H95/H126)*100</f>
        <v>0</v>
      </c>
      <c r="J95" s="32">
        <f ca="1">IF(H95=0,0,-1*((H95/B18)*(LN(H95/B18))))</f>
        <v>0</v>
      </c>
      <c r="K95" s="130">
        <f ca="1">IF(H95=0,0,((H95/B18)^2))</f>
        <v>0</v>
      </c>
    </row>
    <row r="96" spans="7:11">
      <c r="G96" s="125" t="s">
        <v>252</v>
      </c>
      <c r="H96">
        <f ca="1">COUNTIF(OFFSET(Transect5_raw!A2,0,0,D9-B9+1,1),"HALI")</f>
        <v>0</v>
      </c>
      <c r="I96" s="32">
        <f ca="1">(H96/H126)*100</f>
        <v>0</v>
      </c>
      <c r="J96" s="32">
        <f ca="1">IF(H96=0,0,-1*((H96/B18)*(LN(H96/B18))))</f>
        <v>0</v>
      </c>
      <c r="K96" s="130">
        <f ca="1">IF(H96=0,0,((H96/B18)^2))</f>
        <v>0</v>
      </c>
    </row>
    <row r="97" spans="7:11">
      <c r="G97" s="125" t="s">
        <v>254</v>
      </c>
      <c r="H97">
        <f ca="1">COUNTIF(OFFSET(Transect5_raw!A2,0,0,D9-B9+1,1),"LIAG")</f>
        <v>0</v>
      </c>
      <c r="I97" s="32">
        <f ca="1">(H97/H126)*100</f>
        <v>0</v>
      </c>
      <c r="J97" s="32">
        <f ca="1">IF(H97=0,0,-1*((H97/B18)*(LN(H97/B18))))</f>
        <v>0</v>
      </c>
      <c r="K97" s="130">
        <f ca="1">IF(H97=0,0,((H97/B18)^2))</f>
        <v>0</v>
      </c>
    </row>
    <row r="98" spans="7:11">
      <c r="G98" s="125" t="s">
        <v>256</v>
      </c>
      <c r="H98">
        <f ca="1">COUNTIF(OFFSET(Transect5_raw!A2,0,0,D9-B9+1,1),"LOBO")</f>
        <v>0</v>
      </c>
      <c r="I98" s="32">
        <f ca="1">(H98/H126)*100</f>
        <v>0</v>
      </c>
      <c r="J98" s="32">
        <f ca="1">IF(H98=0,0,-1*((H98/B18)*(LN(H98/B18))))</f>
        <v>0</v>
      </c>
      <c r="K98" s="130">
        <f ca="1">IF(H98=0,0,((H98/B18)^2))</f>
        <v>0</v>
      </c>
    </row>
    <row r="99" spans="7:11">
      <c r="G99" s="125" t="s">
        <v>258</v>
      </c>
      <c r="H99">
        <f ca="1">COUNTIF(OFFSET(Transect5_raw!A2,0,0,D9-B9+1,1),"MAST")</f>
        <v>0</v>
      </c>
      <c r="I99" s="32">
        <f ca="1">(H99/H126)*100</f>
        <v>0</v>
      </c>
      <c r="J99" s="32">
        <f ca="1">IF(H99=0,0,-1*((H99/B18)*(LN(H99/B18))))</f>
        <v>0</v>
      </c>
      <c r="K99" s="130">
        <f ca="1">IF(H99=0,0,((H99/B18)^2))</f>
        <v>0</v>
      </c>
    </row>
    <row r="100" spans="7:11">
      <c r="G100" s="125" t="s">
        <v>260</v>
      </c>
      <c r="H100">
        <f ca="1">COUNTIF(OFFSET(Transect5_raw!A2,0,0,D9-B9+1,1),"MICDTY")</f>
        <v>0</v>
      </c>
      <c r="I100" s="32">
        <f ca="1">(H100/H126)*100</f>
        <v>0</v>
      </c>
      <c r="J100" s="32">
        <f ca="1">IF(H100=0,0,-1*((H100/B18)*(LN(H100/B18))))</f>
        <v>0</v>
      </c>
      <c r="K100" s="130">
        <f ca="1">IF(H100=0,0,((H100/B18)^2))</f>
        <v>0</v>
      </c>
    </row>
    <row r="101" spans="7:11">
      <c r="G101" s="125" t="s">
        <v>262</v>
      </c>
      <c r="H101">
        <f ca="1">COUNTIF(OFFSET(Transect5_raw!A2,0,0,D9-B9+1,1),"NEOM")</f>
        <v>0</v>
      </c>
      <c r="I101" s="32">
        <f ca="1">(H101/H126)*100</f>
        <v>0</v>
      </c>
      <c r="J101" s="32">
        <f ca="1">IF(H101=0,0,-1*((H101/B18)*(LN(H101/B18))))</f>
        <v>0</v>
      </c>
      <c r="K101" s="130">
        <f ca="1">IF(H101=0,0,((H101/B18)^2))</f>
        <v>0</v>
      </c>
    </row>
    <row r="102" spans="7:11">
      <c r="G102" s="125" t="s">
        <v>264</v>
      </c>
      <c r="H102">
        <f ca="1">COUNTIF(OFFSET(Transect5_raw!A2,0,0,D9-B9+1,1),"NOIDMAC")</f>
        <v>0</v>
      </c>
      <c r="I102" s="32">
        <f ca="1">(H102/H126)*100</f>
        <v>0</v>
      </c>
      <c r="J102" s="32">
        <f ca="1">IF(H102=0,0,-1*((H102/B18)*(LN(H102/B18))))</f>
        <v>0</v>
      </c>
      <c r="K102" s="130">
        <f ca="1">IF(H102=0,0,((H102/B18)^2))</f>
        <v>0</v>
      </c>
    </row>
    <row r="103" spans="7:11">
      <c r="G103" s="125" t="s">
        <v>266</v>
      </c>
      <c r="H103">
        <f ca="1">COUNTIF(OFFSET(Transect5_raw!A2,0,0,D9-B9+1,1),"PAD")</f>
        <v>0</v>
      </c>
      <c r="I103" s="32">
        <f ca="1">(H103/H126)*100</f>
        <v>0</v>
      </c>
      <c r="J103" s="32">
        <f ca="1">IF(H103=0,0,-1*((H103/B18)*(LN(H103/B18))))</f>
        <v>0</v>
      </c>
      <c r="K103" s="130">
        <f ca="1">IF(H103=0,0,((H103/B18)^2))</f>
        <v>0</v>
      </c>
    </row>
    <row r="104" spans="7:11">
      <c r="G104" s="125" t="s">
        <v>268</v>
      </c>
      <c r="H104">
        <f ca="1">COUNTIF(OFFSET(Transect5_raw!A2,0,0,D9-B9+1,1),"SARG")</f>
        <v>0</v>
      </c>
      <c r="I104" s="32">
        <f ca="1">(H104/H126)*100</f>
        <v>0</v>
      </c>
      <c r="J104" s="32">
        <f ca="1">IF(H104=0,0,-1*((H104/B18)*(LN(H104/B18))))</f>
        <v>0</v>
      </c>
      <c r="K104" s="130">
        <f ca="1">IF(H104=0,0,((H104/B18)^2))</f>
        <v>0</v>
      </c>
    </row>
    <row r="105" spans="7:11">
      <c r="G105" s="125" t="s">
        <v>270</v>
      </c>
      <c r="H105">
        <f ca="1">COUNTIF(OFFSET(Transect5_raw!A2,0,0,D9-B9+1,1),"SCHIZ")</f>
        <v>0</v>
      </c>
      <c r="I105" s="32">
        <f ca="1">(H105/H126)*100</f>
        <v>0</v>
      </c>
      <c r="J105" s="32">
        <f ca="1">IF(H105=0,0,-1*((H105/B18)*(LN(H105/B18))))</f>
        <v>0</v>
      </c>
      <c r="K105" s="130">
        <f ca="1">IF(H105=0,0,((H105/B18)^2))</f>
        <v>0</v>
      </c>
    </row>
    <row r="106" spans="7:11">
      <c r="G106" s="125" t="s">
        <v>272</v>
      </c>
      <c r="H106">
        <f ca="1">COUNTIF(OFFSET(Transect5_raw!A2,0,0,D9-B9+1,1),"TURB")</f>
        <v>0</v>
      </c>
      <c r="I106" s="32">
        <f ca="1">(H106/H126)*100</f>
        <v>0</v>
      </c>
      <c r="J106" s="32">
        <f ca="1">IF(H106=0,0,-1*((H106/B18)*(LN(H106/B18))))</f>
        <v>0</v>
      </c>
      <c r="K106" s="130">
        <f ca="1">IF(H106=0,0,((H106/B18)^2))</f>
        <v>0</v>
      </c>
    </row>
    <row r="107" spans="7:11">
      <c r="G107" s="125" t="s">
        <v>274</v>
      </c>
      <c r="H107">
        <f ca="1">COUNTIF(OFFSET(Transect5_raw!A2,0,0,D9-B9+1,1),"TYDM")</f>
        <v>0</v>
      </c>
      <c r="I107" s="32">
        <f ca="1">(H107/H126)*100</f>
        <v>0</v>
      </c>
      <c r="J107" s="32">
        <f ca="1">IF(H107=0,0,-1*((H107/B18)*(LN(H107/B18))))</f>
        <v>0</v>
      </c>
      <c r="K107" s="130">
        <f ca="1">IF(H107=0,0,((H107/B18)^2))</f>
        <v>0</v>
      </c>
    </row>
    <row r="108" spans="7:11">
      <c r="G108" s="126" t="s">
        <v>102</v>
      </c>
      <c r="K108" s="131"/>
    </row>
    <row r="109" spans="7:11">
      <c r="G109" s="125" t="s">
        <v>276</v>
      </c>
      <c r="H109">
        <f ca="1">COUNTIF(OFFSET(Transect5_raw!A2,0,0,D9-B9+1,1),"AMP")</f>
        <v>0</v>
      </c>
      <c r="I109" s="32">
        <f ca="1">(H109/H126)*100</f>
        <v>0</v>
      </c>
      <c r="J109" s="32">
        <f ca="1">IF(H109=0,0,-1*((H109/B19)*(LN(H109/B19))))</f>
        <v>0</v>
      </c>
      <c r="K109" s="130">
        <f ca="1">IF(H109=0,0,((H109/B19)^2))</f>
        <v>0</v>
      </c>
    </row>
    <row r="110" spans="7:11">
      <c r="G110" s="125" t="s">
        <v>278</v>
      </c>
      <c r="H110">
        <f ca="1">COUNTIF(OFFSET(Transect5_raw!A2,0,0,D9-B9+1,1),"BCA1")</f>
        <v>8</v>
      </c>
      <c r="I110" s="32">
        <f ca="1">(H110/H126)*100</f>
        <v>3.2</v>
      </c>
      <c r="J110" s="32">
        <f ca="1">IF(H110=0,0,-1*((H110/B19)*(LN(H110/B19))))</f>
        <v>0</v>
      </c>
      <c r="K110" s="130">
        <f ca="1">IF(H110=0,0,((H110/B19)^2))</f>
        <v>1</v>
      </c>
    </row>
    <row r="111" spans="7:11">
      <c r="G111" s="125" t="s">
        <v>279</v>
      </c>
      <c r="H111">
        <f ca="1">COUNTIF(OFFSET(Transect5_raw!A2,0,0,D9-B9+1,1),"JAN")</f>
        <v>0</v>
      </c>
      <c r="I111" s="32">
        <f ca="1">(H111/H126)*100</f>
        <v>0</v>
      </c>
      <c r="J111" s="32">
        <f ca="1">IF(H111=0,0,-1*((H111/B19)*(LN(H111/B19))))</f>
        <v>0</v>
      </c>
      <c r="K111" s="130">
        <f ca="1">IF(H111=0,0,((H111/B19)^2))</f>
        <v>0</v>
      </c>
    </row>
    <row r="112" spans="7:11">
      <c r="G112" s="126" t="s">
        <v>103</v>
      </c>
      <c r="K112" s="131"/>
    </row>
    <row r="113" spans="7:11">
      <c r="G113" s="125" t="s">
        <v>281</v>
      </c>
      <c r="H113">
        <f ca="1">COUNTIF(OFFSET(Transect5_raw!A2,0,0,D9-B9+1,1),"CCA1")</f>
        <v>76</v>
      </c>
      <c r="I113" s="32">
        <f ca="1">(H113/H126)*100</f>
        <v>30.4</v>
      </c>
      <c r="J113" s="32">
        <f ca="1">IF(H113=0,0,-1*((H113/B20)*(LN(H113/B20))))</f>
        <v>0</v>
      </c>
      <c r="K113" s="130">
        <f ca="1">IF(H113=0,0,((H113/B20)^2))</f>
        <v>1</v>
      </c>
    </row>
    <row r="114" spans="7:11">
      <c r="G114" s="126" t="s">
        <v>104</v>
      </c>
      <c r="K114" s="131"/>
    </row>
    <row r="115" spans="7:11">
      <c r="G115" s="125" t="s">
        <v>282</v>
      </c>
      <c r="H115">
        <f ca="1">COUNTIF(OFFSET(Transect5_raw!A2,0,0,D9-B9+1,1),"Sand")</f>
        <v>0</v>
      </c>
      <c r="I115" s="32">
        <f ca="1">(H115/H126)*100</f>
        <v>0</v>
      </c>
      <c r="J115" s="32">
        <f ca="1">IF(H115=0,0,-1*((H115/B21)*(LN(H115/B21))))</f>
        <v>0</v>
      </c>
      <c r="K115" s="130">
        <f ca="1">IF(H115=0,0,((H115/B21)^2))</f>
        <v>0</v>
      </c>
    </row>
    <row r="116" spans="7:11">
      <c r="G116" s="126" t="s">
        <v>106</v>
      </c>
      <c r="K116" s="131"/>
    </row>
    <row r="117" spans="7:11">
      <c r="G117" s="125" t="s">
        <v>283</v>
      </c>
      <c r="H117">
        <f ca="1">COUNTIF(OFFSET(Transect5_raw!A2,0,0,D9-B9+1,1),"FCA1")</f>
        <v>5</v>
      </c>
      <c r="I117" s="32">
        <f ca="1">(H117/H126)*100</f>
        <v>2</v>
      </c>
      <c r="J117" s="32">
        <f ca="1">IF(H117=0,0,-1*((H117/B22)*(LN(H117/B22))))</f>
        <v>0</v>
      </c>
      <c r="K117" s="130">
        <f ca="1">IF(H117=0,0,((H117/B22)^2))</f>
        <v>1</v>
      </c>
    </row>
    <row r="118" spans="7:11">
      <c r="G118" s="126" t="s">
        <v>107</v>
      </c>
      <c r="K118" s="131"/>
    </row>
    <row r="119" spans="7:11">
      <c r="G119" s="125" t="s">
        <v>284</v>
      </c>
      <c r="H119">
        <f ca="1">COUNTIF(OFFSET(Transect5_raw!A2,0,0,D9-B9+1,1),"CHRYOBRN")</f>
        <v>0</v>
      </c>
      <c r="I119" s="32">
        <f ca="1">(H119/H126)*100</f>
        <v>0</v>
      </c>
      <c r="J119" s="32">
        <f ca="1">IF(H119=0,0,-1*((H119/B23)*(LN(H119/B23))))</f>
        <v>0</v>
      </c>
      <c r="K119" s="130">
        <f ca="1">IF(H119=0,0,((H119/B23)^2))</f>
        <v>0</v>
      </c>
    </row>
    <row r="120" spans="7:11">
      <c r="G120" s="126" t="s">
        <v>109</v>
      </c>
      <c r="K120" s="131"/>
    </row>
    <row r="121" spans="7:11">
      <c r="G121" s="125" t="s">
        <v>286</v>
      </c>
      <c r="H121">
        <f ca="1">COUNTIF(OFFSET(Transect5_raw!A2,0,0,D9-B9+1,1),"TURF")</f>
        <v>44</v>
      </c>
      <c r="I121" s="32">
        <f ca="1">(H121/H126)*100</f>
        <v>17.599999999999998</v>
      </c>
      <c r="J121" s="32">
        <f ca="1">IF(H121=0,0,-1*((H121/B24)*(LN(H121/B24))))</f>
        <v>0</v>
      </c>
      <c r="K121" s="130">
        <f ca="1">IF(H121=0,0,((H121/B24)^2))</f>
        <v>1</v>
      </c>
    </row>
    <row r="122" spans="7:11">
      <c r="G122" s="126" t="s">
        <v>110</v>
      </c>
      <c r="K122" s="131"/>
    </row>
    <row r="123" spans="7:11">
      <c r="G123" s="125" t="s">
        <v>287</v>
      </c>
      <c r="H123">
        <f ca="1">COUNTIF(OFFSET(Transect5_raw!A2,0,0,D9-B9+1,1),"Shadow")</f>
        <v>0</v>
      </c>
      <c r="I123" s="32">
        <f ca="1">(H123/SUM(H15:H125))*100</f>
        <v>0</v>
      </c>
      <c r="J123" s="32"/>
      <c r="K123" s="130">
        <f ca="1">IF(H123=0,0,((H123/B25)^2))</f>
        <v>0</v>
      </c>
    </row>
    <row r="124" spans="7:11">
      <c r="G124" s="125" t="s">
        <v>289</v>
      </c>
      <c r="H124">
        <f ca="1">COUNTIF(OFFSET(Transect5_raw!A2,0,0,D9-B9+1,1),"Tape")</f>
        <v>0</v>
      </c>
      <c r="I124" s="32">
        <f ca="1">(H124/SUM(H15:H125))*100</f>
        <v>0</v>
      </c>
      <c r="J124" s="32"/>
      <c r="K124" s="130">
        <f ca="1">IF(H124=0,0,((H124/B25)^2))</f>
        <v>0</v>
      </c>
    </row>
    <row r="125" spans="7:11">
      <c r="G125" s="125" t="s">
        <v>291</v>
      </c>
      <c r="H125">
        <f ca="1">COUNTIF(OFFSET(Transect5_raw!A2,0,0,D9-B9+1,1),"Wand")</f>
        <v>0</v>
      </c>
      <c r="I125" s="32">
        <f ca="1">(H125/SUM(H15:H125))*100</f>
        <v>0</v>
      </c>
      <c r="J125" s="32"/>
      <c r="K125" s="130">
        <f ca="1">IF(H125=0,0,((H125/B25)^2))</f>
        <v>0</v>
      </c>
    </row>
    <row r="126" spans="7:11" ht="15" thickBot="1">
      <c r="G126" s="134" t="s">
        <v>318</v>
      </c>
      <c r="H126" s="42">
        <f ca="1">SUM(H16:H121)</f>
        <v>250</v>
      </c>
      <c r="I126" s="42">
        <f ca="1">SUM(I16:I121)</f>
        <v>100</v>
      </c>
      <c r="J126" s="41"/>
      <c r="K126" s="135"/>
    </row>
    <row r="127" spans="7:11" ht="15" thickTop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1"/>
  <sheetViews>
    <sheetView topLeftCell="P1" workbookViewId="0">
      <selection activeCell="AC2" sqref="AC2:AD251"/>
    </sheetView>
  </sheetViews>
  <sheetFormatPr baseColWidth="10" defaultColWidth="8.83203125" defaultRowHeight="14" x14ac:dyDescent="0"/>
  <cols>
    <col min="1" max="1" width="9.6640625" bestFit="1" customWidth="1"/>
    <col min="2" max="2" width="12.1640625" bestFit="1" customWidth="1"/>
    <col min="3" max="3" width="6.83203125" bestFit="1" customWidth="1"/>
    <col min="4" max="4" width="7.83203125" bestFit="1" customWidth="1"/>
    <col min="5" max="5" width="7.5" bestFit="1" customWidth="1"/>
    <col min="6" max="6" width="9.33203125" bestFit="1" customWidth="1"/>
    <col min="7" max="7" width="6.1640625" bestFit="1" customWidth="1"/>
    <col min="8" max="8" width="8.6640625" bestFit="1" customWidth="1"/>
    <col min="9" max="9" width="7.6640625" bestFit="1" customWidth="1"/>
    <col min="10" max="10" width="9.1640625" bestFit="1" customWidth="1"/>
    <col min="11" max="11" width="6.83203125" bestFit="1" customWidth="1"/>
    <col min="12" max="12" width="8.1640625" bestFit="1" customWidth="1"/>
    <col min="13" max="13" width="9.5" bestFit="1" customWidth="1"/>
    <col min="14" max="14" width="6.5" bestFit="1" customWidth="1"/>
    <col min="15" max="15" width="8" bestFit="1" customWidth="1"/>
    <col min="16" max="16" width="11.5" bestFit="1" customWidth="1"/>
    <col min="17" max="17" width="14.1640625" bestFit="1" customWidth="1"/>
    <col min="18" max="18" width="6" bestFit="1" customWidth="1"/>
    <col min="19" max="19" width="5.33203125" bestFit="1" customWidth="1"/>
    <col min="20" max="20" width="7.1640625" bestFit="1" customWidth="1"/>
    <col min="21" max="21" width="11" bestFit="1" customWidth="1"/>
    <col min="22" max="22" width="10.33203125" bestFit="1" customWidth="1"/>
    <col min="23" max="23" width="10.5" bestFit="1" customWidth="1"/>
    <col min="24" max="24" width="12.5" bestFit="1" customWidth="1"/>
    <col min="25" max="25" width="7.33203125" bestFit="1" customWidth="1"/>
    <col min="26" max="26" width="4.5" bestFit="1" customWidth="1"/>
    <col min="27" max="27" width="12" bestFit="1" customWidth="1"/>
    <col min="28" max="28" width="12.5" bestFit="1" customWidth="1"/>
    <col min="29" max="29" width="10.83203125" bestFit="1" customWidth="1"/>
    <col min="30" max="30" width="6.6640625" bestFit="1" customWidth="1"/>
    <col min="31" max="31" width="7.33203125" bestFit="1" customWidth="1"/>
    <col min="32" max="32" width="23.83203125" bestFit="1" customWidth="1"/>
    <col min="33" max="33" width="7.33203125" bestFit="1" customWidth="1"/>
    <col min="34" max="34" width="11.1640625" bestFit="1" customWidth="1"/>
    <col min="35" max="35" width="22.1640625" bestFit="1" customWidth="1"/>
    <col min="36" max="36" width="5.6640625" bestFit="1" customWidth="1"/>
    <col min="37" max="38" width="4.83203125" bestFit="1" customWidth="1"/>
  </cols>
  <sheetData>
    <row r="1" spans="1:38">
      <c r="A1" s="1" t="s">
        <v>322</v>
      </c>
      <c r="B1" s="1" t="s">
        <v>367</v>
      </c>
      <c r="C1" s="1" t="s">
        <v>324</v>
      </c>
      <c r="D1" s="1" t="s">
        <v>325</v>
      </c>
      <c r="E1" s="1" t="s">
        <v>326</v>
      </c>
      <c r="F1" s="1" t="s">
        <v>368</v>
      </c>
      <c r="G1" s="1" t="s">
        <v>328</v>
      </c>
      <c r="H1" s="1" t="s">
        <v>329</v>
      </c>
      <c r="I1" s="1" t="s">
        <v>330</v>
      </c>
      <c r="J1" s="1" t="s">
        <v>369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370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371</v>
      </c>
      <c r="V1" s="1" t="s">
        <v>372</v>
      </c>
      <c r="W1" s="1" t="s">
        <v>373</v>
      </c>
      <c r="X1" s="1" t="s">
        <v>345</v>
      </c>
      <c r="Y1" s="1" t="s">
        <v>346</v>
      </c>
      <c r="Z1" s="1" t="s">
        <v>347</v>
      </c>
      <c r="AA1" s="1" t="s">
        <v>374</v>
      </c>
      <c r="AB1" s="1" t="s">
        <v>375</v>
      </c>
      <c r="AC1" s="1" t="s">
        <v>376</v>
      </c>
      <c r="AD1" s="1" t="s">
        <v>377</v>
      </c>
      <c r="AE1" s="1" t="s">
        <v>378</v>
      </c>
      <c r="AF1" s="1" t="s">
        <v>379</v>
      </c>
      <c r="AG1" s="1" t="s">
        <v>380</v>
      </c>
      <c r="AH1" s="1" t="s">
        <v>381</v>
      </c>
      <c r="AI1" s="1" t="s">
        <v>320</v>
      </c>
      <c r="AJ1" s="1" t="s">
        <v>16</v>
      </c>
      <c r="AK1" s="1" t="s">
        <v>1</v>
      </c>
      <c r="AL1" s="1" t="s">
        <v>2</v>
      </c>
    </row>
    <row r="2" spans="1:38">
      <c r="A2" t="s">
        <v>382</v>
      </c>
      <c r="B2" t="s">
        <v>382</v>
      </c>
      <c r="C2" t="s">
        <v>382</v>
      </c>
      <c r="D2" t="s">
        <v>382</v>
      </c>
      <c r="E2" t="s">
        <v>382</v>
      </c>
      <c r="F2" t="s">
        <v>382</v>
      </c>
      <c r="G2" t="s">
        <v>382</v>
      </c>
      <c r="H2" t="s">
        <v>382</v>
      </c>
      <c r="I2" t="s">
        <v>382</v>
      </c>
      <c r="J2" t="s">
        <v>382</v>
      </c>
      <c r="K2" t="s">
        <v>382</v>
      </c>
      <c r="L2" t="s">
        <v>382</v>
      </c>
      <c r="M2" t="s">
        <v>382</v>
      </c>
      <c r="N2" t="s">
        <v>382</v>
      </c>
      <c r="O2" t="s">
        <v>382</v>
      </c>
      <c r="P2" t="s">
        <v>382</v>
      </c>
      <c r="Q2" t="s">
        <v>382</v>
      </c>
      <c r="R2" t="s">
        <v>382</v>
      </c>
      <c r="S2" t="s">
        <v>382</v>
      </c>
      <c r="T2" t="s">
        <v>382</v>
      </c>
      <c r="U2" t="s">
        <v>382</v>
      </c>
      <c r="V2" t="s">
        <v>382</v>
      </c>
      <c r="W2" t="s">
        <v>382</v>
      </c>
      <c r="X2" t="s">
        <v>382</v>
      </c>
      <c r="Y2" t="s">
        <v>382</v>
      </c>
      <c r="Z2" t="s">
        <v>382</v>
      </c>
      <c r="AA2" t="s">
        <v>382</v>
      </c>
      <c r="AB2" t="s">
        <v>382</v>
      </c>
      <c r="AC2">
        <v>5</v>
      </c>
      <c r="AD2">
        <v>1</v>
      </c>
      <c r="AE2">
        <v>1</v>
      </c>
      <c r="AF2" t="s">
        <v>383</v>
      </c>
      <c r="AH2" t="s">
        <v>22</v>
      </c>
      <c r="AI2" t="s">
        <v>97</v>
      </c>
      <c r="AK2">
        <v>536</v>
      </c>
      <c r="AL2">
        <v>1617</v>
      </c>
    </row>
    <row r="3" spans="1:38">
      <c r="A3" t="s">
        <v>382</v>
      </c>
      <c r="B3" t="s">
        <v>382</v>
      </c>
      <c r="C3" t="s">
        <v>382</v>
      </c>
      <c r="D3" t="s">
        <v>382</v>
      </c>
      <c r="E3" t="s">
        <v>382</v>
      </c>
      <c r="F3" t="s">
        <v>382</v>
      </c>
      <c r="G3" t="s">
        <v>382</v>
      </c>
      <c r="H3" t="s">
        <v>382</v>
      </c>
      <c r="I3" t="s">
        <v>382</v>
      </c>
      <c r="J3" t="s">
        <v>382</v>
      </c>
      <c r="K3" t="s">
        <v>382</v>
      </c>
      <c r="L3" t="s">
        <v>382</v>
      </c>
      <c r="M3" t="s">
        <v>382</v>
      </c>
      <c r="N3" t="s">
        <v>382</v>
      </c>
      <c r="O3" t="s">
        <v>382</v>
      </c>
      <c r="P3" t="s">
        <v>382</v>
      </c>
      <c r="Q3" t="s">
        <v>382</v>
      </c>
      <c r="R3" t="s">
        <v>382</v>
      </c>
      <c r="S3" t="s">
        <v>382</v>
      </c>
      <c r="T3" t="s">
        <v>382</v>
      </c>
      <c r="U3" t="s">
        <v>382</v>
      </c>
      <c r="V3" t="s">
        <v>382</v>
      </c>
      <c r="W3" t="s">
        <v>382</v>
      </c>
      <c r="X3" t="s">
        <v>382</v>
      </c>
      <c r="Y3" t="s">
        <v>382</v>
      </c>
      <c r="Z3" t="s">
        <v>382</v>
      </c>
      <c r="AA3" t="s">
        <v>382</v>
      </c>
      <c r="AB3" t="s">
        <v>382</v>
      </c>
      <c r="AC3">
        <v>5</v>
      </c>
      <c r="AD3">
        <v>2</v>
      </c>
      <c r="AE3">
        <v>1</v>
      </c>
      <c r="AF3" t="s">
        <v>383</v>
      </c>
      <c r="AH3" t="s">
        <v>22</v>
      </c>
      <c r="AI3" t="s">
        <v>97</v>
      </c>
      <c r="AK3">
        <v>1237</v>
      </c>
      <c r="AL3">
        <v>386</v>
      </c>
    </row>
    <row r="4" spans="1:38">
      <c r="A4" t="s">
        <v>382</v>
      </c>
      <c r="B4" t="s">
        <v>382</v>
      </c>
      <c r="C4" t="s">
        <v>382</v>
      </c>
      <c r="D4" t="s">
        <v>382</v>
      </c>
      <c r="E4" t="s">
        <v>382</v>
      </c>
      <c r="F4" t="s">
        <v>382</v>
      </c>
      <c r="G4" t="s">
        <v>382</v>
      </c>
      <c r="H4" t="s">
        <v>382</v>
      </c>
      <c r="I4" t="s">
        <v>382</v>
      </c>
      <c r="J4" t="s">
        <v>382</v>
      </c>
      <c r="K4" t="s">
        <v>382</v>
      </c>
      <c r="L4" t="s">
        <v>382</v>
      </c>
      <c r="M4" t="s">
        <v>382</v>
      </c>
      <c r="N4" t="s">
        <v>382</v>
      </c>
      <c r="O4" t="s">
        <v>382</v>
      </c>
      <c r="P4" t="s">
        <v>382</v>
      </c>
      <c r="Q4" t="s">
        <v>382</v>
      </c>
      <c r="R4" t="s">
        <v>382</v>
      </c>
      <c r="S4" t="s">
        <v>382</v>
      </c>
      <c r="T4" t="s">
        <v>382</v>
      </c>
      <c r="U4" t="s">
        <v>382</v>
      </c>
      <c r="V4" t="s">
        <v>382</v>
      </c>
      <c r="W4" t="s">
        <v>382</v>
      </c>
      <c r="X4" t="s">
        <v>382</v>
      </c>
      <c r="Y4" t="s">
        <v>382</v>
      </c>
      <c r="Z4" t="s">
        <v>382</v>
      </c>
      <c r="AA4" t="s">
        <v>382</v>
      </c>
      <c r="AB4" t="s">
        <v>382</v>
      </c>
      <c r="AC4">
        <v>5</v>
      </c>
      <c r="AD4">
        <v>3</v>
      </c>
      <c r="AE4">
        <v>1</v>
      </c>
      <c r="AF4" t="s">
        <v>383</v>
      </c>
      <c r="AH4" t="s">
        <v>22</v>
      </c>
      <c r="AI4" t="s">
        <v>97</v>
      </c>
      <c r="AK4">
        <v>1592</v>
      </c>
      <c r="AL4">
        <v>286</v>
      </c>
    </row>
    <row r="5" spans="1:38">
      <c r="A5" t="s">
        <v>382</v>
      </c>
      <c r="B5" t="s">
        <v>382</v>
      </c>
      <c r="C5" t="s">
        <v>382</v>
      </c>
      <c r="D5" t="s">
        <v>382</v>
      </c>
      <c r="E5" t="s">
        <v>382</v>
      </c>
      <c r="F5" t="s">
        <v>382</v>
      </c>
      <c r="G5" t="s">
        <v>382</v>
      </c>
      <c r="H5" t="s">
        <v>382</v>
      </c>
      <c r="I5" t="s">
        <v>382</v>
      </c>
      <c r="J5" t="s">
        <v>382</v>
      </c>
      <c r="K5" t="s">
        <v>382</v>
      </c>
      <c r="L5" t="s">
        <v>382</v>
      </c>
      <c r="M5" t="s">
        <v>382</v>
      </c>
      <c r="N5" t="s">
        <v>382</v>
      </c>
      <c r="O5" t="s">
        <v>382</v>
      </c>
      <c r="P5" t="s">
        <v>382</v>
      </c>
      <c r="Q5" t="s">
        <v>382</v>
      </c>
      <c r="R5" t="s">
        <v>382</v>
      </c>
      <c r="S5" t="s">
        <v>382</v>
      </c>
      <c r="T5" t="s">
        <v>382</v>
      </c>
      <c r="U5" t="s">
        <v>382</v>
      </c>
      <c r="V5" t="s">
        <v>382</v>
      </c>
      <c r="W5" t="s">
        <v>382</v>
      </c>
      <c r="X5" t="s">
        <v>382</v>
      </c>
      <c r="Y5" t="s">
        <v>382</v>
      </c>
      <c r="Z5" t="s">
        <v>382</v>
      </c>
      <c r="AA5" t="s">
        <v>382</v>
      </c>
      <c r="AB5" t="s">
        <v>382</v>
      </c>
      <c r="AC5">
        <v>5</v>
      </c>
      <c r="AD5">
        <v>4</v>
      </c>
      <c r="AE5">
        <v>1</v>
      </c>
      <c r="AF5" t="s">
        <v>383</v>
      </c>
      <c r="AH5" t="s">
        <v>22</v>
      </c>
      <c r="AI5" t="s">
        <v>97</v>
      </c>
      <c r="AK5">
        <v>3006</v>
      </c>
      <c r="AL5">
        <v>563</v>
      </c>
    </row>
    <row r="6" spans="1:38">
      <c r="A6" t="s">
        <v>382</v>
      </c>
      <c r="B6" t="s">
        <v>382</v>
      </c>
      <c r="C6" t="s">
        <v>382</v>
      </c>
      <c r="D6" t="s">
        <v>382</v>
      </c>
      <c r="E6" t="s">
        <v>382</v>
      </c>
      <c r="F6" t="s">
        <v>382</v>
      </c>
      <c r="G6" t="s">
        <v>382</v>
      </c>
      <c r="H6" t="s">
        <v>382</v>
      </c>
      <c r="I6" t="s">
        <v>382</v>
      </c>
      <c r="J6" t="s">
        <v>382</v>
      </c>
      <c r="K6" t="s">
        <v>382</v>
      </c>
      <c r="L6" t="s">
        <v>382</v>
      </c>
      <c r="M6" t="s">
        <v>382</v>
      </c>
      <c r="N6" t="s">
        <v>382</v>
      </c>
      <c r="O6" t="s">
        <v>382</v>
      </c>
      <c r="P6" t="s">
        <v>382</v>
      </c>
      <c r="Q6" t="s">
        <v>382</v>
      </c>
      <c r="R6" t="s">
        <v>382</v>
      </c>
      <c r="S6" t="s">
        <v>382</v>
      </c>
      <c r="T6" t="s">
        <v>382</v>
      </c>
      <c r="U6" t="s">
        <v>382</v>
      </c>
      <c r="V6" t="s">
        <v>382</v>
      </c>
      <c r="W6" t="s">
        <v>382</v>
      </c>
      <c r="X6" t="s">
        <v>382</v>
      </c>
      <c r="Y6" t="s">
        <v>382</v>
      </c>
      <c r="Z6" t="s">
        <v>382</v>
      </c>
      <c r="AA6" t="s">
        <v>382</v>
      </c>
      <c r="AB6" t="s">
        <v>382</v>
      </c>
      <c r="AC6">
        <v>5</v>
      </c>
      <c r="AD6">
        <v>5</v>
      </c>
      <c r="AE6">
        <v>1</v>
      </c>
      <c r="AF6" t="s">
        <v>383</v>
      </c>
      <c r="AH6" t="s">
        <v>22</v>
      </c>
      <c r="AI6" t="s">
        <v>97</v>
      </c>
      <c r="AK6">
        <v>1351</v>
      </c>
      <c r="AL6">
        <v>342</v>
      </c>
    </row>
    <row r="7" spans="1:38">
      <c r="A7" t="s">
        <v>382</v>
      </c>
      <c r="B7" t="s">
        <v>382</v>
      </c>
      <c r="C7" t="s">
        <v>382</v>
      </c>
      <c r="D7" t="s">
        <v>382</v>
      </c>
      <c r="E7" t="s">
        <v>382</v>
      </c>
      <c r="F7" t="s">
        <v>382</v>
      </c>
      <c r="G7" t="s">
        <v>382</v>
      </c>
      <c r="H7" t="s">
        <v>382</v>
      </c>
      <c r="I7" t="s">
        <v>382</v>
      </c>
      <c r="J7" t="s">
        <v>382</v>
      </c>
      <c r="K7" t="s">
        <v>382</v>
      </c>
      <c r="L7" t="s">
        <v>382</v>
      </c>
      <c r="M7" t="s">
        <v>382</v>
      </c>
      <c r="N7" t="s">
        <v>382</v>
      </c>
      <c r="O7" t="s">
        <v>382</v>
      </c>
      <c r="P7" t="s">
        <v>382</v>
      </c>
      <c r="Q7" t="s">
        <v>382</v>
      </c>
      <c r="R7" t="s">
        <v>382</v>
      </c>
      <c r="S7" t="s">
        <v>382</v>
      </c>
      <c r="T7" t="s">
        <v>382</v>
      </c>
      <c r="U7" t="s">
        <v>382</v>
      </c>
      <c r="V7" t="s">
        <v>382</v>
      </c>
      <c r="W7" t="s">
        <v>382</v>
      </c>
      <c r="X7" t="s">
        <v>382</v>
      </c>
      <c r="Y7" t="s">
        <v>382</v>
      </c>
      <c r="Z7" t="s">
        <v>382</v>
      </c>
      <c r="AA7" t="s">
        <v>382</v>
      </c>
      <c r="AB7" t="s">
        <v>382</v>
      </c>
      <c r="AC7">
        <v>5</v>
      </c>
      <c r="AD7">
        <v>1</v>
      </c>
      <c r="AF7" t="s">
        <v>384</v>
      </c>
      <c r="AH7" t="s">
        <v>25</v>
      </c>
      <c r="AI7" t="s">
        <v>106</v>
      </c>
      <c r="AK7">
        <v>1335</v>
      </c>
      <c r="AL7">
        <v>1826</v>
      </c>
    </row>
    <row r="8" spans="1:38">
      <c r="A8" t="s">
        <v>382</v>
      </c>
      <c r="B8" t="s">
        <v>382</v>
      </c>
      <c r="C8" t="s">
        <v>382</v>
      </c>
      <c r="D8" t="s">
        <v>382</v>
      </c>
      <c r="E8" t="s">
        <v>382</v>
      </c>
      <c r="F8" t="s">
        <v>382</v>
      </c>
      <c r="G8" t="s">
        <v>382</v>
      </c>
      <c r="H8" t="s">
        <v>382</v>
      </c>
      <c r="I8" t="s">
        <v>382</v>
      </c>
      <c r="J8" t="s">
        <v>382</v>
      </c>
      <c r="K8" t="s">
        <v>382</v>
      </c>
      <c r="L8" t="s">
        <v>382</v>
      </c>
      <c r="M8" t="s">
        <v>382</v>
      </c>
      <c r="N8" t="s">
        <v>382</v>
      </c>
      <c r="O8" t="s">
        <v>382</v>
      </c>
      <c r="P8" t="s">
        <v>382</v>
      </c>
      <c r="Q8" t="s">
        <v>382</v>
      </c>
      <c r="R8" t="s">
        <v>382</v>
      </c>
      <c r="S8" t="s">
        <v>382</v>
      </c>
      <c r="T8" t="s">
        <v>382</v>
      </c>
      <c r="U8" t="s">
        <v>382</v>
      </c>
      <c r="V8" t="s">
        <v>382</v>
      </c>
      <c r="W8" t="s">
        <v>382</v>
      </c>
      <c r="X8" t="s">
        <v>382</v>
      </c>
      <c r="Y8" t="s">
        <v>382</v>
      </c>
      <c r="Z8" t="s">
        <v>382</v>
      </c>
      <c r="AA8" t="s">
        <v>382</v>
      </c>
      <c r="AB8" t="s">
        <v>382</v>
      </c>
      <c r="AC8">
        <v>5</v>
      </c>
      <c r="AD8">
        <v>2</v>
      </c>
      <c r="AF8" t="s">
        <v>385</v>
      </c>
      <c r="AH8" t="s">
        <v>27</v>
      </c>
      <c r="AI8" t="s">
        <v>109</v>
      </c>
      <c r="AK8">
        <v>1982</v>
      </c>
      <c r="AL8">
        <v>824</v>
      </c>
    </row>
    <row r="9" spans="1:38">
      <c r="A9" t="s">
        <v>382</v>
      </c>
      <c r="B9" t="s">
        <v>382</v>
      </c>
      <c r="C9" t="s">
        <v>382</v>
      </c>
      <c r="D9" t="s">
        <v>382</v>
      </c>
      <c r="E9" t="s">
        <v>382</v>
      </c>
      <c r="F9" t="s">
        <v>382</v>
      </c>
      <c r="G9" t="s">
        <v>382</v>
      </c>
      <c r="H9" t="s">
        <v>382</v>
      </c>
      <c r="I9" t="s">
        <v>382</v>
      </c>
      <c r="J9" t="s">
        <v>382</v>
      </c>
      <c r="K9" t="s">
        <v>382</v>
      </c>
      <c r="L9" t="s">
        <v>382</v>
      </c>
      <c r="M9" t="s">
        <v>382</v>
      </c>
      <c r="N9" t="s">
        <v>382</v>
      </c>
      <c r="O9" t="s">
        <v>382</v>
      </c>
      <c r="P9" t="s">
        <v>382</v>
      </c>
      <c r="Q9" t="s">
        <v>382</v>
      </c>
      <c r="R9" t="s">
        <v>382</v>
      </c>
      <c r="S9" t="s">
        <v>382</v>
      </c>
      <c r="T9" t="s">
        <v>382</v>
      </c>
      <c r="U9" t="s">
        <v>382</v>
      </c>
      <c r="V9" t="s">
        <v>382</v>
      </c>
      <c r="W9" t="s">
        <v>382</v>
      </c>
      <c r="X9" t="s">
        <v>382</v>
      </c>
      <c r="Y9" t="s">
        <v>382</v>
      </c>
      <c r="Z9" t="s">
        <v>382</v>
      </c>
      <c r="AA9" t="s">
        <v>382</v>
      </c>
      <c r="AB9" t="s">
        <v>382</v>
      </c>
      <c r="AC9">
        <v>5</v>
      </c>
      <c r="AD9">
        <v>3</v>
      </c>
      <c r="AF9" t="s">
        <v>386</v>
      </c>
      <c r="AH9" t="s">
        <v>29</v>
      </c>
      <c r="AI9" t="s">
        <v>103</v>
      </c>
      <c r="AK9">
        <v>2067</v>
      </c>
      <c r="AL9">
        <v>703</v>
      </c>
    </row>
    <row r="10" spans="1:38">
      <c r="A10" t="s">
        <v>382</v>
      </c>
      <c r="B10" t="s">
        <v>382</v>
      </c>
      <c r="C10" t="s">
        <v>382</v>
      </c>
      <c r="D10" t="s">
        <v>382</v>
      </c>
      <c r="E10" t="s">
        <v>382</v>
      </c>
      <c r="F10" t="s">
        <v>382</v>
      </c>
      <c r="G10" t="s">
        <v>382</v>
      </c>
      <c r="H10" t="s">
        <v>382</v>
      </c>
      <c r="I10" t="s">
        <v>382</v>
      </c>
      <c r="J10" t="s">
        <v>382</v>
      </c>
      <c r="K10" t="s">
        <v>382</v>
      </c>
      <c r="L10" t="s">
        <v>382</v>
      </c>
      <c r="M10" t="s">
        <v>382</v>
      </c>
      <c r="N10" t="s">
        <v>382</v>
      </c>
      <c r="O10" t="s">
        <v>382</v>
      </c>
      <c r="P10" t="s">
        <v>382</v>
      </c>
      <c r="Q10" t="s">
        <v>382</v>
      </c>
      <c r="R10" t="s">
        <v>382</v>
      </c>
      <c r="S10" t="s">
        <v>382</v>
      </c>
      <c r="T10" t="s">
        <v>382</v>
      </c>
      <c r="U10" t="s">
        <v>382</v>
      </c>
      <c r="V10" t="s">
        <v>382</v>
      </c>
      <c r="W10" t="s">
        <v>382</v>
      </c>
      <c r="X10" t="s">
        <v>382</v>
      </c>
      <c r="Y10" t="s">
        <v>382</v>
      </c>
      <c r="Z10" t="s">
        <v>382</v>
      </c>
      <c r="AA10" t="s">
        <v>382</v>
      </c>
      <c r="AB10" t="s">
        <v>382</v>
      </c>
      <c r="AC10">
        <v>5</v>
      </c>
      <c r="AD10">
        <v>4</v>
      </c>
      <c r="AE10">
        <v>1</v>
      </c>
      <c r="AF10" t="s">
        <v>387</v>
      </c>
      <c r="AH10" t="s">
        <v>31</v>
      </c>
      <c r="AI10" t="s">
        <v>97</v>
      </c>
      <c r="AK10">
        <v>2705</v>
      </c>
      <c r="AL10">
        <v>1953</v>
      </c>
    </row>
    <row r="11" spans="1:38">
      <c r="A11" t="s">
        <v>382</v>
      </c>
      <c r="B11" t="s">
        <v>382</v>
      </c>
      <c r="C11" t="s">
        <v>382</v>
      </c>
      <c r="D11" t="s">
        <v>382</v>
      </c>
      <c r="E11" t="s">
        <v>382</v>
      </c>
      <c r="F11" t="s">
        <v>382</v>
      </c>
      <c r="G11" t="s">
        <v>382</v>
      </c>
      <c r="H11" t="s">
        <v>382</v>
      </c>
      <c r="I11" t="s">
        <v>382</v>
      </c>
      <c r="J11" t="s">
        <v>382</v>
      </c>
      <c r="K11" t="s">
        <v>382</v>
      </c>
      <c r="L11" t="s">
        <v>382</v>
      </c>
      <c r="M11" t="s">
        <v>382</v>
      </c>
      <c r="N11" t="s">
        <v>382</v>
      </c>
      <c r="O11" t="s">
        <v>382</v>
      </c>
      <c r="P11" t="s">
        <v>382</v>
      </c>
      <c r="Q11" t="s">
        <v>382</v>
      </c>
      <c r="R11" t="s">
        <v>382</v>
      </c>
      <c r="S11" t="s">
        <v>382</v>
      </c>
      <c r="T11" t="s">
        <v>382</v>
      </c>
      <c r="U11" t="s">
        <v>382</v>
      </c>
      <c r="V11" t="s">
        <v>382</v>
      </c>
      <c r="W11" t="s">
        <v>382</v>
      </c>
      <c r="X11" t="s">
        <v>382</v>
      </c>
      <c r="Y11" t="s">
        <v>382</v>
      </c>
      <c r="Z11" t="s">
        <v>382</v>
      </c>
      <c r="AA11" t="s">
        <v>382</v>
      </c>
      <c r="AB11" t="s">
        <v>382</v>
      </c>
      <c r="AC11">
        <v>5</v>
      </c>
      <c r="AD11">
        <v>5</v>
      </c>
      <c r="AE11">
        <v>1</v>
      </c>
      <c r="AF11" t="s">
        <v>387</v>
      </c>
      <c r="AH11" t="s">
        <v>31</v>
      </c>
      <c r="AI11" t="s">
        <v>97</v>
      </c>
      <c r="AK11">
        <v>2862</v>
      </c>
      <c r="AL11">
        <v>1351</v>
      </c>
    </row>
    <row r="12" spans="1:38">
      <c r="A12" t="s">
        <v>382</v>
      </c>
      <c r="B12" t="s">
        <v>382</v>
      </c>
      <c r="C12" t="s">
        <v>382</v>
      </c>
      <c r="D12" t="s">
        <v>382</v>
      </c>
      <c r="E12" t="s">
        <v>382</v>
      </c>
      <c r="F12" t="s">
        <v>382</v>
      </c>
      <c r="G12" t="s">
        <v>382</v>
      </c>
      <c r="H12" t="s">
        <v>382</v>
      </c>
      <c r="I12" t="s">
        <v>382</v>
      </c>
      <c r="J12" t="s">
        <v>382</v>
      </c>
      <c r="K12" t="s">
        <v>382</v>
      </c>
      <c r="L12" t="s">
        <v>382</v>
      </c>
      <c r="M12" t="s">
        <v>382</v>
      </c>
      <c r="N12" t="s">
        <v>382</v>
      </c>
      <c r="O12" t="s">
        <v>382</v>
      </c>
      <c r="P12" t="s">
        <v>382</v>
      </c>
      <c r="Q12" t="s">
        <v>382</v>
      </c>
      <c r="R12" t="s">
        <v>382</v>
      </c>
      <c r="S12" t="s">
        <v>382</v>
      </c>
      <c r="T12" t="s">
        <v>382</v>
      </c>
      <c r="U12" t="s">
        <v>382</v>
      </c>
      <c r="V12" t="s">
        <v>382</v>
      </c>
      <c r="W12" t="s">
        <v>382</v>
      </c>
      <c r="X12" t="s">
        <v>382</v>
      </c>
      <c r="Y12" t="s">
        <v>382</v>
      </c>
      <c r="Z12" t="s">
        <v>382</v>
      </c>
      <c r="AA12" t="s">
        <v>382</v>
      </c>
      <c r="AB12" t="s">
        <v>382</v>
      </c>
      <c r="AC12">
        <v>5</v>
      </c>
      <c r="AD12">
        <v>1</v>
      </c>
      <c r="AE12">
        <v>1</v>
      </c>
      <c r="AF12" t="s">
        <v>388</v>
      </c>
      <c r="AH12" t="s">
        <v>33</v>
      </c>
      <c r="AI12" t="s">
        <v>97</v>
      </c>
      <c r="AK12">
        <v>1640</v>
      </c>
      <c r="AL12">
        <v>952</v>
      </c>
    </row>
    <row r="13" spans="1:38">
      <c r="A13" t="s">
        <v>382</v>
      </c>
      <c r="B13" t="s">
        <v>382</v>
      </c>
      <c r="C13" t="s">
        <v>382</v>
      </c>
      <c r="D13" t="s">
        <v>382</v>
      </c>
      <c r="E13" t="s">
        <v>382</v>
      </c>
      <c r="F13" t="s">
        <v>382</v>
      </c>
      <c r="G13" t="s">
        <v>382</v>
      </c>
      <c r="H13" t="s">
        <v>382</v>
      </c>
      <c r="I13" t="s">
        <v>382</v>
      </c>
      <c r="J13" t="s">
        <v>382</v>
      </c>
      <c r="K13" t="s">
        <v>382</v>
      </c>
      <c r="L13" t="s">
        <v>382</v>
      </c>
      <c r="M13" t="s">
        <v>382</v>
      </c>
      <c r="N13" t="s">
        <v>382</v>
      </c>
      <c r="O13" t="s">
        <v>382</v>
      </c>
      <c r="P13" t="s">
        <v>382</v>
      </c>
      <c r="Q13" t="s">
        <v>382</v>
      </c>
      <c r="R13" t="s">
        <v>382</v>
      </c>
      <c r="S13" t="s">
        <v>382</v>
      </c>
      <c r="T13" t="s">
        <v>382</v>
      </c>
      <c r="U13" t="s">
        <v>382</v>
      </c>
      <c r="V13" t="s">
        <v>382</v>
      </c>
      <c r="W13" t="s">
        <v>382</v>
      </c>
      <c r="X13" t="s">
        <v>382</v>
      </c>
      <c r="Y13" t="s">
        <v>382</v>
      </c>
      <c r="Z13" t="s">
        <v>382</v>
      </c>
      <c r="AA13" t="s">
        <v>382</v>
      </c>
      <c r="AB13" t="s">
        <v>382</v>
      </c>
      <c r="AC13">
        <v>5</v>
      </c>
      <c r="AD13">
        <v>2</v>
      </c>
      <c r="AF13" t="s">
        <v>384</v>
      </c>
      <c r="AH13" t="s">
        <v>25</v>
      </c>
      <c r="AI13" t="s">
        <v>106</v>
      </c>
      <c r="AK13">
        <v>2981</v>
      </c>
      <c r="AL13">
        <v>2481</v>
      </c>
    </row>
    <row r="14" spans="1:38">
      <c r="A14" t="s">
        <v>382</v>
      </c>
      <c r="B14" t="s">
        <v>382</v>
      </c>
      <c r="C14" t="s">
        <v>382</v>
      </c>
      <c r="D14" t="s">
        <v>382</v>
      </c>
      <c r="E14" t="s">
        <v>382</v>
      </c>
      <c r="F14" t="s">
        <v>382</v>
      </c>
      <c r="G14" t="s">
        <v>382</v>
      </c>
      <c r="H14" t="s">
        <v>382</v>
      </c>
      <c r="I14" t="s">
        <v>382</v>
      </c>
      <c r="J14" t="s">
        <v>382</v>
      </c>
      <c r="K14" t="s">
        <v>382</v>
      </c>
      <c r="L14" t="s">
        <v>382</v>
      </c>
      <c r="M14" t="s">
        <v>382</v>
      </c>
      <c r="N14" t="s">
        <v>382</v>
      </c>
      <c r="O14" t="s">
        <v>382</v>
      </c>
      <c r="P14" t="s">
        <v>382</v>
      </c>
      <c r="Q14" t="s">
        <v>382</v>
      </c>
      <c r="R14" t="s">
        <v>382</v>
      </c>
      <c r="S14" t="s">
        <v>382</v>
      </c>
      <c r="T14" t="s">
        <v>382</v>
      </c>
      <c r="U14" t="s">
        <v>382</v>
      </c>
      <c r="V14" t="s">
        <v>382</v>
      </c>
      <c r="W14" t="s">
        <v>382</v>
      </c>
      <c r="X14" t="s">
        <v>382</v>
      </c>
      <c r="Y14" t="s">
        <v>382</v>
      </c>
      <c r="Z14" t="s">
        <v>382</v>
      </c>
      <c r="AA14" t="s">
        <v>382</v>
      </c>
      <c r="AB14" t="s">
        <v>382</v>
      </c>
      <c r="AC14">
        <v>5</v>
      </c>
      <c r="AD14">
        <v>3</v>
      </c>
      <c r="AE14">
        <v>1</v>
      </c>
      <c r="AF14" t="s">
        <v>388</v>
      </c>
      <c r="AH14" t="s">
        <v>33</v>
      </c>
      <c r="AI14" t="s">
        <v>97</v>
      </c>
      <c r="AK14">
        <v>808</v>
      </c>
      <c r="AL14">
        <v>1772</v>
      </c>
    </row>
    <row r="15" spans="1:38">
      <c r="A15" t="s">
        <v>382</v>
      </c>
      <c r="B15" t="s">
        <v>382</v>
      </c>
      <c r="C15" t="s">
        <v>382</v>
      </c>
      <c r="D15" t="s">
        <v>382</v>
      </c>
      <c r="E15" t="s">
        <v>382</v>
      </c>
      <c r="F15" t="s">
        <v>382</v>
      </c>
      <c r="G15" t="s">
        <v>382</v>
      </c>
      <c r="H15" t="s">
        <v>382</v>
      </c>
      <c r="I15" t="s">
        <v>382</v>
      </c>
      <c r="J15" t="s">
        <v>382</v>
      </c>
      <c r="K15" t="s">
        <v>382</v>
      </c>
      <c r="L15" t="s">
        <v>382</v>
      </c>
      <c r="M15" t="s">
        <v>382</v>
      </c>
      <c r="N15" t="s">
        <v>382</v>
      </c>
      <c r="O15" t="s">
        <v>382</v>
      </c>
      <c r="P15" t="s">
        <v>382</v>
      </c>
      <c r="Q15" t="s">
        <v>382</v>
      </c>
      <c r="R15" t="s">
        <v>382</v>
      </c>
      <c r="S15" t="s">
        <v>382</v>
      </c>
      <c r="T15" t="s">
        <v>382</v>
      </c>
      <c r="U15" t="s">
        <v>382</v>
      </c>
      <c r="V15" t="s">
        <v>382</v>
      </c>
      <c r="W15" t="s">
        <v>382</v>
      </c>
      <c r="X15" t="s">
        <v>382</v>
      </c>
      <c r="Y15" t="s">
        <v>382</v>
      </c>
      <c r="Z15" t="s">
        <v>382</v>
      </c>
      <c r="AA15" t="s">
        <v>382</v>
      </c>
      <c r="AB15" t="s">
        <v>382</v>
      </c>
      <c r="AC15">
        <v>5</v>
      </c>
      <c r="AD15">
        <v>4</v>
      </c>
      <c r="AE15">
        <v>1</v>
      </c>
      <c r="AF15" t="s">
        <v>388</v>
      </c>
      <c r="AH15" t="s">
        <v>33</v>
      </c>
      <c r="AI15" t="s">
        <v>97</v>
      </c>
      <c r="AK15">
        <v>1471</v>
      </c>
      <c r="AL15">
        <v>192</v>
      </c>
    </row>
    <row r="16" spans="1:38">
      <c r="A16" t="s">
        <v>382</v>
      </c>
      <c r="B16" t="s">
        <v>382</v>
      </c>
      <c r="C16" t="s">
        <v>382</v>
      </c>
      <c r="D16" t="s">
        <v>382</v>
      </c>
      <c r="E16" t="s">
        <v>382</v>
      </c>
      <c r="F16" t="s">
        <v>382</v>
      </c>
      <c r="G16" t="s">
        <v>382</v>
      </c>
      <c r="H16" t="s">
        <v>382</v>
      </c>
      <c r="I16" t="s">
        <v>382</v>
      </c>
      <c r="J16" t="s">
        <v>382</v>
      </c>
      <c r="K16" t="s">
        <v>382</v>
      </c>
      <c r="L16" t="s">
        <v>382</v>
      </c>
      <c r="M16" t="s">
        <v>382</v>
      </c>
      <c r="N16" t="s">
        <v>382</v>
      </c>
      <c r="O16" t="s">
        <v>382</v>
      </c>
      <c r="P16" t="s">
        <v>382</v>
      </c>
      <c r="Q16" t="s">
        <v>382</v>
      </c>
      <c r="R16" t="s">
        <v>382</v>
      </c>
      <c r="S16" t="s">
        <v>382</v>
      </c>
      <c r="T16" t="s">
        <v>382</v>
      </c>
      <c r="U16" t="s">
        <v>382</v>
      </c>
      <c r="V16" t="s">
        <v>382</v>
      </c>
      <c r="W16" t="s">
        <v>382</v>
      </c>
      <c r="X16" t="s">
        <v>382</v>
      </c>
      <c r="Y16" t="s">
        <v>382</v>
      </c>
      <c r="Z16" t="s">
        <v>382</v>
      </c>
      <c r="AA16" t="s">
        <v>382</v>
      </c>
      <c r="AB16" t="s">
        <v>382</v>
      </c>
      <c r="AC16">
        <v>5</v>
      </c>
      <c r="AD16">
        <v>5</v>
      </c>
      <c r="AF16" t="s">
        <v>384</v>
      </c>
      <c r="AH16" t="s">
        <v>25</v>
      </c>
      <c r="AI16" t="s">
        <v>106</v>
      </c>
      <c r="AK16">
        <v>1331</v>
      </c>
      <c r="AL16">
        <v>29</v>
      </c>
    </row>
    <row r="17" spans="1:38">
      <c r="A17" t="s">
        <v>382</v>
      </c>
      <c r="B17" t="s">
        <v>382</v>
      </c>
      <c r="C17" t="s">
        <v>382</v>
      </c>
      <c r="D17" t="s">
        <v>382</v>
      </c>
      <c r="E17" t="s">
        <v>382</v>
      </c>
      <c r="F17" t="s">
        <v>382</v>
      </c>
      <c r="G17" t="s">
        <v>382</v>
      </c>
      <c r="H17" t="s">
        <v>382</v>
      </c>
      <c r="I17" t="s">
        <v>382</v>
      </c>
      <c r="J17" t="s">
        <v>382</v>
      </c>
      <c r="K17" t="s">
        <v>382</v>
      </c>
      <c r="L17" t="s">
        <v>382</v>
      </c>
      <c r="M17" t="s">
        <v>382</v>
      </c>
      <c r="N17" t="s">
        <v>382</v>
      </c>
      <c r="O17" t="s">
        <v>382</v>
      </c>
      <c r="P17" t="s">
        <v>382</v>
      </c>
      <c r="Q17" t="s">
        <v>382</v>
      </c>
      <c r="R17" t="s">
        <v>382</v>
      </c>
      <c r="S17" t="s">
        <v>382</v>
      </c>
      <c r="T17" t="s">
        <v>382</v>
      </c>
      <c r="U17" t="s">
        <v>382</v>
      </c>
      <c r="V17" t="s">
        <v>382</v>
      </c>
      <c r="W17" t="s">
        <v>382</v>
      </c>
      <c r="X17" t="s">
        <v>382</v>
      </c>
      <c r="Y17" t="s">
        <v>382</v>
      </c>
      <c r="Z17" t="s">
        <v>382</v>
      </c>
      <c r="AA17" t="s">
        <v>382</v>
      </c>
      <c r="AB17" t="s">
        <v>382</v>
      </c>
      <c r="AC17">
        <v>5</v>
      </c>
      <c r="AD17">
        <v>1</v>
      </c>
      <c r="AE17">
        <v>1</v>
      </c>
      <c r="AF17" t="s">
        <v>389</v>
      </c>
      <c r="AH17" t="s">
        <v>35</v>
      </c>
      <c r="AI17" t="s">
        <v>97</v>
      </c>
      <c r="AK17">
        <v>2938</v>
      </c>
      <c r="AL17">
        <v>123</v>
      </c>
    </row>
    <row r="18" spans="1:38">
      <c r="A18" t="s">
        <v>382</v>
      </c>
      <c r="B18" t="s">
        <v>382</v>
      </c>
      <c r="C18" t="s">
        <v>382</v>
      </c>
      <c r="D18" t="s">
        <v>382</v>
      </c>
      <c r="E18" t="s">
        <v>382</v>
      </c>
      <c r="F18" t="s">
        <v>382</v>
      </c>
      <c r="G18" t="s">
        <v>382</v>
      </c>
      <c r="H18" t="s">
        <v>382</v>
      </c>
      <c r="I18" t="s">
        <v>382</v>
      </c>
      <c r="J18" t="s">
        <v>382</v>
      </c>
      <c r="K18" t="s">
        <v>382</v>
      </c>
      <c r="L18" t="s">
        <v>382</v>
      </c>
      <c r="M18" t="s">
        <v>382</v>
      </c>
      <c r="N18" t="s">
        <v>382</v>
      </c>
      <c r="O18" t="s">
        <v>382</v>
      </c>
      <c r="P18" t="s">
        <v>382</v>
      </c>
      <c r="Q18" t="s">
        <v>382</v>
      </c>
      <c r="R18" t="s">
        <v>382</v>
      </c>
      <c r="S18" t="s">
        <v>382</v>
      </c>
      <c r="T18" t="s">
        <v>382</v>
      </c>
      <c r="U18" t="s">
        <v>382</v>
      </c>
      <c r="V18" t="s">
        <v>382</v>
      </c>
      <c r="W18" t="s">
        <v>382</v>
      </c>
      <c r="X18" t="s">
        <v>382</v>
      </c>
      <c r="Y18" t="s">
        <v>382</v>
      </c>
      <c r="Z18" t="s">
        <v>382</v>
      </c>
      <c r="AA18" t="s">
        <v>382</v>
      </c>
      <c r="AB18" t="s">
        <v>382</v>
      </c>
      <c r="AC18">
        <v>5</v>
      </c>
      <c r="AD18">
        <v>2</v>
      </c>
      <c r="AF18" t="s">
        <v>386</v>
      </c>
      <c r="AH18" t="s">
        <v>29</v>
      </c>
      <c r="AI18" t="s">
        <v>103</v>
      </c>
      <c r="AK18">
        <v>2746</v>
      </c>
      <c r="AL18">
        <v>2490</v>
      </c>
    </row>
    <row r="19" spans="1:38">
      <c r="A19" t="s">
        <v>382</v>
      </c>
      <c r="B19" t="s">
        <v>382</v>
      </c>
      <c r="C19" t="s">
        <v>382</v>
      </c>
      <c r="D19" t="s">
        <v>382</v>
      </c>
      <c r="E19" t="s">
        <v>382</v>
      </c>
      <c r="F19" t="s">
        <v>382</v>
      </c>
      <c r="G19" t="s">
        <v>382</v>
      </c>
      <c r="H19" t="s">
        <v>382</v>
      </c>
      <c r="I19" t="s">
        <v>382</v>
      </c>
      <c r="J19" t="s">
        <v>382</v>
      </c>
      <c r="K19" t="s">
        <v>382</v>
      </c>
      <c r="L19" t="s">
        <v>382</v>
      </c>
      <c r="M19" t="s">
        <v>382</v>
      </c>
      <c r="N19" t="s">
        <v>382</v>
      </c>
      <c r="O19" t="s">
        <v>382</v>
      </c>
      <c r="P19" t="s">
        <v>382</v>
      </c>
      <c r="Q19" t="s">
        <v>382</v>
      </c>
      <c r="R19" t="s">
        <v>382</v>
      </c>
      <c r="S19" t="s">
        <v>382</v>
      </c>
      <c r="T19" t="s">
        <v>382</v>
      </c>
      <c r="U19" t="s">
        <v>382</v>
      </c>
      <c r="V19" t="s">
        <v>382</v>
      </c>
      <c r="W19" t="s">
        <v>382</v>
      </c>
      <c r="X19" t="s">
        <v>382</v>
      </c>
      <c r="Y19" t="s">
        <v>382</v>
      </c>
      <c r="Z19" t="s">
        <v>382</v>
      </c>
      <c r="AA19" t="s">
        <v>382</v>
      </c>
      <c r="AB19" t="s">
        <v>382</v>
      </c>
      <c r="AC19">
        <v>5</v>
      </c>
      <c r="AD19">
        <v>3</v>
      </c>
      <c r="AE19">
        <v>1</v>
      </c>
      <c r="AF19" t="s">
        <v>387</v>
      </c>
      <c r="AH19" t="s">
        <v>31</v>
      </c>
      <c r="AI19" t="s">
        <v>97</v>
      </c>
      <c r="AK19">
        <v>3320</v>
      </c>
      <c r="AL19">
        <v>2229</v>
      </c>
    </row>
    <row r="20" spans="1:38">
      <c r="A20" t="s">
        <v>382</v>
      </c>
      <c r="B20" t="s">
        <v>382</v>
      </c>
      <c r="C20" t="s">
        <v>382</v>
      </c>
      <c r="D20" t="s">
        <v>382</v>
      </c>
      <c r="E20" t="s">
        <v>382</v>
      </c>
      <c r="F20" t="s">
        <v>382</v>
      </c>
      <c r="G20" t="s">
        <v>382</v>
      </c>
      <c r="H20" t="s">
        <v>382</v>
      </c>
      <c r="I20" t="s">
        <v>382</v>
      </c>
      <c r="J20" t="s">
        <v>382</v>
      </c>
      <c r="K20" t="s">
        <v>382</v>
      </c>
      <c r="L20" t="s">
        <v>382</v>
      </c>
      <c r="M20" t="s">
        <v>382</v>
      </c>
      <c r="N20" t="s">
        <v>382</v>
      </c>
      <c r="O20" t="s">
        <v>382</v>
      </c>
      <c r="P20" t="s">
        <v>382</v>
      </c>
      <c r="Q20" t="s">
        <v>382</v>
      </c>
      <c r="R20" t="s">
        <v>382</v>
      </c>
      <c r="S20" t="s">
        <v>382</v>
      </c>
      <c r="T20" t="s">
        <v>382</v>
      </c>
      <c r="U20" t="s">
        <v>382</v>
      </c>
      <c r="V20" t="s">
        <v>382</v>
      </c>
      <c r="W20" t="s">
        <v>382</v>
      </c>
      <c r="X20" t="s">
        <v>382</v>
      </c>
      <c r="Y20" t="s">
        <v>382</v>
      </c>
      <c r="Z20" t="s">
        <v>382</v>
      </c>
      <c r="AA20" t="s">
        <v>382</v>
      </c>
      <c r="AB20" t="s">
        <v>382</v>
      </c>
      <c r="AC20">
        <v>5</v>
      </c>
      <c r="AD20">
        <v>4</v>
      </c>
      <c r="AF20" t="s">
        <v>385</v>
      </c>
      <c r="AH20" t="s">
        <v>27</v>
      </c>
      <c r="AI20" t="s">
        <v>109</v>
      </c>
      <c r="AK20">
        <v>2469</v>
      </c>
      <c r="AL20">
        <v>323</v>
      </c>
    </row>
    <row r="21" spans="1:38">
      <c r="A21" t="s">
        <v>382</v>
      </c>
      <c r="B21" t="s">
        <v>382</v>
      </c>
      <c r="C21" t="s">
        <v>382</v>
      </c>
      <c r="D21" t="s">
        <v>382</v>
      </c>
      <c r="E21" t="s">
        <v>382</v>
      </c>
      <c r="F21" t="s">
        <v>382</v>
      </c>
      <c r="G21" t="s">
        <v>382</v>
      </c>
      <c r="H21" t="s">
        <v>382</v>
      </c>
      <c r="I21" t="s">
        <v>382</v>
      </c>
      <c r="J21" t="s">
        <v>382</v>
      </c>
      <c r="K21" t="s">
        <v>382</v>
      </c>
      <c r="L21" t="s">
        <v>382</v>
      </c>
      <c r="M21" t="s">
        <v>382</v>
      </c>
      <c r="N21" t="s">
        <v>382</v>
      </c>
      <c r="O21" t="s">
        <v>382</v>
      </c>
      <c r="P21" t="s">
        <v>382</v>
      </c>
      <c r="Q21" t="s">
        <v>382</v>
      </c>
      <c r="R21" t="s">
        <v>382</v>
      </c>
      <c r="S21" t="s">
        <v>382</v>
      </c>
      <c r="T21" t="s">
        <v>382</v>
      </c>
      <c r="U21" t="s">
        <v>382</v>
      </c>
      <c r="V21" t="s">
        <v>382</v>
      </c>
      <c r="W21" t="s">
        <v>382</v>
      </c>
      <c r="X21" t="s">
        <v>382</v>
      </c>
      <c r="Y21" t="s">
        <v>382</v>
      </c>
      <c r="Z21" t="s">
        <v>382</v>
      </c>
      <c r="AA21" t="s">
        <v>382</v>
      </c>
      <c r="AB21" t="s">
        <v>382</v>
      </c>
      <c r="AC21">
        <v>5</v>
      </c>
      <c r="AD21">
        <v>5</v>
      </c>
      <c r="AF21" t="s">
        <v>386</v>
      </c>
      <c r="AH21" t="s">
        <v>29</v>
      </c>
      <c r="AI21" t="s">
        <v>103</v>
      </c>
      <c r="AK21">
        <v>3223</v>
      </c>
      <c r="AL21">
        <v>1378</v>
      </c>
    </row>
    <row r="22" spans="1:38">
      <c r="A22" t="s">
        <v>382</v>
      </c>
      <c r="B22" t="s">
        <v>382</v>
      </c>
      <c r="C22" t="s">
        <v>382</v>
      </c>
      <c r="D22" t="s">
        <v>382</v>
      </c>
      <c r="E22" t="s">
        <v>382</v>
      </c>
      <c r="F22" t="s">
        <v>382</v>
      </c>
      <c r="G22" t="s">
        <v>382</v>
      </c>
      <c r="H22" t="s">
        <v>382</v>
      </c>
      <c r="I22" t="s">
        <v>382</v>
      </c>
      <c r="J22" t="s">
        <v>382</v>
      </c>
      <c r="K22" t="s">
        <v>382</v>
      </c>
      <c r="L22" t="s">
        <v>382</v>
      </c>
      <c r="M22" t="s">
        <v>382</v>
      </c>
      <c r="N22" t="s">
        <v>382</v>
      </c>
      <c r="O22" t="s">
        <v>382</v>
      </c>
      <c r="P22" t="s">
        <v>382</v>
      </c>
      <c r="Q22" t="s">
        <v>382</v>
      </c>
      <c r="R22" t="s">
        <v>382</v>
      </c>
      <c r="S22" t="s">
        <v>382</v>
      </c>
      <c r="T22" t="s">
        <v>382</v>
      </c>
      <c r="U22" t="s">
        <v>382</v>
      </c>
      <c r="V22" t="s">
        <v>382</v>
      </c>
      <c r="W22" t="s">
        <v>382</v>
      </c>
      <c r="X22" t="s">
        <v>382</v>
      </c>
      <c r="Y22" t="s">
        <v>382</v>
      </c>
      <c r="Z22" t="s">
        <v>382</v>
      </c>
      <c r="AA22" t="s">
        <v>382</v>
      </c>
      <c r="AB22" t="s">
        <v>382</v>
      </c>
      <c r="AC22">
        <v>5</v>
      </c>
      <c r="AD22">
        <v>1</v>
      </c>
      <c r="AE22">
        <v>1</v>
      </c>
      <c r="AF22" t="s">
        <v>390</v>
      </c>
      <c r="AH22" t="s">
        <v>37</v>
      </c>
      <c r="AI22" t="s">
        <v>97</v>
      </c>
      <c r="AK22">
        <v>1060</v>
      </c>
      <c r="AL22">
        <v>751</v>
      </c>
    </row>
    <row r="23" spans="1:38">
      <c r="A23" t="s">
        <v>382</v>
      </c>
      <c r="B23" t="s">
        <v>382</v>
      </c>
      <c r="C23" t="s">
        <v>382</v>
      </c>
      <c r="D23" t="s">
        <v>382</v>
      </c>
      <c r="E23" t="s">
        <v>382</v>
      </c>
      <c r="F23" t="s">
        <v>382</v>
      </c>
      <c r="G23" t="s">
        <v>382</v>
      </c>
      <c r="H23" t="s">
        <v>382</v>
      </c>
      <c r="I23" t="s">
        <v>382</v>
      </c>
      <c r="J23" t="s">
        <v>382</v>
      </c>
      <c r="K23" t="s">
        <v>382</v>
      </c>
      <c r="L23" t="s">
        <v>382</v>
      </c>
      <c r="M23" t="s">
        <v>382</v>
      </c>
      <c r="N23" t="s">
        <v>382</v>
      </c>
      <c r="O23" t="s">
        <v>382</v>
      </c>
      <c r="P23" t="s">
        <v>382</v>
      </c>
      <c r="Q23" t="s">
        <v>382</v>
      </c>
      <c r="R23" t="s">
        <v>382</v>
      </c>
      <c r="S23" t="s">
        <v>382</v>
      </c>
      <c r="T23" t="s">
        <v>382</v>
      </c>
      <c r="U23" t="s">
        <v>382</v>
      </c>
      <c r="V23" t="s">
        <v>382</v>
      </c>
      <c r="W23" t="s">
        <v>382</v>
      </c>
      <c r="X23" t="s">
        <v>382</v>
      </c>
      <c r="Y23" t="s">
        <v>382</v>
      </c>
      <c r="Z23" t="s">
        <v>382</v>
      </c>
      <c r="AA23" t="s">
        <v>382</v>
      </c>
      <c r="AB23" t="s">
        <v>382</v>
      </c>
      <c r="AC23">
        <v>5</v>
      </c>
      <c r="AD23">
        <v>2</v>
      </c>
      <c r="AE23">
        <v>1</v>
      </c>
      <c r="AF23" t="s">
        <v>391</v>
      </c>
      <c r="AH23" t="s">
        <v>38</v>
      </c>
      <c r="AI23" t="s">
        <v>97</v>
      </c>
      <c r="AK23">
        <v>3236</v>
      </c>
      <c r="AL23">
        <v>2017</v>
      </c>
    </row>
    <row r="24" spans="1:38">
      <c r="A24" t="s">
        <v>382</v>
      </c>
      <c r="B24" t="s">
        <v>382</v>
      </c>
      <c r="C24" t="s">
        <v>382</v>
      </c>
      <c r="D24" t="s">
        <v>382</v>
      </c>
      <c r="E24" t="s">
        <v>382</v>
      </c>
      <c r="F24" t="s">
        <v>382</v>
      </c>
      <c r="G24" t="s">
        <v>382</v>
      </c>
      <c r="H24" t="s">
        <v>382</v>
      </c>
      <c r="I24" t="s">
        <v>382</v>
      </c>
      <c r="J24" t="s">
        <v>382</v>
      </c>
      <c r="K24" t="s">
        <v>382</v>
      </c>
      <c r="L24" t="s">
        <v>382</v>
      </c>
      <c r="M24" t="s">
        <v>382</v>
      </c>
      <c r="N24" t="s">
        <v>382</v>
      </c>
      <c r="O24" t="s">
        <v>382</v>
      </c>
      <c r="P24" t="s">
        <v>382</v>
      </c>
      <c r="Q24" t="s">
        <v>382</v>
      </c>
      <c r="R24" t="s">
        <v>382</v>
      </c>
      <c r="S24" t="s">
        <v>382</v>
      </c>
      <c r="T24" t="s">
        <v>382</v>
      </c>
      <c r="U24" t="s">
        <v>382</v>
      </c>
      <c r="V24" t="s">
        <v>382</v>
      </c>
      <c r="W24" t="s">
        <v>382</v>
      </c>
      <c r="X24" t="s">
        <v>382</v>
      </c>
      <c r="Y24" t="s">
        <v>382</v>
      </c>
      <c r="Z24" t="s">
        <v>382</v>
      </c>
      <c r="AA24" t="s">
        <v>382</v>
      </c>
      <c r="AB24" t="s">
        <v>382</v>
      </c>
      <c r="AC24">
        <v>5</v>
      </c>
      <c r="AD24">
        <v>3</v>
      </c>
      <c r="AE24">
        <v>1</v>
      </c>
      <c r="AF24" t="s">
        <v>391</v>
      </c>
      <c r="AH24" t="s">
        <v>38</v>
      </c>
      <c r="AI24" t="s">
        <v>97</v>
      </c>
      <c r="AK24">
        <v>2228</v>
      </c>
      <c r="AL24">
        <v>754</v>
      </c>
    </row>
    <row r="25" spans="1:38">
      <c r="A25" t="s">
        <v>382</v>
      </c>
      <c r="B25" t="s">
        <v>382</v>
      </c>
      <c r="C25" t="s">
        <v>382</v>
      </c>
      <c r="D25" t="s">
        <v>382</v>
      </c>
      <c r="E25" t="s">
        <v>382</v>
      </c>
      <c r="F25" t="s">
        <v>382</v>
      </c>
      <c r="G25" t="s">
        <v>382</v>
      </c>
      <c r="H25" t="s">
        <v>382</v>
      </c>
      <c r="I25" t="s">
        <v>382</v>
      </c>
      <c r="J25" t="s">
        <v>382</v>
      </c>
      <c r="K25" t="s">
        <v>382</v>
      </c>
      <c r="L25" t="s">
        <v>382</v>
      </c>
      <c r="M25" t="s">
        <v>382</v>
      </c>
      <c r="N25" t="s">
        <v>382</v>
      </c>
      <c r="O25" t="s">
        <v>382</v>
      </c>
      <c r="P25" t="s">
        <v>382</v>
      </c>
      <c r="Q25" t="s">
        <v>382</v>
      </c>
      <c r="R25" t="s">
        <v>382</v>
      </c>
      <c r="S25" t="s">
        <v>382</v>
      </c>
      <c r="T25" t="s">
        <v>382</v>
      </c>
      <c r="U25" t="s">
        <v>382</v>
      </c>
      <c r="V25" t="s">
        <v>382</v>
      </c>
      <c r="W25" t="s">
        <v>382</v>
      </c>
      <c r="X25" t="s">
        <v>382</v>
      </c>
      <c r="Y25" t="s">
        <v>382</v>
      </c>
      <c r="Z25" t="s">
        <v>382</v>
      </c>
      <c r="AA25" t="s">
        <v>382</v>
      </c>
      <c r="AB25" t="s">
        <v>382</v>
      </c>
      <c r="AC25">
        <v>5</v>
      </c>
      <c r="AD25">
        <v>4</v>
      </c>
      <c r="AE25">
        <v>1</v>
      </c>
      <c r="AF25" t="s">
        <v>391</v>
      </c>
      <c r="AH25" t="s">
        <v>38</v>
      </c>
      <c r="AI25" t="s">
        <v>97</v>
      </c>
      <c r="AK25">
        <v>3336</v>
      </c>
      <c r="AL25">
        <v>1561</v>
      </c>
    </row>
    <row r="26" spans="1:38">
      <c r="A26" t="s">
        <v>382</v>
      </c>
      <c r="B26" t="s">
        <v>382</v>
      </c>
      <c r="C26" t="s">
        <v>382</v>
      </c>
      <c r="D26" t="s">
        <v>382</v>
      </c>
      <c r="E26" t="s">
        <v>382</v>
      </c>
      <c r="F26" t="s">
        <v>382</v>
      </c>
      <c r="G26" t="s">
        <v>382</v>
      </c>
      <c r="H26" t="s">
        <v>382</v>
      </c>
      <c r="I26" t="s">
        <v>382</v>
      </c>
      <c r="J26" t="s">
        <v>382</v>
      </c>
      <c r="K26" t="s">
        <v>382</v>
      </c>
      <c r="L26" t="s">
        <v>382</v>
      </c>
      <c r="M26" t="s">
        <v>382</v>
      </c>
      <c r="N26" t="s">
        <v>382</v>
      </c>
      <c r="O26" t="s">
        <v>382</v>
      </c>
      <c r="P26" t="s">
        <v>382</v>
      </c>
      <c r="Q26" t="s">
        <v>382</v>
      </c>
      <c r="R26" t="s">
        <v>382</v>
      </c>
      <c r="S26" t="s">
        <v>382</v>
      </c>
      <c r="T26" t="s">
        <v>382</v>
      </c>
      <c r="U26" t="s">
        <v>382</v>
      </c>
      <c r="V26" t="s">
        <v>382</v>
      </c>
      <c r="W26" t="s">
        <v>382</v>
      </c>
      <c r="X26" t="s">
        <v>382</v>
      </c>
      <c r="Y26" t="s">
        <v>382</v>
      </c>
      <c r="Z26" t="s">
        <v>382</v>
      </c>
      <c r="AA26" t="s">
        <v>382</v>
      </c>
      <c r="AB26" t="s">
        <v>382</v>
      </c>
      <c r="AC26">
        <v>5</v>
      </c>
      <c r="AD26">
        <v>5</v>
      </c>
      <c r="AE26">
        <v>1</v>
      </c>
      <c r="AF26" t="s">
        <v>391</v>
      </c>
      <c r="AH26" t="s">
        <v>38</v>
      </c>
      <c r="AI26" t="s">
        <v>97</v>
      </c>
      <c r="AK26">
        <v>3110</v>
      </c>
      <c r="AL26">
        <v>1949</v>
      </c>
    </row>
    <row r="27" spans="1:38">
      <c r="A27" t="s">
        <v>382</v>
      </c>
      <c r="B27" t="s">
        <v>382</v>
      </c>
      <c r="C27" t="s">
        <v>382</v>
      </c>
      <c r="D27" t="s">
        <v>382</v>
      </c>
      <c r="E27" t="s">
        <v>382</v>
      </c>
      <c r="F27" t="s">
        <v>382</v>
      </c>
      <c r="G27" t="s">
        <v>382</v>
      </c>
      <c r="H27" t="s">
        <v>382</v>
      </c>
      <c r="I27" t="s">
        <v>382</v>
      </c>
      <c r="J27" t="s">
        <v>382</v>
      </c>
      <c r="K27" t="s">
        <v>382</v>
      </c>
      <c r="L27" t="s">
        <v>382</v>
      </c>
      <c r="M27" t="s">
        <v>382</v>
      </c>
      <c r="N27" t="s">
        <v>382</v>
      </c>
      <c r="O27" t="s">
        <v>382</v>
      </c>
      <c r="P27" t="s">
        <v>382</v>
      </c>
      <c r="Q27" t="s">
        <v>382</v>
      </c>
      <c r="R27" t="s">
        <v>382</v>
      </c>
      <c r="S27" t="s">
        <v>382</v>
      </c>
      <c r="T27" t="s">
        <v>382</v>
      </c>
      <c r="U27" t="s">
        <v>382</v>
      </c>
      <c r="V27" t="s">
        <v>382</v>
      </c>
      <c r="W27" t="s">
        <v>382</v>
      </c>
      <c r="X27" t="s">
        <v>382</v>
      </c>
      <c r="Y27" t="s">
        <v>382</v>
      </c>
      <c r="Z27" t="s">
        <v>382</v>
      </c>
      <c r="AA27" t="s">
        <v>382</v>
      </c>
      <c r="AB27" t="s">
        <v>382</v>
      </c>
      <c r="AC27">
        <v>5</v>
      </c>
      <c r="AD27">
        <v>1</v>
      </c>
      <c r="AE27">
        <v>1</v>
      </c>
      <c r="AF27" t="s">
        <v>389</v>
      </c>
      <c r="AH27" t="s">
        <v>35</v>
      </c>
      <c r="AI27" t="s">
        <v>97</v>
      </c>
      <c r="AK27">
        <v>1186</v>
      </c>
      <c r="AL27">
        <v>2467</v>
      </c>
    </row>
    <row r="28" spans="1:38">
      <c r="A28" t="s">
        <v>382</v>
      </c>
      <c r="B28" t="s">
        <v>382</v>
      </c>
      <c r="C28" t="s">
        <v>382</v>
      </c>
      <c r="D28" t="s">
        <v>382</v>
      </c>
      <c r="E28" t="s">
        <v>382</v>
      </c>
      <c r="F28" t="s">
        <v>382</v>
      </c>
      <c r="G28" t="s">
        <v>382</v>
      </c>
      <c r="H28" t="s">
        <v>382</v>
      </c>
      <c r="I28" t="s">
        <v>382</v>
      </c>
      <c r="J28" t="s">
        <v>382</v>
      </c>
      <c r="K28" t="s">
        <v>382</v>
      </c>
      <c r="L28" t="s">
        <v>382</v>
      </c>
      <c r="M28" t="s">
        <v>382</v>
      </c>
      <c r="N28" t="s">
        <v>382</v>
      </c>
      <c r="O28" t="s">
        <v>382</v>
      </c>
      <c r="P28" t="s">
        <v>382</v>
      </c>
      <c r="Q28" t="s">
        <v>382</v>
      </c>
      <c r="R28" t="s">
        <v>382</v>
      </c>
      <c r="S28" t="s">
        <v>382</v>
      </c>
      <c r="T28" t="s">
        <v>382</v>
      </c>
      <c r="U28" t="s">
        <v>382</v>
      </c>
      <c r="V28" t="s">
        <v>382</v>
      </c>
      <c r="W28" t="s">
        <v>382</v>
      </c>
      <c r="X28" t="s">
        <v>382</v>
      </c>
      <c r="Y28" t="s">
        <v>382</v>
      </c>
      <c r="Z28" t="s">
        <v>382</v>
      </c>
      <c r="AA28" t="s">
        <v>382</v>
      </c>
      <c r="AB28" t="s">
        <v>382</v>
      </c>
      <c r="AC28">
        <v>5</v>
      </c>
      <c r="AD28">
        <v>2</v>
      </c>
      <c r="AE28">
        <v>1</v>
      </c>
      <c r="AF28" t="s">
        <v>387</v>
      </c>
      <c r="AH28" t="s">
        <v>31</v>
      </c>
      <c r="AI28" t="s">
        <v>97</v>
      </c>
      <c r="AK28">
        <v>3153</v>
      </c>
      <c r="AL28">
        <v>768</v>
      </c>
    </row>
    <row r="29" spans="1:38">
      <c r="A29" t="s">
        <v>382</v>
      </c>
      <c r="B29" t="s">
        <v>382</v>
      </c>
      <c r="C29" t="s">
        <v>382</v>
      </c>
      <c r="D29" t="s">
        <v>382</v>
      </c>
      <c r="E29" t="s">
        <v>382</v>
      </c>
      <c r="F29" t="s">
        <v>382</v>
      </c>
      <c r="G29" t="s">
        <v>382</v>
      </c>
      <c r="H29" t="s">
        <v>382</v>
      </c>
      <c r="I29" t="s">
        <v>382</v>
      </c>
      <c r="J29" t="s">
        <v>382</v>
      </c>
      <c r="K29" t="s">
        <v>382</v>
      </c>
      <c r="L29" t="s">
        <v>382</v>
      </c>
      <c r="M29" t="s">
        <v>382</v>
      </c>
      <c r="N29" t="s">
        <v>382</v>
      </c>
      <c r="O29" t="s">
        <v>382</v>
      </c>
      <c r="P29" t="s">
        <v>382</v>
      </c>
      <c r="Q29" t="s">
        <v>382</v>
      </c>
      <c r="R29" t="s">
        <v>382</v>
      </c>
      <c r="S29" t="s">
        <v>382</v>
      </c>
      <c r="T29" t="s">
        <v>382</v>
      </c>
      <c r="U29" t="s">
        <v>382</v>
      </c>
      <c r="V29" t="s">
        <v>382</v>
      </c>
      <c r="W29" t="s">
        <v>382</v>
      </c>
      <c r="X29" t="s">
        <v>382</v>
      </c>
      <c r="Y29" t="s">
        <v>382</v>
      </c>
      <c r="Z29" t="s">
        <v>382</v>
      </c>
      <c r="AA29" t="s">
        <v>382</v>
      </c>
      <c r="AB29" t="s">
        <v>382</v>
      </c>
      <c r="AC29">
        <v>5</v>
      </c>
      <c r="AD29">
        <v>3</v>
      </c>
      <c r="AE29">
        <v>1</v>
      </c>
      <c r="AF29" t="s">
        <v>387</v>
      </c>
      <c r="AH29" t="s">
        <v>31</v>
      </c>
      <c r="AI29" t="s">
        <v>97</v>
      </c>
      <c r="AK29">
        <v>2896</v>
      </c>
      <c r="AL29">
        <v>746</v>
      </c>
    </row>
    <row r="30" spans="1:38">
      <c r="A30" t="s">
        <v>382</v>
      </c>
      <c r="B30" t="s">
        <v>382</v>
      </c>
      <c r="C30" t="s">
        <v>382</v>
      </c>
      <c r="D30" t="s">
        <v>382</v>
      </c>
      <c r="E30" t="s">
        <v>382</v>
      </c>
      <c r="F30" t="s">
        <v>382</v>
      </c>
      <c r="G30" t="s">
        <v>382</v>
      </c>
      <c r="H30" t="s">
        <v>382</v>
      </c>
      <c r="I30" t="s">
        <v>382</v>
      </c>
      <c r="J30" t="s">
        <v>382</v>
      </c>
      <c r="K30" t="s">
        <v>382</v>
      </c>
      <c r="L30" t="s">
        <v>382</v>
      </c>
      <c r="M30" t="s">
        <v>382</v>
      </c>
      <c r="N30" t="s">
        <v>382</v>
      </c>
      <c r="O30" t="s">
        <v>382</v>
      </c>
      <c r="P30" t="s">
        <v>382</v>
      </c>
      <c r="Q30" t="s">
        <v>382</v>
      </c>
      <c r="R30" t="s">
        <v>382</v>
      </c>
      <c r="S30" t="s">
        <v>382</v>
      </c>
      <c r="T30" t="s">
        <v>382</v>
      </c>
      <c r="U30" t="s">
        <v>382</v>
      </c>
      <c r="V30" t="s">
        <v>382</v>
      </c>
      <c r="W30" t="s">
        <v>382</v>
      </c>
      <c r="X30" t="s">
        <v>382</v>
      </c>
      <c r="Y30" t="s">
        <v>382</v>
      </c>
      <c r="Z30" t="s">
        <v>382</v>
      </c>
      <c r="AA30" t="s">
        <v>382</v>
      </c>
      <c r="AB30" t="s">
        <v>382</v>
      </c>
      <c r="AC30">
        <v>5</v>
      </c>
      <c r="AD30">
        <v>4</v>
      </c>
      <c r="AF30" t="s">
        <v>386</v>
      </c>
      <c r="AH30" t="s">
        <v>29</v>
      </c>
      <c r="AI30" t="s">
        <v>103</v>
      </c>
      <c r="AK30">
        <v>898</v>
      </c>
      <c r="AL30">
        <v>814</v>
      </c>
    </row>
    <row r="31" spans="1:38">
      <c r="A31" t="s">
        <v>382</v>
      </c>
      <c r="B31" t="s">
        <v>382</v>
      </c>
      <c r="C31" t="s">
        <v>382</v>
      </c>
      <c r="D31" t="s">
        <v>382</v>
      </c>
      <c r="E31" t="s">
        <v>382</v>
      </c>
      <c r="F31" t="s">
        <v>382</v>
      </c>
      <c r="G31" t="s">
        <v>382</v>
      </c>
      <c r="H31" t="s">
        <v>382</v>
      </c>
      <c r="I31" t="s">
        <v>382</v>
      </c>
      <c r="J31" t="s">
        <v>382</v>
      </c>
      <c r="K31" t="s">
        <v>382</v>
      </c>
      <c r="L31" t="s">
        <v>382</v>
      </c>
      <c r="M31" t="s">
        <v>382</v>
      </c>
      <c r="N31" t="s">
        <v>382</v>
      </c>
      <c r="O31" t="s">
        <v>382</v>
      </c>
      <c r="P31" t="s">
        <v>382</v>
      </c>
      <c r="Q31" t="s">
        <v>382</v>
      </c>
      <c r="R31" t="s">
        <v>382</v>
      </c>
      <c r="S31" t="s">
        <v>382</v>
      </c>
      <c r="T31" t="s">
        <v>382</v>
      </c>
      <c r="U31" t="s">
        <v>382</v>
      </c>
      <c r="V31" t="s">
        <v>382</v>
      </c>
      <c r="W31" t="s">
        <v>382</v>
      </c>
      <c r="X31" t="s">
        <v>382</v>
      </c>
      <c r="Y31" t="s">
        <v>382</v>
      </c>
      <c r="Z31" t="s">
        <v>382</v>
      </c>
      <c r="AA31" t="s">
        <v>382</v>
      </c>
      <c r="AB31" t="s">
        <v>382</v>
      </c>
      <c r="AC31">
        <v>5</v>
      </c>
      <c r="AD31">
        <v>5</v>
      </c>
      <c r="AF31" t="s">
        <v>386</v>
      </c>
      <c r="AH31" t="s">
        <v>29</v>
      </c>
      <c r="AI31" t="s">
        <v>103</v>
      </c>
      <c r="AK31">
        <v>696</v>
      </c>
      <c r="AL31">
        <v>2229</v>
      </c>
    </row>
    <row r="32" spans="1:38">
      <c r="A32" t="s">
        <v>382</v>
      </c>
      <c r="B32" t="s">
        <v>382</v>
      </c>
      <c r="C32" t="s">
        <v>382</v>
      </c>
      <c r="D32" t="s">
        <v>382</v>
      </c>
      <c r="E32" t="s">
        <v>382</v>
      </c>
      <c r="F32" t="s">
        <v>382</v>
      </c>
      <c r="G32" t="s">
        <v>382</v>
      </c>
      <c r="H32" t="s">
        <v>382</v>
      </c>
      <c r="I32" t="s">
        <v>382</v>
      </c>
      <c r="J32" t="s">
        <v>382</v>
      </c>
      <c r="K32" t="s">
        <v>382</v>
      </c>
      <c r="L32" t="s">
        <v>382</v>
      </c>
      <c r="M32" t="s">
        <v>382</v>
      </c>
      <c r="N32" t="s">
        <v>382</v>
      </c>
      <c r="O32" t="s">
        <v>382</v>
      </c>
      <c r="P32" t="s">
        <v>382</v>
      </c>
      <c r="Q32" t="s">
        <v>382</v>
      </c>
      <c r="R32" t="s">
        <v>382</v>
      </c>
      <c r="S32" t="s">
        <v>382</v>
      </c>
      <c r="T32" t="s">
        <v>382</v>
      </c>
      <c r="U32" t="s">
        <v>382</v>
      </c>
      <c r="V32" t="s">
        <v>382</v>
      </c>
      <c r="W32" t="s">
        <v>382</v>
      </c>
      <c r="X32" t="s">
        <v>382</v>
      </c>
      <c r="Y32" t="s">
        <v>382</v>
      </c>
      <c r="Z32" t="s">
        <v>382</v>
      </c>
      <c r="AA32" t="s">
        <v>382</v>
      </c>
      <c r="AB32" t="s">
        <v>382</v>
      </c>
      <c r="AC32">
        <v>5</v>
      </c>
      <c r="AD32">
        <v>1</v>
      </c>
      <c r="AF32" t="s">
        <v>386</v>
      </c>
      <c r="AH32" t="s">
        <v>29</v>
      </c>
      <c r="AI32" t="s">
        <v>103</v>
      </c>
      <c r="AK32">
        <v>2397</v>
      </c>
      <c r="AL32">
        <v>934</v>
      </c>
    </row>
    <row r="33" spans="1:38">
      <c r="A33" t="s">
        <v>382</v>
      </c>
      <c r="B33" t="s">
        <v>382</v>
      </c>
      <c r="C33" t="s">
        <v>382</v>
      </c>
      <c r="D33" t="s">
        <v>382</v>
      </c>
      <c r="E33" t="s">
        <v>382</v>
      </c>
      <c r="F33" t="s">
        <v>382</v>
      </c>
      <c r="G33" t="s">
        <v>382</v>
      </c>
      <c r="H33" t="s">
        <v>382</v>
      </c>
      <c r="I33" t="s">
        <v>382</v>
      </c>
      <c r="J33" t="s">
        <v>382</v>
      </c>
      <c r="K33" t="s">
        <v>382</v>
      </c>
      <c r="L33" t="s">
        <v>382</v>
      </c>
      <c r="M33" t="s">
        <v>382</v>
      </c>
      <c r="N33" t="s">
        <v>382</v>
      </c>
      <c r="O33" t="s">
        <v>382</v>
      </c>
      <c r="P33" t="s">
        <v>382</v>
      </c>
      <c r="Q33" t="s">
        <v>382</v>
      </c>
      <c r="R33" t="s">
        <v>382</v>
      </c>
      <c r="S33" t="s">
        <v>382</v>
      </c>
      <c r="T33" t="s">
        <v>382</v>
      </c>
      <c r="U33" t="s">
        <v>382</v>
      </c>
      <c r="V33" t="s">
        <v>382</v>
      </c>
      <c r="W33" t="s">
        <v>382</v>
      </c>
      <c r="X33" t="s">
        <v>382</v>
      </c>
      <c r="Y33" t="s">
        <v>382</v>
      </c>
      <c r="Z33" t="s">
        <v>382</v>
      </c>
      <c r="AA33" t="s">
        <v>382</v>
      </c>
      <c r="AB33" t="s">
        <v>382</v>
      </c>
      <c r="AC33">
        <v>5</v>
      </c>
      <c r="AD33">
        <v>2</v>
      </c>
      <c r="AF33" t="s">
        <v>385</v>
      </c>
      <c r="AH33" t="s">
        <v>27</v>
      </c>
      <c r="AI33" t="s">
        <v>109</v>
      </c>
      <c r="AK33">
        <v>1489</v>
      </c>
      <c r="AL33">
        <v>490</v>
      </c>
    </row>
    <row r="34" spans="1:38">
      <c r="A34" t="s">
        <v>382</v>
      </c>
      <c r="B34" t="s">
        <v>382</v>
      </c>
      <c r="C34" t="s">
        <v>382</v>
      </c>
      <c r="D34" t="s">
        <v>382</v>
      </c>
      <c r="E34" t="s">
        <v>382</v>
      </c>
      <c r="F34" t="s">
        <v>382</v>
      </c>
      <c r="G34" t="s">
        <v>382</v>
      </c>
      <c r="H34" t="s">
        <v>382</v>
      </c>
      <c r="I34" t="s">
        <v>382</v>
      </c>
      <c r="J34" t="s">
        <v>382</v>
      </c>
      <c r="K34" t="s">
        <v>382</v>
      </c>
      <c r="L34" t="s">
        <v>382</v>
      </c>
      <c r="M34" t="s">
        <v>382</v>
      </c>
      <c r="N34" t="s">
        <v>382</v>
      </c>
      <c r="O34" t="s">
        <v>382</v>
      </c>
      <c r="P34" t="s">
        <v>382</v>
      </c>
      <c r="Q34" t="s">
        <v>382</v>
      </c>
      <c r="R34" t="s">
        <v>382</v>
      </c>
      <c r="S34" t="s">
        <v>382</v>
      </c>
      <c r="T34" t="s">
        <v>382</v>
      </c>
      <c r="U34" t="s">
        <v>382</v>
      </c>
      <c r="V34" t="s">
        <v>382</v>
      </c>
      <c r="W34" t="s">
        <v>382</v>
      </c>
      <c r="X34" t="s">
        <v>382</v>
      </c>
      <c r="Y34" t="s">
        <v>382</v>
      </c>
      <c r="Z34" t="s">
        <v>382</v>
      </c>
      <c r="AA34" t="s">
        <v>382</v>
      </c>
      <c r="AB34" t="s">
        <v>382</v>
      </c>
      <c r="AC34">
        <v>5</v>
      </c>
      <c r="AD34">
        <v>3</v>
      </c>
      <c r="AF34" t="s">
        <v>386</v>
      </c>
      <c r="AH34" t="s">
        <v>29</v>
      </c>
      <c r="AI34" t="s">
        <v>103</v>
      </c>
      <c r="AK34">
        <v>714</v>
      </c>
      <c r="AL34">
        <v>2203</v>
      </c>
    </row>
    <row r="35" spans="1:38">
      <c r="A35" t="s">
        <v>382</v>
      </c>
      <c r="B35" t="s">
        <v>382</v>
      </c>
      <c r="C35" t="s">
        <v>382</v>
      </c>
      <c r="D35" t="s">
        <v>382</v>
      </c>
      <c r="E35" t="s">
        <v>382</v>
      </c>
      <c r="F35" t="s">
        <v>382</v>
      </c>
      <c r="G35" t="s">
        <v>382</v>
      </c>
      <c r="H35" t="s">
        <v>382</v>
      </c>
      <c r="I35" t="s">
        <v>382</v>
      </c>
      <c r="J35" t="s">
        <v>382</v>
      </c>
      <c r="K35" t="s">
        <v>382</v>
      </c>
      <c r="L35" t="s">
        <v>382</v>
      </c>
      <c r="M35" t="s">
        <v>382</v>
      </c>
      <c r="N35" t="s">
        <v>382</v>
      </c>
      <c r="O35" t="s">
        <v>382</v>
      </c>
      <c r="P35" t="s">
        <v>382</v>
      </c>
      <c r="Q35" t="s">
        <v>382</v>
      </c>
      <c r="R35" t="s">
        <v>382</v>
      </c>
      <c r="S35" t="s">
        <v>382</v>
      </c>
      <c r="T35" t="s">
        <v>382</v>
      </c>
      <c r="U35" t="s">
        <v>382</v>
      </c>
      <c r="V35" t="s">
        <v>382</v>
      </c>
      <c r="W35" t="s">
        <v>382</v>
      </c>
      <c r="X35" t="s">
        <v>382</v>
      </c>
      <c r="Y35" t="s">
        <v>382</v>
      </c>
      <c r="Z35" t="s">
        <v>382</v>
      </c>
      <c r="AA35" t="s">
        <v>382</v>
      </c>
      <c r="AB35" t="s">
        <v>382</v>
      </c>
      <c r="AC35">
        <v>5</v>
      </c>
      <c r="AD35">
        <v>4</v>
      </c>
      <c r="AF35" t="s">
        <v>392</v>
      </c>
      <c r="AH35" t="s">
        <v>41</v>
      </c>
      <c r="AI35" t="s">
        <v>102</v>
      </c>
      <c r="AK35">
        <v>2189</v>
      </c>
      <c r="AL35">
        <v>72</v>
      </c>
    </row>
    <row r="36" spans="1:38">
      <c r="A36" t="s">
        <v>382</v>
      </c>
      <c r="B36" t="s">
        <v>382</v>
      </c>
      <c r="C36" t="s">
        <v>382</v>
      </c>
      <c r="D36" t="s">
        <v>382</v>
      </c>
      <c r="E36" t="s">
        <v>382</v>
      </c>
      <c r="F36" t="s">
        <v>382</v>
      </c>
      <c r="G36" t="s">
        <v>382</v>
      </c>
      <c r="H36" t="s">
        <v>382</v>
      </c>
      <c r="I36" t="s">
        <v>382</v>
      </c>
      <c r="J36" t="s">
        <v>382</v>
      </c>
      <c r="K36" t="s">
        <v>382</v>
      </c>
      <c r="L36" t="s">
        <v>382</v>
      </c>
      <c r="M36" t="s">
        <v>382</v>
      </c>
      <c r="N36" t="s">
        <v>382</v>
      </c>
      <c r="O36" t="s">
        <v>382</v>
      </c>
      <c r="P36" t="s">
        <v>382</v>
      </c>
      <c r="Q36" t="s">
        <v>382</v>
      </c>
      <c r="R36" t="s">
        <v>382</v>
      </c>
      <c r="S36" t="s">
        <v>382</v>
      </c>
      <c r="T36" t="s">
        <v>382</v>
      </c>
      <c r="U36" t="s">
        <v>382</v>
      </c>
      <c r="V36" t="s">
        <v>382</v>
      </c>
      <c r="W36" t="s">
        <v>382</v>
      </c>
      <c r="X36" t="s">
        <v>382</v>
      </c>
      <c r="Y36" t="s">
        <v>382</v>
      </c>
      <c r="Z36" t="s">
        <v>382</v>
      </c>
      <c r="AA36" t="s">
        <v>382</v>
      </c>
      <c r="AB36" t="s">
        <v>382</v>
      </c>
      <c r="AC36">
        <v>5</v>
      </c>
      <c r="AD36">
        <v>5</v>
      </c>
      <c r="AE36">
        <v>1</v>
      </c>
      <c r="AF36" t="s">
        <v>389</v>
      </c>
      <c r="AH36" t="s">
        <v>35</v>
      </c>
      <c r="AI36" t="s">
        <v>97</v>
      </c>
      <c r="AK36">
        <v>1581</v>
      </c>
      <c r="AL36">
        <v>2262</v>
      </c>
    </row>
    <row r="37" spans="1:38">
      <c r="A37" t="s">
        <v>382</v>
      </c>
      <c r="B37" t="s">
        <v>382</v>
      </c>
      <c r="C37" t="s">
        <v>382</v>
      </c>
      <c r="D37" t="s">
        <v>382</v>
      </c>
      <c r="E37" t="s">
        <v>382</v>
      </c>
      <c r="F37" t="s">
        <v>382</v>
      </c>
      <c r="G37" t="s">
        <v>382</v>
      </c>
      <c r="H37" t="s">
        <v>382</v>
      </c>
      <c r="I37" t="s">
        <v>382</v>
      </c>
      <c r="J37" t="s">
        <v>382</v>
      </c>
      <c r="K37" t="s">
        <v>382</v>
      </c>
      <c r="L37" t="s">
        <v>382</v>
      </c>
      <c r="M37" t="s">
        <v>382</v>
      </c>
      <c r="N37" t="s">
        <v>382</v>
      </c>
      <c r="O37" t="s">
        <v>382</v>
      </c>
      <c r="P37" t="s">
        <v>382</v>
      </c>
      <c r="Q37" t="s">
        <v>382</v>
      </c>
      <c r="R37" t="s">
        <v>382</v>
      </c>
      <c r="S37" t="s">
        <v>382</v>
      </c>
      <c r="T37" t="s">
        <v>382</v>
      </c>
      <c r="U37" t="s">
        <v>382</v>
      </c>
      <c r="V37" t="s">
        <v>382</v>
      </c>
      <c r="W37" t="s">
        <v>382</v>
      </c>
      <c r="X37" t="s">
        <v>382</v>
      </c>
      <c r="Y37" t="s">
        <v>382</v>
      </c>
      <c r="Z37" t="s">
        <v>382</v>
      </c>
      <c r="AA37" t="s">
        <v>382</v>
      </c>
      <c r="AB37" t="s">
        <v>382</v>
      </c>
      <c r="AC37">
        <v>5</v>
      </c>
      <c r="AD37">
        <v>1</v>
      </c>
      <c r="AF37" t="s">
        <v>386</v>
      </c>
      <c r="AH37" t="s">
        <v>29</v>
      </c>
      <c r="AI37" t="s">
        <v>103</v>
      </c>
      <c r="AK37">
        <v>1506</v>
      </c>
      <c r="AL37">
        <v>1696</v>
      </c>
    </row>
    <row r="38" spans="1:38">
      <c r="A38" t="s">
        <v>382</v>
      </c>
      <c r="B38" t="s">
        <v>382</v>
      </c>
      <c r="C38" t="s">
        <v>382</v>
      </c>
      <c r="D38" t="s">
        <v>382</v>
      </c>
      <c r="E38" t="s">
        <v>382</v>
      </c>
      <c r="F38" t="s">
        <v>382</v>
      </c>
      <c r="G38" t="s">
        <v>382</v>
      </c>
      <c r="H38" t="s">
        <v>382</v>
      </c>
      <c r="I38" t="s">
        <v>382</v>
      </c>
      <c r="J38" t="s">
        <v>382</v>
      </c>
      <c r="K38" t="s">
        <v>382</v>
      </c>
      <c r="L38" t="s">
        <v>382</v>
      </c>
      <c r="M38" t="s">
        <v>382</v>
      </c>
      <c r="N38" t="s">
        <v>382</v>
      </c>
      <c r="O38" t="s">
        <v>382</v>
      </c>
      <c r="P38" t="s">
        <v>382</v>
      </c>
      <c r="Q38" t="s">
        <v>382</v>
      </c>
      <c r="R38" t="s">
        <v>382</v>
      </c>
      <c r="S38" t="s">
        <v>382</v>
      </c>
      <c r="T38" t="s">
        <v>382</v>
      </c>
      <c r="U38" t="s">
        <v>382</v>
      </c>
      <c r="V38" t="s">
        <v>382</v>
      </c>
      <c r="W38" t="s">
        <v>382</v>
      </c>
      <c r="X38" t="s">
        <v>382</v>
      </c>
      <c r="Y38" t="s">
        <v>382</v>
      </c>
      <c r="Z38" t="s">
        <v>382</v>
      </c>
      <c r="AA38" t="s">
        <v>382</v>
      </c>
      <c r="AB38" t="s">
        <v>382</v>
      </c>
      <c r="AC38">
        <v>5</v>
      </c>
      <c r="AD38">
        <v>2</v>
      </c>
      <c r="AF38" t="s">
        <v>385</v>
      </c>
      <c r="AH38" t="s">
        <v>27</v>
      </c>
      <c r="AI38" t="s">
        <v>109</v>
      </c>
      <c r="AK38">
        <v>988</v>
      </c>
      <c r="AL38">
        <v>703</v>
      </c>
    </row>
    <row r="39" spans="1:38">
      <c r="A39" t="s">
        <v>382</v>
      </c>
      <c r="B39" t="s">
        <v>382</v>
      </c>
      <c r="C39" t="s">
        <v>382</v>
      </c>
      <c r="D39" t="s">
        <v>382</v>
      </c>
      <c r="E39" t="s">
        <v>382</v>
      </c>
      <c r="F39" t="s">
        <v>382</v>
      </c>
      <c r="G39" t="s">
        <v>382</v>
      </c>
      <c r="H39" t="s">
        <v>382</v>
      </c>
      <c r="I39" t="s">
        <v>382</v>
      </c>
      <c r="J39" t="s">
        <v>382</v>
      </c>
      <c r="K39" t="s">
        <v>382</v>
      </c>
      <c r="L39" t="s">
        <v>382</v>
      </c>
      <c r="M39" t="s">
        <v>382</v>
      </c>
      <c r="N39" t="s">
        <v>382</v>
      </c>
      <c r="O39" t="s">
        <v>382</v>
      </c>
      <c r="P39" t="s">
        <v>382</v>
      </c>
      <c r="Q39" t="s">
        <v>382</v>
      </c>
      <c r="R39" t="s">
        <v>382</v>
      </c>
      <c r="S39" t="s">
        <v>382</v>
      </c>
      <c r="T39" t="s">
        <v>382</v>
      </c>
      <c r="U39" t="s">
        <v>382</v>
      </c>
      <c r="V39" t="s">
        <v>382</v>
      </c>
      <c r="W39" t="s">
        <v>382</v>
      </c>
      <c r="X39" t="s">
        <v>382</v>
      </c>
      <c r="Y39" t="s">
        <v>382</v>
      </c>
      <c r="Z39" t="s">
        <v>382</v>
      </c>
      <c r="AA39" t="s">
        <v>382</v>
      </c>
      <c r="AB39" t="s">
        <v>382</v>
      </c>
      <c r="AC39">
        <v>5</v>
      </c>
      <c r="AD39">
        <v>3</v>
      </c>
      <c r="AE39">
        <v>1</v>
      </c>
      <c r="AF39" t="s">
        <v>389</v>
      </c>
      <c r="AH39" t="s">
        <v>35</v>
      </c>
      <c r="AI39" t="s">
        <v>97</v>
      </c>
      <c r="AK39">
        <v>3299</v>
      </c>
      <c r="AL39">
        <v>1062</v>
      </c>
    </row>
    <row r="40" spans="1:38">
      <c r="A40" t="s">
        <v>382</v>
      </c>
      <c r="B40" t="s">
        <v>382</v>
      </c>
      <c r="C40" t="s">
        <v>382</v>
      </c>
      <c r="D40" t="s">
        <v>382</v>
      </c>
      <c r="E40" t="s">
        <v>382</v>
      </c>
      <c r="F40" t="s">
        <v>382</v>
      </c>
      <c r="G40" t="s">
        <v>382</v>
      </c>
      <c r="H40" t="s">
        <v>382</v>
      </c>
      <c r="I40" t="s">
        <v>382</v>
      </c>
      <c r="J40" t="s">
        <v>382</v>
      </c>
      <c r="K40" t="s">
        <v>382</v>
      </c>
      <c r="L40" t="s">
        <v>382</v>
      </c>
      <c r="M40" t="s">
        <v>382</v>
      </c>
      <c r="N40" t="s">
        <v>382</v>
      </c>
      <c r="O40" t="s">
        <v>382</v>
      </c>
      <c r="P40" t="s">
        <v>382</v>
      </c>
      <c r="Q40" t="s">
        <v>382</v>
      </c>
      <c r="R40" t="s">
        <v>382</v>
      </c>
      <c r="S40" t="s">
        <v>382</v>
      </c>
      <c r="T40" t="s">
        <v>382</v>
      </c>
      <c r="U40" t="s">
        <v>382</v>
      </c>
      <c r="V40" t="s">
        <v>382</v>
      </c>
      <c r="W40" t="s">
        <v>382</v>
      </c>
      <c r="X40" t="s">
        <v>382</v>
      </c>
      <c r="Y40" t="s">
        <v>382</v>
      </c>
      <c r="Z40" t="s">
        <v>382</v>
      </c>
      <c r="AA40" t="s">
        <v>382</v>
      </c>
      <c r="AB40" t="s">
        <v>382</v>
      </c>
      <c r="AC40">
        <v>5</v>
      </c>
      <c r="AD40">
        <v>4</v>
      </c>
      <c r="AF40" t="s">
        <v>385</v>
      </c>
      <c r="AH40" t="s">
        <v>27</v>
      </c>
      <c r="AI40" t="s">
        <v>109</v>
      </c>
      <c r="AK40">
        <v>2513</v>
      </c>
      <c r="AL40">
        <v>1672</v>
      </c>
    </row>
    <row r="41" spans="1:38">
      <c r="A41" t="s">
        <v>382</v>
      </c>
      <c r="B41" t="s">
        <v>382</v>
      </c>
      <c r="C41" t="s">
        <v>382</v>
      </c>
      <c r="D41" t="s">
        <v>382</v>
      </c>
      <c r="E41" t="s">
        <v>382</v>
      </c>
      <c r="F41" t="s">
        <v>382</v>
      </c>
      <c r="G41" t="s">
        <v>382</v>
      </c>
      <c r="H41" t="s">
        <v>382</v>
      </c>
      <c r="I41" t="s">
        <v>382</v>
      </c>
      <c r="J41" t="s">
        <v>382</v>
      </c>
      <c r="K41" t="s">
        <v>382</v>
      </c>
      <c r="L41" t="s">
        <v>382</v>
      </c>
      <c r="M41" t="s">
        <v>382</v>
      </c>
      <c r="N41" t="s">
        <v>382</v>
      </c>
      <c r="O41" t="s">
        <v>382</v>
      </c>
      <c r="P41" t="s">
        <v>382</v>
      </c>
      <c r="Q41" t="s">
        <v>382</v>
      </c>
      <c r="R41" t="s">
        <v>382</v>
      </c>
      <c r="S41" t="s">
        <v>382</v>
      </c>
      <c r="T41" t="s">
        <v>382</v>
      </c>
      <c r="U41" t="s">
        <v>382</v>
      </c>
      <c r="V41" t="s">
        <v>382</v>
      </c>
      <c r="W41" t="s">
        <v>382</v>
      </c>
      <c r="X41" t="s">
        <v>382</v>
      </c>
      <c r="Y41" t="s">
        <v>382</v>
      </c>
      <c r="Z41" t="s">
        <v>382</v>
      </c>
      <c r="AA41" t="s">
        <v>382</v>
      </c>
      <c r="AB41" t="s">
        <v>382</v>
      </c>
      <c r="AC41">
        <v>5</v>
      </c>
      <c r="AD41">
        <v>5</v>
      </c>
      <c r="AF41" t="s">
        <v>288</v>
      </c>
      <c r="AH41" t="s">
        <v>288</v>
      </c>
      <c r="AI41" t="s">
        <v>110</v>
      </c>
      <c r="AK41">
        <v>1597</v>
      </c>
      <c r="AL41">
        <v>537</v>
      </c>
    </row>
    <row r="42" spans="1:38">
      <c r="A42" t="s">
        <v>382</v>
      </c>
      <c r="B42" t="s">
        <v>382</v>
      </c>
      <c r="C42" t="s">
        <v>382</v>
      </c>
      <c r="D42" t="s">
        <v>382</v>
      </c>
      <c r="E42" t="s">
        <v>382</v>
      </c>
      <c r="F42" t="s">
        <v>382</v>
      </c>
      <c r="G42" t="s">
        <v>382</v>
      </c>
      <c r="H42" t="s">
        <v>382</v>
      </c>
      <c r="I42" t="s">
        <v>382</v>
      </c>
      <c r="J42" t="s">
        <v>382</v>
      </c>
      <c r="K42" t="s">
        <v>382</v>
      </c>
      <c r="L42" t="s">
        <v>382</v>
      </c>
      <c r="M42" t="s">
        <v>382</v>
      </c>
      <c r="N42" t="s">
        <v>382</v>
      </c>
      <c r="O42" t="s">
        <v>382</v>
      </c>
      <c r="P42" t="s">
        <v>382</v>
      </c>
      <c r="Q42" t="s">
        <v>382</v>
      </c>
      <c r="R42" t="s">
        <v>382</v>
      </c>
      <c r="S42" t="s">
        <v>382</v>
      </c>
      <c r="T42" t="s">
        <v>382</v>
      </c>
      <c r="U42" t="s">
        <v>382</v>
      </c>
      <c r="V42" t="s">
        <v>382</v>
      </c>
      <c r="W42" t="s">
        <v>382</v>
      </c>
      <c r="X42" t="s">
        <v>382</v>
      </c>
      <c r="Y42" t="s">
        <v>382</v>
      </c>
      <c r="Z42" t="s">
        <v>382</v>
      </c>
      <c r="AA42" t="s">
        <v>382</v>
      </c>
      <c r="AB42" t="s">
        <v>382</v>
      </c>
      <c r="AC42">
        <v>5</v>
      </c>
      <c r="AD42">
        <v>1</v>
      </c>
      <c r="AE42">
        <v>1</v>
      </c>
      <c r="AF42" t="s">
        <v>383</v>
      </c>
      <c r="AH42" t="s">
        <v>22</v>
      </c>
      <c r="AI42" t="s">
        <v>97</v>
      </c>
      <c r="AK42">
        <v>3235</v>
      </c>
      <c r="AL42">
        <v>976</v>
      </c>
    </row>
    <row r="43" spans="1:38">
      <c r="A43" t="s">
        <v>382</v>
      </c>
      <c r="B43" t="s">
        <v>382</v>
      </c>
      <c r="C43" t="s">
        <v>382</v>
      </c>
      <c r="D43" t="s">
        <v>382</v>
      </c>
      <c r="E43" t="s">
        <v>382</v>
      </c>
      <c r="F43" t="s">
        <v>382</v>
      </c>
      <c r="G43" t="s">
        <v>382</v>
      </c>
      <c r="H43" t="s">
        <v>382</v>
      </c>
      <c r="I43" t="s">
        <v>382</v>
      </c>
      <c r="J43" t="s">
        <v>382</v>
      </c>
      <c r="K43" t="s">
        <v>382</v>
      </c>
      <c r="L43" t="s">
        <v>382</v>
      </c>
      <c r="M43" t="s">
        <v>382</v>
      </c>
      <c r="N43" t="s">
        <v>382</v>
      </c>
      <c r="O43" t="s">
        <v>382</v>
      </c>
      <c r="P43" t="s">
        <v>382</v>
      </c>
      <c r="Q43" t="s">
        <v>382</v>
      </c>
      <c r="R43" t="s">
        <v>382</v>
      </c>
      <c r="S43" t="s">
        <v>382</v>
      </c>
      <c r="T43" t="s">
        <v>382</v>
      </c>
      <c r="U43" t="s">
        <v>382</v>
      </c>
      <c r="V43" t="s">
        <v>382</v>
      </c>
      <c r="W43" t="s">
        <v>382</v>
      </c>
      <c r="X43" t="s">
        <v>382</v>
      </c>
      <c r="Y43" t="s">
        <v>382</v>
      </c>
      <c r="Z43" t="s">
        <v>382</v>
      </c>
      <c r="AA43" t="s">
        <v>382</v>
      </c>
      <c r="AB43" t="s">
        <v>382</v>
      </c>
      <c r="AC43">
        <v>5</v>
      </c>
      <c r="AD43">
        <v>2</v>
      </c>
      <c r="AE43">
        <v>1</v>
      </c>
      <c r="AF43" t="s">
        <v>383</v>
      </c>
      <c r="AH43" t="s">
        <v>22</v>
      </c>
      <c r="AI43" t="s">
        <v>97</v>
      </c>
      <c r="AK43">
        <v>1855</v>
      </c>
      <c r="AL43">
        <v>768</v>
      </c>
    </row>
    <row r="44" spans="1:38">
      <c r="A44" t="s">
        <v>382</v>
      </c>
      <c r="B44" t="s">
        <v>382</v>
      </c>
      <c r="C44" t="s">
        <v>382</v>
      </c>
      <c r="D44" t="s">
        <v>382</v>
      </c>
      <c r="E44" t="s">
        <v>382</v>
      </c>
      <c r="F44" t="s">
        <v>382</v>
      </c>
      <c r="G44" t="s">
        <v>382</v>
      </c>
      <c r="H44" t="s">
        <v>382</v>
      </c>
      <c r="I44" t="s">
        <v>382</v>
      </c>
      <c r="J44" t="s">
        <v>382</v>
      </c>
      <c r="K44" t="s">
        <v>382</v>
      </c>
      <c r="L44" t="s">
        <v>382</v>
      </c>
      <c r="M44" t="s">
        <v>382</v>
      </c>
      <c r="N44" t="s">
        <v>382</v>
      </c>
      <c r="O44" t="s">
        <v>382</v>
      </c>
      <c r="P44" t="s">
        <v>382</v>
      </c>
      <c r="Q44" t="s">
        <v>382</v>
      </c>
      <c r="R44" t="s">
        <v>382</v>
      </c>
      <c r="S44" t="s">
        <v>382</v>
      </c>
      <c r="T44" t="s">
        <v>382</v>
      </c>
      <c r="U44" t="s">
        <v>382</v>
      </c>
      <c r="V44" t="s">
        <v>382</v>
      </c>
      <c r="W44" t="s">
        <v>382</v>
      </c>
      <c r="X44" t="s">
        <v>382</v>
      </c>
      <c r="Y44" t="s">
        <v>382</v>
      </c>
      <c r="Z44" t="s">
        <v>382</v>
      </c>
      <c r="AA44" t="s">
        <v>382</v>
      </c>
      <c r="AB44" t="s">
        <v>382</v>
      </c>
      <c r="AC44">
        <v>5</v>
      </c>
      <c r="AD44">
        <v>3</v>
      </c>
      <c r="AE44">
        <v>1</v>
      </c>
      <c r="AF44" t="s">
        <v>383</v>
      </c>
      <c r="AH44" t="s">
        <v>22</v>
      </c>
      <c r="AI44" t="s">
        <v>97</v>
      </c>
      <c r="AK44">
        <v>2792</v>
      </c>
      <c r="AL44">
        <v>908</v>
      </c>
    </row>
    <row r="45" spans="1:38">
      <c r="A45" t="s">
        <v>382</v>
      </c>
      <c r="B45" t="s">
        <v>382</v>
      </c>
      <c r="C45" t="s">
        <v>382</v>
      </c>
      <c r="D45" t="s">
        <v>382</v>
      </c>
      <c r="E45" t="s">
        <v>382</v>
      </c>
      <c r="F45" t="s">
        <v>382</v>
      </c>
      <c r="G45" t="s">
        <v>382</v>
      </c>
      <c r="H45" t="s">
        <v>382</v>
      </c>
      <c r="I45" t="s">
        <v>382</v>
      </c>
      <c r="J45" t="s">
        <v>382</v>
      </c>
      <c r="K45" t="s">
        <v>382</v>
      </c>
      <c r="L45" t="s">
        <v>382</v>
      </c>
      <c r="M45" t="s">
        <v>382</v>
      </c>
      <c r="N45" t="s">
        <v>382</v>
      </c>
      <c r="O45" t="s">
        <v>382</v>
      </c>
      <c r="P45" t="s">
        <v>382</v>
      </c>
      <c r="Q45" t="s">
        <v>382</v>
      </c>
      <c r="R45" t="s">
        <v>382</v>
      </c>
      <c r="S45" t="s">
        <v>382</v>
      </c>
      <c r="T45" t="s">
        <v>382</v>
      </c>
      <c r="U45" t="s">
        <v>382</v>
      </c>
      <c r="V45" t="s">
        <v>382</v>
      </c>
      <c r="W45" t="s">
        <v>382</v>
      </c>
      <c r="X45" t="s">
        <v>382</v>
      </c>
      <c r="Y45" t="s">
        <v>382</v>
      </c>
      <c r="Z45" t="s">
        <v>382</v>
      </c>
      <c r="AA45" t="s">
        <v>382</v>
      </c>
      <c r="AB45" t="s">
        <v>382</v>
      </c>
      <c r="AC45">
        <v>5</v>
      </c>
      <c r="AD45">
        <v>4</v>
      </c>
      <c r="AF45" t="s">
        <v>386</v>
      </c>
      <c r="AH45" t="s">
        <v>29</v>
      </c>
      <c r="AI45" t="s">
        <v>103</v>
      </c>
      <c r="AK45">
        <v>3287</v>
      </c>
      <c r="AL45">
        <v>1593</v>
      </c>
    </row>
    <row r="46" spans="1:38">
      <c r="A46" t="s">
        <v>382</v>
      </c>
      <c r="B46" t="s">
        <v>382</v>
      </c>
      <c r="C46" t="s">
        <v>382</v>
      </c>
      <c r="D46" t="s">
        <v>382</v>
      </c>
      <c r="E46" t="s">
        <v>382</v>
      </c>
      <c r="F46" t="s">
        <v>382</v>
      </c>
      <c r="G46" t="s">
        <v>382</v>
      </c>
      <c r="H46" t="s">
        <v>382</v>
      </c>
      <c r="I46" t="s">
        <v>382</v>
      </c>
      <c r="J46" t="s">
        <v>382</v>
      </c>
      <c r="K46" t="s">
        <v>382</v>
      </c>
      <c r="L46" t="s">
        <v>382</v>
      </c>
      <c r="M46" t="s">
        <v>382</v>
      </c>
      <c r="N46" t="s">
        <v>382</v>
      </c>
      <c r="O46" t="s">
        <v>382</v>
      </c>
      <c r="P46" t="s">
        <v>382</v>
      </c>
      <c r="Q46" t="s">
        <v>382</v>
      </c>
      <c r="R46" t="s">
        <v>382</v>
      </c>
      <c r="S46" t="s">
        <v>382</v>
      </c>
      <c r="T46" t="s">
        <v>382</v>
      </c>
      <c r="U46" t="s">
        <v>382</v>
      </c>
      <c r="V46" t="s">
        <v>382</v>
      </c>
      <c r="W46" t="s">
        <v>382</v>
      </c>
      <c r="X46" t="s">
        <v>382</v>
      </c>
      <c r="Y46" t="s">
        <v>382</v>
      </c>
      <c r="Z46" t="s">
        <v>382</v>
      </c>
      <c r="AA46" t="s">
        <v>382</v>
      </c>
      <c r="AB46" t="s">
        <v>382</v>
      </c>
      <c r="AC46">
        <v>5</v>
      </c>
      <c r="AD46">
        <v>5</v>
      </c>
      <c r="AE46">
        <v>1</v>
      </c>
      <c r="AF46" t="s">
        <v>383</v>
      </c>
      <c r="AH46" t="s">
        <v>22</v>
      </c>
      <c r="AI46" t="s">
        <v>97</v>
      </c>
      <c r="AK46">
        <v>2069</v>
      </c>
      <c r="AL46">
        <v>2147</v>
      </c>
    </row>
    <row r="47" spans="1:38">
      <c r="A47" t="s">
        <v>382</v>
      </c>
      <c r="B47" t="s">
        <v>382</v>
      </c>
      <c r="C47" t="s">
        <v>382</v>
      </c>
      <c r="D47" t="s">
        <v>382</v>
      </c>
      <c r="E47" t="s">
        <v>382</v>
      </c>
      <c r="F47" t="s">
        <v>382</v>
      </c>
      <c r="G47" t="s">
        <v>382</v>
      </c>
      <c r="H47" t="s">
        <v>382</v>
      </c>
      <c r="I47" t="s">
        <v>382</v>
      </c>
      <c r="J47" t="s">
        <v>382</v>
      </c>
      <c r="K47" t="s">
        <v>382</v>
      </c>
      <c r="L47" t="s">
        <v>382</v>
      </c>
      <c r="M47" t="s">
        <v>382</v>
      </c>
      <c r="N47" t="s">
        <v>382</v>
      </c>
      <c r="O47" t="s">
        <v>382</v>
      </c>
      <c r="P47" t="s">
        <v>382</v>
      </c>
      <c r="Q47" t="s">
        <v>382</v>
      </c>
      <c r="R47" t="s">
        <v>382</v>
      </c>
      <c r="S47" t="s">
        <v>382</v>
      </c>
      <c r="T47" t="s">
        <v>382</v>
      </c>
      <c r="U47" t="s">
        <v>382</v>
      </c>
      <c r="V47" t="s">
        <v>382</v>
      </c>
      <c r="W47" t="s">
        <v>382</v>
      </c>
      <c r="X47" t="s">
        <v>382</v>
      </c>
      <c r="Y47" t="s">
        <v>382</v>
      </c>
      <c r="Z47" t="s">
        <v>382</v>
      </c>
      <c r="AA47" t="s">
        <v>382</v>
      </c>
      <c r="AB47" t="s">
        <v>382</v>
      </c>
      <c r="AC47">
        <v>5</v>
      </c>
      <c r="AD47">
        <v>1</v>
      </c>
      <c r="AF47" t="s">
        <v>385</v>
      </c>
      <c r="AH47" t="s">
        <v>27</v>
      </c>
      <c r="AI47" t="s">
        <v>109</v>
      </c>
      <c r="AK47">
        <v>2340</v>
      </c>
      <c r="AL47">
        <v>414</v>
      </c>
    </row>
    <row r="48" spans="1:38">
      <c r="A48" t="s">
        <v>382</v>
      </c>
      <c r="B48" t="s">
        <v>382</v>
      </c>
      <c r="C48" t="s">
        <v>382</v>
      </c>
      <c r="D48" t="s">
        <v>382</v>
      </c>
      <c r="E48" t="s">
        <v>382</v>
      </c>
      <c r="F48" t="s">
        <v>382</v>
      </c>
      <c r="G48" t="s">
        <v>382</v>
      </c>
      <c r="H48" t="s">
        <v>382</v>
      </c>
      <c r="I48" t="s">
        <v>382</v>
      </c>
      <c r="J48" t="s">
        <v>382</v>
      </c>
      <c r="K48" t="s">
        <v>382</v>
      </c>
      <c r="L48" t="s">
        <v>382</v>
      </c>
      <c r="M48" t="s">
        <v>382</v>
      </c>
      <c r="N48" t="s">
        <v>382</v>
      </c>
      <c r="O48" t="s">
        <v>382</v>
      </c>
      <c r="P48" t="s">
        <v>382</v>
      </c>
      <c r="Q48" t="s">
        <v>382</v>
      </c>
      <c r="R48" t="s">
        <v>382</v>
      </c>
      <c r="S48" t="s">
        <v>382</v>
      </c>
      <c r="T48" t="s">
        <v>382</v>
      </c>
      <c r="U48" t="s">
        <v>382</v>
      </c>
      <c r="V48" t="s">
        <v>382</v>
      </c>
      <c r="W48" t="s">
        <v>382</v>
      </c>
      <c r="X48" t="s">
        <v>382</v>
      </c>
      <c r="Y48" t="s">
        <v>382</v>
      </c>
      <c r="Z48" t="s">
        <v>382</v>
      </c>
      <c r="AA48" t="s">
        <v>382</v>
      </c>
      <c r="AB48" t="s">
        <v>382</v>
      </c>
      <c r="AC48">
        <v>5</v>
      </c>
      <c r="AD48">
        <v>2</v>
      </c>
      <c r="AF48" t="s">
        <v>385</v>
      </c>
      <c r="AH48" t="s">
        <v>27</v>
      </c>
      <c r="AI48" t="s">
        <v>109</v>
      </c>
      <c r="AK48">
        <v>2614</v>
      </c>
      <c r="AL48">
        <v>230</v>
      </c>
    </row>
    <row r="49" spans="1:38">
      <c r="A49" t="s">
        <v>382</v>
      </c>
      <c r="B49" t="s">
        <v>382</v>
      </c>
      <c r="C49" t="s">
        <v>382</v>
      </c>
      <c r="D49" t="s">
        <v>382</v>
      </c>
      <c r="E49" t="s">
        <v>382</v>
      </c>
      <c r="F49" t="s">
        <v>382</v>
      </c>
      <c r="G49" t="s">
        <v>382</v>
      </c>
      <c r="H49" t="s">
        <v>382</v>
      </c>
      <c r="I49" t="s">
        <v>382</v>
      </c>
      <c r="J49" t="s">
        <v>382</v>
      </c>
      <c r="K49" t="s">
        <v>382</v>
      </c>
      <c r="L49" t="s">
        <v>382</v>
      </c>
      <c r="M49" t="s">
        <v>382</v>
      </c>
      <c r="N49" t="s">
        <v>382</v>
      </c>
      <c r="O49" t="s">
        <v>382</v>
      </c>
      <c r="P49" t="s">
        <v>382</v>
      </c>
      <c r="Q49" t="s">
        <v>382</v>
      </c>
      <c r="R49" t="s">
        <v>382</v>
      </c>
      <c r="S49" t="s">
        <v>382</v>
      </c>
      <c r="T49" t="s">
        <v>382</v>
      </c>
      <c r="U49" t="s">
        <v>382</v>
      </c>
      <c r="V49" t="s">
        <v>382</v>
      </c>
      <c r="W49" t="s">
        <v>382</v>
      </c>
      <c r="X49" t="s">
        <v>382</v>
      </c>
      <c r="Y49" t="s">
        <v>382</v>
      </c>
      <c r="Z49" t="s">
        <v>382</v>
      </c>
      <c r="AA49" t="s">
        <v>382</v>
      </c>
      <c r="AB49" t="s">
        <v>382</v>
      </c>
      <c r="AC49">
        <v>5</v>
      </c>
      <c r="AD49">
        <v>3</v>
      </c>
      <c r="AE49">
        <v>1</v>
      </c>
      <c r="AF49" t="s">
        <v>389</v>
      </c>
      <c r="AH49" t="s">
        <v>35</v>
      </c>
      <c r="AI49" t="s">
        <v>97</v>
      </c>
      <c r="AK49">
        <v>1274</v>
      </c>
      <c r="AL49">
        <v>1468</v>
      </c>
    </row>
    <row r="50" spans="1:38">
      <c r="A50" t="s">
        <v>382</v>
      </c>
      <c r="B50" t="s">
        <v>382</v>
      </c>
      <c r="C50" t="s">
        <v>382</v>
      </c>
      <c r="D50" t="s">
        <v>382</v>
      </c>
      <c r="E50" t="s">
        <v>382</v>
      </c>
      <c r="F50" t="s">
        <v>382</v>
      </c>
      <c r="G50" t="s">
        <v>382</v>
      </c>
      <c r="H50" t="s">
        <v>382</v>
      </c>
      <c r="I50" t="s">
        <v>382</v>
      </c>
      <c r="J50" t="s">
        <v>382</v>
      </c>
      <c r="K50" t="s">
        <v>382</v>
      </c>
      <c r="L50" t="s">
        <v>382</v>
      </c>
      <c r="M50" t="s">
        <v>382</v>
      </c>
      <c r="N50" t="s">
        <v>382</v>
      </c>
      <c r="O50" t="s">
        <v>382</v>
      </c>
      <c r="P50" t="s">
        <v>382</v>
      </c>
      <c r="Q50" t="s">
        <v>382</v>
      </c>
      <c r="R50" t="s">
        <v>382</v>
      </c>
      <c r="S50" t="s">
        <v>382</v>
      </c>
      <c r="T50" t="s">
        <v>382</v>
      </c>
      <c r="U50" t="s">
        <v>382</v>
      </c>
      <c r="V50" t="s">
        <v>382</v>
      </c>
      <c r="W50" t="s">
        <v>382</v>
      </c>
      <c r="X50" t="s">
        <v>382</v>
      </c>
      <c r="Y50" t="s">
        <v>382</v>
      </c>
      <c r="Z50" t="s">
        <v>382</v>
      </c>
      <c r="AA50" t="s">
        <v>382</v>
      </c>
      <c r="AB50" t="s">
        <v>382</v>
      </c>
      <c r="AC50">
        <v>5</v>
      </c>
      <c r="AD50">
        <v>4</v>
      </c>
      <c r="AF50" t="s">
        <v>386</v>
      </c>
      <c r="AH50" t="s">
        <v>29</v>
      </c>
      <c r="AI50" t="s">
        <v>103</v>
      </c>
      <c r="AK50">
        <v>2468</v>
      </c>
      <c r="AL50">
        <v>592</v>
      </c>
    </row>
    <row r="51" spans="1:38">
      <c r="A51" t="s">
        <v>382</v>
      </c>
      <c r="B51" t="s">
        <v>382</v>
      </c>
      <c r="C51" t="s">
        <v>382</v>
      </c>
      <c r="D51" t="s">
        <v>382</v>
      </c>
      <c r="E51" t="s">
        <v>382</v>
      </c>
      <c r="F51" t="s">
        <v>382</v>
      </c>
      <c r="G51" t="s">
        <v>382</v>
      </c>
      <c r="H51" t="s">
        <v>382</v>
      </c>
      <c r="I51" t="s">
        <v>382</v>
      </c>
      <c r="J51" t="s">
        <v>382</v>
      </c>
      <c r="K51" t="s">
        <v>382</v>
      </c>
      <c r="L51" t="s">
        <v>382</v>
      </c>
      <c r="M51" t="s">
        <v>382</v>
      </c>
      <c r="N51" t="s">
        <v>382</v>
      </c>
      <c r="O51" t="s">
        <v>382</v>
      </c>
      <c r="P51" t="s">
        <v>382</v>
      </c>
      <c r="Q51" t="s">
        <v>382</v>
      </c>
      <c r="R51" t="s">
        <v>382</v>
      </c>
      <c r="S51" t="s">
        <v>382</v>
      </c>
      <c r="T51" t="s">
        <v>382</v>
      </c>
      <c r="U51" t="s">
        <v>382</v>
      </c>
      <c r="V51" t="s">
        <v>382</v>
      </c>
      <c r="W51" t="s">
        <v>382</v>
      </c>
      <c r="X51" t="s">
        <v>382</v>
      </c>
      <c r="Y51" t="s">
        <v>382</v>
      </c>
      <c r="Z51" t="s">
        <v>382</v>
      </c>
      <c r="AA51" t="s">
        <v>382</v>
      </c>
      <c r="AB51" t="s">
        <v>382</v>
      </c>
      <c r="AC51">
        <v>5</v>
      </c>
      <c r="AD51">
        <v>5</v>
      </c>
      <c r="AE51">
        <v>1</v>
      </c>
      <c r="AF51" t="s">
        <v>389</v>
      </c>
      <c r="AH51" t="s">
        <v>35</v>
      </c>
      <c r="AI51" t="s">
        <v>97</v>
      </c>
      <c r="AK51">
        <v>854</v>
      </c>
      <c r="AL51">
        <v>2121</v>
      </c>
    </row>
    <row r="52" spans="1:38">
      <c r="A52" t="s">
        <v>382</v>
      </c>
      <c r="B52" t="s">
        <v>382</v>
      </c>
      <c r="C52" t="s">
        <v>382</v>
      </c>
      <c r="D52" t="s">
        <v>382</v>
      </c>
      <c r="E52" t="s">
        <v>382</v>
      </c>
      <c r="F52" t="s">
        <v>382</v>
      </c>
      <c r="G52" t="s">
        <v>382</v>
      </c>
      <c r="H52" t="s">
        <v>382</v>
      </c>
      <c r="I52" t="s">
        <v>382</v>
      </c>
      <c r="J52" t="s">
        <v>382</v>
      </c>
      <c r="K52" t="s">
        <v>382</v>
      </c>
      <c r="L52" t="s">
        <v>382</v>
      </c>
      <c r="M52" t="s">
        <v>382</v>
      </c>
      <c r="N52" t="s">
        <v>382</v>
      </c>
      <c r="O52" t="s">
        <v>382</v>
      </c>
      <c r="P52" t="s">
        <v>382</v>
      </c>
      <c r="Q52" t="s">
        <v>382</v>
      </c>
      <c r="R52" t="s">
        <v>382</v>
      </c>
      <c r="S52" t="s">
        <v>382</v>
      </c>
      <c r="T52" t="s">
        <v>382</v>
      </c>
      <c r="U52" t="s">
        <v>382</v>
      </c>
      <c r="V52" t="s">
        <v>382</v>
      </c>
      <c r="W52" t="s">
        <v>382</v>
      </c>
      <c r="X52" t="s">
        <v>382</v>
      </c>
      <c r="Y52" t="s">
        <v>382</v>
      </c>
      <c r="Z52" t="s">
        <v>382</v>
      </c>
      <c r="AA52" t="s">
        <v>382</v>
      </c>
      <c r="AB52" t="s">
        <v>382</v>
      </c>
      <c r="AC52">
        <v>5</v>
      </c>
      <c r="AD52">
        <v>1</v>
      </c>
      <c r="AE52">
        <v>1</v>
      </c>
      <c r="AF52" t="s">
        <v>387</v>
      </c>
      <c r="AH52" t="s">
        <v>31</v>
      </c>
      <c r="AI52" t="s">
        <v>97</v>
      </c>
      <c r="AK52">
        <v>1052</v>
      </c>
      <c r="AL52">
        <v>2355</v>
      </c>
    </row>
    <row r="53" spans="1:38">
      <c r="A53" t="s">
        <v>382</v>
      </c>
      <c r="B53" t="s">
        <v>382</v>
      </c>
      <c r="C53" t="s">
        <v>382</v>
      </c>
      <c r="D53" t="s">
        <v>382</v>
      </c>
      <c r="E53" t="s">
        <v>382</v>
      </c>
      <c r="F53" t="s">
        <v>382</v>
      </c>
      <c r="G53" t="s">
        <v>382</v>
      </c>
      <c r="H53" t="s">
        <v>382</v>
      </c>
      <c r="I53" t="s">
        <v>382</v>
      </c>
      <c r="J53" t="s">
        <v>382</v>
      </c>
      <c r="K53" t="s">
        <v>382</v>
      </c>
      <c r="L53" t="s">
        <v>382</v>
      </c>
      <c r="M53" t="s">
        <v>382</v>
      </c>
      <c r="N53" t="s">
        <v>382</v>
      </c>
      <c r="O53" t="s">
        <v>382</v>
      </c>
      <c r="P53" t="s">
        <v>382</v>
      </c>
      <c r="Q53" t="s">
        <v>382</v>
      </c>
      <c r="R53" t="s">
        <v>382</v>
      </c>
      <c r="S53" t="s">
        <v>382</v>
      </c>
      <c r="T53" t="s">
        <v>382</v>
      </c>
      <c r="U53" t="s">
        <v>382</v>
      </c>
      <c r="V53" t="s">
        <v>382</v>
      </c>
      <c r="W53" t="s">
        <v>382</v>
      </c>
      <c r="X53" t="s">
        <v>382</v>
      </c>
      <c r="Y53" t="s">
        <v>382</v>
      </c>
      <c r="Z53" t="s">
        <v>382</v>
      </c>
      <c r="AA53" t="s">
        <v>382</v>
      </c>
      <c r="AB53" t="s">
        <v>382</v>
      </c>
      <c r="AC53">
        <v>5</v>
      </c>
      <c r="AD53">
        <v>2</v>
      </c>
      <c r="AE53">
        <v>1</v>
      </c>
      <c r="AF53" t="s">
        <v>387</v>
      </c>
      <c r="AH53" t="s">
        <v>31</v>
      </c>
      <c r="AI53" t="s">
        <v>97</v>
      </c>
      <c r="AK53">
        <v>1189</v>
      </c>
      <c r="AL53">
        <v>1208</v>
      </c>
    </row>
    <row r="54" spans="1:38">
      <c r="A54" t="s">
        <v>382</v>
      </c>
      <c r="B54" t="s">
        <v>382</v>
      </c>
      <c r="C54" t="s">
        <v>382</v>
      </c>
      <c r="D54" t="s">
        <v>382</v>
      </c>
      <c r="E54" t="s">
        <v>382</v>
      </c>
      <c r="F54" t="s">
        <v>382</v>
      </c>
      <c r="G54" t="s">
        <v>382</v>
      </c>
      <c r="H54" t="s">
        <v>382</v>
      </c>
      <c r="I54" t="s">
        <v>382</v>
      </c>
      <c r="J54" t="s">
        <v>382</v>
      </c>
      <c r="K54" t="s">
        <v>382</v>
      </c>
      <c r="L54" t="s">
        <v>382</v>
      </c>
      <c r="M54" t="s">
        <v>382</v>
      </c>
      <c r="N54" t="s">
        <v>382</v>
      </c>
      <c r="O54" t="s">
        <v>382</v>
      </c>
      <c r="P54" t="s">
        <v>382</v>
      </c>
      <c r="Q54" t="s">
        <v>382</v>
      </c>
      <c r="R54" t="s">
        <v>382</v>
      </c>
      <c r="S54" t="s">
        <v>382</v>
      </c>
      <c r="T54" t="s">
        <v>382</v>
      </c>
      <c r="U54" t="s">
        <v>382</v>
      </c>
      <c r="V54" t="s">
        <v>382</v>
      </c>
      <c r="W54" t="s">
        <v>382</v>
      </c>
      <c r="X54" t="s">
        <v>382</v>
      </c>
      <c r="Y54" t="s">
        <v>382</v>
      </c>
      <c r="Z54" t="s">
        <v>382</v>
      </c>
      <c r="AA54" t="s">
        <v>382</v>
      </c>
      <c r="AB54" t="s">
        <v>382</v>
      </c>
      <c r="AC54">
        <v>5</v>
      </c>
      <c r="AD54">
        <v>3</v>
      </c>
      <c r="AF54" t="s">
        <v>386</v>
      </c>
      <c r="AH54" t="s">
        <v>29</v>
      </c>
      <c r="AI54" t="s">
        <v>103</v>
      </c>
      <c r="AK54">
        <v>1790</v>
      </c>
      <c r="AL54">
        <v>1845</v>
      </c>
    </row>
    <row r="55" spans="1:38">
      <c r="A55" t="s">
        <v>382</v>
      </c>
      <c r="B55" t="s">
        <v>382</v>
      </c>
      <c r="C55" t="s">
        <v>382</v>
      </c>
      <c r="D55" t="s">
        <v>382</v>
      </c>
      <c r="E55" t="s">
        <v>382</v>
      </c>
      <c r="F55" t="s">
        <v>382</v>
      </c>
      <c r="G55" t="s">
        <v>382</v>
      </c>
      <c r="H55" t="s">
        <v>382</v>
      </c>
      <c r="I55" t="s">
        <v>382</v>
      </c>
      <c r="J55" t="s">
        <v>382</v>
      </c>
      <c r="K55" t="s">
        <v>382</v>
      </c>
      <c r="L55" t="s">
        <v>382</v>
      </c>
      <c r="M55" t="s">
        <v>382</v>
      </c>
      <c r="N55" t="s">
        <v>382</v>
      </c>
      <c r="O55" t="s">
        <v>382</v>
      </c>
      <c r="P55" t="s">
        <v>382</v>
      </c>
      <c r="Q55" t="s">
        <v>382</v>
      </c>
      <c r="R55" t="s">
        <v>382</v>
      </c>
      <c r="S55" t="s">
        <v>382</v>
      </c>
      <c r="T55" t="s">
        <v>382</v>
      </c>
      <c r="U55" t="s">
        <v>382</v>
      </c>
      <c r="V55" t="s">
        <v>382</v>
      </c>
      <c r="W55" t="s">
        <v>382</v>
      </c>
      <c r="X55" t="s">
        <v>382</v>
      </c>
      <c r="Y55" t="s">
        <v>382</v>
      </c>
      <c r="Z55" t="s">
        <v>382</v>
      </c>
      <c r="AA55" t="s">
        <v>382</v>
      </c>
      <c r="AB55" t="s">
        <v>382</v>
      </c>
      <c r="AC55">
        <v>5</v>
      </c>
      <c r="AD55">
        <v>4</v>
      </c>
      <c r="AF55" t="s">
        <v>385</v>
      </c>
      <c r="AH55" t="s">
        <v>27</v>
      </c>
      <c r="AI55" t="s">
        <v>109</v>
      </c>
      <c r="AK55">
        <v>2523</v>
      </c>
      <c r="AL55">
        <v>1365</v>
      </c>
    </row>
    <row r="56" spans="1:38">
      <c r="A56" t="s">
        <v>382</v>
      </c>
      <c r="B56" t="s">
        <v>382</v>
      </c>
      <c r="C56" t="s">
        <v>382</v>
      </c>
      <c r="D56" t="s">
        <v>382</v>
      </c>
      <c r="E56" t="s">
        <v>382</v>
      </c>
      <c r="F56" t="s">
        <v>382</v>
      </c>
      <c r="G56" t="s">
        <v>382</v>
      </c>
      <c r="H56" t="s">
        <v>382</v>
      </c>
      <c r="I56" t="s">
        <v>382</v>
      </c>
      <c r="J56" t="s">
        <v>382</v>
      </c>
      <c r="K56" t="s">
        <v>382</v>
      </c>
      <c r="L56" t="s">
        <v>382</v>
      </c>
      <c r="M56" t="s">
        <v>382</v>
      </c>
      <c r="N56" t="s">
        <v>382</v>
      </c>
      <c r="O56" t="s">
        <v>382</v>
      </c>
      <c r="P56" t="s">
        <v>382</v>
      </c>
      <c r="Q56" t="s">
        <v>382</v>
      </c>
      <c r="R56" t="s">
        <v>382</v>
      </c>
      <c r="S56" t="s">
        <v>382</v>
      </c>
      <c r="T56" t="s">
        <v>382</v>
      </c>
      <c r="U56" t="s">
        <v>382</v>
      </c>
      <c r="V56" t="s">
        <v>382</v>
      </c>
      <c r="W56" t="s">
        <v>382</v>
      </c>
      <c r="X56" t="s">
        <v>382</v>
      </c>
      <c r="Y56" t="s">
        <v>382</v>
      </c>
      <c r="Z56" t="s">
        <v>382</v>
      </c>
      <c r="AA56" t="s">
        <v>382</v>
      </c>
      <c r="AB56" t="s">
        <v>382</v>
      </c>
      <c r="AC56">
        <v>5</v>
      </c>
      <c r="AD56">
        <v>5</v>
      </c>
      <c r="AF56" t="s">
        <v>386</v>
      </c>
      <c r="AH56" t="s">
        <v>29</v>
      </c>
      <c r="AI56" t="s">
        <v>103</v>
      </c>
      <c r="AK56">
        <v>1819</v>
      </c>
      <c r="AL56">
        <v>504</v>
      </c>
    </row>
    <row r="57" spans="1:38">
      <c r="A57" t="s">
        <v>382</v>
      </c>
      <c r="B57" t="s">
        <v>382</v>
      </c>
      <c r="C57" t="s">
        <v>382</v>
      </c>
      <c r="D57" t="s">
        <v>382</v>
      </c>
      <c r="E57" t="s">
        <v>382</v>
      </c>
      <c r="F57" t="s">
        <v>382</v>
      </c>
      <c r="G57" t="s">
        <v>382</v>
      </c>
      <c r="H57" t="s">
        <v>382</v>
      </c>
      <c r="I57" t="s">
        <v>382</v>
      </c>
      <c r="J57" t="s">
        <v>382</v>
      </c>
      <c r="K57" t="s">
        <v>382</v>
      </c>
      <c r="L57" t="s">
        <v>382</v>
      </c>
      <c r="M57" t="s">
        <v>382</v>
      </c>
      <c r="N57" t="s">
        <v>382</v>
      </c>
      <c r="O57" t="s">
        <v>382</v>
      </c>
      <c r="P57" t="s">
        <v>382</v>
      </c>
      <c r="Q57" t="s">
        <v>382</v>
      </c>
      <c r="R57" t="s">
        <v>382</v>
      </c>
      <c r="S57" t="s">
        <v>382</v>
      </c>
      <c r="T57" t="s">
        <v>382</v>
      </c>
      <c r="U57" t="s">
        <v>382</v>
      </c>
      <c r="V57" t="s">
        <v>382</v>
      </c>
      <c r="W57" t="s">
        <v>382</v>
      </c>
      <c r="X57" t="s">
        <v>382</v>
      </c>
      <c r="Y57" t="s">
        <v>382</v>
      </c>
      <c r="Z57" t="s">
        <v>382</v>
      </c>
      <c r="AA57" t="s">
        <v>382</v>
      </c>
      <c r="AB57" t="s">
        <v>382</v>
      </c>
      <c r="AC57">
        <v>5</v>
      </c>
      <c r="AD57">
        <v>1</v>
      </c>
      <c r="AE57">
        <v>1</v>
      </c>
      <c r="AF57" t="s">
        <v>389</v>
      </c>
      <c r="AH57" t="s">
        <v>35</v>
      </c>
      <c r="AI57" t="s">
        <v>97</v>
      </c>
      <c r="AK57">
        <v>702</v>
      </c>
      <c r="AL57">
        <v>591</v>
      </c>
    </row>
    <row r="58" spans="1:38">
      <c r="A58" t="s">
        <v>382</v>
      </c>
      <c r="B58" t="s">
        <v>382</v>
      </c>
      <c r="C58" t="s">
        <v>382</v>
      </c>
      <c r="D58" t="s">
        <v>382</v>
      </c>
      <c r="E58" t="s">
        <v>382</v>
      </c>
      <c r="F58" t="s">
        <v>382</v>
      </c>
      <c r="G58" t="s">
        <v>382</v>
      </c>
      <c r="H58" t="s">
        <v>382</v>
      </c>
      <c r="I58" t="s">
        <v>382</v>
      </c>
      <c r="J58" t="s">
        <v>382</v>
      </c>
      <c r="K58" t="s">
        <v>382</v>
      </c>
      <c r="L58" t="s">
        <v>382</v>
      </c>
      <c r="M58" t="s">
        <v>382</v>
      </c>
      <c r="N58" t="s">
        <v>382</v>
      </c>
      <c r="O58" t="s">
        <v>382</v>
      </c>
      <c r="P58" t="s">
        <v>382</v>
      </c>
      <c r="Q58" t="s">
        <v>382</v>
      </c>
      <c r="R58" t="s">
        <v>382</v>
      </c>
      <c r="S58" t="s">
        <v>382</v>
      </c>
      <c r="T58" t="s">
        <v>382</v>
      </c>
      <c r="U58" t="s">
        <v>382</v>
      </c>
      <c r="V58" t="s">
        <v>382</v>
      </c>
      <c r="W58" t="s">
        <v>382</v>
      </c>
      <c r="X58" t="s">
        <v>382</v>
      </c>
      <c r="Y58" t="s">
        <v>382</v>
      </c>
      <c r="Z58" t="s">
        <v>382</v>
      </c>
      <c r="AA58" t="s">
        <v>382</v>
      </c>
      <c r="AB58" t="s">
        <v>382</v>
      </c>
      <c r="AC58">
        <v>5</v>
      </c>
      <c r="AD58">
        <v>2</v>
      </c>
      <c r="AE58">
        <v>1</v>
      </c>
      <c r="AF58" t="s">
        <v>387</v>
      </c>
      <c r="AH58" t="s">
        <v>31</v>
      </c>
      <c r="AI58" t="s">
        <v>97</v>
      </c>
      <c r="AK58">
        <v>3095</v>
      </c>
      <c r="AL58">
        <v>1513</v>
      </c>
    </row>
    <row r="59" spans="1:38">
      <c r="A59" t="s">
        <v>382</v>
      </c>
      <c r="B59" t="s">
        <v>382</v>
      </c>
      <c r="C59" t="s">
        <v>382</v>
      </c>
      <c r="D59" t="s">
        <v>382</v>
      </c>
      <c r="E59" t="s">
        <v>382</v>
      </c>
      <c r="F59" t="s">
        <v>382</v>
      </c>
      <c r="G59" t="s">
        <v>382</v>
      </c>
      <c r="H59" t="s">
        <v>382</v>
      </c>
      <c r="I59" t="s">
        <v>382</v>
      </c>
      <c r="J59" t="s">
        <v>382</v>
      </c>
      <c r="K59" t="s">
        <v>382</v>
      </c>
      <c r="L59" t="s">
        <v>382</v>
      </c>
      <c r="M59" t="s">
        <v>382</v>
      </c>
      <c r="N59" t="s">
        <v>382</v>
      </c>
      <c r="O59" t="s">
        <v>382</v>
      </c>
      <c r="P59" t="s">
        <v>382</v>
      </c>
      <c r="Q59" t="s">
        <v>382</v>
      </c>
      <c r="R59" t="s">
        <v>382</v>
      </c>
      <c r="S59" t="s">
        <v>382</v>
      </c>
      <c r="T59" t="s">
        <v>382</v>
      </c>
      <c r="U59" t="s">
        <v>382</v>
      </c>
      <c r="V59" t="s">
        <v>382</v>
      </c>
      <c r="W59" t="s">
        <v>382</v>
      </c>
      <c r="X59" t="s">
        <v>382</v>
      </c>
      <c r="Y59" t="s">
        <v>382</v>
      </c>
      <c r="Z59" t="s">
        <v>382</v>
      </c>
      <c r="AA59" t="s">
        <v>382</v>
      </c>
      <c r="AB59" t="s">
        <v>382</v>
      </c>
      <c r="AC59">
        <v>5</v>
      </c>
      <c r="AD59">
        <v>3</v>
      </c>
      <c r="AF59" t="s">
        <v>384</v>
      </c>
      <c r="AH59" t="s">
        <v>25</v>
      </c>
      <c r="AI59" t="s">
        <v>106</v>
      </c>
      <c r="AK59">
        <v>1689</v>
      </c>
      <c r="AL59">
        <v>1164</v>
      </c>
    </row>
    <row r="60" spans="1:38">
      <c r="A60" t="s">
        <v>382</v>
      </c>
      <c r="B60" t="s">
        <v>382</v>
      </c>
      <c r="C60" t="s">
        <v>382</v>
      </c>
      <c r="D60" t="s">
        <v>382</v>
      </c>
      <c r="E60" t="s">
        <v>382</v>
      </c>
      <c r="F60" t="s">
        <v>382</v>
      </c>
      <c r="G60" t="s">
        <v>382</v>
      </c>
      <c r="H60" t="s">
        <v>382</v>
      </c>
      <c r="I60" t="s">
        <v>382</v>
      </c>
      <c r="J60" t="s">
        <v>382</v>
      </c>
      <c r="K60" t="s">
        <v>382</v>
      </c>
      <c r="L60" t="s">
        <v>382</v>
      </c>
      <c r="M60" t="s">
        <v>382</v>
      </c>
      <c r="N60" t="s">
        <v>382</v>
      </c>
      <c r="O60" t="s">
        <v>382</v>
      </c>
      <c r="P60" t="s">
        <v>382</v>
      </c>
      <c r="Q60" t="s">
        <v>382</v>
      </c>
      <c r="R60" t="s">
        <v>382</v>
      </c>
      <c r="S60" t="s">
        <v>382</v>
      </c>
      <c r="T60" t="s">
        <v>382</v>
      </c>
      <c r="U60" t="s">
        <v>382</v>
      </c>
      <c r="V60" t="s">
        <v>382</v>
      </c>
      <c r="W60" t="s">
        <v>382</v>
      </c>
      <c r="X60" t="s">
        <v>382</v>
      </c>
      <c r="Y60" t="s">
        <v>382</v>
      </c>
      <c r="Z60" t="s">
        <v>382</v>
      </c>
      <c r="AA60" t="s">
        <v>382</v>
      </c>
      <c r="AB60" t="s">
        <v>382</v>
      </c>
      <c r="AC60">
        <v>5</v>
      </c>
      <c r="AD60">
        <v>4</v>
      </c>
      <c r="AF60" t="s">
        <v>386</v>
      </c>
      <c r="AH60" t="s">
        <v>29</v>
      </c>
      <c r="AI60" t="s">
        <v>103</v>
      </c>
      <c r="AK60">
        <v>2251</v>
      </c>
      <c r="AL60">
        <v>1712</v>
      </c>
    </row>
    <row r="61" spans="1:38">
      <c r="A61" t="s">
        <v>382</v>
      </c>
      <c r="B61" t="s">
        <v>382</v>
      </c>
      <c r="C61" t="s">
        <v>382</v>
      </c>
      <c r="D61" t="s">
        <v>382</v>
      </c>
      <c r="E61" t="s">
        <v>382</v>
      </c>
      <c r="F61" t="s">
        <v>382</v>
      </c>
      <c r="G61" t="s">
        <v>382</v>
      </c>
      <c r="H61" t="s">
        <v>382</v>
      </c>
      <c r="I61" t="s">
        <v>382</v>
      </c>
      <c r="J61" t="s">
        <v>382</v>
      </c>
      <c r="K61" t="s">
        <v>382</v>
      </c>
      <c r="L61" t="s">
        <v>382</v>
      </c>
      <c r="M61" t="s">
        <v>382</v>
      </c>
      <c r="N61" t="s">
        <v>382</v>
      </c>
      <c r="O61" t="s">
        <v>382</v>
      </c>
      <c r="P61" t="s">
        <v>382</v>
      </c>
      <c r="Q61" t="s">
        <v>382</v>
      </c>
      <c r="R61" t="s">
        <v>382</v>
      </c>
      <c r="S61" t="s">
        <v>382</v>
      </c>
      <c r="T61" t="s">
        <v>382</v>
      </c>
      <c r="U61" t="s">
        <v>382</v>
      </c>
      <c r="V61" t="s">
        <v>382</v>
      </c>
      <c r="W61" t="s">
        <v>382</v>
      </c>
      <c r="X61" t="s">
        <v>382</v>
      </c>
      <c r="Y61" t="s">
        <v>382</v>
      </c>
      <c r="Z61" t="s">
        <v>382</v>
      </c>
      <c r="AA61" t="s">
        <v>382</v>
      </c>
      <c r="AB61" t="s">
        <v>382</v>
      </c>
      <c r="AC61">
        <v>5</v>
      </c>
      <c r="AD61">
        <v>5</v>
      </c>
      <c r="AF61" t="s">
        <v>385</v>
      </c>
      <c r="AH61" t="s">
        <v>27</v>
      </c>
      <c r="AI61" t="s">
        <v>109</v>
      </c>
      <c r="AK61">
        <v>1443</v>
      </c>
      <c r="AL61">
        <v>2500</v>
      </c>
    </row>
    <row r="62" spans="1:38">
      <c r="A62" t="s">
        <v>382</v>
      </c>
      <c r="B62" t="s">
        <v>382</v>
      </c>
      <c r="C62" t="s">
        <v>382</v>
      </c>
      <c r="D62" t="s">
        <v>382</v>
      </c>
      <c r="E62" t="s">
        <v>382</v>
      </c>
      <c r="F62" t="s">
        <v>382</v>
      </c>
      <c r="G62" t="s">
        <v>382</v>
      </c>
      <c r="H62" t="s">
        <v>382</v>
      </c>
      <c r="I62" t="s">
        <v>382</v>
      </c>
      <c r="J62" t="s">
        <v>382</v>
      </c>
      <c r="K62" t="s">
        <v>382</v>
      </c>
      <c r="L62" t="s">
        <v>382</v>
      </c>
      <c r="M62" t="s">
        <v>382</v>
      </c>
      <c r="N62" t="s">
        <v>382</v>
      </c>
      <c r="O62" t="s">
        <v>382</v>
      </c>
      <c r="P62" t="s">
        <v>382</v>
      </c>
      <c r="Q62" t="s">
        <v>382</v>
      </c>
      <c r="R62" t="s">
        <v>382</v>
      </c>
      <c r="S62" t="s">
        <v>382</v>
      </c>
      <c r="T62" t="s">
        <v>382</v>
      </c>
      <c r="U62" t="s">
        <v>382</v>
      </c>
      <c r="V62" t="s">
        <v>382</v>
      </c>
      <c r="W62" t="s">
        <v>382</v>
      </c>
      <c r="X62" t="s">
        <v>382</v>
      </c>
      <c r="Y62" t="s">
        <v>382</v>
      </c>
      <c r="Z62" t="s">
        <v>382</v>
      </c>
      <c r="AA62" t="s">
        <v>382</v>
      </c>
      <c r="AB62" t="s">
        <v>382</v>
      </c>
      <c r="AC62">
        <v>5</v>
      </c>
      <c r="AD62">
        <v>1</v>
      </c>
      <c r="AF62" t="s">
        <v>385</v>
      </c>
      <c r="AH62" t="s">
        <v>27</v>
      </c>
      <c r="AI62" t="s">
        <v>109</v>
      </c>
      <c r="AK62">
        <v>1789</v>
      </c>
      <c r="AL62">
        <v>399</v>
      </c>
    </row>
    <row r="63" spans="1:38">
      <c r="A63" t="s">
        <v>382</v>
      </c>
      <c r="B63" t="s">
        <v>382</v>
      </c>
      <c r="C63" t="s">
        <v>382</v>
      </c>
      <c r="D63" t="s">
        <v>382</v>
      </c>
      <c r="E63" t="s">
        <v>382</v>
      </c>
      <c r="F63" t="s">
        <v>382</v>
      </c>
      <c r="G63" t="s">
        <v>382</v>
      </c>
      <c r="H63" t="s">
        <v>382</v>
      </c>
      <c r="I63" t="s">
        <v>382</v>
      </c>
      <c r="J63" t="s">
        <v>382</v>
      </c>
      <c r="K63" t="s">
        <v>382</v>
      </c>
      <c r="L63" t="s">
        <v>382</v>
      </c>
      <c r="M63" t="s">
        <v>382</v>
      </c>
      <c r="N63" t="s">
        <v>382</v>
      </c>
      <c r="O63" t="s">
        <v>382</v>
      </c>
      <c r="P63" t="s">
        <v>382</v>
      </c>
      <c r="Q63" t="s">
        <v>382</v>
      </c>
      <c r="R63" t="s">
        <v>382</v>
      </c>
      <c r="S63" t="s">
        <v>382</v>
      </c>
      <c r="T63" t="s">
        <v>382</v>
      </c>
      <c r="U63" t="s">
        <v>382</v>
      </c>
      <c r="V63" t="s">
        <v>382</v>
      </c>
      <c r="W63" t="s">
        <v>382</v>
      </c>
      <c r="X63" t="s">
        <v>382</v>
      </c>
      <c r="Y63" t="s">
        <v>382</v>
      </c>
      <c r="Z63" t="s">
        <v>382</v>
      </c>
      <c r="AA63" t="s">
        <v>382</v>
      </c>
      <c r="AB63" t="s">
        <v>382</v>
      </c>
      <c r="AC63">
        <v>5</v>
      </c>
      <c r="AD63">
        <v>2</v>
      </c>
      <c r="AF63" t="s">
        <v>384</v>
      </c>
      <c r="AH63" t="s">
        <v>25</v>
      </c>
      <c r="AI63" t="s">
        <v>106</v>
      </c>
      <c r="AK63">
        <v>3276</v>
      </c>
      <c r="AL63">
        <v>1285</v>
      </c>
    </row>
    <row r="64" spans="1:38">
      <c r="A64" t="s">
        <v>382</v>
      </c>
      <c r="B64" t="s">
        <v>382</v>
      </c>
      <c r="C64" t="s">
        <v>382</v>
      </c>
      <c r="D64" t="s">
        <v>382</v>
      </c>
      <c r="E64" t="s">
        <v>382</v>
      </c>
      <c r="F64" t="s">
        <v>382</v>
      </c>
      <c r="G64" t="s">
        <v>382</v>
      </c>
      <c r="H64" t="s">
        <v>382</v>
      </c>
      <c r="I64" t="s">
        <v>382</v>
      </c>
      <c r="J64" t="s">
        <v>382</v>
      </c>
      <c r="K64" t="s">
        <v>382</v>
      </c>
      <c r="L64" t="s">
        <v>382</v>
      </c>
      <c r="M64" t="s">
        <v>382</v>
      </c>
      <c r="N64" t="s">
        <v>382</v>
      </c>
      <c r="O64" t="s">
        <v>382</v>
      </c>
      <c r="P64" t="s">
        <v>382</v>
      </c>
      <c r="Q64" t="s">
        <v>382</v>
      </c>
      <c r="R64" t="s">
        <v>382</v>
      </c>
      <c r="S64" t="s">
        <v>382</v>
      </c>
      <c r="T64" t="s">
        <v>382</v>
      </c>
      <c r="U64" t="s">
        <v>382</v>
      </c>
      <c r="V64" t="s">
        <v>382</v>
      </c>
      <c r="W64" t="s">
        <v>382</v>
      </c>
      <c r="X64" t="s">
        <v>382</v>
      </c>
      <c r="Y64" t="s">
        <v>382</v>
      </c>
      <c r="Z64" t="s">
        <v>382</v>
      </c>
      <c r="AA64" t="s">
        <v>382</v>
      </c>
      <c r="AB64" t="s">
        <v>382</v>
      </c>
      <c r="AC64">
        <v>5</v>
      </c>
      <c r="AD64">
        <v>3</v>
      </c>
      <c r="AF64" t="s">
        <v>385</v>
      </c>
      <c r="AH64" t="s">
        <v>27</v>
      </c>
      <c r="AI64" t="s">
        <v>109</v>
      </c>
      <c r="AK64">
        <v>2556</v>
      </c>
      <c r="AL64">
        <v>362</v>
      </c>
    </row>
    <row r="65" spans="1:38">
      <c r="A65" t="s">
        <v>382</v>
      </c>
      <c r="B65" t="s">
        <v>382</v>
      </c>
      <c r="C65" t="s">
        <v>382</v>
      </c>
      <c r="D65" t="s">
        <v>382</v>
      </c>
      <c r="E65" t="s">
        <v>382</v>
      </c>
      <c r="F65" t="s">
        <v>382</v>
      </c>
      <c r="G65" t="s">
        <v>382</v>
      </c>
      <c r="H65" t="s">
        <v>382</v>
      </c>
      <c r="I65" t="s">
        <v>382</v>
      </c>
      <c r="J65" t="s">
        <v>382</v>
      </c>
      <c r="K65" t="s">
        <v>382</v>
      </c>
      <c r="L65" t="s">
        <v>382</v>
      </c>
      <c r="M65" t="s">
        <v>382</v>
      </c>
      <c r="N65" t="s">
        <v>382</v>
      </c>
      <c r="O65" t="s">
        <v>382</v>
      </c>
      <c r="P65" t="s">
        <v>382</v>
      </c>
      <c r="Q65" t="s">
        <v>382</v>
      </c>
      <c r="R65" t="s">
        <v>382</v>
      </c>
      <c r="S65" t="s">
        <v>382</v>
      </c>
      <c r="T65" t="s">
        <v>382</v>
      </c>
      <c r="U65" t="s">
        <v>382</v>
      </c>
      <c r="V65" t="s">
        <v>382</v>
      </c>
      <c r="W65" t="s">
        <v>382</v>
      </c>
      <c r="X65" t="s">
        <v>382</v>
      </c>
      <c r="Y65" t="s">
        <v>382</v>
      </c>
      <c r="Z65" t="s">
        <v>382</v>
      </c>
      <c r="AA65" t="s">
        <v>382</v>
      </c>
      <c r="AB65" t="s">
        <v>382</v>
      </c>
      <c r="AC65">
        <v>5</v>
      </c>
      <c r="AD65">
        <v>4</v>
      </c>
      <c r="AF65" t="s">
        <v>385</v>
      </c>
      <c r="AH65" t="s">
        <v>27</v>
      </c>
      <c r="AI65" t="s">
        <v>109</v>
      </c>
      <c r="AK65">
        <v>2065</v>
      </c>
      <c r="AL65">
        <v>1956</v>
      </c>
    </row>
    <row r="66" spans="1:38">
      <c r="A66" t="s">
        <v>382</v>
      </c>
      <c r="B66" t="s">
        <v>382</v>
      </c>
      <c r="C66" t="s">
        <v>382</v>
      </c>
      <c r="D66" t="s">
        <v>382</v>
      </c>
      <c r="E66" t="s">
        <v>382</v>
      </c>
      <c r="F66" t="s">
        <v>382</v>
      </c>
      <c r="G66" t="s">
        <v>382</v>
      </c>
      <c r="H66" t="s">
        <v>382</v>
      </c>
      <c r="I66" t="s">
        <v>382</v>
      </c>
      <c r="J66" t="s">
        <v>382</v>
      </c>
      <c r="K66" t="s">
        <v>382</v>
      </c>
      <c r="L66" t="s">
        <v>382</v>
      </c>
      <c r="M66" t="s">
        <v>382</v>
      </c>
      <c r="N66" t="s">
        <v>382</v>
      </c>
      <c r="O66" t="s">
        <v>382</v>
      </c>
      <c r="P66" t="s">
        <v>382</v>
      </c>
      <c r="Q66" t="s">
        <v>382</v>
      </c>
      <c r="R66" t="s">
        <v>382</v>
      </c>
      <c r="S66" t="s">
        <v>382</v>
      </c>
      <c r="T66" t="s">
        <v>382</v>
      </c>
      <c r="U66" t="s">
        <v>382</v>
      </c>
      <c r="V66" t="s">
        <v>382</v>
      </c>
      <c r="W66" t="s">
        <v>382</v>
      </c>
      <c r="X66" t="s">
        <v>382</v>
      </c>
      <c r="Y66" t="s">
        <v>382</v>
      </c>
      <c r="Z66" t="s">
        <v>382</v>
      </c>
      <c r="AA66" t="s">
        <v>382</v>
      </c>
      <c r="AB66" t="s">
        <v>382</v>
      </c>
      <c r="AC66">
        <v>5</v>
      </c>
      <c r="AD66">
        <v>5</v>
      </c>
      <c r="AE66">
        <v>1</v>
      </c>
      <c r="AF66" t="s">
        <v>393</v>
      </c>
      <c r="AH66" t="s">
        <v>51</v>
      </c>
      <c r="AI66" t="s">
        <v>97</v>
      </c>
      <c r="AK66">
        <v>2611</v>
      </c>
      <c r="AL66">
        <v>756</v>
      </c>
    </row>
    <row r="67" spans="1:38">
      <c r="A67" t="s">
        <v>382</v>
      </c>
      <c r="B67" t="s">
        <v>382</v>
      </c>
      <c r="C67" t="s">
        <v>382</v>
      </c>
      <c r="D67" t="s">
        <v>382</v>
      </c>
      <c r="E67" t="s">
        <v>382</v>
      </c>
      <c r="F67" t="s">
        <v>382</v>
      </c>
      <c r="G67" t="s">
        <v>382</v>
      </c>
      <c r="H67" t="s">
        <v>382</v>
      </c>
      <c r="I67" t="s">
        <v>382</v>
      </c>
      <c r="J67" t="s">
        <v>382</v>
      </c>
      <c r="K67" t="s">
        <v>382</v>
      </c>
      <c r="L67" t="s">
        <v>382</v>
      </c>
      <c r="M67" t="s">
        <v>382</v>
      </c>
      <c r="N67" t="s">
        <v>382</v>
      </c>
      <c r="O67" t="s">
        <v>382</v>
      </c>
      <c r="P67" t="s">
        <v>382</v>
      </c>
      <c r="Q67" t="s">
        <v>382</v>
      </c>
      <c r="R67" t="s">
        <v>382</v>
      </c>
      <c r="S67" t="s">
        <v>382</v>
      </c>
      <c r="T67" t="s">
        <v>382</v>
      </c>
      <c r="U67" t="s">
        <v>382</v>
      </c>
      <c r="V67" t="s">
        <v>382</v>
      </c>
      <c r="W67" t="s">
        <v>382</v>
      </c>
      <c r="X67" t="s">
        <v>382</v>
      </c>
      <c r="Y67" t="s">
        <v>382</v>
      </c>
      <c r="Z67" t="s">
        <v>382</v>
      </c>
      <c r="AA67" t="s">
        <v>382</v>
      </c>
      <c r="AB67" t="s">
        <v>382</v>
      </c>
      <c r="AC67">
        <v>5</v>
      </c>
      <c r="AD67">
        <v>1</v>
      </c>
      <c r="AE67">
        <v>1</v>
      </c>
      <c r="AF67" t="s">
        <v>389</v>
      </c>
      <c r="AH67" t="s">
        <v>35</v>
      </c>
      <c r="AI67" t="s">
        <v>97</v>
      </c>
      <c r="AK67">
        <v>824</v>
      </c>
      <c r="AL67">
        <v>72</v>
      </c>
    </row>
    <row r="68" spans="1:38">
      <c r="A68" t="s">
        <v>382</v>
      </c>
      <c r="B68" t="s">
        <v>382</v>
      </c>
      <c r="C68" t="s">
        <v>382</v>
      </c>
      <c r="D68" t="s">
        <v>382</v>
      </c>
      <c r="E68" t="s">
        <v>382</v>
      </c>
      <c r="F68" t="s">
        <v>382</v>
      </c>
      <c r="G68" t="s">
        <v>382</v>
      </c>
      <c r="H68" t="s">
        <v>382</v>
      </c>
      <c r="I68" t="s">
        <v>382</v>
      </c>
      <c r="J68" t="s">
        <v>382</v>
      </c>
      <c r="K68" t="s">
        <v>382</v>
      </c>
      <c r="L68" t="s">
        <v>382</v>
      </c>
      <c r="M68" t="s">
        <v>382</v>
      </c>
      <c r="N68" t="s">
        <v>382</v>
      </c>
      <c r="O68" t="s">
        <v>382</v>
      </c>
      <c r="P68" t="s">
        <v>382</v>
      </c>
      <c r="Q68" t="s">
        <v>382</v>
      </c>
      <c r="R68" t="s">
        <v>382</v>
      </c>
      <c r="S68" t="s">
        <v>382</v>
      </c>
      <c r="T68" t="s">
        <v>382</v>
      </c>
      <c r="U68" t="s">
        <v>382</v>
      </c>
      <c r="V68" t="s">
        <v>382</v>
      </c>
      <c r="W68" t="s">
        <v>382</v>
      </c>
      <c r="X68" t="s">
        <v>382</v>
      </c>
      <c r="Y68" t="s">
        <v>382</v>
      </c>
      <c r="Z68" t="s">
        <v>382</v>
      </c>
      <c r="AA68" t="s">
        <v>382</v>
      </c>
      <c r="AB68" t="s">
        <v>382</v>
      </c>
      <c r="AC68">
        <v>5</v>
      </c>
      <c r="AD68">
        <v>2</v>
      </c>
      <c r="AF68" t="s">
        <v>385</v>
      </c>
      <c r="AH68" t="s">
        <v>27</v>
      </c>
      <c r="AI68" t="s">
        <v>109</v>
      </c>
      <c r="AK68">
        <v>1052</v>
      </c>
      <c r="AL68">
        <v>627</v>
      </c>
    </row>
    <row r="69" spans="1:38">
      <c r="A69" t="s">
        <v>382</v>
      </c>
      <c r="B69" t="s">
        <v>382</v>
      </c>
      <c r="C69" t="s">
        <v>382</v>
      </c>
      <c r="D69" t="s">
        <v>382</v>
      </c>
      <c r="E69" t="s">
        <v>382</v>
      </c>
      <c r="F69" t="s">
        <v>382</v>
      </c>
      <c r="G69" t="s">
        <v>382</v>
      </c>
      <c r="H69" t="s">
        <v>382</v>
      </c>
      <c r="I69" t="s">
        <v>382</v>
      </c>
      <c r="J69" t="s">
        <v>382</v>
      </c>
      <c r="K69" t="s">
        <v>382</v>
      </c>
      <c r="L69" t="s">
        <v>382</v>
      </c>
      <c r="M69" t="s">
        <v>382</v>
      </c>
      <c r="N69" t="s">
        <v>382</v>
      </c>
      <c r="O69" t="s">
        <v>382</v>
      </c>
      <c r="P69" t="s">
        <v>382</v>
      </c>
      <c r="Q69" t="s">
        <v>382</v>
      </c>
      <c r="R69" t="s">
        <v>382</v>
      </c>
      <c r="S69" t="s">
        <v>382</v>
      </c>
      <c r="T69" t="s">
        <v>382</v>
      </c>
      <c r="U69" t="s">
        <v>382</v>
      </c>
      <c r="V69" t="s">
        <v>382</v>
      </c>
      <c r="W69" t="s">
        <v>382</v>
      </c>
      <c r="X69" t="s">
        <v>382</v>
      </c>
      <c r="Y69" t="s">
        <v>382</v>
      </c>
      <c r="Z69" t="s">
        <v>382</v>
      </c>
      <c r="AA69" t="s">
        <v>382</v>
      </c>
      <c r="AB69" t="s">
        <v>382</v>
      </c>
      <c r="AC69">
        <v>5</v>
      </c>
      <c r="AD69">
        <v>3</v>
      </c>
      <c r="AE69">
        <v>1</v>
      </c>
      <c r="AF69" t="s">
        <v>389</v>
      </c>
      <c r="AH69" t="s">
        <v>35</v>
      </c>
      <c r="AI69" t="s">
        <v>97</v>
      </c>
      <c r="AK69">
        <v>1365</v>
      </c>
      <c r="AL69">
        <v>2089</v>
      </c>
    </row>
    <row r="70" spans="1:38">
      <c r="A70" t="s">
        <v>382</v>
      </c>
      <c r="B70" t="s">
        <v>382</v>
      </c>
      <c r="C70" t="s">
        <v>382</v>
      </c>
      <c r="D70" t="s">
        <v>382</v>
      </c>
      <c r="E70" t="s">
        <v>382</v>
      </c>
      <c r="F70" t="s">
        <v>382</v>
      </c>
      <c r="G70" t="s">
        <v>382</v>
      </c>
      <c r="H70" t="s">
        <v>382</v>
      </c>
      <c r="I70" t="s">
        <v>382</v>
      </c>
      <c r="J70" t="s">
        <v>382</v>
      </c>
      <c r="K70" t="s">
        <v>382</v>
      </c>
      <c r="L70" t="s">
        <v>382</v>
      </c>
      <c r="M70" t="s">
        <v>382</v>
      </c>
      <c r="N70" t="s">
        <v>382</v>
      </c>
      <c r="O70" t="s">
        <v>382</v>
      </c>
      <c r="P70" t="s">
        <v>382</v>
      </c>
      <c r="Q70" t="s">
        <v>382</v>
      </c>
      <c r="R70" t="s">
        <v>382</v>
      </c>
      <c r="S70" t="s">
        <v>382</v>
      </c>
      <c r="T70" t="s">
        <v>382</v>
      </c>
      <c r="U70" t="s">
        <v>382</v>
      </c>
      <c r="V70" t="s">
        <v>382</v>
      </c>
      <c r="W70" t="s">
        <v>382</v>
      </c>
      <c r="X70" t="s">
        <v>382</v>
      </c>
      <c r="Y70" t="s">
        <v>382</v>
      </c>
      <c r="Z70" t="s">
        <v>382</v>
      </c>
      <c r="AA70" t="s">
        <v>382</v>
      </c>
      <c r="AB70" t="s">
        <v>382</v>
      </c>
      <c r="AC70">
        <v>5</v>
      </c>
      <c r="AD70">
        <v>4</v>
      </c>
      <c r="AF70" t="s">
        <v>385</v>
      </c>
      <c r="AH70" t="s">
        <v>27</v>
      </c>
      <c r="AI70" t="s">
        <v>109</v>
      </c>
      <c r="AK70">
        <v>1103</v>
      </c>
      <c r="AL70">
        <v>910</v>
      </c>
    </row>
    <row r="71" spans="1:38">
      <c r="A71" t="s">
        <v>382</v>
      </c>
      <c r="B71" t="s">
        <v>382</v>
      </c>
      <c r="C71" t="s">
        <v>382</v>
      </c>
      <c r="D71" t="s">
        <v>382</v>
      </c>
      <c r="E71" t="s">
        <v>382</v>
      </c>
      <c r="F71" t="s">
        <v>382</v>
      </c>
      <c r="G71" t="s">
        <v>382</v>
      </c>
      <c r="H71" t="s">
        <v>382</v>
      </c>
      <c r="I71" t="s">
        <v>382</v>
      </c>
      <c r="J71" t="s">
        <v>382</v>
      </c>
      <c r="K71" t="s">
        <v>382</v>
      </c>
      <c r="L71" t="s">
        <v>382</v>
      </c>
      <c r="M71" t="s">
        <v>382</v>
      </c>
      <c r="N71" t="s">
        <v>382</v>
      </c>
      <c r="O71" t="s">
        <v>382</v>
      </c>
      <c r="P71" t="s">
        <v>382</v>
      </c>
      <c r="Q71" t="s">
        <v>382</v>
      </c>
      <c r="R71" t="s">
        <v>382</v>
      </c>
      <c r="S71" t="s">
        <v>382</v>
      </c>
      <c r="T71" t="s">
        <v>382</v>
      </c>
      <c r="U71" t="s">
        <v>382</v>
      </c>
      <c r="V71" t="s">
        <v>382</v>
      </c>
      <c r="W71" t="s">
        <v>382</v>
      </c>
      <c r="X71" t="s">
        <v>382</v>
      </c>
      <c r="Y71" t="s">
        <v>382</v>
      </c>
      <c r="Z71" t="s">
        <v>382</v>
      </c>
      <c r="AA71" t="s">
        <v>382</v>
      </c>
      <c r="AB71" t="s">
        <v>382</v>
      </c>
      <c r="AC71">
        <v>5</v>
      </c>
      <c r="AD71">
        <v>5</v>
      </c>
      <c r="AE71">
        <v>1</v>
      </c>
      <c r="AF71" t="s">
        <v>389</v>
      </c>
      <c r="AH71" t="s">
        <v>35</v>
      </c>
      <c r="AI71" t="s">
        <v>97</v>
      </c>
      <c r="AK71">
        <v>2161</v>
      </c>
      <c r="AL71">
        <v>1773</v>
      </c>
    </row>
    <row r="72" spans="1:38">
      <c r="A72" t="s">
        <v>382</v>
      </c>
      <c r="B72" t="s">
        <v>382</v>
      </c>
      <c r="C72" t="s">
        <v>382</v>
      </c>
      <c r="D72" t="s">
        <v>382</v>
      </c>
      <c r="E72" t="s">
        <v>382</v>
      </c>
      <c r="F72" t="s">
        <v>382</v>
      </c>
      <c r="G72" t="s">
        <v>382</v>
      </c>
      <c r="H72" t="s">
        <v>382</v>
      </c>
      <c r="I72" t="s">
        <v>382</v>
      </c>
      <c r="J72" t="s">
        <v>382</v>
      </c>
      <c r="K72" t="s">
        <v>382</v>
      </c>
      <c r="L72" t="s">
        <v>382</v>
      </c>
      <c r="M72" t="s">
        <v>382</v>
      </c>
      <c r="N72" t="s">
        <v>382</v>
      </c>
      <c r="O72" t="s">
        <v>382</v>
      </c>
      <c r="P72" t="s">
        <v>382</v>
      </c>
      <c r="Q72" t="s">
        <v>382</v>
      </c>
      <c r="R72" t="s">
        <v>382</v>
      </c>
      <c r="S72" t="s">
        <v>382</v>
      </c>
      <c r="T72" t="s">
        <v>382</v>
      </c>
      <c r="U72" t="s">
        <v>382</v>
      </c>
      <c r="V72" t="s">
        <v>382</v>
      </c>
      <c r="W72" t="s">
        <v>382</v>
      </c>
      <c r="X72" t="s">
        <v>382</v>
      </c>
      <c r="Y72" t="s">
        <v>382</v>
      </c>
      <c r="Z72" t="s">
        <v>382</v>
      </c>
      <c r="AA72" t="s">
        <v>382</v>
      </c>
      <c r="AB72" t="s">
        <v>382</v>
      </c>
      <c r="AC72">
        <v>5</v>
      </c>
      <c r="AD72">
        <v>1</v>
      </c>
      <c r="AF72" t="s">
        <v>386</v>
      </c>
      <c r="AH72" t="s">
        <v>29</v>
      </c>
      <c r="AI72" t="s">
        <v>103</v>
      </c>
      <c r="AK72">
        <v>3267</v>
      </c>
      <c r="AL72">
        <v>2256</v>
      </c>
    </row>
    <row r="73" spans="1:38">
      <c r="A73" t="s">
        <v>382</v>
      </c>
      <c r="B73" t="s">
        <v>382</v>
      </c>
      <c r="C73" t="s">
        <v>382</v>
      </c>
      <c r="D73" t="s">
        <v>382</v>
      </c>
      <c r="E73" t="s">
        <v>382</v>
      </c>
      <c r="F73" t="s">
        <v>382</v>
      </c>
      <c r="G73" t="s">
        <v>382</v>
      </c>
      <c r="H73" t="s">
        <v>382</v>
      </c>
      <c r="I73" t="s">
        <v>382</v>
      </c>
      <c r="J73" t="s">
        <v>382</v>
      </c>
      <c r="K73" t="s">
        <v>382</v>
      </c>
      <c r="L73" t="s">
        <v>382</v>
      </c>
      <c r="M73" t="s">
        <v>382</v>
      </c>
      <c r="N73" t="s">
        <v>382</v>
      </c>
      <c r="O73" t="s">
        <v>382</v>
      </c>
      <c r="P73" t="s">
        <v>382</v>
      </c>
      <c r="Q73" t="s">
        <v>382</v>
      </c>
      <c r="R73" t="s">
        <v>382</v>
      </c>
      <c r="S73" t="s">
        <v>382</v>
      </c>
      <c r="T73" t="s">
        <v>382</v>
      </c>
      <c r="U73" t="s">
        <v>382</v>
      </c>
      <c r="V73" t="s">
        <v>382</v>
      </c>
      <c r="W73" t="s">
        <v>382</v>
      </c>
      <c r="X73" t="s">
        <v>382</v>
      </c>
      <c r="Y73" t="s">
        <v>382</v>
      </c>
      <c r="Z73" t="s">
        <v>382</v>
      </c>
      <c r="AA73" t="s">
        <v>382</v>
      </c>
      <c r="AB73" t="s">
        <v>382</v>
      </c>
      <c r="AC73">
        <v>5</v>
      </c>
      <c r="AD73">
        <v>2</v>
      </c>
      <c r="AE73">
        <v>1</v>
      </c>
      <c r="AF73" t="s">
        <v>389</v>
      </c>
      <c r="AH73" t="s">
        <v>35</v>
      </c>
      <c r="AI73" t="s">
        <v>97</v>
      </c>
      <c r="AK73">
        <v>1609</v>
      </c>
      <c r="AL73">
        <v>212</v>
      </c>
    </row>
    <row r="74" spans="1:38">
      <c r="A74" t="s">
        <v>382</v>
      </c>
      <c r="B74" t="s">
        <v>382</v>
      </c>
      <c r="C74" t="s">
        <v>382</v>
      </c>
      <c r="D74" t="s">
        <v>382</v>
      </c>
      <c r="E74" t="s">
        <v>382</v>
      </c>
      <c r="F74" t="s">
        <v>382</v>
      </c>
      <c r="G74" t="s">
        <v>382</v>
      </c>
      <c r="H74" t="s">
        <v>382</v>
      </c>
      <c r="I74" t="s">
        <v>382</v>
      </c>
      <c r="J74" t="s">
        <v>382</v>
      </c>
      <c r="K74" t="s">
        <v>382</v>
      </c>
      <c r="L74" t="s">
        <v>382</v>
      </c>
      <c r="M74" t="s">
        <v>382</v>
      </c>
      <c r="N74" t="s">
        <v>382</v>
      </c>
      <c r="O74" t="s">
        <v>382</v>
      </c>
      <c r="P74" t="s">
        <v>382</v>
      </c>
      <c r="Q74" t="s">
        <v>382</v>
      </c>
      <c r="R74" t="s">
        <v>382</v>
      </c>
      <c r="S74" t="s">
        <v>382</v>
      </c>
      <c r="T74" t="s">
        <v>382</v>
      </c>
      <c r="U74" t="s">
        <v>382</v>
      </c>
      <c r="V74" t="s">
        <v>382</v>
      </c>
      <c r="W74" t="s">
        <v>382</v>
      </c>
      <c r="X74" t="s">
        <v>382</v>
      </c>
      <c r="Y74" t="s">
        <v>382</v>
      </c>
      <c r="Z74" t="s">
        <v>382</v>
      </c>
      <c r="AA74" t="s">
        <v>382</v>
      </c>
      <c r="AB74" t="s">
        <v>382</v>
      </c>
      <c r="AC74">
        <v>5</v>
      </c>
      <c r="AD74">
        <v>3</v>
      </c>
      <c r="AE74">
        <v>1</v>
      </c>
      <c r="AF74" t="s">
        <v>389</v>
      </c>
      <c r="AH74" t="s">
        <v>35</v>
      </c>
      <c r="AI74" t="s">
        <v>97</v>
      </c>
      <c r="AK74">
        <v>1768</v>
      </c>
      <c r="AL74">
        <v>360</v>
      </c>
    </row>
    <row r="75" spans="1:38">
      <c r="A75" t="s">
        <v>382</v>
      </c>
      <c r="B75" t="s">
        <v>382</v>
      </c>
      <c r="C75" t="s">
        <v>382</v>
      </c>
      <c r="D75" t="s">
        <v>382</v>
      </c>
      <c r="E75" t="s">
        <v>382</v>
      </c>
      <c r="F75" t="s">
        <v>382</v>
      </c>
      <c r="G75" t="s">
        <v>382</v>
      </c>
      <c r="H75" t="s">
        <v>382</v>
      </c>
      <c r="I75" t="s">
        <v>382</v>
      </c>
      <c r="J75" t="s">
        <v>382</v>
      </c>
      <c r="K75" t="s">
        <v>382</v>
      </c>
      <c r="L75" t="s">
        <v>382</v>
      </c>
      <c r="M75" t="s">
        <v>382</v>
      </c>
      <c r="N75" t="s">
        <v>382</v>
      </c>
      <c r="O75" t="s">
        <v>382</v>
      </c>
      <c r="P75" t="s">
        <v>382</v>
      </c>
      <c r="Q75" t="s">
        <v>382</v>
      </c>
      <c r="R75" t="s">
        <v>382</v>
      </c>
      <c r="S75" t="s">
        <v>382</v>
      </c>
      <c r="T75" t="s">
        <v>382</v>
      </c>
      <c r="U75" t="s">
        <v>382</v>
      </c>
      <c r="V75" t="s">
        <v>382</v>
      </c>
      <c r="W75" t="s">
        <v>382</v>
      </c>
      <c r="X75" t="s">
        <v>382</v>
      </c>
      <c r="Y75" t="s">
        <v>382</v>
      </c>
      <c r="Z75" t="s">
        <v>382</v>
      </c>
      <c r="AA75" t="s">
        <v>382</v>
      </c>
      <c r="AB75" t="s">
        <v>382</v>
      </c>
      <c r="AC75">
        <v>5</v>
      </c>
      <c r="AD75">
        <v>4</v>
      </c>
      <c r="AE75">
        <v>1</v>
      </c>
      <c r="AF75" t="s">
        <v>389</v>
      </c>
      <c r="AH75" t="s">
        <v>35</v>
      </c>
      <c r="AI75" t="s">
        <v>97</v>
      </c>
      <c r="AK75">
        <v>1992</v>
      </c>
      <c r="AL75">
        <v>32</v>
      </c>
    </row>
    <row r="76" spans="1:38">
      <c r="A76" t="s">
        <v>382</v>
      </c>
      <c r="B76" t="s">
        <v>382</v>
      </c>
      <c r="C76" t="s">
        <v>382</v>
      </c>
      <c r="D76" t="s">
        <v>382</v>
      </c>
      <c r="E76" t="s">
        <v>382</v>
      </c>
      <c r="F76" t="s">
        <v>382</v>
      </c>
      <c r="G76" t="s">
        <v>382</v>
      </c>
      <c r="H76" t="s">
        <v>382</v>
      </c>
      <c r="I76" t="s">
        <v>382</v>
      </c>
      <c r="J76" t="s">
        <v>382</v>
      </c>
      <c r="K76" t="s">
        <v>382</v>
      </c>
      <c r="L76" t="s">
        <v>382</v>
      </c>
      <c r="M76" t="s">
        <v>382</v>
      </c>
      <c r="N76" t="s">
        <v>382</v>
      </c>
      <c r="O76" t="s">
        <v>382</v>
      </c>
      <c r="P76" t="s">
        <v>382</v>
      </c>
      <c r="Q76" t="s">
        <v>382</v>
      </c>
      <c r="R76" t="s">
        <v>382</v>
      </c>
      <c r="S76" t="s">
        <v>382</v>
      </c>
      <c r="T76" t="s">
        <v>382</v>
      </c>
      <c r="U76" t="s">
        <v>382</v>
      </c>
      <c r="V76" t="s">
        <v>382</v>
      </c>
      <c r="W76" t="s">
        <v>382</v>
      </c>
      <c r="X76" t="s">
        <v>382</v>
      </c>
      <c r="Y76" t="s">
        <v>382</v>
      </c>
      <c r="Z76" t="s">
        <v>382</v>
      </c>
      <c r="AA76" t="s">
        <v>382</v>
      </c>
      <c r="AB76" t="s">
        <v>382</v>
      </c>
      <c r="AC76">
        <v>5</v>
      </c>
      <c r="AD76">
        <v>5</v>
      </c>
      <c r="AF76" t="s">
        <v>385</v>
      </c>
      <c r="AH76" t="s">
        <v>27</v>
      </c>
      <c r="AI76" t="s">
        <v>109</v>
      </c>
      <c r="AK76">
        <v>1321</v>
      </c>
      <c r="AL76">
        <v>996</v>
      </c>
    </row>
    <row r="77" spans="1:38">
      <c r="A77" t="s">
        <v>382</v>
      </c>
      <c r="B77" t="s">
        <v>382</v>
      </c>
      <c r="C77" t="s">
        <v>382</v>
      </c>
      <c r="D77" t="s">
        <v>382</v>
      </c>
      <c r="E77" t="s">
        <v>382</v>
      </c>
      <c r="F77" t="s">
        <v>382</v>
      </c>
      <c r="G77" t="s">
        <v>382</v>
      </c>
      <c r="H77" t="s">
        <v>382</v>
      </c>
      <c r="I77" t="s">
        <v>382</v>
      </c>
      <c r="J77" t="s">
        <v>382</v>
      </c>
      <c r="K77" t="s">
        <v>382</v>
      </c>
      <c r="L77" t="s">
        <v>382</v>
      </c>
      <c r="M77" t="s">
        <v>382</v>
      </c>
      <c r="N77" t="s">
        <v>382</v>
      </c>
      <c r="O77" t="s">
        <v>382</v>
      </c>
      <c r="P77" t="s">
        <v>382</v>
      </c>
      <c r="Q77" t="s">
        <v>382</v>
      </c>
      <c r="R77" t="s">
        <v>382</v>
      </c>
      <c r="S77" t="s">
        <v>382</v>
      </c>
      <c r="T77" t="s">
        <v>382</v>
      </c>
      <c r="U77" t="s">
        <v>382</v>
      </c>
      <c r="V77" t="s">
        <v>382</v>
      </c>
      <c r="W77" t="s">
        <v>382</v>
      </c>
      <c r="X77" t="s">
        <v>382</v>
      </c>
      <c r="Y77" t="s">
        <v>382</v>
      </c>
      <c r="Z77" t="s">
        <v>382</v>
      </c>
      <c r="AA77" t="s">
        <v>382</v>
      </c>
      <c r="AB77" t="s">
        <v>382</v>
      </c>
      <c r="AC77">
        <v>5</v>
      </c>
      <c r="AD77">
        <v>1</v>
      </c>
      <c r="AE77">
        <v>1</v>
      </c>
      <c r="AF77" t="s">
        <v>394</v>
      </c>
      <c r="AH77" t="s">
        <v>55</v>
      </c>
      <c r="AI77" t="s">
        <v>97</v>
      </c>
      <c r="AK77">
        <v>573</v>
      </c>
      <c r="AL77">
        <v>1338</v>
      </c>
    </row>
    <row r="78" spans="1:38">
      <c r="A78" t="s">
        <v>382</v>
      </c>
      <c r="B78" t="s">
        <v>382</v>
      </c>
      <c r="C78" t="s">
        <v>382</v>
      </c>
      <c r="D78" t="s">
        <v>382</v>
      </c>
      <c r="E78" t="s">
        <v>382</v>
      </c>
      <c r="F78" t="s">
        <v>382</v>
      </c>
      <c r="G78" t="s">
        <v>382</v>
      </c>
      <c r="H78" t="s">
        <v>382</v>
      </c>
      <c r="I78" t="s">
        <v>382</v>
      </c>
      <c r="J78" t="s">
        <v>382</v>
      </c>
      <c r="K78" t="s">
        <v>382</v>
      </c>
      <c r="L78" t="s">
        <v>382</v>
      </c>
      <c r="M78" t="s">
        <v>382</v>
      </c>
      <c r="N78" t="s">
        <v>382</v>
      </c>
      <c r="O78" t="s">
        <v>382</v>
      </c>
      <c r="P78" t="s">
        <v>382</v>
      </c>
      <c r="Q78" t="s">
        <v>382</v>
      </c>
      <c r="R78" t="s">
        <v>382</v>
      </c>
      <c r="S78" t="s">
        <v>382</v>
      </c>
      <c r="T78" t="s">
        <v>382</v>
      </c>
      <c r="U78" t="s">
        <v>382</v>
      </c>
      <c r="V78" t="s">
        <v>382</v>
      </c>
      <c r="W78" t="s">
        <v>382</v>
      </c>
      <c r="X78" t="s">
        <v>382</v>
      </c>
      <c r="Y78" t="s">
        <v>382</v>
      </c>
      <c r="Z78" t="s">
        <v>382</v>
      </c>
      <c r="AA78" t="s">
        <v>382</v>
      </c>
      <c r="AB78" t="s">
        <v>382</v>
      </c>
      <c r="AC78">
        <v>5</v>
      </c>
      <c r="AD78">
        <v>2</v>
      </c>
      <c r="AF78" t="s">
        <v>385</v>
      </c>
      <c r="AH78" t="s">
        <v>27</v>
      </c>
      <c r="AI78" t="s">
        <v>109</v>
      </c>
      <c r="AK78">
        <v>1006</v>
      </c>
      <c r="AL78">
        <v>2526</v>
      </c>
    </row>
    <row r="79" spans="1:38">
      <c r="A79" t="s">
        <v>382</v>
      </c>
      <c r="B79" t="s">
        <v>382</v>
      </c>
      <c r="C79" t="s">
        <v>382</v>
      </c>
      <c r="D79" t="s">
        <v>382</v>
      </c>
      <c r="E79" t="s">
        <v>382</v>
      </c>
      <c r="F79" t="s">
        <v>382</v>
      </c>
      <c r="G79" t="s">
        <v>382</v>
      </c>
      <c r="H79" t="s">
        <v>382</v>
      </c>
      <c r="I79" t="s">
        <v>382</v>
      </c>
      <c r="J79" t="s">
        <v>382</v>
      </c>
      <c r="K79" t="s">
        <v>382</v>
      </c>
      <c r="L79" t="s">
        <v>382</v>
      </c>
      <c r="M79" t="s">
        <v>382</v>
      </c>
      <c r="N79" t="s">
        <v>382</v>
      </c>
      <c r="O79" t="s">
        <v>382</v>
      </c>
      <c r="P79" t="s">
        <v>382</v>
      </c>
      <c r="Q79" t="s">
        <v>382</v>
      </c>
      <c r="R79" t="s">
        <v>382</v>
      </c>
      <c r="S79" t="s">
        <v>382</v>
      </c>
      <c r="T79" t="s">
        <v>382</v>
      </c>
      <c r="U79" t="s">
        <v>382</v>
      </c>
      <c r="V79" t="s">
        <v>382</v>
      </c>
      <c r="W79" t="s">
        <v>382</v>
      </c>
      <c r="X79" t="s">
        <v>382</v>
      </c>
      <c r="Y79" t="s">
        <v>382</v>
      </c>
      <c r="Z79" t="s">
        <v>382</v>
      </c>
      <c r="AA79" t="s">
        <v>382</v>
      </c>
      <c r="AB79" t="s">
        <v>382</v>
      </c>
      <c r="AC79">
        <v>5</v>
      </c>
      <c r="AD79">
        <v>3</v>
      </c>
      <c r="AE79">
        <v>1</v>
      </c>
      <c r="AF79" t="s">
        <v>394</v>
      </c>
      <c r="AH79" t="s">
        <v>55</v>
      </c>
      <c r="AI79" t="s">
        <v>97</v>
      </c>
      <c r="AK79">
        <v>1714</v>
      </c>
      <c r="AL79">
        <v>1584</v>
      </c>
    </row>
    <row r="80" spans="1:38">
      <c r="A80" t="s">
        <v>382</v>
      </c>
      <c r="B80" t="s">
        <v>382</v>
      </c>
      <c r="C80" t="s">
        <v>382</v>
      </c>
      <c r="D80" t="s">
        <v>382</v>
      </c>
      <c r="E80" t="s">
        <v>382</v>
      </c>
      <c r="F80" t="s">
        <v>382</v>
      </c>
      <c r="G80" t="s">
        <v>382</v>
      </c>
      <c r="H80" t="s">
        <v>382</v>
      </c>
      <c r="I80" t="s">
        <v>382</v>
      </c>
      <c r="J80" t="s">
        <v>382</v>
      </c>
      <c r="K80" t="s">
        <v>382</v>
      </c>
      <c r="L80" t="s">
        <v>382</v>
      </c>
      <c r="M80" t="s">
        <v>382</v>
      </c>
      <c r="N80" t="s">
        <v>382</v>
      </c>
      <c r="O80" t="s">
        <v>382</v>
      </c>
      <c r="P80" t="s">
        <v>382</v>
      </c>
      <c r="Q80" t="s">
        <v>382</v>
      </c>
      <c r="R80" t="s">
        <v>382</v>
      </c>
      <c r="S80" t="s">
        <v>382</v>
      </c>
      <c r="T80" t="s">
        <v>382</v>
      </c>
      <c r="U80" t="s">
        <v>382</v>
      </c>
      <c r="V80" t="s">
        <v>382</v>
      </c>
      <c r="W80" t="s">
        <v>382</v>
      </c>
      <c r="X80" t="s">
        <v>382</v>
      </c>
      <c r="Y80" t="s">
        <v>382</v>
      </c>
      <c r="Z80" t="s">
        <v>382</v>
      </c>
      <c r="AA80" t="s">
        <v>382</v>
      </c>
      <c r="AB80" t="s">
        <v>382</v>
      </c>
      <c r="AC80">
        <v>5</v>
      </c>
      <c r="AD80">
        <v>4</v>
      </c>
      <c r="AE80">
        <v>1</v>
      </c>
      <c r="AF80" t="s">
        <v>394</v>
      </c>
      <c r="AH80" t="s">
        <v>55</v>
      </c>
      <c r="AI80" t="s">
        <v>97</v>
      </c>
      <c r="AK80">
        <v>719</v>
      </c>
      <c r="AL80">
        <v>2173</v>
      </c>
    </row>
    <row r="81" spans="1:38">
      <c r="A81" t="s">
        <v>382</v>
      </c>
      <c r="B81" t="s">
        <v>382</v>
      </c>
      <c r="C81" t="s">
        <v>382</v>
      </c>
      <c r="D81" t="s">
        <v>382</v>
      </c>
      <c r="E81" t="s">
        <v>382</v>
      </c>
      <c r="F81" t="s">
        <v>382</v>
      </c>
      <c r="G81" t="s">
        <v>382</v>
      </c>
      <c r="H81" t="s">
        <v>382</v>
      </c>
      <c r="I81" t="s">
        <v>382</v>
      </c>
      <c r="J81" t="s">
        <v>382</v>
      </c>
      <c r="K81" t="s">
        <v>382</v>
      </c>
      <c r="L81" t="s">
        <v>382</v>
      </c>
      <c r="M81" t="s">
        <v>382</v>
      </c>
      <c r="N81" t="s">
        <v>382</v>
      </c>
      <c r="O81" t="s">
        <v>382</v>
      </c>
      <c r="P81" t="s">
        <v>382</v>
      </c>
      <c r="Q81" t="s">
        <v>382</v>
      </c>
      <c r="R81" t="s">
        <v>382</v>
      </c>
      <c r="S81" t="s">
        <v>382</v>
      </c>
      <c r="T81" t="s">
        <v>382</v>
      </c>
      <c r="U81" t="s">
        <v>382</v>
      </c>
      <c r="V81" t="s">
        <v>382</v>
      </c>
      <c r="W81" t="s">
        <v>382</v>
      </c>
      <c r="X81" t="s">
        <v>382</v>
      </c>
      <c r="Y81" t="s">
        <v>382</v>
      </c>
      <c r="Z81" t="s">
        <v>382</v>
      </c>
      <c r="AA81" t="s">
        <v>382</v>
      </c>
      <c r="AB81" t="s">
        <v>382</v>
      </c>
      <c r="AC81">
        <v>5</v>
      </c>
      <c r="AD81">
        <v>5</v>
      </c>
      <c r="AE81">
        <v>1</v>
      </c>
      <c r="AF81" t="s">
        <v>389</v>
      </c>
      <c r="AH81" t="s">
        <v>35</v>
      </c>
      <c r="AI81" t="s">
        <v>97</v>
      </c>
      <c r="AK81">
        <v>1316</v>
      </c>
      <c r="AL81">
        <v>1611</v>
      </c>
    </row>
    <row r="82" spans="1:38">
      <c r="A82" t="s">
        <v>382</v>
      </c>
      <c r="B82" t="s">
        <v>382</v>
      </c>
      <c r="C82" t="s">
        <v>382</v>
      </c>
      <c r="D82" t="s">
        <v>382</v>
      </c>
      <c r="E82" t="s">
        <v>382</v>
      </c>
      <c r="F82" t="s">
        <v>382</v>
      </c>
      <c r="G82" t="s">
        <v>382</v>
      </c>
      <c r="H82" t="s">
        <v>382</v>
      </c>
      <c r="I82" t="s">
        <v>382</v>
      </c>
      <c r="J82" t="s">
        <v>382</v>
      </c>
      <c r="K82" t="s">
        <v>382</v>
      </c>
      <c r="L82" t="s">
        <v>382</v>
      </c>
      <c r="M82" t="s">
        <v>382</v>
      </c>
      <c r="N82" t="s">
        <v>382</v>
      </c>
      <c r="O82" t="s">
        <v>382</v>
      </c>
      <c r="P82" t="s">
        <v>382</v>
      </c>
      <c r="Q82" t="s">
        <v>382</v>
      </c>
      <c r="R82" t="s">
        <v>382</v>
      </c>
      <c r="S82" t="s">
        <v>382</v>
      </c>
      <c r="T82" t="s">
        <v>382</v>
      </c>
      <c r="U82" t="s">
        <v>382</v>
      </c>
      <c r="V82" t="s">
        <v>382</v>
      </c>
      <c r="W82" t="s">
        <v>382</v>
      </c>
      <c r="X82" t="s">
        <v>382</v>
      </c>
      <c r="Y82" t="s">
        <v>382</v>
      </c>
      <c r="Z82" t="s">
        <v>382</v>
      </c>
      <c r="AA82" t="s">
        <v>382</v>
      </c>
      <c r="AB82" t="s">
        <v>382</v>
      </c>
      <c r="AC82">
        <v>5</v>
      </c>
      <c r="AD82">
        <v>1</v>
      </c>
      <c r="AF82" t="s">
        <v>386</v>
      </c>
      <c r="AH82" t="s">
        <v>29</v>
      </c>
      <c r="AI82" t="s">
        <v>103</v>
      </c>
      <c r="AK82">
        <v>1737</v>
      </c>
      <c r="AL82">
        <v>1261</v>
      </c>
    </row>
    <row r="83" spans="1:38">
      <c r="A83" t="s">
        <v>382</v>
      </c>
      <c r="B83" t="s">
        <v>382</v>
      </c>
      <c r="C83" t="s">
        <v>382</v>
      </c>
      <c r="D83" t="s">
        <v>382</v>
      </c>
      <c r="E83" t="s">
        <v>382</v>
      </c>
      <c r="F83" t="s">
        <v>382</v>
      </c>
      <c r="G83" t="s">
        <v>382</v>
      </c>
      <c r="H83" t="s">
        <v>382</v>
      </c>
      <c r="I83" t="s">
        <v>382</v>
      </c>
      <c r="J83" t="s">
        <v>382</v>
      </c>
      <c r="K83" t="s">
        <v>382</v>
      </c>
      <c r="L83" t="s">
        <v>382</v>
      </c>
      <c r="M83" t="s">
        <v>382</v>
      </c>
      <c r="N83" t="s">
        <v>382</v>
      </c>
      <c r="O83" t="s">
        <v>382</v>
      </c>
      <c r="P83" t="s">
        <v>382</v>
      </c>
      <c r="Q83" t="s">
        <v>382</v>
      </c>
      <c r="R83" t="s">
        <v>382</v>
      </c>
      <c r="S83" t="s">
        <v>382</v>
      </c>
      <c r="T83" t="s">
        <v>382</v>
      </c>
      <c r="U83" t="s">
        <v>382</v>
      </c>
      <c r="V83" t="s">
        <v>382</v>
      </c>
      <c r="W83" t="s">
        <v>382</v>
      </c>
      <c r="X83" t="s">
        <v>382</v>
      </c>
      <c r="Y83" t="s">
        <v>382</v>
      </c>
      <c r="Z83" t="s">
        <v>382</v>
      </c>
      <c r="AA83" t="s">
        <v>382</v>
      </c>
      <c r="AB83" t="s">
        <v>382</v>
      </c>
      <c r="AC83">
        <v>5</v>
      </c>
      <c r="AD83">
        <v>2</v>
      </c>
      <c r="AF83" t="s">
        <v>385</v>
      </c>
      <c r="AH83" t="s">
        <v>27</v>
      </c>
      <c r="AI83" t="s">
        <v>109</v>
      </c>
      <c r="AK83">
        <v>659</v>
      </c>
      <c r="AL83">
        <v>710</v>
      </c>
    </row>
    <row r="84" spans="1:38">
      <c r="A84" t="s">
        <v>382</v>
      </c>
      <c r="B84" t="s">
        <v>382</v>
      </c>
      <c r="C84" t="s">
        <v>382</v>
      </c>
      <c r="D84" t="s">
        <v>382</v>
      </c>
      <c r="E84" t="s">
        <v>382</v>
      </c>
      <c r="F84" t="s">
        <v>382</v>
      </c>
      <c r="G84" t="s">
        <v>382</v>
      </c>
      <c r="H84" t="s">
        <v>382</v>
      </c>
      <c r="I84" t="s">
        <v>382</v>
      </c>
      <c r="J84" t="s">
        <v>382</v>
      </c>
      <c r="K84" t="s">
        <v>382</v>
      </c>
      <c r="L84" t="s">
        <v>382</v>
      </c>
      <c r="M84" t="s">
        <v>382</v>
      </c>
      <c r="N84" t="s">
        <v>382</v>
      </c>
      <c r="O84" t="s">
        <v>382</v>
      </c>
      <c r="P84" t="s">
        <v>382</v>
      </c>
      <c r="Q84" t="s">
        <v>382</v>
      </c>
      <c r="R84" t="s">
        <v>382</v>
      </c>
      <c r="S84" t="s">
        <v>382</v>
      </c>
      <c r="T84" t="s">
        <v>382</v>
      </c>
      <c r="U84" t="s">
        <v>382</v>
      </c>
      <c r="V84" t="s">
        <v>382</v>
      </c>
      <c r="W84" t="s">
        <v>382</v>
      </c>
      <c r="X84" t="s">
        <v>382</v>
      </c>
      <c r="Y84" t="s">
        <v>382</v>
      </c>
      <c r="Z84" t="s">
        <v>382</v>
      </c>
      <c r="AA84" t="s">
        <v>382</v>
      </c>
      <c r="AB84" t="s">
        <v>382</v>
      </c>
      <c r="AC84">
        <v>5</v>
      </c>
      <c r="AD84">
        <v>3</v>
      </c>
      <c r="AE84">
        <v>1</v>
      </c>
      <c r="AF84" t="s">
        <v>383</v>
      </c>
      <c r="AH84" t="s">
        <v>22</v>
      </c>
      <c r="AI84" t="s">
        <v>97</v>
      </c>
      <c r="AK84">
        <v>2749</v>
      </c>
      <c r="AL84">
        <v>1221</v>
      </c>
    </row>
    <row r="85" spans="1:38">
      <c r="A85" t="s">
        <v>382</v>
      </c>
      <c r="B85" t="s">
        <v>382</v>
      </c>
      <c r="C85" t="s">
        <v>382</v>
      </c>
      <c r="D85" t="s">
        <v>382</v>
      </c>
      <c r="E85" t="s">
        <v>382</v>
      </c>
      <c r="F85" t="s">
        <v>382</v>
      </c>
      <c r="G85" t="s">
        <v>382</v>
      </c>
      <c r="H85" t="s">
        <v>382</v>
      </c>
      <c r="I85" t="s">
        <v>382</v>
      </c>
      <c r="J85" t="s">
        <v>382</v>
      </c>
      <c r="K85" t="s">
        <v>382</v>
      </c>
      <c r="L85" t="s">
        <v>382</v>
      </c>
      <c r="M85" t="s">
        <v>382</v>
      </c>
      <c r="N85" t="s">
        <v>382</v>
      </c>
      <c r="O85" t="s">
        <v>382</v>
      </c>
      <c r="P85" t="s">
        <v>382</v>
      </c>
      <c r="Q85" t="s">
        <v>382</v>
      </c>
      <c r="R85" t="s">
        <v>382</v>
      </c>
      <c r="S85" t="s">
        <v>382</v>
      </c>
      <c r="T85" t="s">
        <v>382</v>
      </c>
      <c r="U85" t="s">
        <v>382</v>
      </c>
      <c r="V85" t="s">
        <v>382</v>
      </c>
      <c r="W85" t="s">
        <v>382</v>
      </c>
      <c r="X85" t="s">
        <v>382</v>
      </c>
      <c r="Y85" t="s">
        <v>382</v>
      </c>
      <c r="Z85" t="s">
        <v>382</v>
      </c>
      <c r="AA85" t="s">
        <v>382</v>
      </c>
      <c r="AB85" t="s">
        <v>382</v>
      </c>
      <c r="AC85">
        <v>5</v>
      </c>
      <c r="AD85">
        <v>4</v>
      </c>
      <c r="AF85" t="s">
        <v>386</v>
      </c>
      <c r="AH85" t="s">
        <v>29</v>
      </c>
      <c r="AI85" t="s">
        <v>103</v>
      </c>
      <c r="AK85">
        <v>1586</v>
      </c>
      <c r="AL85">
        <v>849</v>
      </c>
    </row>
    <row r="86" spans="1:38">
      <c r="A86" t="s">
        <v>382</v>
      </c>
      <c r="B86" t="s">
        <v>382</v>
      </c>
      <c r="C86" t="s">
        <v>382</v>
      </c>
      <c r="D86" t="s">
        <v>382</v>
      </c>
      <c r="E86" t="s">
        <v>382</v>
      </c>
      <c r="F86" t="s">
        <v>382</v>
      </c>
      <c r="G86" t="s">
        <v>382</v>
      </c>
      <c r="H86" t="s">
        <v>382</v>
      </c>
      <c r="I86" t="s">
        <v>382</v>
      </c>
      <c r="J86" t="s">
        <v>382</v>
      </c>
      <c r="K86" t="s">
        <v>382</v>
      </c>
      <c r="L86" t="s">
        <v>382</v>
      </c>
      <c r="M86" t="s">
        <v>382</v>
      </c>
      <c r="N86" t="s">
        <v>382</v>
      </c>
      <c r="O86" t="s">
        <v>382</v>
      </c>
      <c r="P86" t="s">
        <v>382</v>
      </c>
      <c r="Q86" t="s">
        <v>382</v>
      </c>
      <c r="R86" t="s">
        <v>382</v>
      </c>
      <c r="S86" t="s">
        <v>382</v>
      </c>
      <c r="T86" t="s">
        <v>382</v>
      </c>
      <c r="U86" t="s">
        <v>382</v>
      </c>
      <c r="V86" t="s">
        <v>382</v>
      </c>
      <c r="W86" t="s">
        <v>382</v>
      </c>
      <c r="X86" t="s">
        <v>382</v>
      </c>
      <c r="Y86" t="s">
        <v>382</v>
      </c>
      <c r="Z86" t="s">
        <v>382</v>
      </c>
      <c r="AA86" t="s">
        <v>382</v>
      </c>
      <c r="AB86" t="s">
        <v>382</v>
      </c>
      <c r="AC86">
        <v>5</v>
      </c>
      <c r="AD86">
        <v>5</v>
      </c>
      <c r="AE86">
        <v>1</v>
      </c>
      <c r="AF86" t="s">
        <v>389</v>
      </c>
      <c r="AH86" t="s">
        <v>35</v>
      </c>
      <c r="AI86" t="s">
        <v>97</v>
      </c>
      <c r="AK86">
        <v>1185</v>
      </c>
      <c r="AL86">
        <v>1238</v>
      </c>
    </row>
    <row r="87" spans="1:38">
      <c r="A87" t="s">
        <v>382</v>
      </c>
      <c r="B87" t="s">
        <v>382</v>
      </c>
      <c r="C87" t="s">
        <v>382</v>
      </c>
      <c r="D87" t="s">
        <v>382</v>
      </c>
      <c r="E87" t="s">
        <v>382</v>
      </c>
      <c r="F87" t="s">
        <v>382</v>
      </c>
      <c r="G87" t="s">
        <v>382</v>
      </c>
      <c r="H87" t="s">
        <v>382</v>
      </c>
      <c r="I87" t="s">
        <v>382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>
        <v>5</v>
      </c>
      <c r="AD87">
        <v>1</v>
      </c>
      <c r="AE87">
        <v>1</v>
      </c>
      <c r="AF87" t="s">
        <v>387</v>
      </c>
      <c r="AH87" t="s">
        <v>31</v>
      </c>
      <c r="AI87" t="s">
        <v>97</v>
      </c>
      <c r="AK87">
        <v>1264</v>
      </c>
      <c r="AL87">
        <v>2427</v>
      </c>
    </row>
    <row r="88" spans="1:38">
      <c r="A88" t="s">
        <v>382</v>
      </c>
      <c r="B88" t="s">
        <v>382</v>
      </c>
      <c r="C88" t="s">
        <v>382</v>
      </c>
      <c r="D88" t="s">
        <v>382</v>
      </c>
      <c r="E88" t="s">
        <v>382</v>
      </c>
      <c r="F88" t="s">
        <v>382</v>
      </c>
      <c r="G88" t="s">
        <v>382</v>
      </c>
      <c r="H88" t="s">
        <v>382</v>
      </c>
      <c r="I88" t="s">
        <v>382</v>
      </c>
      <c r="J88" t="s">
        <v>382</v>
      </c>
      <c r="K88" t="s">
        <v>382</v>
      </c>
      <c r="L88" t="s">
        <v>382</v>
      </c>
      <c r="M88" t="s">
        <v>382</v>
      </c>
      <c r="N88" t="s">
        <v>382</v>
      </c>
      <c r="O88" t="s">
        <v>382</v>
      </c>
      <c r="P88" t="s">
        <v>382</v>
      </c>
      <c r="Q88" t="s">
        <v>382</v>
      </c>
      <c r="R88" t="s">
        <v>382</v>
      </c>
      <c r="S88" t="s">
        <v>382</v>
      </c>
      <c r="T88" t="s">
        <v>382</v>
      </c>
      <c r="U88" t="s">
        <v>382</v>
      </c>
      <c r="V88" t="s">
        <v>382</v>
      </c>
      <c r="W88" t="s">
        <v>382</v>
      </c>
      <c r="X88" t="s">
        <v>382</v>
      </c>
      <c r="Y88" t="s">
        <v>382</v>
      </c>
      <c r="Z88" t="s">
        <v>382</v>
      </c>
      <c r="AA88" t="s">
        <v>382</v>
      </c>
      <c r="AB88" t="s">
        <v>382</v>
      </c>
      <c r="AC88">
        <v>5</v>
      </c>
      <c r="AD88">
        <v>2</v>
      </c>
      <c r="AF88" t="s">
        <v>385</v>
      </c>
      <c r="AH88" t="s">
        <v>27</v>
      </c>
      <c r="AI88" t="s">
        <v>109</v>
      </c>
      <c r="AK88">
        <v>909</v>
      </c>
      <c r="AL88">
        <v>664</v>
      </c>
    </row>
    <row r="89" spans="1:38">
      <c r="A89" t="s">
        <v>382</v>
      </c>
      <c r="B89" t="s">
        <v>382</v>
      </c>
      <c r="C89" t="s">
        <v>382</v>
      </c>
      <c r="D89" t="s">
        <v>382</v>
      </c>
      <c r="E89" t="s">
        <v>382</v>
      </c>
      <c r="F89" t="s">
        <v>382</v>
      </c>
      <c r="G89" t="s">
        <v>382</v>
      </c>
      <c r="H89" t="s">
        <v>382</v>
      </c>
      <c r="I89" t="s">
        <v>382</v>
      </c>
      <c r="J89" t="s">
        <v>382</v>
      </c>
      <c r="K89" t="s">
        <v>382</v>
      </c>
      <c r="L89" t="s">
        <v>382</v>
      </c>
      <c r="M89" t="s">
        <v>382</v>
      </c>
      <c r="N89" t="s">
        <v>382</v>
      </c>
      <c r="O89" t="s">
        <v>382</v>
      </c>
      <c r="P89" t="s">
        <v>382</v>
      </c>
      <c r="Q89" t="s">
        <v>382</v>
      </c>
      <c r="R89" t="s">
        <v>382</v>
      </c>
      <c r="S89" t="s">
        <v>382</v>
      </c>
      <c r="T89" t="s">
        <v>382</v>
      </c>
      <c r="U89" t="s">
        <v>382</v>
      </c>
      <c r="V89" t="s">
        <v>382</v>
      </c>
      <c r="W89" t="s">
        <v>382</v>
      </c>
      <c r="X89" t="s">
        <v>382</v>
      </c>
      <c r="Y89" t="s">
        <v>382</v>
      </c>
      <c r="Z89" t="s">
        <v>382</v>
      </c>
      <c r="AA89" t="s">
        <v>382</v>
      </c>
      <c r="AB89" t="s">
        <v>382</v>
      </c>
      <c r="AC89">
        <v>5</v>
      </c>
      <c r="AD89">
        <v>3</v>
      </c>
      <c r="AE89">
        <v>1</v>
      </c>
      <c r="AF89" t="s">
        <v>383</v>
      </c>
      <c r="AH89" t="s">
        <v>22</v>
      </c>
      <c r="AI89" t="s">
        <v>97</v>
      </c>
      <c r="AK89">
        <v>2674</v>
      </c>
      <c r="AL89">
        <v>1783</v>
      </c>
    </row>
    <row r="90" spans="1:38">
      <c r="A90" t="s">
        <v>382</v>
      </c>
      <c r="B90" t="s">
        <v>382</v>
      </c>
      <c r="C90" t="s">
        <v>382</v>
      </c>
      <c r="D90" t="s">
        <v>382</v>
      </c>
      <c r="E90" t="s">
        <v>382</v>
      </c>
      <c r="F90" t="s">
        <v>382</v>
      </c>
      <c r="G90" t="s">
        <v>382</v>
      </c>
      <c r="H90" t="s">
        <v>382</v>
      </c>
      <c r="I90" t="s">
        <v>382</v>
      </c>
      <c r="J90" t="s">
        <v>382</v>
      </c>
      <c r="K90" t="s">
        <v>382</v>
      </c>
      <c r="L90" t="s">
        <v>382</v>
      </c>
      <c r="M90" t="s">
        <v>382</v>
      </c>
      <c r="N90" t="s">
        <v>382</v>
      </c>
      <c r="O90" t="s">
        <v>382</v>
      </c>
      <c r="P90" t="s">
        <v>382</v>
      </c>
      <c r="Q90" t="s">
        <v>382</v>
      </c>
      <c r="R90" t="s">
        <v>382</v>
      </c>
      <c r="S90" t="s">
        <v>382</v>
      </c>
      <c r="T90" t="s">
        <v>382</v>
      </c>
      <c r="U90" t="s">
        <v>382</v>
      </c>
      <c r="V90" t="s">
        <v>382</v>
      </c>
      <c r="W90" t="s">
        <v>382</v>
      </c>
      <c r="X90" t="s">
        <v>382</v>
      </c>
      <c r="Y90" t="s">
        <v>382</v>
      </c>
      <c r="Z90" t="s">
        <v>382</v>
      </c>
      <c r="AA90" t="s">
        <v>382</v>
      </c>
      <c r="AB90" t="s">
        <v>382</v>
      </c>
      <c r="AC90">
        <v>5</v>
      </c>
      <c r="AD90">
        <v>4</v>
      </c>
      <c r="AF90" t="s">
        <v>386</v>
      </c>
      <c r="AH90" t="s">
        <v>29</v>
      </c>
      <c r="AI90" t="s">
        <v>103</v>
      </c>
      <c r="AK90">
        <v>3117</v>
      </c>
      <c r="AL90">
        <v>2482</v>
      </c>
    </row>
    <row r="91" spans="1:38">
      <c r="A91" t="s">
        <v>382</v>
      </c>
      <c r="B91" t="s">
        <v>382</v>
      </c>
      <c r="C91" t="s">
        <v>382</v>
      </c>
      <c r="D91" t="s">
        <v>382</v>
      </c>
      <c r="E91" t="s">
        <v>382</v>
      </c>
      <c r="F91" t="s">
        <v>382</v>
      </c>
      <c r="G91" t="s">
        <v>382</v>
      </c>
      <c r="H91" t="s">
        <v>382</v>
      </c>
      <c r="I91" t="s">
        <v>382</v>
      </c>
      <c r="J91" t="s">
        <v>382</v>
      </c>
      <c r="K91" t="s">
        <v>382</v>
      </c>
      <c r="L91" t="s">
        <v>382</v>
      </c>
      <c r="M91" t="s">
        <v>382</v>
      </c>
      <c r="N91" t="s">
        <v>382</v>
      </c>
      <c r="O91" t="s">
        <v>382</v>
      </c>
      <c r="P91" t="s">
        <v>382</v>
      </c>
      <c r="Q91" t="s">
        <v>382</v>
      </c>
      <c r="R91" t="s">
        <v>382</v>
      </c>
      <c r="S91" t="s">
        <v>382</v>
      </c>
      <c r="T91" t="s">
        <v>382</v>
      </c>
      <c r="U91" t="s">
        <v>382</v>
      </c>
      <c r="V91" t="s">
        <v>382</v>
      </c>
      <c r="W91" t="s">
        <v>382</v>
      </c>
      <c r="X91" t="s">
        <v>382</v>
      </c>
      <c r="Y91" t="s">
        <v>382</v>
      </c>
      <c r="Z91" t="s">
        <v>382</v>
      </c>
      <c r="AA91" t="s">
        <v>382</v>
      </c>
      <c r="AB91" t="s">
        <v>382</v>
      </c>
      <c r="AC91">
        <v>5</v>
      </c>
      <c r="AD91">
        <v>5</v>
      </c>
      <c r="AE91">
        <v>1</v>
      </c>
      <c r="AF91" t="s">
        <v>383</v>
      </c>
      <c r="AH91" t="s">
        <v>22</v>
      </c>
      <c r="AI91" t="s">
        <v>97</v>
      </c>
      <c r="AK91">
        <v>1988</v>
      </c>
      <c r="AL91">
        <v>1763</v>
      </c>
    </row>
    <row r="92" spans="1:38">
      <c r="A92" t="s">
        <v>382</v>
      </c>
      <c r="B92" t="s">
        <v>382</v>
      </c>
      <c r="C92" t="s">
        <v>382</v>
      </c>
      <c r="D92" t="s">
        <v>382</v>
      </c>
      <c r="E92" t="s">
        <v>382</v>
      </c>
      <c r="F92" t="s">
        <v>382</v>
      </c>
      <c r="G92" t="s">
        <v>382</v>
      </c>
      <c r="H92" t="s">
        <v>382</v>
      </c>
      <c r="I92" t="s">
        <v>382</v>
      </c>
      <c r="J92" t="s">
        <v>382</v>
      </c>
      <c r="K92" t="s">
        <v>382</v>
      </c>
      <c r="L92" t="s">
        <v>382</v>
      </c>
      <c r="M92" t="s">
        <v>382</v>
      </c>
      <c r="N92" t="s">
        <v>382</v>
      </c>
      <c r="O92" t="s">
        <v>382</v>
      </c>
      <c r="P92" t="s">
        <v>382</v>
      </c>
      <c r="Q92" t="s">
        <v>382</v>
      </c>
      <c r="R92" t="s">
        <v>382</v>
      </c>
      <c r="S92" t="s">
        <v>382</v>
      </c>
      <c r="T92" t="s">
        <v>382</v>
      </c>
      <c r="U92" t="s">
        <v>382</v>
      </c>
      <c r="V92" t="s">
        <v>382</v>
      </c>
      <c r="W92" t="s">
        <v>382</v>
      </c>
      <c r="X92" t="s">
        <v>382</v>
      </c>
      <c r="Y92" t="s">
        <v>382</v>
      </c>
      <c r="Z92" t="s">
        <v>382</v>
      </c>
      <c r="AA92" t="s">
        <v>382</v>
      </c>
      <c r="AB92" t="s">
        <v>382</v>
      </c>
      <c r="AC92">
        <v>5</v>
      </c>
      <c r="AD92">
        <v>1</v>
      </c>
      <c r="AF92" t="s">
        <v>386</v>
      </c>
      <c r="AH92" t="s">
        <v>29</v>
      </c>
      <c r="AI92" t="s">
        <v>103</v>
      </c>
      <c r="AK92">
        <v>2419</v>
      </c>
      <c r="AL92">
        <v>2211</v>
      </c>
    </row>
    <row r="93" spans="1:38">
      <c r="A93" t="s">
        <v>382</v>
      </c>
      <c r="B93" t="s">
        <v>382</v>
      </c>
      <c r="C93" t="s">
        <v>382</v>
      </c>
      <c r="D93" t="s">
        <v>382</v>
      </c>
      <c r="E93" t="s">
        <v>382</v>
      </c>
      <c r="F93" t="s">
        <v>382</v>
      </c>
      <c r="G93" t="s">
        <v>382</v>
      </c>
      <c r="H93" t="s">
        <v>382</v>
      </c>
      <c r="I93" t="s">
        <v>382</v>
      </c>
      <c r="J93" t="s">
        <v>382</v>
      </c>
      <c r="K93" t="s">
        <v>382</v>
      </c>
      <c r="L93" t="s">
        <v>382</v>
      </c>
      <c r="M93" t="s">
        <v>382</v>
      </c>
      <c r="N93" t="s">
        <v>382</v>
      </c>
      <c r="O93" t="s">
        <v>382</v>
      </c>
      <c r="P93" t="s">
        <v>382</v>
      </c>
      <c r="Q93" t="s">
        <v>382</v>
      </c>
      <c r="R93" t="s">
        <v>382</v>
      </c>
      <c r="S93" t="s">
        <v>382</v>
      </c>
      <c r="T93" t="s">
        <v>382</v>
      </c>
      <c r="U93" t="s">
        <v>382</v>
      </c>
      <c r="V93" t="s">
        <v>382</v>
      </c>
      <c r="W93" t="s">
        <v>382</v>
      </c>
      <c r="X93" t="s">
        <v>382</v>
      </c>
      <c r="Y93" t="s">
        <v>382</v>
      </c>
      <c r="Z93" t="s">
        <v>382</v>
      </c>
      <c r="AA93" t="s">
        <v>382</v>
      </c>
      <c r="AB93" t="s">
        <v>382</v>
      </c>
      <c r="AC93">
        <v>5</v>
      </c>
      <c r="AD93">
        <v>2</v>
      </c>
      <c r="AE93">
        <v>1</v>
      </c>
      <c r="AF93" t="s">
        <v>387</v>
      </c>
      <c r="AH93" t="s">
        <v>31</v>
      </c>
      <c r="AI93" t="s">
        <v>97</v>
      </c>
      <c r="AK93">
        <v>1018</v>
      </c>
      <c r="AL93">
        <v>1321</v>
      </c>
    </row>
    <row r="94" spans="1:38">
      <c r="A94" t="s">
        <v>382</v>
      </c>
      <c r="B94" t="s">
        <v>382</v>
      </c>
      <c r="C94" t="s">
        <v>382</v>
      </c>
      <c r="D94" t="s">
        <v>382</v>
      </c>
      <c r="E94" t="s">
        <v>382</v>
      </c>
      <c r="F94" t="s">
        <v>382</v>
      </c>
      <c r="G94" t="s">
        <v>382</v>
      </c>
      <c r="H94" t="s">
        <v>382</v>
      </c>
      <c r="I94" t="s">
        <v>382</v>
      </c>
      <c r="J94" t="s">
        <v>382</v>
      </c>
      <c r="K94" t="s">
        <v>382</v>
      </c>
      <c r="L94" t="s">
        <v>382</v>
      </c>
      <c r="M94" t="s">
        <v>382</v>
      </c>
      <c r="N94" t="s">
        <v>382</v>
      </c>
      <c r="O94" t="s">
        <v>382</v>
      </c>
      <c r="P94" t="s">
        <v>382</v>
      </c>
      <c r="Q94" t="s">
        <v>382</v>
      </c>
      <c r="R94" t="s">
        <v>382</v>
      </c>
      <c r="S94" t="s">
        <v>382</v>
      </c>
      <c r="T94" t="s">
        <v>382</v>
      </c>
      <c r="U94" t="s">
        <v>382</v>
      </c>
      <c r="V94" t="s">
        <v>382</v>
      </c>
      <c r="W94" t="s">
        <v>382</v>
      </c>
      <c r="X94" t="s">
        <v>382</v>
      </c>
      <c r="Y94" t="s">
        <v>382</v>
      </c>
      <c r="Z94" t="s">
        <v>382</v>
      </c>
      <c r="AA94" t="s">
        <v>382</v>
      </c>
      <c r="AB94" t="s">
        <v>382</v>
      </c>
      <c r="AC94">
        <v>5</v>
      </c>
      <c r="AD94">
        <v>3</v>
      </c>
      <c r="AF94" t="s">
        <v>386</v>
      </c>
      <c r="AH94" t="s">
        <v>29</v>
      </c>
      <c r="AI94" t="s">
        <v>103</v>
      </c>
      <c r="AK94">
        <v>2801</v>
      </c>
      <c r="AL94">
        <v>1268</v>
      </c>
    </row>
    <row r="95" spans="1:38">
      <c r="A95" t="s">
        <v>382</v>
      </c>
      <c r="B95" t="s">
        <v>382</v>
      </c>
      <c r="C95" t="s">
        <v>382</v>
      </c>
      <c r="D95" t="s">
        <v>382</v>
      </c>
      <c r="E95" t="s">
        <v>382</v>
      </c>
      <c r="F95" t="s">
        <v>382</v>
      </c>
      <c r="G95" t="s">
        <v>382</v>
      </c>
      <c r="H95" t="s">
        <v>382</v>
      </c>
      <c r="I95" t="s">
        <v>382</v>
      </c>
      <c r="J95" t="s">
        <v>382</v>
      </c>
      <c r="K95" t="s">
        <v>382</v>
      </c>
      <c r="L95" t="s">
        <v>382</v>
      </c>
      <c r="M95" t="s">
        <v>382</v>
      </c>
      <c r="N95" t="s">
        <v>382</v>
      </c>
      <c r="O95" t="s">
        <v>382</v>
      </c>
      <c r="P95" t="s">
        <v>382</v>
      </c>
      <c r="Q95" t="s">
        <v>382</v>
      </c>
      <c r="R95" t="s">
        <v>382</v>
      </c>
      <c r="S95" t="s">
        <v>382</v>
      </c>
      <c r="T95" t="s">
        <v>382</v>
      </c>
      <c r="U95" t="s">
        <v>382</v>
      </c>
      <c r="V95" t="s">
        <v>382</v>
      </c>
      <c r="W95" t="s">
        <v>382</v>
      </c>
      <c r="X95" t="s">
        <v>382</v>
      </c>
      <c r="Y95" t="s">
        <v>382</v>
      </c>
      <c r="Z95" t="s">
        <v>382</v>
      </c>
      <c r="AA95" t="s">
        <v>382</v>
      </c>
      <c r="AB95" t="s">
        <v>382</v>
      </c>
      <c r="AC95">
        <v>5</v>
      </c>
      <c r="AD95">
        <v>4</v>
      </c>
      <c r="AE95">
        <v>1</v>
      </c>
      <c r="AF95" t="s">
        <v>395</v>
      </c>
      <c r="AH95" t="s">
        <v>59</v>
      </c>
      <c r="AI95" t="s">
        <v>97</v>
      </c>
      <c r="AK95">
        <v>3197</v>
      </c>
      <c r="AL95">
        <v>2347</v>
      </c>
    </row>
    <row r="96" spans="1:38">
      <c r="A96" t="s">
        <v>382</v>
      </c>
      <c r="B96" t="s">
        <v>382</v>
      </c>
      <c r="C96" t="s">
        <v>382</v>
      </c>
      <c r="D96" t="s">
        <v>382</v>
      </c>
      <c r="E96" t="s">
        <v>382</v>
      </c>
      <c r="F96" t="s">
        <v>382</v>
      </c>
      <c r="G96" t="s">
        <v>382</v>
      </c>
      <c r="H96" t="s">
        <v>382</v>
      </c>
      <c r="I96" t="s">
        <v>382</v>
      </c>
      <c r="J96" t="s">
        <v>382</v>
      </c>
      <c r="K96" t="s">
        <v>382</v>
      </c>
      <c r="L96" t="s">
        <v>382</v>
      </c>
      <c r="M96" t="s">
        <v>382</v>
      </c>
      <c r="N96" t="s">
        <v>382</v>
      </c>
      <c r="O96" t="s">
        <v>382</v>
      </c>
      <c r="P96" t="s">
        <v>382</v>
      </c>
      <c r="Q96" t="s">
        <v>382</v>
      </c>
      <c r="R96" t="s">
        <v>382</v>
      </c>
      <c r="S96" t="s">
        <v>382</v>
      </c>
      <c r="T96" t="s">
        <v>382</v>
      </c>
      <c r="U96" t="s">
        <v>382</v>
      </c>
      <c r="V96" t="s">
        <v>382</v>
      </c>
      <c r="W96" t="s">
        <v>382</v>
      </c>
      <c r="X96" t="s">
        <v>382</v>
      </c>
      <c r="Y96" t="s">
        <v>382</v>
      </c>
      <c r="Z96" t="s">
        <v>382</v>
      </c>
      <c r="AA96" t="s">
        <v>382</v>
      </c>
      <c r="AB96" t="s">
        <v>382</v>
      </c>
      <c r="AC96">
        <v>5</v>
      </c>
      <c r="AD96">
        <v>5</v>
      </c>
      <c r="AF96" t="s">
        <v>385</v>
      </c>
      <c r="AH96" t="s">
        <v>27</v>
      </c>
      <c r="AI96" t="s">
        <v>109</v>
      </c>
      <c r="AK96">
        <v>3369</v>
      </c>
      <c r="AL96">
        <v>2155</v>
      </c>
    </row>
    <row r="97" spans="1:38">
      <c r="A97" t="s">
        <v>382</v>
      </c>
      <c r="B97" t="s">
        <v>382</v>
      </c>
      <c r="C97" t="s">
        <v>382</v>
      </c>
      <c r="D97" t="s">
        <v>382</v>
      </c>
      <c r="E97" t="s">
        <v>382</v>
      </c>
      <c r="F97" t="s">
        <v>382</v>
      </c>
      <c r="G97" t="s">
        <v>382</v>
      </c>
      <c r="H97" t="s">
        <v>382</v>
      </c>
      <c r="I97" t="s">
        <v>382</v>
      </c>
      <c r="J97" t="s">
        <v>382</v>
      </c>
      <c r="K97" t="s">
        <v>382</v>
      </c>
      <c r="L97" t="s">
        <v>382</v>
      </c>
      <c r="M97" t="s">
        <v>382</v>
      </c>
      <c r="N97" t="s">
        <v>382</v>
      </c>
      <c r="O97" t="s">
        <v>382</v>
      </c>
      <c r="P97" t="s">
        <v>382</v>
      </c>
      <c r="Q97" t="s">
        <v>382</v>
      </c>
      <c r="R97" t="s">
        <v>382</v>
      </c>
      <c r="S97" t="s">
        <v>382</v>
      </c>
      <c r="T97" t="s">
        <v>382</v>
      </c>
      <c r="U97" t="s">
        <v>382</v>
      </c>
      <c r="V97" t="s">
        <v>382</v>
      </c>
      <c r="W97" t="s">
        <v>382</v>
      </c>
      <c r="X97" t="s">
        <v>382</v>
      </c>
      <c r="Y97" t="s">
        <v>382</v>
      </c>
      <c r="Z97" t="s">
        <v>382</v>
      </c>
      <c r="AA97" t="s">
        <v>382</v>
      </c>
      <c r="AB97" t="s">
        <v>382</v>
      </c>
      <c r="AC97">
        <v>5</v>
      </c>
      <c r="AD97">
        <v>1</v>
      </c>
      <c r="AF97" t="s">
        <v>386</v>
      </c>
      <c r="AH97" t="s">
        <v>29</v>
      </c>
      <c r="AI97" t="s">
        <v>103</v>
      </c>
      <c r="AK97">
        <v>2435</v>
      </c>
      <c r="AL97">
        <v>2397</v>
      </c>
    </row>
    <row r="98" spans="1:38">
      <c r="A98" t="s">
        <v>382</v>
      </c>
      <c r="B98" t="s">
        <v>382</v>
      </c>
      <c r="C98" t="s">
        <v>382</v>
      </c>
      <c r="D98" t="s">
        <v>382</v>
      </c>
      <c r="E98" t="s">
        <v>382</v>
      </c>
      <c r="F98" t="s">
        <v>382</v>
      </c>
      <c r="G98" t="s">
        <v>382</v>
      </c>
      <c r="H98" t="s">
        <v>382</v>
      </c>
      <c r="I98" t="s">
        <v>382</v>
      </c>
      <c r="J98" t="s">
        <v>382</v>
      </c>
      <c r="K98" t="s">
        <v>382</v>
      </c>
      <c r="L98" t="s">
        <v>382</v>
      </c>
      <c r="M98" t="s">
        <v>382</v>
      </c>
      <c r="N98" t="s">
        <v>382</v>
      </c>
      <c r="O98" t="s">
        <v>382</v>
      </c>
      <c r="P98" t="s">
        <v>382</v>
      </c>
      <c r="Q98" t="s">
        <v>382</v>
      </c>
      <c r="R98" t="s">
        <v>382</v>
      </c>
      <c r="S98" t="s">
        <v>382</v>
      </c>
      <c r="T98" t="s">
        <v>382</v>
      </c>
      <c r="U98" t="s">
        <v>382</v>
      </c>
      <c r="V98" t="s">
        <v>382</v>
      </c>
      <c r="W98" t="s">
        <v>382</v>
      </c>
      <c r="X98" t="s">
        <v>382</v>
      </c>
      <c r="Y98" t="s">
        <v>382</v>
      </c>
      <c r="Z98" t="s">
        <v>382</v>
      </c>
      <c r="AA98" t="s">
        <v>382</v>
      </c>
      <c r="AB98" t="s">
        <v>382</v>
      </c>
      <c r="AC98">
        <v>5</v>
      </c>
      <c r="AD98">
        <v>2</v>
      </c>
      <c r="AF98" t="s">
        <v>384</v>
      </c>
      <c r="AH98" t="s">
        <v>25</v>
      </c>
      <c r="AI98" t="s">
        <v>106</v>
      </c>
      <c r="AK98">
        <v>2903</v>
      </c>
      <c r="AL98">
        <v>1821</v>
      </c>
    </row>
    <row r="99" spans="1:38">
      <c r="A99" t="s">
        <v>382</v>
      </c>
      <c r="B99" t="s">
        <v>382</v>
      </c>
      <c r="C99" t="s">
        <v>382</v>
      </c>
      <c r="D99" t="s">
        <v>382</v>
      </c>
      <c r="E99" t="s">
        <v>382</v>
      </c>
      <c r="F99" t="s">
        <v>382</v>
      </c>
      <c r="G99" t="s">
        <v>382</v>
      </c>
      <c r="H99" t="s">
        <v>382</v>
      </c>
      <c r="I99" t="s">
        <v>382</v>
      </c>
      <c r="J99" t="s">
        <v>382</v>
      </c>
      <c r="K99" t="s">
        <v>382</v>
      </c>
      <c r="L99" t="s">
        <v>382</v>
      </c>
      <c r="M99" t="s">
        <v>382</v>
      </c>
      <c r="N99" t="s">
        <v>382</v>
      </c>
      <c r="O99" t="s">
        <v>382</v>
      </c>
      <c r="P99" t="s">
        <v>382</v>
      </c>
      <c r="Q99" t="s">
        <v>382</v>
      </c>
      <c r="R99" t="s">
        <v>382</v>
      </c>
      <c r="S99" t="s">
        <v>382</v>
      </c>
      <c r="T99" t="s">
        <v>382</v>
      </c>
      <c r="U99" t="s">
        <v>382</v>
      </c>
      <c r="V99" t="s">
        <v>382</v>
      </c>
      <c r="W99" t="s">
        <v>382</v>
      </c>
      <c r="X99" t="s">
        <v>382</v>
      </c>
      <c r="Y99" t="s">
        <v>382</v>
      </c>
      <c r="Z99" t="s">
        <v>382</v>
      </c>
      <c r="AA99" t="s">
        <v>382</v>
      </c>
      <c r="AB99" t="s">
        <v>382</v>
      </c>
      <c r="AC99">
        <v>5</v>
      </c>
      <c r="AD99">
        <v>3</v>
      </c>
      <c r="AF99" t="s">
        <v>384</v>
      </c>
      <c r="AH99" t="s">
        <v>25</v>
      </c>
      <c r="AI99" t="s">
        <v>106</v>
      </c>
      <c r="AK99">
        <v>1018</v>
      </c>
      <c r="AL99">
        <v>313</v>
      </c>
    </row>
    <row r="100" spans="1:38">
      <c r="A100" t="s">
        <v>382</v>
      </c>
      <c r="B100" t="s">
        <v>382</v>
      </c>
      <c r="C100" t="s">
        <v>382</v>
      </c>
      <c r="D100" t="s">
        <v>382</v>
      </c>
      <c r="E100" t="s">
        <v>382</v>
      </c>
      <c r="F100" t="s">
        <v>382</v>
      </c>
      <c r="G100" t="s">
        <v>382</v>
      </c>
      <c r="H100" t="s">
        <v>382</v>
      </c>
      <c r="I100" t="s">
        <v>382</v>
      </c>
      <c r="J100" t="s">
        <v>382</v>
      </c>
      <c r="K100" t="s">
        <v>382</v>
      </c>
      <c r="L100" t="s">
        <v>382</v>
      </c>
      <c r="M100" t="s">
        <v>382</v>
      </c>
      <c r="N100" t="s">
        <v>382</v>
      </c>
      <c r="O100" t="s">
        <v>382</v>
      </c>
      <c r="P100" t="s">
        <v>382</v>
      </c>
      <c r="Q100" t="s">
        <v>382</v>
      </c>
      <c r="R100" t="s">
        <v>382</v>
      </c>
      <c r="S100" t="s">
        <v>382</v>
      </c>
      <c r="T100" t="s">
        <v>382</v>
      </c>
      <c r="U100" t="s">
        <v>382</v>
      </c>
      <c r="V100" t="s">
        <v>382</v>
      </c>
      <c r="W100" t="s">
        <v>382</v>
      </c>
      <c r="X100" t="s">
        <v>382</v>
      </c>
      <c r="Y100" t="s">
        <v>382</v>
      </c>
      <c r="Z100" t="s">
        <v>382</v>
      </c>
      <c r="AA100" t="s">
        <v>382</v>
      </c>
      <c r="AB100" t="s">
        <v>382</v>
      </c>
      <c r="AC100">
        <v>5</v>
      </c>
      <c r="AD100">
        <v>4</v>
      </c>
      <c r="AF100" t="s">
        <v>386</v>
      </c>
      <c r="AH100" t="s">
        <v>29</v>
      </c>
      <c r="AI100" t="s">
        <v>103</v>
      </c>
      <c r="AK100">
        <v>1718</v>
      </c>
      <c r="AL100">
        <v>210</v>
      </c>
    </row>
    <row r="101" spans="1:38">
      <c r="A101" t="s">
        <v>382</v>
      </c>
      <c r="B101" t="s">
        <v>382</v>
      </c>
      <c r="C101" t="s">
        <v>382</v>
      </c>
      <c r="D101" t="s">
        <v>382</v>
      </c>
      <c r="E101" t="s">
        <v>382</v>
      </c>
      <c r="F101" t="s">
        <v>382</v>
      </c>
      <c r="G101" t="s">
        <v>382</v>
      </c>
      <c r="H101" t="s">
        <v>382</v>
      </c>
      <c r="I101" t="s">
        <v>382</v>
      </c>
      <c r="J101" t="s">
        <v>382</v>
      </c>
      <c r="K101" t="s">
        <v>382</v>
      </c>
      <c r="L101" t="s">
        <v>382</v>
      </c>
      <c r="M101" t="s">
        <v>382</v>
      </c>
      <c r="N101" t="s">
        <v>382</v>
      </c>
      <c r="O101" t="s">
        <v>382</v>
      </c>
      <c r="P101" t="s">
        <v>382</v>
      </c>
      <c r="Q101" t="s">
        <v>382</v>
      </c>
      <c r="R101" t="s">
        <v>382</v>
      </c>
      <c r="S101" t="s">
        <v>382</v>
      </c>
      <c r="T101" t="s">
        <v>382</v>
      </c>
      <c r="U101" t="s">
        <v>382</v>
      </c>
      <c r="V101" t="s">
        <v>382</v>
      </c>
      <c r="W101" t="s">
        <v>382</v>
      </c>
      <c r="X101" t="s">
        <v>382</v>
      </c>
      <c r="Y101" t="s">
        <v>382</v>
      </c>
      <c r="Z101" t="s">
        <v>382</v>
      </c>
      <c r="AA101" t="s">
        <v>382</v>
      </c>
      <c r="AB101" t="s">
        <v>382</v>
      </c>
      <c r="AC101">
        <v>5</v>
      </c>
      <c r="AD101">
        <v>5</v>
      </c>
      <c r="AE101">
        <v>1</v>
      </c>
      <c r="AF101" t="s">
        <v>393</v>
      </c>
      <c r="AH101" t="s">
        <v>51</v>
      </c>
      <c r="AI101" t="s">
        <v>97</v>
      </c>
      <c r="AK101">
        <v>951</v>
      </c>
      <c r="AL101">
        <v>2188</v>
      </c>
    </row>
    <row r="102" spans="1:38">
      <c r="A102" t="s">
        <v>382</v>
      </c>
      <c r="B102" t="s">
        <v>382</v>
      </c>
      <c r="C102" t="s">
        <v>382</v>
      </c>
      <c r="D102" t="s">
        <v>382</v>
      </c>
      <c r="E102" t="s">
        <v>382</v>
      </c>
      <c r="F102" t="s">
        <v>382</v>
      </c>
      <c r="G102" t="s">
        <v>382</v>
      </c>
      <c r="H102" t="s">
        <v>382</v>
      </c>
      <c r="I102" t="s">
        <v>382</v>
      </c>
      <c r="J102" t="s">
        <v>382</v>
      </c>
      <c r="K102" t="s">
        <v>382</v>
      </c>
      <c r="L102" t="s">
        <v>382</v>
      </c>
      <c r="M102" t="s">
        <v>382</v>
      </c>
      <c r="N102" t="s">
        <v>382</v>
      </c>
      <c r="O102" t="s">
        <v>382</v>
      </c>
      <c r="P102" t="s">
        <v>382</v>
      </c>
      <c r="Q102" t="s">
        <v>382</v>
      </c>
      <c r="R102" t="s">
        <v>382</v>
      </c>
      <c r="S102" t="s">
        <v>382</v>
      </c>
      <c r="T102" t="s">
        <v>382</v>
      </c>
      <c r="U102" t="s">
        <v>382</v>
      </c>
      <c r="V102" t="s">
        <v>382</v>
      </c>
      <c r="W102" t="s">
        <v>382</v>
      </c>
      <c r="X102" t="s">
        <v>382</v>
      </c>
      <c r="Y102" t="s">
        <v>382</v>
      </c>
      <c r="Z102" t="s">
        <v>382</v>
      </c>
      <c r="AA102" t="s">
        <v>382</v>
      </c>
      <c r="AB102" t="s">
        <v>382</v>
      </c>
      <c r="AC102">
        <v>5</v>
      </c>
      <c r="AD102">
        <v>1</v>
      </c>
      <c r="AF102" t="s">
        <v>386</v>
      </c>
      <c r="AH102" t="s">
        <v>29</v>
      </c>
      <c r="AI102" t="s">
        <v>103</v>
      </c>
      <c r="AK102">
        <v>2783</v>
      </c>
      <c r="AL102">
        <v>62</v>
      </c>
    </row>
    <row r="103" spans="1:38">
      <c r="A103" t="s">
        <v>382</v>
      </c>
      <c r="B103" t="s">
        <v>382</v>
      </c>
      <c r="C103" t="s">
        <v>382</v>
      </c>
      <c r="D103" t="s">
        <v>382</v>
      </c>
      <c r="E103" t="s">
        <v>382</v>
      </c>
      <c r="F103" t="s">
        <v>382</v>
      </c>
      <c r="G103" t="s">
        <v>382</v>
      </c>
      <c r="H103" t="s">
        <v>382</v>
      </c>
      <c r="I103" t="s">
        <v>382</v>
      </c>
      <c r="J103" t="s">
        <v>382</v>
      </c>
      <c r="K103" t="s">
        <v>382</v>
      </c>
      <c r="L103" t="s">
        <v>382</v>
      </c>
      <c r="M103" t="s">
        <v>382</v>
      </c>
      <c r="N103" t="s">
        <v>382</v>
      </c>
      <c r="O103" t="s">
        <v>382</v>
      </c>
      <c r="P103" t="s">
        <v>382</v>
      </c>
      <c r="Q103" t="s">
        <v>382</v>
      </c>
      <c r="R103" t="s">
        <v>382</v>
      </c>
      <c r="S103" t="s">
        <v>382</v>
      </c>
      <c r="T103" t="s">
        <v>382</v>
      </c>
      <c r="U103" t="s">
        <v>382</v>
      </c>
      <c r="V103" t="s">
        <v>382</v>
      </c>
      <c r="W103" t="s">
        <v>382</v>
      </c>
      <c r="X103" t="s">
        <v>382</v>
      </c>
      <c r="Y103" t="s">
        <v>382</v>
      </c>
      <c r="Z103" t="s">
        <v>382</v>
      </c>
      <c r="AA103" t="s">
        <v>382</v>
      </c>
      <c r="AB103" t="s">
        <v>382</v>
      </c>
      <c r="AC103">
        <v>5</v>
      </c>
      <c r="AD103">
        <v>2</v>
      </c>
      <c r="AE103">
        <v>1</v>
      </c>
      <c r="AF103" t="s">
        <v>383</v>
      </c>
      <c r="AH103" t="s">
        <v>22</v>
      </c>
      <c r="AI103" t="s">
        <v>97</v>
      </c>
      <c r="AK103">
        <v>1334</v>
      </c>
      <c r="AL103">
        <v>1639</v>
      </c>
    </row>
    <row r="104" spans="1:38">
      <c r="A104" t="s">
        <v>382</v>
      </c>
      <c r="B104" t="s">
        <v>382</v>
      </c>
      <c r="C104" t="s">
        <v>382</v>
      </c>
      <c r="D104" t="s">
        <v>382</v>
      </c>
      <c r="E104" t="s">
        <v>382</v>
      </c>
      <c r="F104" t="s">
        <v>382</v>
      </c>
      <c r="G104" t="s">
        <v>382</v>
      </c>
      <c r="H104" t="s">
        <v>382</v>
      </c>
      <c r="I104" t="s">
        <v>382</v>
      </c>
      <c r="J104" t="s">
        <v>382</v>
      </c>
      <c r="K104" t="s">
        <v>382</v>
      </c>
      <c r="L104" t="s">
        <v>382</v>
      </c>
      <c r="M104" t="s">
        <v>382</v>
      </c>
      <c r="N104" t="s">
        <v>382</v>
      </c>
      <c r="O104" t="s">
        <v>382</v>
      </c>
      <c r="P104" t="s">
        <v>382</v>
      </c>
      <c r="Q104" t="s">
        <v>382</v>
      </c>
      <c r="R104" t="s">
        <v>382</v>
      </c>
      <c r="S104" t="s">
        <v>382</v>
      </c>
      <c r="T104" t="s">
        <v>382</v>
      </c>
      <c r="U104" t="s">
        <v>382</v>
      </c>
      <c r="V104" t="s">
        <v>382</v>
      </c>
      <c r="W104" t="s">
        <v>382</v>
      </c>
      <c r="X104" t="s">
        <v>382</v>
      </c>
      <c r="Y104" t="s">
        <v>382</v>
      </c>
      <c r="Z104" t="s">
        <v>382</v>
      </c>
      <c r="AA104" t="s">
        <v>382</v>
      </c>
      <c r="AB104" t="s">
        <v>382</v>
      </c>
      <c r="AC104">
        <v>5</v>
      </c>
      <c r="AD104">
        <v>3</v>
      </c>
      <c r="AE104">
        <v>1</v>
      </c>
      <c r="AF104" t="s">
        <v>383</v>
      </c>
      <c r="AH104" t="s">
        <v>22</v>
      </c>
      <c r="AI104" t="s">
        <v>97</v>
      </c>
      <c r="AK104">
        <v>612</v>
      </c>
      <c r="AL104">
        <v>2337</v>
      </c>
    </row>
    <row r="105" spans="1:38">
      <c r="A105" t="s">
        <v>382</v>
      </c>
      <c r="B105" t="s">
        <v>382</v>
      </c>
      <c r="C105" t="s">
        <v>382</v>
      </c>
      <c r="D105" t="s">
        <v>382</v>
      </c>
      <c r="E105" t="s">
        <v>382</v>
      </c>
      <c r="F105" t="s">
        <v>382</v>
      </c>
      <c r="G105" t="s">
        <v>382</v>
      </c>
      <c r="H105" t="s">
        <v>382</v>
      </c>
      <c r="I105" t="s">
        <v>382</v>
      </c>
      <c r="J105" t="s">
        <v>382</v>
      </c>
      <c r="K105" t="s">
        <v>382</v>
      </c>
      <c r="L105" t="s">
        <v>382</v>
      </c>
      <c r="M105" t="s">
        <v>382</v>
      </c>
      <c r="N105" t="s">
        <v>382</v>
      </c>
      <c r="O105" t="s">
        <v>382</v>
      </c>
      <c r="P105" t="s">
        <v>382</v>
      </c>
      <c r="Q105" t="s">
        <v>382</v>
      </c>
      <c r="R105" t="s">
        <v>382</v>
      </c>
      <c r="S105" t="s">
        <v>382</v>
      </c>
      <c r="T105" t="s">
        <v>382</v>
      </c>
      <c r="U105" t="s">
        <v>382</v>
      </c>
      <c r="V105" t="s">
        <v>382</v>
      </c>
      <c r="W105" t="s">
        <v>382</v>
      </c>
      <c r="X105" t="s">
        <v>382</v>
      </c>
      <c r="Y105" t="s">
        <v>382</v>
      </c>
      <c r="Z105" t="s">
        <v>382</v>
      </c>
      <c r="AA105" t="s">
        <v>382</v>
      </c>
      <c r="AB105" t="s">
        <v>382</v>
      </c>
      <c r="AC105">
        <v>5</v>
      </c>
      <c r="AD105">
        <v>4</v>
      </c>
      <c r="AE105">
        <v>1</v>
      </c>
      <c r="AF105" t="s">
        <v>383</v>
      </c>
      <c r="AH105" t="s">
        <v>22</v>
      </c>
      <c r="AI105" t="s">
        <v>97</v>
      </c>
      <c r="AK105">
        <v>1186</v>
      </c>
      <c r="AL105">
        <v>870</v>
      </c>
    </row>
    <row r="106" spans="1:38">
      <c r="A106" t="s">
        <v>382</v>
      </c>
      <c r="B106" t="s">
        <v>382</v>
      </c>
      <c r="C106" t="s">
        <v>382</v>
      </c>
      <c r="D106" t="s">
        <v>382</v>
      </c>
      <c r="E106" t="s">
        <v>382</v>
      </c>
      <c r="F106" t="s">
        <v>382</v>
      </c>
      <c r="G106" t="s">
        <v>382</v>
      </c>
      <c r="H106" t="s">
        <v>382</v>
      </c>
      <c r="I106" t="s">
        <v>382</v>
      </c>
      <c r="J106" t="s">
        <v>382</v>
      </c>
      <c r="K106" t="s">
        <v>382</v>
      </c>
      <c r="L106" t="s">
        <v>382</v>
      </c>
      <c r="M106" t="s">
        <v>382</v>
      </c>
      <c r="N106" t="s">
        <v>382</v>
      </c>
      <c r="O106" t="s">
        <v>382</v>
      </c>
      <c r="P106" t="s">
        <v>382</v>
      </c>
      <c r="Q106" t="s">
        <v>382</v>
      </c>
      <c r="R106" t="s">
        <v>382</v>
      </c>
      <c r="S106" t="s">
        <v>382</v>
      </c>
      <c r="T106" t="s">
        <v>382</v>
      </c>
      <c r="U106" t="s">
        <v>382</v>
      </c>
      <c r="V106" t="s">
        <v>382</v>
      </c>
      <c r="W106" t="s">
        <v>382</v>
      </c>
      <c r="X106" t="s">
        <v>382</v>
      </c>
      <c r="Y106" t="s">
        <v>382</v>
      </c>
      <c r="Z106" t="s">
        <v>382</v>
      </c>
      <c r="AA106" t="s">
        <v>382</v>
      </c>
      <c r="AB106" t="s">
        <v>382</v>
      </c>
      <c r="AC106">
        <v>5</v>
      </c>
      <c r="AD106">
        <v>5</v>
      </c>
      <c r="AE106">
        <v>1</v>
      </c>
      <c r="AF106" t="s">
        <v>383</v>
      </c>
      <c r="AH106" t="s">
        <v>22</v>
      </c>
      <c r="AI106" t="s">
        <v>97</v>
      </c>
      <c r="AK106">
        <v>2070</v>
      </c>
      <c r="AL106">
        <v>1222</v>
      </c>
    </row>
    <row r="107" spans="1:38">
      <c r="A107" t="s">
        <v>382</v>
      </c>
      <c r="B107" t="s">
        <v>382</v>
      </c>
      <c r="C107" t="s">
        <v>382</v>
      </c>
      <c r="D107" t="s">
        <v>382</v>
      </c>
      <c r="E107" t="s">
        <v>382</v>
      </c>
      <c r="F107" t="s">
        <v>382</v>
      </c>
      <c r="G107" t="s">
        <v>382</v>
      </c>
      <c r="H107" t="s">
        <v>382</v>
      </c>
      <c r="I107" t="s">
        <v>382</v>
      </c>
      <c r="J107" t="s">
        <v>382</v>
      </c>
      <c r="K107" t="s">
        <v>382</v>
      </c>
      <c r="L107" t="s">
        <v>382</v>
      </c>
      <c r="M107" t="s">
        <v>382</v>
      </c>
      <c r="N107" t="s">
        <v>382</v>
      </c>
      <c r="O107" t="s">
        <v>382</v>
      </c>
      <c r="P107" t="s">
        <v>382</v>
      </c>
      <c r="Q107" t="s">
        <v>382</v>
      </c>
      <c r="R107" t="s">
        <v>382</v>
      </c>
      <c r="S107" t="s">
        <v>382</v>
      </c>
      <c r="T107" t="s">
        <v>382</v>
      </c>
      <c r="U107" t="s">
        <v>382</v>
      </c>
      <c r="V107" t="s">
        <v>382</v>
      </c>
      <c r="W107" t="s">
        <v>382</v>
      </c>
      <c r="X107" t="s">
        <v>382</v>
      </c>
      <c r="Y107" t="s">
        <v>382</v>
      </c>
      <c r="Z107" t="s">
        <v>382</v>
      </c>
      <c r="AA107" t="s">
        <v>382</v>
      </c>
      <c r="AB107" t="s">
        <v>382</v>
      </c>
      <c r="AC107">
        <v>5</v>
      </c>
      <c r="AD107">
        <v>1</v>
      </c>
      <c r="AF107" t="s">
        <v>386</v>
      </c>
      <c r="AH107" t="s">
        <v>29</v>
      </c>
      <c r="AI107" t="s">
        <v>103</v>
      </c>
      <c r="AK107">
        <v>2825</v>
      </c>
      <c r="AL107">
        <v>1264</v>
      </c>
    </row>
    <row r="108" spans="1:38">
      <c r="A108" t="s">
        <v>382</v>
      </c>
      <c r="B108" t="s">
        <v>382</v>
      </c>
      <c r="C108" t="s">
        <v>382</v>
      </c>
      <c r="D108" t="s">
        <v>382</v>
      </c>
      <c r="E108" t="s">
        <v>382</v>
      </c>
      <c r="F108" t="s">
        <v>382</v>
      </c>
      <c r="G108" t="s">
        <v>382</v>
      </c>
      <c r="H108" t="s">
        <v>382</v>
      </c>
      <c r="I108" t="s">
        <v>382</v>
      </c>
      <c r="J108" t="s">
        <v>382</v>
      </c>
      <c r="K108" t="s">
        <v>382</v>
      </c>
      <c r="L108" t="s">
        <v>382</v>
      </c>
      <c r="M108" t="s">
        <v>382</v>
      </c>
      <c r="N108" t="s">
        <v>382</v>
      </c>
      <c r="O108" t="s">
        <v>382</v>
      </c>
      <c r="P108" t="s">
        <v>382</v>
      </c>
      <c r="Q108" t="s">
        <v>382</v>
      </c>
      <c r="R108" t="s">
        <v>382</v>
      </c>
      <c r="S108" t="s">
        <v>382</v>
      </c>
      <c r="T108" t="s">
        <v>382</v>
      </c>
      <c r="U108" t="s">
        <v>382</v>
      </c>
      <c r="V108" t="s">
        <v>382</v>
      </c>
      <c r="W108" t="s">
        <v>382</v>
      </c>
      <c r="X108" t="s">
        <v>382</v>
      </c>
      <c r="Y108" t="s">
        <v>382</v>
      </c>
      <c r="Z108" t="s">
        <v>382</v>
      </c>
      <c r="AA108" t="s">
        <v>382</v>
      </c>
      <c r="AB108" t="s">
        <v>382</v>
      </c>
      <c r="AC108">
        <v>5</v>
      </c>
      <c r="AD108">
        <v>2</v>
      </c>
      <c r="AF108" t="s">
        <v>385</v>
      </c>
      <c r="AH108" t="s">
        <v>27</v>
      </c>
      <c r="AI108" t="s">
        <v>109</v>
      </c>
      <c r="AK108">
        <v>581</v>
      </c>
      <c r="AL108">
        <v>1185</v>
      </c>
    </row>
    <row r="109" spans="1:38">
      <c r="A109" t="s">
        <v>382</v>
      </c>
      <c r="B109" t="s">
        <v>382</v>
      </c>
      <c r="C109" t="s">
        <v>382</v>
      </c>
      <c r="D109" t="s">
        <v>382</v>
      </c>
      <c r="E109" t="s">
        <v>382</v>
      </c>
      <c r="F109" t="s">
        <v>382</v>
      </c>
      <c r="G109" t="s">
        <v>382</v>
      </c>
      <c r="H109" t="s">
        <v>382</v>
      </c>
      <c r="I109" t="s">
        <v>382</v>
      </c>
      <c r="J109" t="s">
        <v>382</v>
      </c>
      <c r="K109" t="s">
        <v>382</v>
      </c>
      <c r="L109" t="s">
        <v>382</v>
      </c>
      <c r="M109" t="s">
        <v>382</v>
      </c>
      <c r="N109" t="s">
        <v>382</v>
      </c>
      <c r="O109" t="s">
        <v>382</v>
      </c>
      <c r="P109" t="s">
        <v>382</v>
      </c>
      <c r="Q109" t="s">
        <v>382</v>
      </c>
      <c r="R109" t="s">
        <v>382</v>
      </c>
      <c r="S109" t="s">
        <v>382</v>
      </c>
      <c r="T109" t="s">
        <v>382</v>
      </c>
      <c r="U109" t="s">
        <v>382</v>
      </c>
      <c r="V109" t="s">
        <v>382</v>
      </c>
      <c r="W109" t="s">
        <v>382</v>
      </c>
      <c r="X109" t="s">
        <v>382</v>
      </c>
      <c r="Y109" t="s">
        <v>382</v>
      </c>
      <c r="Z109" t="s">
        <v>382</v>
      </c>
      <c r="AA109" t="s">
        <v>382</v>
      </c>
      <c r="AB109" t="s">
        <v>382</v>
      </c>
      <c r="AC109">
        <v>5</v>
      </c>
      <c r="AD109">
        <v>3</v>
      </c>
      <c r="AF109" t="s">
        <v>386</v>
      </c>
      <c r="AH109" t="s">
        <v>29</v>
      </c>
      <c r="AI109" t="s">
        <v>103</v>
      </c>
      <c r="AK109">
        <v>1264</v>
      </c>
      <c r="AL109">
        <v>2328</v>
      </c>
    </row>
    <row r="110" spans="1:38">
      <c r="A110" t="s">
        <v>382</v>
      </c>
      <c r="B110" t="s">
        <v>382</v>
      </c>
      <c r="C110" t="s">
        <v>382</v>
      </c>
      <c r="D110" t="s">
        <v>382</v>
      </c>
      <c r="E110" t="s">
        <v>382</v>
      </c>
      <c r="F110" t="s">
        <v>382</v>
      </c>
      <c r="G110" t="s">
        <v>382</v>
      </c>
      <c r="H110" t="s">
        <v>382</v>
      </c>
      <c r="I110" t="s">
        <v>382</v>
      </c>
      <c r="J110" t="s">
        <v>382</v>
      </c>
      <c r="K110" t="s">
        <v>382</v>
      </c>
      <c r="L110" t="s">
        <v>382</v>
      </c>
      <c r="M110" t="s">
        <v>382</v>
      </c>
      <c r="N110" t="s">
        <v>382</v>
      </c>
      <c r="O110" t="s">
        <v>382</v>
      </c>
      <c r="P110" t="s">
        <v>382</v>
      </c>
      <c r="Q110" t="s">
        <v>382</v>
      </c>
      <c r="R110" t="s">
        <v>382</v>
      </c>
      <c r="S110" t="s">
        <v>382</v>
      </c>
      <c r="T110" t="s">
        <v>382</v>
      </c>
      <c r="U110" t="s">
        <v>382</v>
      </c>
      <c r="V110" t="s">
        <v>382</v>
      </c>
      <c r="W110" t="s">
        <v>382</v>
      </c>
      <c r="X110" t="s">
        <v>382</v>
      </c>
      <c r="Y110" t="s">
        <v>382</v>
      </c>
      <c r="Z110" t="s">
        <v>382</v>
      </c>
      <c r="AA110" t="s">
        <v>382</v>
      </c>
      <c r="AB110" t="s">
        <v>382</v>
      </c>
      <c r="AC110">
        <v>5</v>
      </c>
      <c r="AD110">
        <v>4</v>
      </c>
      <c r="AF110" t="s">
        <v>385</v>
      </c>
      <c r="AH110" t="s">
        <v>27</v>
      </c>
      <c r="AI110" t="s">
        <v>109</v>
      </c>
      <c r="AK110">
        <v>1523</v>
      </c>
      <c r="AL110">
        <v>2497</v>
      </c>
    </row>
    <row r="111" spans="1:38">
      <c r="A111" t="s">
        <v>382</v>
      </c>
      <c r="B111" t="s">
        <v>382</v>
      </c>
      <c r="C111" t="s">
        <v>382</v>
      </c>
      <c r="D111" t="s">
        <v>382</v>
      </c>
      <c r="E111" t="s">
        <v>382</v>
      </c>
      <c r="F111" t="s">
        <v>382</v>
      </c>
      <c r="G111" t="s">
        <v>382</v>
      </c>
      <c r="H111" t="s">
        <v>382</v>
      </c>
      <c r="I111" t="s">
        <v>382</v>
      </c>
      <c r="J111" t="s">
        <v>382</v>
      </c>
      <c r="K111" t="s">
        <v>382</v>
      </c>
      <c r="L111" t="s">
        <v>382</v>
      </c>
      <c r="M111" t="s">
        <v>382</v>
      </c>
      <c r="N111" t="s">
        <v>382</v>
      </c>
      <c r="O111" t="s">
        <v>382</v>
      </c>
      <c r="P111" t="s">
        <v>382</v>
      </c>
      <c r="Q111" t="s">
        <v>382</v>
      </c>
      <c r="R111" t="s">
        <v>382</v>
      </c>
      <c r="S111" t="s">
        <v>382</v>
      </c>
      <c r="T111" t="s">
        <v>382</v>
      </c>
      <c r="U111" t="s">
        <v>382</v>
      </c>
      <c r="V111" t="s">
        <v>382</v>
      </c>
      <c r="W111" t="s">
        <v>382</v>
      </c>
      <c r="X111" t="s">
        <v>382</v>
      </c>
      <c r="Y111" t="s">
        <v>382</v>
      </c>
      <c r="Z111" t="s">
        <v>382</v>
      </c>
      <c r="AA111" t="s">
        <v>382</v>
      </c>
      <c r="AB111" t="s">
        <v>382</v>
      </c>
      <c r="AC111">
        <v>5</v>
      </c>
      <c r="AD111">
        <v>5</v>
      </c>
      <c r="AE111">
        <v>1</v>
      </c>
      <c r="AF111" t="s">
        <v>389</v>
      </c>
      <c r="AH111" t="s">
        <v>35</v>
      </c>
      <c r="AI111" t="s">
        <v>97</v>
      </c>
      <c r="AK111">
        <v>1081</v>
      </c>
      <c r="AL111">
        <v>1588</v>
      </c>
    </row>
    <row r="112" spans="1:38">
      <c r="A112" t="s">
        <v>382</v>
      </c>
      <c r="B112" t="s">
        <v>382</v>
      </c>
      <c r="C112" t="s">
        <v>382</v>
      </c>
      <c r="D112" t="s">
        <v>382</v>
      </c>
      <c r="E112" t="s">
        <v>382</v>
      </c>
      <c r="F112" t="s">
        <v>382</v>
      </c>
      <c r="G112" t="s">
        <v>382</v>
      </c>
      <c r="H112" t="s">
        <v>382</v>
      </c>
      <c r="I112" t="s">
        <v>382</v>
      </c>
      <c r="J112" t="s">
        <v>382</v>
      </c>
      <c r="K112" t="s">
        <v>382</v>
      </c>
      <c r="L112" t="s">
        <v>382</v>
      </c>
      <c r="M112" t="s">
        <v>382</v>
      </c>
      <c r="N112" t="s">
        <v>382</v>
      </c>
      <c r="O112" t="s">
        <v>382</v>
      </c>
      <c r="P112" t="s">
        <v>382</v>
      </c>
      <c r="Q112" t="s">
        <v>382</v>
      </c>
      <c r="R112" t="s">
        <v>382</v>
      </c>
      <c r="S112" t="s">
        <v>382</v>
      </c>
      <c r="T112" t="s">
        <v>382</v>
      </c>
      <c r="U112" t="s">
        <v>382</v>
      </c>
      <c r="V112" t="s">
        <v>382</v>
      </c>
      <c r="W112" t="s">
        <v>382</v>
      </c>
      <c r="X112" t="s">
        <v>382</v>
      </c>
      <c r="Y112" t="s">
        <v>382</v>
      </c>
      <c r="Z112" t="s">
        <v>382</v>
      </c>
      <c r="AA112" t="s">
        <v>382</v>
      </c>
      <c r="AB112" t="s">
        <v>382</v>
      </c>
      <c r="AC112">
        <v>5</v>
      </c>
      <c r="AD112">
        <v>1</v>
      </c>
      <c r="AE112">
        <v>1</v>
      </c>
      <c r="AF112" t="s">
        <v>396</v>
      </c>
      <c r="AH112" t="s">
        <v>64</v>
      </c>
      <c r="AI112" t="s">
        <v>97</v>
      </c>
      <c r="AK112">
        <v>2925</v>
      </c>
      <c r="AL112">
        <v>2277</v>
      </c>
    </row>
    <row r="113" spans="1:38">
      <c r="A113" t="s">
        <v>382</v>
      </c>
      <c r="B113" t="s">
        <v>382</v>
      </c>
      <c r="C113" t="s">
        <v>382</v>
      </c>
      <c r="D113" t="s">
        <v>382</v>
      </c>
      <c r="E113" t="s">
        <v>382</v>
      </c>
      <c r="F113" t="s">
        <v>382</v>
      </c>
      <c r="G113" t="s">
        <v>382</v>
      </c>
      <c r="H113" t="s">
        <v>382</v>
      </c>
      <c r="I113" t="s">
        <v>382</v>
      </c>
      <c r="J113" t="s">
        <v>382</v>
      </c>
      <c r="K113" t="s">
        <v>382</v>
      </c>
      <c r="L113" t="s">
        <v>382</v>
      </c>
      <c r="M113" t="s">
        <v>382</v>
      </c>
      <c r="N113" t="s">
        <v>382</v>
      </c>
      <c r="O113" t="s">
        <v>382</v>
      </c>
      <c r="P113" t="s">
        <v>382</v>
      </c>
      <c r="Q113" t="s">
        <v>382</v>
      </c>
      <c r="R113" t="s">
        <v>382</v>
      </c>
      <c r="S113" t="s">
        <v>382</v>
      </c>
      <c r="T113" t="s">
        <v>382</v>
      </c>
      <c r="U113" t="s">
        <v>382</v>
      </c>
      <c r="V113" t="s">
        <v>382</v>
      </c>
      <c r="W113" t="s">
        <v>382</v>
      </c>
      <c r="X113" t="s">
        <v>382</v>
      </c>
      <c r="Y113" t="s">
        <v>382</v>
      </c>
      <c r="Z113" t="s">
        <v>382</v>
      </c>
      <c r="AA113" t="s">
        <v>382</v>
      </c>
      <c r="AB113" t="s">
        <v>382</v>
      </c>
      <c r="AC113">
        <v>5</v>
      </c>
      <c r="AD113">
        <v>2</v>
      </c>
      <c r="AE113">
        <v>1</v>
      </c>
      <c r="AF113" t="s">
        <v>383</v>
      </c>
      <c r="AH113" t="s">
        <v>22</v>
      </c>
      <c r="AI113" t="s">
        <v>97</v>
      </c>
      <c r="AK113">
        <v>2771</v>
      </c>
      <c r="AL113">
        <v>972</v>
      </c>
    </row>
    <row r="114" spans="1:38">
      <c r="A114" t="s">
        <v>382</v>
      </c>
      <c r="B114" t="s">
        <v>382</v>
      </c>
      <c r="C114" t="s">
        <v>382</v>
      </c>
      <c r="D114" t="s">
        <v>382</v>
      </c>
      <c r="E114" t="s">
        <v>382</v>
      </c>
      <c r="F114" t="s">
        <v>382</v>
      </c>
      <c r="G114" t="s">
        <v>382</v>
      </c>
      <c r="H114" t="s">
        <v>382</v>
      </c>
      <c r="I114" t="s">
        <v>382</v>
      </c>
      <c r="J114" t="s">
        <v>382</v>
      </c>
      <c r="K114" t="s">
        <v>382</v>
      </c>
      <c r="L114" t="s">
        <v>382</v>
      </c>
      <c r="M114" t="s">
        <v>382</v>
      </c>
      <c r="N114" t="s">
        <v>382</v>
      </c>
      <c r="O114" t="s">
        <v>382</v>
      </c>
      <c r="P114" t="s">
        <v>382</v>
      </c>
      <c r="Q114" t="s">
        <v>382</v>
      </c>
      <c r="R114" t="s">
        <v>382</v>
      </c>
      <c r="S114" t="s">
        <v>382</v>
      </c>
      <c r="T114" t="s">
        <v>382</v>
      </c>
      <c r="U114" t="s">
        <v>382</v>
      </c>
      <c r="V114" t="s">
        <v>382</v>
      </c>
      <c r="W114" t="s">
        <v>382</v>
      </c>
      <c r="X114" t="s">
        <v>382</v>
      </c>
      <c r="Y114" t="s">
        <v>382</v>
      </c>
      <c r="Z114" t="s">
        <v>382</v>
      </c>
      <c r="AA114" t="s">
        <v>382</v>
      </c>
      <c r="AB114" t="s">
        <v>382</v>
      </c>
      <c r="AC114">
        <v>5</v>
      </c>
      <c r="AD114">
        <v>3</v>
      </c>
      <c r="AE114">
        <v>1</v>
      </c>
      <c r="AF114" t="s">
        <v>383</v>
      </c>
      <c r="AH114" t="s">
        <v>22</v>
      </c>
      <c r="AI114" t="s">
        <v>97</v>
      </c>
      <c r="AK114">
        <v>2489</v>
      </c>
      <c r="AL114">
        <v>1001</v>
      </c>
    </row>
    <row r="115" spans="1:38">
      <c r="A115" t="s">
        <v>382</v>
      </c>
      <c r="B115" t="s">
        <v>382</v>
      </c>
      <c r="C115" t="s">
        <v>382</v>
      </c>
      <c r="D115" t="s">
        <v>382</v>
      </c>
      <c r="E115" t="s">
        <v>382</v>
      </c>
      <c r="F115" t="s">
        <v>382</v>
      </c>
      <c r="G115" t="s">
        <v>382</v>
      </c>
      <c r="H115" t="s">
        <v>382</v>
      </c>
      <c r="I115" t="s">
        <v>382</v>
      </c>
      <c r="J115" t="s">
        <v>382</v>
      </c>
      <c r="K115" t="s">
        <v>382</v>
      </c>
      <c r="L115" t="s">
        <v>382</v>
      </c>
      <c r="M115" t="s">
        <v>382</v>
      </c>
      <c r="N115" t="s">
        <v>382</v>
      </c>
      <c r="O115" t="s">
        <v>382</v>
      </c>
      <c r="P115" t="s">
        <v>382</v>
      </c>
      <c r="Q115" t="s">
        <v>382</v>
      </c>
      <c r="R115" t="s">
        <v>382</v>
      </c>
      <c r="S115" t="s">
        <v>382</v>
      </c>
      <c r="T115" t="s">
        <v>382</v>
      </c>
      <c r="U115" t="s">
        <v>382</v>
      </c>
      <c r="V115" t="s">
        <v>382</v>
      </c>
      <c r="W115" t="s">
        <v>382</v>
      </c>
      <c r="X115" t="s">
        <v>382</v>
      </c>
      <c r="Y115" t="s">
        <v>382</v>
      </c>
      <c r="Z115" t="s">
        <v>382</v>
      </c>
      <c r="AA115" t="s">
        <v>382</v>
      </c>
      <c r="AB115" t="s">
        <v>382</v>
      </c>
      <c r="AC115">
        <v>5</v>
      </c>
      <c r="AD115">
        <v>4</v>
      </c>
      <c r="AE115">
        <v>1</v>
      </c>
      <c r="AF115" t="s">
        <v>383</v>
      </c>
      <c r="AH115" t="s">
        <v>22</v>
      </c>
      <c r="AI115" t="s">
        <v>97</v>
      </c>
      <c r="AK115">
        <v>2539</v>
      </c>
      <c r="AL115">
        <v>1032</v>
      </c>
    </row>
    <row r="116" spans="1:38">
      <c r="A116" t="s">
        <v>382</v>
      </c>
      <c r="B116" t="s">
        <v>382</v>
      </c>
      <c r="C116" t="s">
        <v>382</v>
      </c>
      <c r="D116" t="s">
        <v>382</v>
      </c>
      <c r="E116" t="s">
        <v>382</v>
      </c>
      <c r="F116" t="s">
        <v>382</v>
      </c>
      <c r="G116" t="s">
        <v>382</v>
      </c>
      <c r="H116" t="s">
        <v>382</v>
      </c>
      <c r="I116" t="s">
        <v>382</v>
      </c>
      <c r="J116" t="s">
        <v>382</v>
      </c>
      <c r="K116" t="s">
        <v>382</v>
      </c>
      <c r="L116" t="s">
        <v>382</v>
      </c>
      <c r="M116" t="s">
        <v>382</v>
      </c>
      <c r="N116" t="s">
        <v>382</v>
      </c>
      <c r="O116" t="s">
        <v>382</v>
      </c>
      <c r="P116" t="s">
        <v>382</v>
      </c>
      <c r="Q116" t="s">
        <v>382</v>
      </c>
      <c r="R116" t="s">
        <v>382</v>
      </c>
      <c r="S116" t="s">
        <v>382</v>
      </c>
      <c r="T116" t="s">
        <v>382</v>
      </c>
      <c r="U116" t="s">
        <v>382</v>
      </c>
      <c r="V116" t="s">
        <v>382</v>
      </c>
      <c r="W116" t="s">
        <v>382</v>
      </c>
      <c r="X116" t="s">
        <v>382</v>
      </c>
      <c r="Y116" t="s">
        <v>382</v>
      </c>
      <c r="Z116" t="s">
        <v>382</v>
      </c>
      <c r="AA116" t="s">
        <v>382</v>
      </c>
      <c r="AB116" t="s">
        <v>382</v>
      </c>
      <c r="AC116">
        <v>5</v>
      </c>
      <c r="AD116">
        <v>5</v>
      </c>
      <c r="AF116" t="s">
        <v>385</v>
      </c>
      <c r="AH116" t="s">
        <v>27</v>
      </c>
      <c r="AI116" t="s">
        <v>109</v>
      </c>
      <c r="AK116">
        <v>876</v>
      </c>
      <c r="AL116">
        <v>669</v>
      </c>
    </row>
    <row r="117" spans="1:38">
      <c r="A117" t="s">
        <v>382</v>
      </c>
      <c r="B117" t="s">
        <v>382</v>
      </c>
      <c r="C117" t="s">
        <v>382</v>
      </c>
      <c r="D117" t="s">
        <v>382</v>
      </c>
      <c r="E117" t="s">
        <v>382</v>
      </c>
      <c r="F117" t="s">
        <v>382</v>
      </c>
      <c r="G117" t="s">
        <v>382</v>
      </c>
      <c r="H117" t="s">
        <v>382</v>
      </c>
      <c r="I117" t="s">
        <v>382</v>
      </c>
      <c r="J117" t="s">
        <v>382</v>
      </c>
      <c r="K117" t="s">
        <v>382</v>
      </c>
      <c r="L117" t="s">
        <v>382</v>
      </c>
      <c r="M117" t="s">
        <v>382</v>
      </c>
      <c r="N117" t="s">
        <v>382</v>
      </c>
      <c r="O117" t="s">
        <v>382</v>
      </c>
      <c r="P117" t="s">
        <v>382</v>
      </c>
      <c r="Q117" t="s">
        <v>382</v>
      </c>
      <c r="R117" t="s">
        <v>382</v>
      </c>
      <c r="S117" t="s">
        <v>382</v>
      </c>
      <c r="T117" t="s">
        <v>382</v>
      </c>
      <c r="U117" t="s">
        <v>382</v>
      </c>
      <c r="V117" t="s">
        <v>382</v>
      </c>
      <c r="W117" t="s">
        <v>382</v>
      </c>
      <c r="X117" t="s">
        <v>382</v>
      </c>
      <c r="Y117" t="s">
        <v>382</v>
      </c>
      <c r="Z117" t="s">
        <v>382</v>
      </c>
      <c r="AA117" t="s">
        <v>382</v>
      </c>
      <c r="AB117" t="s">
        <v>382</v>
      </c>
      <c r="AC117">
        <v>5</v>
      </c>
      <c r="AD117">
        <v>1</v>
      </c>
      <c r="AE117">
        <v>1</v>
      </c>
      <c r="AF117" t="s">
        <v>387</v>
      </c>
      <c r="AH117" t="s">
        <v>31</v>
      </c>
      <c r="AI117" t="s">
        <v>97</v>
      </c>
      <c r="AK117">
        <v>1296</v>
      </c>
      <c r="AL117">
        <v>2093</v>
      </c>
    </row>
    <row r="118" spans="1:38">
      <c r="A118" t="s">
        <v>382</v>
      </c>
      <c r="B118" t="s">
        <v>382</v>
      </c>
      <c r="C118" t="s">
        <v>382</v>
      </c>
      <c r="D118" t="s">
        <v>382</v>
      </c>
      <c r="E118" t="s">
        <v>382</v>
      </c>
      <c r="F118" t="s">
        <v>382</v>
      </c>
      <c r="G118" t="s">
        <v>382</v>
      </c>
      <c r="H118" t="s">
        <v>382</v>
      </c>
      <c r="I118" t="s">
        <v>382</v>
      </c>
      <c r="J118" t="s">
        <v>382</v>
      </c>
      <c r="K118" t="s">
        <v>382</v>
      </c>
      <c r="L118" t="s">
        <v>382</v>
      </c>
      <c r="M118" t="s">
        <v>382</v>
      </c>
      <c r="N118" t="s">
        <v>382</v>
      </c>
      <c r="O118" t="s">
        <v>382</v>
      </c>
      <c r="P118" t="s">
        <v>382</v>
      </c>
      <c r="Q118" t="s">
        <v>382</v>
      </c>
      <c r="R118" t="s">
        <v>382</v>
      </c>
      <c r="S118" t="s">
        <v>382</v>
      </c>
      <c r="T118" t="s">
        <v>382</v>
      </c>
      <c r="U118" t="s">
        <v>382</v>
      </c>
      <c r="V118" t="s">
        <v>382</v>
      </c>
      <c r="W118" t="s">
        <v>382</v>
      </c>
      <c r="X118" t="s">
        <v>382</v>
      </c>
      <c r="Y118" t="s">
        <v>382</v>
      </c>
      <c r="Z118" t="s">
        <v>382</v>
      </c>
      <c r="AA118" t="s">
        <v>382</v>
      </c>
      <c r="AB118" t="s">
        <v>382</v>
      </c>
      <c r="AC118">
        <v>5</v>
      </c>
      <c r="AD118">
        <v>2</v>
      </c>
      <c r="AF118" t="s">
        <v>385</v>
      </c>
      <c r="AH118" t="s">
        <v>27</v>
      </c>
      <c r="AI118" t="s">
        <v>109</v>
      </c>
      <c r="AK118">
        <v>2764</v>
      </c>
      <c r="AL118">
        <v>2395</v>
      </c>
    </row>
    <row r="119" spans="1:38">
      <c r="A119" t="s">
        <v>382</v>
      </c>
      <c r="B119" t="s">
        <v>382</v>
      </c>
      <c r="C119" t="s">
        <v>382</v>
      </c>
      <c r="D119" t="s">
        <v>382</v>
      </c>
      <c r="E119" t="s">
        <v>382</v>
      </c>
      <c r="F119" t="s">
        <v>382</v>
      </c>
      <c r="G119" t="s">
        <v>382</v>
      </c>
      <c r="H119" t="s">
        <v>382</v>
      </c>
      <c r="I119" t="s">
        <v>382</v>
      </c>
      <c r="J119" t="s">
        <v>382</v>
      </c>
      <c r="K119" t="s">
        <v>382</v>
      </c>
      <c r="L119" t="s">
        <v>382</v>
      </c>
      <c r="M119" t="s">
        <v>382</v>
      </c>
      <c r="N119" t="s">
        <v>382</v>
      </c>
      <c r="O119" t="s">
        <v>382</v>
      </c>
      <c r="P119" t="s">
        <v>382</v>
      </c>
      <c r="Q119" t="s">
        <v>382</v>
      </c>
      <c r="R119" t="s">
        <v>382</v>
      </c>
      <c r="S119" t="s">
        <v>382</v>
      </c>
      <c r="T119" t="s">
        <v>382</v>
      </c>
      <c r="U119" t="s">
        <v>382</v>
      </c>
      <c r="V119" t="s">
        <v>382</v>
      </c>
      <c r="W119" t="s">
        <v>382</v>
      </c>
      <c r="X119" t="s">
        <v>382</v>
      </c>
      <c r="Y119" t="s">
        <v>382</v>
      </c>
      <c r="Z119" t="s">
        <v>382</v>
      </c>
      <c r="AA119" t="s">
        <v>382</v>
      </c>
      <c r="AB119" t="s">
        <v>382</v>
      </c>
      <c r="AC119">
        <v>5</v>
      </c>
      <c r="AD119">
        <v>3</v>
      </c>
      <c r="AF119" t="s">
        <v>385</v>
      </c>
      <c r="AH119" t="s">
        <v>27</v>
      </c>
      <c r="AI119" t="s">
        <v>109</v>
      </c>
      <c r="AK119">
        <v>2713</v>
      </c>
      <c r="AL119">
        <v>2113</v>
      </c>
    </row>
    <row r="120" spans="1:38">
      <c r="A120" t="s">
        <v>382</v>
      </c>
      <c r="B120" t="s">
        <v>382</v>
      </c>
      <c r="C120" t="s">
        <v>382</v>
      </c>
      <c r="D120" t="s">
        <v>382</v>
      </c>
      <c r="E120" t="s">
        <v>382</v>
      </c>
      <c r="F120" t="s">
        <v>382</v>
      </c>
      <c r="G120" t="s">
        <v>382</v>
      </c>
      <c r="H120" t="s">
        <v>382</v>
      </c>
      <c r="I120" t="s">
        <v>382</v>
      </c>
      <c r="J120" t="s">
        <v>382</v>
      </c>
      <c r="K120" t="s">
        <v>382</v>
      </c>
      <c r="L120" t="s">
        <v>382</v>
      </c>
      <c r="M120" t="s">
        <v>382</v>
      </c>
      <c r="N120" t="s">
        <v>382</v>
      </c>
      <c r="O120" t="s">
        <v>382</v>
      </c>
      <c r="P120" t="s">
        <v>382</v>
      </c>
      <c r="Q120" t="s">
        <v>382</v>
      </c>
      <c r="R120" t="s">
        <v>382</v>
      </c>
      <c r="S120" t="s">
        <v>382</v>
      </c>
      <c r="T120" t="s">
        <v>382</v>
      </c>
      <c r="U120" t="s">
        <v>382</v>
      </c>
      <c r="V120" t="s">
        <v>382</v>
      </c>
      <c r="W120" t="s">
        <v>382</v>
      </c>
      <c r="X120" t="s">
        <v>382</v>
      </c>
      <c r="Y120" t="s">
        <v>382</v>
      </c>
      <c r="Z120" t="s">
        <v>382</v>
      </c>
      <c r="AA120" t="s">
        <v>382</v>
      </c>
      <c r="AB120" t="s">
        <v>382</v>
      </c>
      <c r="AC120">
        <v>5</v>
      </c>
      <c r="AD120">
        <v>4</v>
      </c>
      <c r="AE120">
        <v>1</v>
      </c>
      <c r="AF120" t="s">
        <v>397</v>
      </c>
      <c r="AH120" t="s">
        <v>66</v>
      </c>
      <c r="AI120" t="s">
        <v>97</v>
      </c>
      <c r="AK120">
        <v>2828</v>
      </c>
      <c r="AL120">
        <v>1097</v>
      </c>
    </row>
    <row r="121" spans="1:38">
      <c r="A121" t="s">
        <v>382</v>
      </c>
      <c r="B121" t="s">
        <v>382</v>
      </c>
      <c r="C121" t="s">
        <v>382</v>
      </c>
      <c r="D121" t="s">
        <v>382</v>
      </c>
      <c r="E121" t="s">
        <v>382</v>
      </c>
      <c r="F121" t="s">
        <v>382</v>
      </c>
      <c r="G121" t="s">
        <v>382</v>
      </c>
      <c r="H121" t="s">
        <v>382</v>
      </c>
      <c r="I121" t="s">
        <v>382</v>
      </c>
      <c r="J121" t="s">
        <v>382</v>
      </c>
      <c r="K121" t="s">
        <v>382</v>
      </c>
      <c r="L121" t="s">
        <v>382</v>
      </c>
      <c r="M121" t="s">
        <v>382</v>
      </c>
      <c r="N121" t="s">
        <v>382</v>
      </c>
      <c r="O121" t="s">
        <v>382</v>
      </c>
      <c r="P121" t="s">
        <v>382</v>
      </c>
      <c r="Q121" t="s">
        <v>382</v>
      </c>
      <c r="R121" t="s">
        <v>382</v>
      </c>
      <c r="S121" t="s">
        <v>382</v>
      </c>
      <c r="T121" t="s">
        <v>382</v>
      </c>
      <c r="U121" t="s">
        <v>382</v>
      </c>
      <c r="V121" t="s">
        <v>382</v>
      </c>
      <c r="W121" t="s">
        <v>382</v>
      </c>
      <c r="X121" t="s">
        <v>382</v>
      </c>
      <c r="Y121" t="s">
        <v>382</v>
      </c>
      <c r="Z121" t="s">
        <v>382</v>
      </c>
      <c r="AA121" t="s">
        <v>382</v>
      </c>
      <c r="AB121" t="s">
        <v>382</v>
      </c>
      <c r="AC121">
        <v>5</v>
      </c>
      <c r="AD121">
        <v>5</v>
      </c>
      <c r="AE121">
        <v>1</v>
      </c>
      <c r="AF121" t="s">
        <v>387</v>
      </c>
      <c r="AH121" t="s">
        <v>31</v>
      </c>
      <c r="AI121" t="s">
        <v>97</v>
      </c>
      <c r="AK121">
        <v>1325</v>
      </c>
      <c r="AL121">
        <v>2004</v>
      </c>
    </row>
    <row r="122" spans="1:38">
      <c r="A122" t="s">
        <v>382</v>
      </c>
      <c r="B122" t="s">
        <v>382</v>
      </c>
      <c r="C122" t="s">
        <v>382</v>
      </c>
      <c r="D122" t="s">
        <v>382</v>
      </c>
      <c r="E122" t="s">
        <v>382</v>
      </c>
      <c r="F122" t="s">
        <v>382</v>
      </c>
      <c r="G122" t="s">
        <v>382</v>
      </c>
      <c r="H122" t="s">
        <v>382</v>
      </c>
      <c r="I122" t="s">
        <v>382</v>
      </c>
      <c r="J122" t="s">
        <v>382</v>
      </c>
      <c r="K122" t="s">
        <v>382</v>
      </c>
      <c r="L122" t="s">
        <v>382</v>
      </c>
      <c r="M122" t="s">
        <v>382</v>
      </c>
      <c r="N122" t="s">
        <v>382</v>
      </c>
      <c r="O122" t="s">
        <v>382</v>
      </c>
      <c r="P122" t="s">
        <v>382</v>
      </c>
      <c r="Q122" t="s">
        <v>382</v>
      </c>
      <c r="R122" t="s">
        <v>382</v>
      </c>
      <c r="S122" t="s">
        <v>382</v>
      </c>
      <c r="T122" t="s">
        <v>382</v>
      </c>
      <c r="U122" t="s">
        <v>382</v>
      </c>
      <c r="V122" t="s">
        <v>382</v>
      </c>
      <c r="W122" t="s">
        <v>382</v>
      </c>
      <c r="X122" t="s">
        <v>382</v>
      </c>
      <c r="Y122" t="s">
        <v>382</v>
      </c>
      <c r="Z122" t="s">
        <v>382</v>
      </c>
      <c r="AA122" t="s">
        <v>382</v>
      </c>
      <c r="AB122" t="s">
        <v>382</v>
      </c>
      <c r="AC122">
        <v>5</v>
      </c>
      <c r="AD122">
        <v>1</v>
      </c>
      <c r="AF122" t="s">
        <v>385</v>
      </c>
      <c r="AH122" t="s">
        <v>27</v>
      </c>
      <c r="AI122" t="s">
        <v>109</v>
      </c>
      <c r="AK122">
        <v>2053</v>
      </c>
      <c r="AL122">
        <v>1244</v>
      </c>
    </row>
    <row r="123" spans="1:38">
      <c r="A123" t="s">
        <v>382</v>
      </c>
      <c r="B123" t="s">
        <v>382</v>
      </c>
      <c r="C123" t="s">
        <v>382</v>
      </c>
      <c r="D123" t="s">
        <v>382</v>
      </c>
      <c r="E123" t="s">
        <v>382</v>
      </c>
      <c r="F123" t="s">
        <v>382</v>
      </c>
      <c r="G123" t="s">
        <v>382</v>
      </c>
      <c r="H123" t="s">
        <v>382</v>
      </c>
      <c r="I123" t="s">
        <v>382</v>
      </c>
      <c r="J123" t="s">
        <v>382</v>
      </c>
      <c r="K123" t="s">
        <v>382</v>
      </c>
      <c r="L123" t="s">
        <v>382</v>
      </c>
      <c r="M123" t="s">
        <v>382</v>
      </c>
      <c r="N123" t="s">
        <v>382</v>
      </c>
      <c r="O123" t="s">
        <v>382</v>
      </c>
      <c r="P123" t="s">
        <v>382</v>
      </c>
      <c r="Q123" t="s">
        <v>382</v>
      </c>
      <c r="R123" t="s">
        <v>382</v>
      </c>
      <c r="S123" t="s">
        <v>382</v>
      </c>
      <c r="T123" t="s">
        <v>382</v>
      </c>
      <c r="U123" t="s">
        <v>382</v>
      </c>
      <c r="V123" t="s">
        <v>382</v>
      </c>
      <c r="W123" t="s">
        <v>382</v>
      </c>
      <c r="X123" t="s">
        <v>382</v>
      </c>
      <c r="Y123" t="s">
        <v>382</v>
      </c>
      <c r="Z123" t="s">
        <v>382</v>
      </c>
      <c r="AA123" t="s">
        <v>382</v>
      </c>
      <c r="AB123" t="s">
        <v>382</v>
      </c>
      <c r="AC123">
        <v>5</v>
      </c>
      <c r="AD123">
        <v>2</v>
      </c>
      <c r="AF123" t="s">
        <v>385</v>
      </c>
      <c r="AH123" t="s">
        <v>27</v>
      </c>
      <c r="AI123" t="s">
        <v>109</v>
      </c>
      <c r="AK123">
        <v>766</v>
      </c>
      <c r="AL123">
        <v>562</v>
      </c>
    </row>
    <row r="124" spans="1:38">
      <c r="A124" t="s">
        <v>382</v>
      </c>
      <c r="B124" t="s">
        <v>382</v>
      </c>
      <c r="C124" t="s">
        <v>382</v>
      </c>
      <c r="D124" t="s">
        <v>382</v>
      </c>
      <c r="E124" t="s">
        <v>382</v>
      </c>
      <c r="F124" t="s">
        <v>382</v>
      </c>
      <c r="G124" t="s">
        <v>382</v>
      </c>
      <c r="H124" t="s">
        <v>382</v>
      </c>
      <c r="I124" t="s">
        <v>382</v>
      </c>
      <c r="J124" t="s">
        <v>382</v>
      </c>
      <c r="K124" t="s">
        <v>382</v>
      </c>
      <c r="L124" t="s">
        <v>382</v>
      </c>
      <c r="M124" t="s">
        <v>382</v>
      </c>
      <c r="N124" t="s">
        <v>382</v>
      </c>
      <c r="O124" t="s">
        <v>382</v>
      </c>
      <c r="P124" t="s">
        <v>382</v>
      </c>
      <c r="Q124" t="s">
        <v>382</v>
      </c>
      <c r="R124" t="s">
        <v>382</v>
      </c>
      <c r="S124" t="s">
        <v>382</v>
      </c>
      <c r="T124" t="s">
        <v>382</v>
      </c>
      <c r="U124" t="s">
        <v>382</v>
      </c>
      <c r="V124" t="s">
        <v>382</v>
      </c>
      <c r="W124" t="s">
        <v>382</v>
      </c>
      <c r="X124" t="s">
        <v>382</v>
      </c>
      <c r="Y124" t="s">
        <v>382</v>
      </c>
      <c r="Z124" t="s">
        <v>382</v>
      </c>
      <c r="AA124" t="s">
        <v>382</v>
      </c>
      <c r="AB124" t="s">
        <v>382</v>
      </c>
      <c r="AC124">
        <v>5</v>
      </c>
      <c r="AD124">
        <v>3</v>
      </c>
      <c r="AF124" t="s">
        <v>385</v>
      </c>
      <c r="AH124" t="s">
        <v>27</v>
      </c>
      <c r="AI124" t="s">
        <v>109</v>
      </c>
      <c r="AK124">
        <v>3120</v>
      </c>
      <c r="AL124">
        <v>239</v>
      </c>
    </row>
    <row r="125" spans="1:38">
      <c r="A125" t="s">
        <v>382</v>
      </c>
      <c r="B125" t="s">
        <v>382</v>
      </c>
      <c r="C125" t="s">
        <v>382</v>
      </c>
      <c r="D125" t="s">
        <v>382</v>
      </c>
      <c r="E125" t="s">
        <v>382</v>
      </c>
      <c r="F125" t="s">
        <v>382</v>
      </c>
      <c r="G125" t="s">
        <v>382</v>
      </c>
      <c r="H125" t="s">
        <v>382</v>
      </c>
      <c r="I125" t="s">
        <v>382</v>
      </c>
      <c r="J125" t="s">
        <v>382</v>
      </c>
      <c r="K125" t="s">
        <v>382</v>
      </c>
      <c r="L125" t="s">
        <v>382</v>
      </c>
      <c r="M125" t="s">
        <v>382</v>
      </c>
      <c r="N125" t="s">
        <v>382</v>
      </c>
      <c r="O125" t="s">
        <v>382</v>
      </c>
      <c r="P125" t="s">
        <v>382</v>
      </c>
      <c r="Q125" t="s">
        <v>382</v>
      </c>
      <c r="R125" t="s">
        <v>382</v>
      </c>
      <c r="S125" t="s">
        <v>382</v>
      </c>
      <c r="T125" t="s">
        <v>382</v>
      </c>
      <c r="U125" t="s">
        <v>382</v>
      </c>
      <c r="V125" t="s">
        <v>382</v>
      </c>
      <c r="W125" t="s">
        <v>382</v>
      </c>
      <c r="X125" t="s">
        <v>382</v>
      </c>
      <c r="Y125" t="s">
        <v>382</v>
      </c>
      <c r="Z125" t="s">
        <v>382</v>
      </c>
      <c r="AA125" t="s">
        <v>382</v>
      </c>
      <c r="AB125" t="s">
        <v>382</v>
      </c>
      <c r="AC125">
        <v>5</v>
      </c>
      <c r="AD125">
        <v>4</v>
      </c>
      <c r="AE125">
        <v>1</v>
      </c>
      <c r="AF125" t="s">
        <v>387</v>
      </c>
      <c r="AH125" t="s">
        <v>31</v>
      </c>
      <c r="AI125" t="s">
        <v>97</v>
      </c>
      <c r="AK125">
        <v>889</v>
      </c>
      <c r="AL125">
        <v>1534</v>
      </c>
    </row>
    <row r="126" spans="1:38">
      <c r="A126" t="s">
        <v>382</v>
      </c>
      <c r="B126" t="s">
        <v>382</v>
      </c>
      <c r="C126" t="s">
        <v>382</v>
      </c>
      <c r="D126" t="s">
        <v>382</v>
      </c>
      <c r="E126" t="s">
        <v>382</v>
      </c>
      <c r="F126" t="s">
        <v>382</v>
      </c>
      <c r="G126" t="s">
        <v>382</v>
      </c>
      <c r="H126" t="s">
        <v>382</v>
      </c>
      <c r="I126" t="s">
        <v>382</v>
      </c>
      <c r="J126" t="s">
        <v>382</v>
      </c>
      <c r="K126" t="s">
        <v>382</v>
      </c>
      <c r="L126" t="s">
        <v>382</v>
      </c>
      <c r="M126" t="s">
        <v>382</v>
      </c>
      <c r="N126" t="s">
        <v>382</v>
      </c>
      <c r="O126" t="s">
        <v>382</v>
      </c>
      <c r="P126" t="s">
        <v>382</v>
      </c>
      <c r="Q126" t="s">
        <v>382</v>
      </c>
      <c r="R126" t="s">
        <v>382</v>
      </c>
      <c r="S126" t="s">
        <v>382</v>
      </c>
      <c r="T126" t="s">
        <v>382</v>
      </c>
      <c r="U126" t="s">
        <v>382</v>
      </c>
      <c r="V126" t="s">
        <v>382</v>
      </c>
      <c r="W126" t="s">
        <v>382</v>
      </c>
      <c r="X126" t="s">
        <v>382</v>
      </c>
      <c r="Y126" t="s">
        <v>382</v>
      </c>
      <c r="Z126" t="s">
        <v>382</v>
      </c>
      <c r="AA126" t="s">
        <v>382</v>
      </c>
      <c r="AB126" t="s">
        <v>382</v>
      </c>
      <c r="AC126">
        <v>5</v>
      </c>
      <c r="AD126">
        <v>5</v>
      </c>
      <c r="AE126">
        <v>1</v>
      </c>
      <c r="AF126" t="s">
        <v>387</v>
      </c>
      <c r="AH126" t="s">
        <v>31</v>
      </c>
      <c r="AI126" t="s">
        <v>97</v>
      </c>
      <c r="AK126">
        <v>482</v>
      </c>
      <c r="AL126">
        <v>828</v>
      </c>
    </row>
    <row r="127" spans="1:38">
      <c r="A127" t="s">
        <v>382</v>
      </c>
      <c r="B127" t="s">
        <v>382</v>
      </c>
      <c r="C127" t="s">
        <v>382</v>
      </c>
      <c r="D127" t="s">
        <v>382</v>
      </c>
      <c r="E127" t="s">
        <v>382</v>
      </c>
      <c r="F127" t="s">
        <v>382</v>
      </c>
      <c r="G127" t="s">
        <v>382</v>
      </c>
      <c r="H127" t="s">
        <v>382</v>
      </c>
      <c r="I127" t="s">
        <v>382</v>
      </c>
      <c r="J127" t="s">
        <v>382</v>
      </c>
      <c r="K127" t="s">
        <v>382</v>
      </c>
      <c r="L127" t="s">
        <v>382</v>
      </c>
      <c r="M127" t="s">
        <v>382</v>
      </c>
      <c r="N127" t="s">
        <v>382</v>
      </c>
      <c r="O127" t="s">
        <v>382</v>
      </c>
      <c r="P127" t="s">
        <v>382</v>
      </c>
      <c r="Q127" t="s">
        <v>382</v>
      </c>
      <c r="R127" t="s">
        <v>382</v>
      </c>
      <c r="S127" t="s">
        <v>382</v>
      </c>
      <c r="T127" t="s">
        <v>382</v>
      </c>
      <c r="U127" t="s">
        <v>382</v>
      </c>
      <c r="V127" t="s">
        <v>382</v>
      </c>
      <c r="W127" t="s">
        <v>382</v>
      </c>
      <c r="X127" t="s">
        <v>382</v>
      </c>
      <c r="Y127" t="s">
        <v>382</v>
      </c>
      <c r="Z127" t="s">
        <v>382</v>
      </c>
      <c r="AA127" t="s">
        <v>382</v>
      </c>
      <c r="AB127" t="s">
        <v>382</v>
      </c>
      <c r="AC127">
        <v>5</v>
      </c>
      <c r="AD127">
        <v>1</v>
      </c>
      <c r="AE127">
        <v>1</v>
      </c>
      <c r="AF127" t="s">
        <v>398</v>
      </c>
      <c r="AH127" t="s">
        <v>69</v>
      </c>
      <c r="AI127" t="s">
        <v>97</v>
      </c>
      <c r="AK127">
        <v>1630</v>
      </c>
      <c r="AL127">
        <v>2540</v>
      </c>
    </row>
    <row r="128" spans="1:38">
      <c r="A128" t="s">
        <v>382</v>
      </c>
      <c r="B128" t="s">
        <v>382</v>
      </c>
      <c r="C128" t="s">
        <v>382</v>
      </c>
      <c r="D128" t="s">
        <v>382</v>
      </c>
      <c r="E128" t="s">
        <v>382</v>
      </c>
      <c r="F128" t="s">
        <v>382</v>
      </c>
      <c r="G128" t="s">
        <v>382</v>
      </c>
      <c r="H128" t="s">
        <v>382</v>
      </c>
      <c r="I128" t="s">
        <v>382</v>
      </c>
      <c r="J128" t="s">
        <v>382</v>
      </c>
      <c r="K128" t="s">
        <v>382</v>
      </c>
      <c r="L128" t="s">
        <v>382</v>
      </c>
      <c r="M128" t="s">
        <v>382</v>
      </c>
      <c r="N128" t="s">
        <v>382</v>
      </c>
      <c r="O128" t="s">
        <v>382</v>
      </c>
      <c r="P128" t="s">
        <v>382</v>
      </c>
      <c r="Q128" t="s">
        <v>382</v>
      </c>
      <c r="R128" t="s">
        <v>382</v>
      </c>
      <c r="S128" t="s">
        <v>382</v>
      </c>
      <c r="T128" t="s">
        <v>382</v>
      </c>
      <c r="U128" t="s">
        <v>382</v>
      </c>
      <c r="V128" t="s">
        <v>382</v>
      </c>
      <c r="W128" t="s">
        <v>382</v>
      </c>
      <c r="X128" t="s">
        <v>382</v>
      </c>
      <c r="Y128" t="s">
        <v>382</v>
      </c>
      <c r="Z128" t="s">
        <v>382</v>
      </c>
      <c r="AA128" t="s">
        <v>382</v>
      </c>
      <c r="AB128" t="s">
        <v>382</v>
      </c>
      <c r="AC128">
        <v>5</v>
      </c>
      <c r="AD128">
        <v>2</v>
      </c>
      <c r="AF128" t="s">
        <v>386</v>
      </c>
      <c r="AH128" t="s">
        <v>29</v>
      </c>
      <c r="AI128" t="s">
        <v>103</v>
      </c>
      <c r="AK128">
        <v>548</v>
      </c>
      <c r="AL128">
        <v>1202</v>
      </c>
    </row>
    <row r="129" spans="1:38">
      <c r="A129" t="s">
        <v>382</v>
      </c>
      <c r="B129" t="s">
        <v>382</v>
      </c>
      <c r="C129" t="s">
        <v>382</v>
      </c>
      <c r="D129" t="s">
        <v>382</v>
      </c>
      <c r="E129" t="s">
        <v>382</v>
      </c>
      <c r="F129" t="s">
        <v>382</v>
      </c>
      <c r="G129" t="s">
        <v>382</v>
      </c>
      <c r="H129" t="s">
        <v>382</v>
      </c>
      <c r="I129" t="s">
        <v>382</v>
      </c>
      <c r="J129" t="s">
        <v>382</v>
      </c>
      <c r="K129" t="s">
        <v>382</v>
      </c>
      <c r="L129" t="s">
        <v>382</v>
      </c>
      <c r="M129" t="s">
        <v>382</v>
      </c>
      <c r="N129" t="s">
        <v>382</v>
      </c>
      <c r="O129" t="s">
        <v>382</v>
      </c>
      <c r="P129" t="s">
        <v>382</v>
      </c>
      <c r="Q129" t="s">
        <v>382</v>
      </c>
      <c r="R129" t="s">
        <v>382</v>
      </c>
      <c r="S129" t="s">
        <v>382</v>
      </c>
      <c r="T129" t="s">
        <v>382</v>
      </c>
      <c r="U129" t="s">
        <v>382</v>
      </c>
      <c r="V129" t="s">
        <v>382</v>
      </c>
      <c r="W129" t="s">
        <v>382</v>
      </c>
      <c r="X129" t="s">
        <v>382</v>
      </c>
      <c r="Y129" t="s">
        <v>382</v>
      </c>
      <c r="Z129" t="s">
        <v>382</v>
      </c>
      <c r="AA129" t="s">
        <v>382</v>
      </c>
      <c r="AB129" t="s">
        <v>382</v>
      </c>
      <c r="AC129">
        <v>5</v>
      </c>
      <c r="AD129">
        <v>3</v>
      </c>
      <c r="AE129">
        <v>1</v>
      </c>
      <c r="AF129" t="s">
        <v>398</v>
      </c>
      <c r="AH129" t="s">
        <v>69</v>
      </c>
      <c r="AI129" t="s">
        <v>97</v>
      </c>
      <c r="AK129">
        <v>1664</v>
      </c>
      <c r="AL129">
        <v>1062</v>
      </c>
    </row>
    <row r="130" spans="1:38">
      <c r="A130" t="s">
        <v>382</v>
      </c>
      <c r="B130" t="s">
        <v>382</v>
      </c>
      <c r="C130" t="s">
        <v>382</v>
      </c>
      <c r="D130" t="s">
        <v>382</v>
      </c>
      <c r="E130" t="s">
        <v>382</v>
      </c>
      <c r="F130" t="s">
        <v>382</v>
      </c>
      <c r="G130" t="s">
        <v>382</v>
      </c>
      <c r="H130" t="s">
        <v>382</v>
      </c>
      <c r="I130" t="s">
        <v>382</v>
      </c>
      <c r="J130" t="s">
        <v>382</v>
      </c>
      <c r="K130" t="s">
        <v>382</v>
      </c>
      <c r="L130" t="s">
        <v>382</v>
      </c>
      <c r="M130" t="s">
        <v>382</v>
      </c>
      <c r="N130" t="s">
        <v>382</v>
      </c>
      <c r="O130" t="s">
        <v>382</v>
      </c>
      <c r="P130" t="s">
        <v>382</v>
      </c>
      <c r="Q130" t="s">
        <v>382</v>
      </c>
      <c r="R130" t="s">
        <v>382</v>
      </c>
      <c r="S130" t="s">
        <v>382</v>
      </c>
      <c r="T130" t="s">
        <v>382</v>
      </c>
      <c r="U130" t="s">
        <v>382</v>
      </c>
      <c r="V130" t="s">
        <v>382</v>
      </c>
      <c r="W130" t="s">
        <v>382</v>
      </c>
      <c r="X130" t="s">
        <v>382</v>
      </c>
      <c r="Y130" t="s">
        <v>382</v>
      </c>
      <c r="Z130" t="s">
        <v>382</v>
      </c>
      <c r="AA130" t="s">
        <v>382</v>
      </c>
      <c r="AB130" t="s">
        <v>382</v>
      </c>
      <c r="AC130">
        <v>5</v>
      </c>
      <c r="AD130">
        <v>4</v>
      </c>
      <c r="AF130" t="s">
        <v>385</v>
      </c>
      <c r="AH130" t="s">
        <v>27</v>
      </c>
      <c r="AI130" t="s">
        <v>109</v>
      </c>
      <c r="AK130">
        <v>2480</v>
      </c>
      <c r="AL130">
        <v>826</v>
      </c>
    </row>
    <row r="131" spans="1:38">
      <c r="A131" t="s">
        <v>382</v>
      </c>
      <c r="B131" t="s">
        <v>382</v>
      </c>
      <c r="C131" t="s">
        <v>382</v>
      </c>
      <c r="D131" t="s">
        <v>382</v>
      </c>
      <c r="E131" t="s">
        <v>382</v>
      </c>
      <c r="F131" t="s">
        <v>382</v>
      </c>
      <c r="G131" t="s">
        <v>382</v>
      </c>
      <c r="H131" t="s">
        <v>382</v>
      </c>
      <c r="I131" t="s">
        <v>382</v>
      </c>
      <c r="J131" t="s">
        <v>382</v>
      </c>
      <c r="K131" t="s">
        <v>382</v>
      </c>
      <c r="L131" t="s">
        <v>382</v>
      </c>
      <c r="M131" t="s">
        <v>382</v>
      </c>
      <c r="N131" t="s">
        <v>382</v>
      </c>
      <c r="O131" t="s">
        <v>382</v>
      </c>
      <c r="P131" t="s">
        <v>382</v>
      </c>
      <c r="Q131" t="s">
        <v>382</v>
      </c>
      <c r="R131" t="s">
        <v>382</v>
      </c>
      <c r="S131" t="s">
        <v>382</v>
      </c>
      <c r="T131" t="s">
        <v>382</v>
      </c>
      <c r="U131" t="s">
        <v>382</v>
      </c>
      <c r="V131" t="s">
        <v>382</v>
      </c>
      <c r="W131" t="s">
        <v>382</v>
      </c>
      <c r="X131" t="s">
        <v>382</v>
      </c>
      <c r="Y131" t="s">
        <v>382</v>
      </c>
      <c r="Z131" t="s">
        <v>382</v>
      </c>
      <c r="AA131" t="s">
        <v>382</v>
      </c>
      <c r="AB131" t="s">
        <v>382</v>
      </c>
      <c r="AC131">
        <v>5</v>
      </c>
      <c r="AD131">
        <v>5</v>
      </c>
      <c r="AE131">
        <v>1</v>
      </c>
      <c r="AF131" t="s">
        <v>398</v>
      </c>
      <c r="AH131" t="s">
        <v>69</v>
      </c>
      <c r="AI131" t="s">
        <v>97</v>
      </c>
      <c r="AK131">
        <v>2330</v>
      </c>
      <c r="AL131">
        <v>2318</v>
      </c>
    </row>
    <row r="132" spans="1:38">
      <c r="A132" t="s">
        <v>382</v>
      </c>
      <c r="B132" t="s">
        <v>382</v>
      </c>
      <c r="C132" t="s">
        <v>382</v>
      </c>
      <c r="D132" t="s">
        <v>382</v>
      </c>
      <c r="E132" t="s">
        <v>382</v>
      </c>
      <c r="F132" t="s">
        <v>382</v>
      </c>
      <c r="G132" t="s">
        <v>382</v>
      </c>
      <c r="H132" t="s">
        <v>382</v>
      </c>
      <c r="I132" t="s">
        <v>382</v>
      </c>
      <c r="J132" t="s">
        <v>382</v>
      </c>
      <c r="K132" t="s">
        <v>382</v>
      </c>
      <c r="L132" t="s">
        <v>382</v>
      </c>
      <c r="M132" t="s">
        <v>382</v>
      </c>
      <c r="N132" t="s">
        <v>382</v>
      </c>
      <c r="O132" t="s">
        <v>382</v>
      </c>
      <c r="P132" t="s">
        <v>382</v>
      </c>
      <c r="Q132" t="s">
        <v>382</v>
      </c>
      <c r="R132" t="s">
        <v>382</v>
      </c>
      <c r="S132" t="s">
        <v>382</v>
      </c>
      <c r="T132" t="s">
        <v>382</v>
      </c>
      <c r="U132" t="s">
        <v>382</v>
      </c>
      <c r="V132" t="s">
        <v>382</v>
      </c>
      <c r="W132" t="s">
        <v>382</v>
      </c>
      <c r="X132" t="s">
        <v>382</v>
      </c>
      <c r="Y132" t="s">
        <v>382</v>
      </c>
      <c r="Z132" t="s">
        <v>382</v>
      </c>
      <c r="AA132" t="s">
        <v>382</v>
      </c>
      <c r="AB132" t="s">
        <v>382</v>
      </c>
      <c r="AC132">
        <v>5</v>
      </c>
      <c r="AD132">
        <v>1</v>
      </c>
      <c r="AE132">
        <v>1</v>
      </c>
      <c r="AF132" t="s">
        <v>387</v>
      </c>
      <c r="AH132" t="s">
        <v>31</v>
      </c>
      <c r="AI132" t="s">
        <v>97</v>
      </c>
      <c r="AK132">
        <v>852</v>
      </c>
      <c r="AL132">
        <v>1871</v>
      </c>
    </row>
    <row r="133" spans="1:38">
      <c r="A133" t="s">
        <v>382</v>
      </c>
      <c r="B133" t="s">
        <v>382</v>
      </c>
      <c r="C133" t="s">
        <v>382</v>
      </c>
      <c r="D133" t="s">
        <v>382</v>
      </c>
      <c r="E133" t="s">
        <v>382</v>
      </c>
      <c r="F133" t="s">
        <v>382</v>
      </c>
      <c r="G133" t="s">
        <v>382</v>
      </c>
      <c r="H133" t="s">
        <v>382</v>
      </c>
      <c r="I133" t="s">
        <v>382</v>
      </c>
      <c r="J133" t="s">
        <v>382</v>
      </c>
      <c r="K133" t="s">
        <v>382</v>
      </c>
      <c r="L133" t="s">
        <v>382</v>
      </c>
      <c r="M133" t="s">
        <v>382</v>
      </c>
      <c r="N133" t="s">
        <v>382</v>
      </c>
      <c r="O133" t="s">
        <v>382</v>
      </c>
      <c r="P133" t="s">
        <v>382</v>
      </c>
      <c r="Q133" t="s">
        <v>382</v>
      </c>
      <c r="R133" t="s">
        <v>382</v>
      </c>
      <c r="S133" t="s">
        <v>382</v>
      </c>
      <c r="T133" t="s">
        <v>382</v>
      </c>
      <c r="U133" t="s">
        <v>382</v>
      </c>
      <c r="V133" t="s">
        <v>382</v>
      </c>
      <c r="W133" t="s">
        <v>382</v>
      </c>
      <c r="X133" t="s">
        <v>382</v>
      </c>
      <c r="Y133" t="s">
        <v>382</v>
      </c>
      <c r="Z133" t="s">
        <v>382</v>
      </c>
      <c r="AA133" t="s">
        <v>382</v>
      </c>
      <c r="AB133" t="s">
        <v>382</v>
      </c>
      <c r="AC133">
        <v>5</v>
      </c>
      <c r="AD133">
        <v>2</v>
      </c>
      <c r="AE133">
        <v>1</v>
      </c>
      <c r="AF133" t="s">
        <v>387</v>
      </c>
      <c r="AH133" t="s">
        <v>31</v>
      </c>
      <c r="AI133" t="s">
        <v>97</v>
      </c>
      <c r="AK133">
        <v>1993</v>
      </c>
      <c r="AL133">
        <v>1632</v>
      </c>
    </row>
    <row r="134" spans="1:38">
      <c r="A134" t="s">
        <v>382</v>
      </c>
      <c r="B134" t="s">
        <v>382</v>
      </c>
      <c r="C134" t="s">
        <v>382</v>
      </c>
      <c r="D134" t="s">
        <v>382</v>
      </c>
      <c r="E134" t="s">
        <v>382</v>
      </c>
      <c r="F134" t="s">
        <v>382</v>
      </c>
      <c r="G134" t="s">
        <v>382</v>
      </c>
      <c r="H134" t="s">
        <v>382</v>
      </c>
      <c r="I134" t="s">
        <v>382</v>
      </c>
      <c r="J134" t="s">
        <v>382</v>
      </c>
      <c r="K134" t="s">
        <v>382</v>
      </c>
      <c r="L134" t="s">
        <v>382</v>
      </c>
      <c r="M134" t="s">
        <v>382</v>
      </c>
      <c r="N134" t="s">
        <v>382</v>
      </c>
      <c r="O134" t="s">
        <v>382</v>
      </c>
      <c r="P134" t="s">
        <v>382</v>
      </c>
      <c r="Q134" t="s">
        <v>382</v>
      </c>
      <c r="R134" t="s">
        <v>382</v>
      </c>
      <c r="S134" t="s">
        <v>382</v>
      </c>
      <c r="T134" t="s">
        <v>382</v>
      </c>
      <c r="U134" t="s">
        <v>382</v>
      </c>
      <c r="V134" t="s">
        <v>382</v>
      </c>
      <c r="W134" t="s">
        <v>382</v>
      </c>
      <c r="X134" t="s">
        <v>382</v>
      </c>
      <c r="Y134" t="s">
        <v>382</v>
      </c>
      <c r="Z134" t="s">
        <v>382</v>
      </c>
      <c r="AA134" t="s">
        <v>382</v>
      </c>
      <c r="AB134" t="s">
        <v>382</v>
      </c>
      <c r="AC134">
        <v>5</v>
      </c>
      <c r="AD134">
        <v>3</v>
      </c>
      <c r="AF134" t="s">
        <v>386</v>
      </c>
      <c r="AH134" t="s">
        <v>29</v>
      </c>
      <c r="AI134" t="s">
        <v>103</v>
      </c>
      <c r="AK134">
        <v>897</v>
      </c>
      <c r="AL134">
        <v>378</v>
      </c>
    </row>
    <row r="135" spans="1:38">
      <c r="A135" t="s">
        <v>382</v>
      </c>
      <c r="B135" t="s">
        <v>382</v>
      </c>
      <c r="C135" t="s">
        <v>382</v>
      </c>
      <c r="D135" t="s">
        <v>382</v>
      </c>
      <c r="E135" t="s">
        <v>382</v>
      </c>
      <c r="F135" t="s">
        <v>382</v>
      </c>
      <c r="G135" t="s">
        <v>382</v>
      </c>
      <c r="H135" t="s">
        <v>382</v>
      </c>
      <c r="I135" t="s">
        <v>382</v>
      </c>
      <c r="J135" t="s">
        <v>382</v>
      </c>
      <c r="K135" t="s">
        <v>382</v>
      </c>
      <c r="L135" t="s">
        <v>382</v>
      </c>
      <c r="M135" t="s">
        <v>382</v>
      </c>
      <c r="N135" t="s">
        <v>382</v>
      </c>
      <c r="O135" t="s">
        <v>382</v>
      </c>
      <c r="P135" t="s">
        <v>382</v>
      </c>
      <c r="Q135" t="s">
        <v>382</v>
      </c>
      <c r="R135" t="s">
        <v>382</v>
      </c>
      <c r="S135" t="s">
        <v>382</v>
      </c>
      <c r="T135" t="s">
        <v>382</v>
      </c>
      <c r="U135" t="s">
        <v>382</v>
      </c>
      <c r="V135" t="s">
        <v>382</v>
      </c>
      <c r="W135" t="s">
        <v>382</v>
      </c>
      <c r="X135" t="s">
        <v>382</v>
      </c>
      <c r="Y135" t="s">
        <v>382</v>
      </c>
      <c r="Z135" t="s">
        <v>382</v>
      </c>
      <c r="AA135" t="s">
        <v>382</v>
      </c>
      <c r="AB135" t="s">
        <v>382</v>
      </c>
      <c r="AC135">
        <v>5</v>
      </c>
      <c r="AD135">
        <v>4</v>
      </c>
      <c r="AE135">
        <v>1</v>
      </c>
      <c r="AF135" t="s">
        <v>395</v>
      </c>
      <c r="AH135" t="s">
        <v>59</v>
      </c>
      <c r="AI135" t="s">
        <v>97</v>
      </c>
      <c r="AK135">
        <v>714</v>
      </c>
      <c r="AL135">
        <v>2108</v>
      </c>
    </row>
    <row r="136" spans="1:38">
      <c r="A136" t="s">
        <v>382</v>
      </c>
      <c r="B136" t="s">
        <v>382</v>
      </c>
      <c r="C136" t="s">
        <v>382</v>
      </c>
      <c r="D136" t="s">
        <v>382</v>
      </c>
      <c r="E136" t="s">
        <v>382</v>
      </c>
      <c r="F136" t="s">
        <v>382</v>
      </c>
      <c r="G136" t="s">
        <v>382</v>
      </c>
      <c r="H136" t="s">
        <v>382</v>
      </c>
      <c r="I136" t="s">
        <v>382</v>
      </c>
      <c r="J136" t="s">
        <v>382</v>
      </c>
      <c r="K136" t="s">
        <v>382</v>
      </c>
      <c r="L136" t="s">
        <v>382</v>
      </c>
      <c r="M136" t="s">
        <v>382</v>
      </c>
      <c r="N136" t="s">
        <v>382</v>
      </c>
      <c r="O136" t="s">
        <v>382</v>
      </c>
      <c r="P136" t="s">
        <v>382</v>
      </c>
      <c r="Q136" t="s">
        <v>382</v>
      </c>
      <c r="R136" t="s">
        <v>382</v>
      </c>
      <c r="S136" t="s">
        <v>382</v>
      </c>
      <c r="T136" t="s">
        <v>382</v>
      </c>
      <c r="U136" t="s">
        <v>382</v>
      </c>
      <c r="V136" t="s">
        <v>382</v>
      </c>
      <c r="W136" t="s">
        <v>382</v>
      </c>
      <c r="X136" t="s">
        <v>382</v>
      </c>
      <c r="Y136" t="s">
        <v>382</v>
      </c>
      <c r="Z136" t="s">
        <v>382</v>
      </c>
      <c r="AA136" t="s">
        <v>382</v>
      </c>
      <c r="AB136" t="s">
        <v>382</v>
      </c>
      <c r="AC136">
        <v>5</v>
      </c>
      <c r="AD136">
        <v>5</v>
      </c>
      <c r="AF136" t="s">
        <v>385</v>
      </c>
      <c r="AH136" t="s">
        <v>27</v>
      </c>
      <c r="AI136" t="s">
        <v>109</v>
      </c>
      <c r="AK136">
        <v>2172</v>
      </c>
      <c r="AL136">
        <v>2193</v>
      </c>
    </row>
    <row r="137" spans="1:38">
      <c r="A137" t="s">
        <v>382</v>
      </c>
      <c r="B137" t="s">
        <v>382</v>
      </c>
      <c r="C137" t="s">
        <v>382</v>
      </c>
      <c r="D137" t="s">
        <v>382</v>
      </c>
      <c r="E137" t="s">
        <v>382</v>
      </c>
      <c r="F137" t="s">
        <v>382</v>
      </c>
      <c r="G137" t="s">
        <v>382</v>
      </c>
      <c r="H137" t="s">
        <v>382</v>
      </c>
      <c r="I137" t="s">
        <v>382</v>
      </c>
      <c r="J137" t="s">
        <v>382</v>
      </c>
      <c r="K137" t="s">
        <v>382</v>
      </c>
      <c r="L137" t="s">
        <v>382</v>
      </c>
      <c r="M137" t="s">
        <v>382</v>
      </c>
      <c r="N137" t="s">
        <v>382</v>
      </c>
      <c r="O137" t="s">
        <v>382</v>
      </c>
      <c r="P137" t="s">
        <v>382</v>
      </c>
      <c r="Q137" t="s">
        <v>382</v>
      </c>
      <c r="R137" t="s">
        <v>382</v>
      </c>
      <c r="S137" t="s">
        <v>382</v>
      </c>
      <c r="T137" t="s">
        <v>382</v>
      </c>
      <c r="U137" t="s">
        <v>382</v>
      </c>
      <c r="V137" t="s">
        <v>382</v>
      </c>
      <c r="W137" t="s">
        <v>382</v>
      </c>
      <c r="X137" t="s">
        <v>382</v>
      </c>
      <c r="Y137" t="s">
        <v>382</v>
      </c>
      <c r="Z137" t="s">
        <v>382</v>
      </c>
      <c r="AA137" t="s">
        <v>382</v>
      </c>
      <c r="AB137" t="s">
        <v>382</v>
      </c>
      <c r="AC137">
        <v>5</v>
      </c>
      <c r="AD137">
        <v>1</v>
      </c>
      <c r="AF137" t="s">
        <v>384</v>
      </c>
      <c r="AH137" t="s">
        <v>25</v>
      </c>
      <c r="AI137" t="s">
        <v>106</v>
      </c>
      <c r="AK137">
        <v>2802</v>
      </c>
      <c r="AL137">
        <v>672</v>
      </c>
    </row>
    <row r="138" spans="1:38">
      <c r="A138" t="s">
        <v>382</v>
      </c>
      <c r="B138" t="s">
        <v>382</v>
      </c>
      <c r="C138" t="s">
        <v>382</v>
      </c>
      <c r="D138" t="s">
        <v>382</v>
      </c>
      <c r="E138" t="s">
        <v>382</v>
      </c>
      <c r="F138" t="s">
        <v>382</v>
      </c>
      <c r="G138" t="s">
        <v>382</v>
      </c>
      <c r="H138" t="s">
        <v>382</v>
      </c>
      <c r="I138" t="s">
        <v>382</v>
      </c>
      <c r="J138" t="s">
        <v>382</v>
      </c>
      <c r="K138" t="s">
        <v>382</v>
      </c>
      <c r="L138" t="s">
        <v>382</v>
      </c>
      <c r="M138" t="s">
        <v>382</v>
      </c>
      <c r="N138" t="s">
        <v>382</v>
      </c>
      <c r="O138" t="s">
        <v>382</v>
      </c>
      <c r="P138" t="s">
        <v>382</v>
      </c>
      <c r="Q138" t="s">
        <v>382</v>
      </c>
      <c r="R138" t="s">
        <v>382</v>
      </c>
      <c r="S138" t="s">
        <v>382</v>
      </c>
      <c r="T138" t="s">
        <v>382</v>
      </c>
      <c r="U138" t="s">
        <v>382</v>
      </c>
      <c r="V138" t="s">
        <v>382</v>
      </c>
      <c r="W138" t="s">
        <v>382</v>
      </c>
      <c r="X138" t="s">
        <v>382</v>
      </c>
      <c r="Y138" t="s">
        <v>382</v>
      </c>
      <c r="Z138" t="s">
        <v>382</v>
      </c>
      <c r="AA138" t="s">
        <v>382</v>
      </c>
      <c r="AB138" t="s">
        <v>382</v>
      </c>
      <c r="AC138">
        <v>5</v>
      </c>
      <c r="AD138">
        <v>2</v>
      </c>
      <c r="AF138" t="s">
        <v>384</v>
      </c>
      <c r="AH138" t="s">
        <v>25</v>
      </c>
      <c r="AI138" t="s">
        <v>106</v>
      </c>
      <c r="AK138">
        <v>1075</v>
      </c>
      <c r="AL138">
        <v>124</v>
      </c>
    </row>
    <row r="139" spans="1:38">
      <c r="A139" t="s">
        <v>382</v>
      </c>
      <c r="B139" t="s">
        <v>382</v>
      </c>
      <c r="C139" t="s">
        <v>382</v>
      </c>
      <c r="D139" t="s">
        <v>382</v>
      </c>
      <c r="E139" t="s">
        <v>382</v>
      </c>
      <c r="F139" t="s">
        <v>382</v>
      </c>
      <c r="G139" t="s">
        <v>382</v>
      </c>
      <c r="H139" t="s">
        <v>382</v>
      </c>
      <c r="I139" t="s">
        <v>382</v>
      </c>
      <c r="J139" t="s">
        <v>382</v>
      </c>
      <c r="K139" t="s">
        <v>382</v>
      </c>
      <c r="L139" t="s">
        <v>382</v>
      </c>
      <c r="M139" t="s">
        <v>382</v>
      </c>
      <c r="N139" t="s">
        <v>382</v>
      </c>
      <c r="O139" t="s">
        <v>382</v>
      </c>
      <c r="P139" t="s">
        <v>382</v>
      </c>
      <c r="Q139" t="s">
        <v>382</v>
      </c>
      <c r="R139" t="s">
        <v>382</v>
      </c>
      <c r="S139" t="s">
        <v>382</v>
      </c>
      <c r="T139" t="s">
        <v>382</v>
      </c>
      <c r="U139" t="s">
        <v>382</v>
      </c>
      <c r="V139" t="s">
        <v>382</v>
      </c>
      <c r="W139" t="s">
        <v>382</v>
      </c>
      <c r="X139" t="s">
        <v>382</v>
      </c>
      <c r="Y139" t="s">
        <v>382</v>
      </c>
      <c r="Z139" t="s">
        <v>382</v>
      </c>
      <c r="AA139" t="s">
        <v>382</v>
      </c>
      <c r="AB139" t="s">
        <v>382</v>
      </c>
      <c r="AC139">
        <v>5</v>
      </c>
      <c r="AD139">
        <v>3</v>
      </c>
      <c r="AF139" t="s">
        <v>386</v>
      </c>
      <c r="AH139" t="s">
        <v>29</v>
      </c>
      <c r="AI139" t="s">
        <v>103</v>
      </c>
      <c r="AK139">
        <v>2320</v>
      </c>
      <c r="AL139">
        <v>755</v>
      </c>
    </row>
    <row r="140" spans="1:38">
      <c r="A140" t="s">
        <v>382</v>
      </c>
      <c r="B140" t="s">
        <v>382</v>
      </c>
      <c r="C140" t="s">
        <v>382</v>
      </c>
      <c r="D140" t="s">
        <v>382</v>
      </c>
      <c r="E140" t="s">
        <v>382</v>
      </c>
      <c r="F140" t="s">
        <v>382</v>
      </c>
      <c r="G140" t="s">
        <v>382</v>
      </c>
      <c r="H140" t="s">
        <v>382</v>
      </c>
      <c r="I140" t="s">
        <v>382</v>
      </c>
      <c r="J140" t="s">
        <v>382</v>
      </c>
      <c r="K140" t="s">
        <v>382</v>
      </c>
      <c r="L140" t="s">
        <v>382</v>
      </c>
      <c r="M140" t="s">
        <v>382</v>
      </c>
      <c r="N140" t="s">
        <v>382</v>
      </c>
      <c r="O140" t="s">
        <v>382</v>
      </c>
      <c r="P140" t="s">
        <v>382</v>
      </c>
      <c r="Q140" t="s">
        <v>382</v>
      </c>
      <c r="R140" t="s">
        <v>382</v>
      </c>
      <c r="S140" t="s">
        <v>382</v>
      </c>
      <c r="T140" t="s">
        <v>382</v>
      </c>
      <c r="U140" t="s">
        <v>382</v>
      </c>
      <c r="V140" t="s">
        <v>382</v>
      </c>
      <c r="W140" t="s">
        <v>382</v>
      </c>
      <c r="X140" t="s">
        <v>382</v>
      </c>
      <c r="Y140" t="s">
        <v>382</v>
      </c>
      <c r="Z140" t="s">
        <v>382</v>
      </c>
      <c r="AA140" t="s">
        <v>382</v>
      </c>
      <c r="AB140" t="s">
        <v>382</v>
      </c>
      <c r="AC140">
        <v>5</v>
      </c>
      <c r="AD140">
        <v>4</v>
      </c>
      <c r="AF140" t="s">
        <v>385</v>
      </c>
      <c r="AH140" t="s">
        <v>27</v>
      </c>
      <c r="AI140" t="s">
        <v>109</v>
      </c>
      <c r="AK140">
        <v>2668</v>
      </c>
      <c r="AL140">
        <v>2505</v>
      </c>
    </row>
    <row r="141" spans="1:38">
      <c r="A141" t="s">
        <v>382</v>
      </c>
      <c r="B141" t="s">
        <v>382</v>
      </c>
      <c r="C141" t="s">
        <v>382</v>
      </c>
      <c r="D141" t="s">
        <v>382</v>
      </c>
      <c r="E141" t="s">
        <v>382</v>
      </c>
      <c r="F141" t="s">
        <v>382</v>
      </c>
      <c r="G141" t="s">
        <v>382</v>
      </c>
      <c r="H141" t="s">
        <v>382</v>
      </c>
      <c r="I141" t="s">
        <v>382</v>
      </c>
      <c r="J141" t="s">
        <v>382</v>
      </c>
      <c r="K141" t="s">
        <v>382</v>
      </c>
      <c r="L141" t="s">
        <v>382</v>
      </c>
      <c r="M141" t="s">
        <v>382</v>
      </c>
      <c r="N141" t="s">
        <v>382</v>
      </c>
      <c r="O141" t="s">
        <v>382</v>
      </c>
      <c r="P141" t="s">
        <v>382</v>
      </c>
      <c r="Q141" t="s">
        <v>382</v>
      </c>
      <c r="R141" t="s">
        <v>382</v>
      </c>
      <c r="S141" t="s">
        <v>382</v>
      </c>
      <c r="T141" t="s">
        <v>382</v>
      </c>
      <c r="U141" t="s">
        <v>382</v>
      </c>
      <c r="V141" t="s">
        <v>382</v>
      </c>
      <c r="W141" t="s">
        <v>382</v>
      </c>
      <c r="X141" t="s">
        <v>382</v>
      </c>
      <c r="Y141" t="s">
        <v>382</v>
      </c>
      <c r="Z141" t="s">
        <v>382</v>
      </c>
      <c r="AA141" t="s">
        <v>382</v>
      </c>
      <c r="AB141" t="s">
        <v>382</v>
      </c>
      <c r="AC141">
        <v>5</v>
      </c>
      <c r="AD141">
        <v>5</v>
      </c>
      <c r="AE141">
        <v>1</v>
      </c>
      <c r="AF141" t="s">
        <v>399</v>
      </c>
      <c r="AH141" t="s">
        <v>72</v>
      </c>
      <c r="AI141" t="s">
        <v>97</v>
      </c>
      <c r="AK141">
        <v>1242</v>
      </c>
      <c r="AL141">
        <v>2484</v>
      </c>
    </row>
    <row r="142" spans="1:38">
      <c r="A142" t="s">
        <v>382</v>
      </c>
      <c r="B142" t="s">
        <v>382</v>
      </c>
      <c r="C142" t="s">
        <v>382</v>
      </c>
      <c r="D142" t="s">
        <v>382</v>
      </c>
      <c r="E142" t="s">
        <v>382</v>
      </c>
      <c r="F142" t="s">
        <v>382</v>
      </c>
      <c r="G142" t="s">
        <v>382</v>
      </c>
      <c r="H142" t="s">
        <v>382</v>
      </c>
      <c r="I142" t="s">
        <v>382</v>
      </c>
      <c r="J142" t="s">
        <v>382</v>
      </c>
      <c r="K142" t="s">
        <v>382</v>
      </c>
      <c r="L142" t="s">
        <v>382</v>
      </c>
      <c r="M142" t="s">
        <v>382</v>
      </c>
      <c r="N142" t="s">
        <v>382</v>
      </c>
      <c r="O142" t="s">
        <v>382</v>
      </c>
      <c r="P142" t="s">
        <v>382</v>
      </c>
      <c r="Q142" t="s">
        <v>382</v>
      </c>
      <c r="R142" t="s">
        <v>382</v>
      </c>
      <c r="S142" t="s">
        <v>382</v>
      </c>
      <c r="T142" t="s">
        <v>382</v>
      </c>
      <c r="U142" t="s">
        <v>382</v>
      </c>
      <c r="V142" t="s">
        <v>382</v>
      </c>
      <c r="W142" t="s">
        <v>382</v>
      </c>
      <c r="X142" t="s">
        <v>382</v>
      </c>
      <c r="Y142" t="s">
        <v>382</v>
      </c>
      <c r="Z142" t="s">
        <v>382</v>
      </c>
      <c r="AA142" t="s">
        <v>382</v>
      </c>
      <c r="AB142" t="s">
        <v>382</v>
      </c>
      <c r="AC142">
        <v>5</v>
      </c>
      <c r="AD142">
        <v>1</v>
      </c>
      <c r="AF142" t="s">
        <v>386</v>
      </c>
      <c r="AH142" t="s">
        <v>29</v>
      </c>
      <c r="AI142" t="s">
        <v>103</v>
      </c>
      <c r="AK142">
        <v>995</v>
      </c>
      <c r="AL142">
        <v>2138</v>
      </c>
    </row>
    <row r="143" spans="1:38">
      <c r="A143" t="s">
        <v>382</v>
      </c>
      <c r="B143" t="s">
        <v>382</v>
      </c>
      <c r="C143" t="s">
        <v>382</v>
      </c>
      <c r="D143" t="s">
        <v>382</v>
      </c>
      <c r="E143" t="s">
        <v>382</v>
      </c>
      <c r="F143" t="s">
        <v>382</v>
      </c>
      <c r="G143" t="s">
        <v>382</v>
      </c>
      <c r="H143" t="s">
        <v>382</v>
      </c>
      <c r="I143" t="s">
        <v>382</v>
      </c>
      <c r="J143" t="s">
        <v>382</v>
      </c>
      <c r="K143" t="s">
        <v>382</v>
      </c>
      <c r="L143" t="s">
        <v>382</v>
      </c>
      <c r="M143" t="s">
        <v>382</v>
      </c>
      <c r="N143" t="s">
        <v>382</v>
      </c>
      <c r="O143" t="s">
        <v>382</v>
      </c>
      <c r="P143" t="s">
        <v>382</v>
      </c>
      <c r="Q143" t="s">
        <v>382</v>
      </c>
      <c r="R143" t="s">
        <v>382</v>
      </c>
      <c r="S143" t="s">
        <v>382</v>
      </c>
      <c r="T143" t="s">
        <v>382</v>
      </c>
      <c r="U143" t="s">
        <v>382</v>
      </c>
      <c r="V143" t="s">
        <v>382</v>
      </c>
      <c r="W143" t="s">
        <v>382</v>
      </c>
      <c r="X143" t="s">
        <v>382</v>
      </c>
      <c r="Y143" t="s">
        <v>382</v>
      </c>
      <c r="Z143" t="s">
        <v>382</v>
      </c>
      <c r="AA143" t="s">
        <v>382</v>
      </c>
      <c r="AB143" t="s">
        <v>382</v>
      </c>
      <c r="AC143">
        <v>5</v>
      </c>
      <c r="AD143">
        <v>2</v>
      </c>
      <c r="AF143" t="s">
        <v>386</v>
      </c>
      <c r="AH143" t="s">
        <v>29</v>
      </c>
      <c r="AI143" t="s">
        <v>103</v>
      </c>
      <c r="AK143">
        <v>1194</v>
      </c>
      <c r="AL143">
        <v>2275</v>
      </c>
    </row>
    <row r="144" spans="1:38">
      <c r="A144" t="s">
        <v>382</v>
      </c>
      <c r="B144" t="s">
        <v>382</v>
      </c>
      <c r="C144" t="s">
        <v>382</v>
      </c>
      <c r="D144" t="s">
        <v>382</v>
      </c>
      <c r="E144" t="s">
        <v>382</v>
      </c>
      <c r="F144" t="s">
        <v>382</v>
      </c>
      <c r="G144" t="s">
        <v>382</v>
      </c>
      <c r="H144" t="s">
        <v>382</v>
      </c>
      <c r="I144" t="s">
        <v>382</v>
      </c>
      <c r="J144" t="s">
        <v>382</v>
      </c>
      <c r="K144" t="s">
        <v>382</v>
      </c>
      <c r="L144" t="s">
        <v>382</v>
      </c>
      <c r="M144" t="s">
        <v>382</v>
      </c>
      <c r="N144" t="s">
        <v>382</v>
      </c>
      <c r="O144" t="s">
        <v>382</v>
      </c>
      <c r="P144" t="s">
        <v>382</v>
      </c>
      <c r="Q144" t="s">
        <v>382</v>
      </c>
      <c r="R144" t="s">
        <v>382</v>
      </c>
      <c r="S144" t="s">
        <v>382</v>
      </c>
      <c r="T144" t="s">
        <v>382</v>
      </c>
      <c r="U144" t="s">
        <v>382</v>
      </c>
      <c r="V144" t="s">
        <v>382</v>
      </c>
      <c r="W144" t="s">
        <v>382</v>
      </c>
      <c r="X144" t="s">
        <v>382</v>
      </c>
      <c r="Y144" t="s">
        <v>382</v>
      </c>
      <c r="Z144" t="s">
        <v>382</v>
      </c>
      <c r="AA144" t="s">
        <v>382</v>
      </c>
      <c r="AB144" t="s">
        <v>382</v>
      </c>
      <c r="AC144">
        <v>5</v>
      </c>
      <c r="AD144">
        <v>3</v>
      </c>
      <c r="AF144" t="s">
        <v>386</v>
      </c>
      <c r="AH144" t="s">
        <v>29</v>
      </c>
      <c r="AI144" t="s">
        <v>103</v>
      </c>
      <c r="AK144">
        <v>690</v>
      </c>
      <c r="AL144">
        <v>639</v>
      </c>
    </row>
    <row r="145" spans="1:38">
      <c r="A145" t="s">
        <v>382</v>
      </c>
      <c r="B145" t="s">
        <v>382</v>
      </c>
      <c r="C145" t="s">
        <v>382</v>
      </c>
      <c r="D145" t="s">
        <v>382</v>
      </c>
      <c r="E145" t="s">
        <v>382</v>
      </c>
      <c r="F145" t="s">
        <v>382</v>
      </c>
      <c r="G145" t="s">
        <v>382</v>
      </c>
      <c r="H145" t="s">
        <v>382</v>
      </c>
      <c r="I145" t="s">
        <v>382</v>
      </c>
      <c r="J145" t="s">
        <v>382</v>
      </c>
      <c r="K145" t="s">
        <v>382</v>
      </c>
      <c r="L145" t="s">
        <v>382</v>
      </c>
      <c r="M145" t="s">
        <v>382</v>
      </c>
      <c r="N145" t="s">
        <v>382</v>
      </c>
      <c r="O145" t="s">
        <v>382</v>
      </c>
      <c r="P145" t="s">
        <v>382</v>
      </c>
      <c r="Q145" t="s">
        <v>382</v>
      </c>
      <c r="R145" t="s">
        <v>382</v>
      </c>
      <c r="S145" t="s">
        <v>382</v>
      </c>
      <c r="T145" t="s">
        <v>382</v>
      </c>
      <c r="U145" t="s">
        <v>382</v>
      </c>
      <c r="V145" t="s">
        <v>382</v>
      </c>
      <c r="W145" t="s">
        <v>382</v>
      </c>
      <c r="X145" t="s">
        <v>382</v>
      </c>
      <c r="Y145" t="s">
        <v>382</v>
      </c>
      <c r="Z145" t="s">
        <v>382</v>
      </c>
      <c r="AA145" t="s">
        <v>382</v>
      </c>
      <c r="AB145" t="s">
        <v>382</v>
      </c>
      <c r="AC145">
        <v>5</v>
      </c>
      <c r="AD145">
        <v>4</v>
      </c>
      <c r="AF145" t="s">
        <v>385</v>
      </c>
      <c r="AH145" t="s">
        <v>27</v>
      </c>
      <c r="AI145" t="s">
        <v>109</v>
      </c>
      <c r="AK145">
        <v>740</v>
      </c>
      <c r="AL145">
        <v>1244</v>
      </c>
    </row>
    <row r="146" spans="1:38">
      <c r="A146" t="s">
        <v>382</v>
      </c>
      <c r="B146" t="s">
        <v>382</v>
      </c>
      <c r="C146" t="s">
        <v>382</v>
      </c>
      <c r="D146" t="s">
        <v>382</v>
      </c>
      <c r="E146" t="s">
        <v>382</v>
      </c>
      <c r="F146" t="s">
        <v>382</v>
      </c>
      <c r="G146" t="s">
        <v>382</v>
      </c>
      <c r="H146" t="s">
        <v>382</v>
      </c>
      <c r="I146" t="s">
        <v>382</v>
      </c>
      <c r="J146" t="s">
        <v>382</v>
      </c>
      <c r="K146" t="s">
        <v>382</v>
      </c>
      <c r="L146" t="s">
        <v>382</v>
      </c>
      <c r="M146" t="s">
        <v>382</v>
      </c>
      <c r="N146" t="s">
        <v>382</v>
      </c>
      <c r="O146" t="s">
        <v>382</v>
      </c>
      <c r="P146" t="s">
        <v>382</v>
      </c>
      <c r="Q146" t="s">
        <v>382</v>
      </c>
      <c r="R146" t="s">
        <v>382</v>
      </c>
      <c r="S146" t="s">
        <v>382</v>
      </c>
      <c r="T146" t="s">
        <v>382</v>
      </c>
      <c r="U146" t="s">
        <v>382</v>
      </c>
      <c r="V146" t="s">
        <v>382</v>
      </c>
      <c r="W146" t="s">
        <v>382</v>
      </c>
      <c r="X146" t="s">
        <v>382</v>
      </c>
      <c r="Y146" t="s">
        <v>382</v>
      </c>
      <c r="Z146" t="s">
        <v>382</v>
      </c>
      <c r="AA146" t="s">
        <v>382</v>
      </c>
      <c r="AB146" t="s">
        <v>382</v>
      </c>
      <c r="AC146">
        <v>5</v>
      </c>
      <c r="AD146">
        <v>5</v>
      </c>
      <c r="AF146" t="s">
        <v>385</v>
      </c>
      <c r="AH146" t="s">
        <v>27</v>
      </c>
      <c r="AI146" t="s">
        <v>109</v>
      </c>
      <c r="AK146">
        <v>726</v>
      </c>
      <c r="AL146">
        <v>886</v>
      </c>
    </row>
    <row r="147" spans="1:38">
      <c r="A147" t="s">
        <v>382</v>
      </c>
      <c r="B147" t="s">
        <v>382</v>
      </c>
      <c r="C147" t="s">
        <v>382</v>
      </c>
      <c r="D147" t="s">
        <v>382</v>
      </c>
      <c r="E147" t="s">
        <v>382</v>
      </c>
      <c r="F147" t="s">
        <v>382</v>
      </c>
      <c r="G147" t="s">
        <v>382</v>
      </c>
      <c r="H147" t="s">
        <v>382</v>
      </c>
      <c r="I147" t="s">
        <v>382</v>
      </c>
      <c r="J147" t="s">
        <v>382</v>
      </c>
      <c r="K147" t="s">
        <v>382</v>
      </c>
      <c r="L147" t="s">
        <v>382</v>
      </c>
      <c r="M147" t="s">
        <v>382</v>
      </c>
      <c r="N147" t="s">
        <v>382</v>
      </c>
      <c r="O147" t="s">
        <v>382</v>
      </c>
      <c r="P147" t="s">
        <v>382</v>
      </c>
      <c r="Q147" t="s">
        <v>382</v>
      </c>
      <c r="R147" t="s">
        <v>382</v>
      </c>
      <c r="S147" t="s">
        <v>382</v>
      </c>
      <c r="T147" t="s">
        <v>382</v>
      </c>
      <c r="U147" t="s">
        <v>382</v>
      </c>
      <c r="V147" t="s">
        <v>382</v>
      </c>
      <c r="W147" t="s">
        <v>382</v>
      </c>
      <c r="X147" t="s">
        <v>382</v>
      </c>
      <c r="Y147" t="s">
        <v>382</v>
      </c>
      <c r="Z147" t="s">
        <v>382</v>
      </c>
      <c r="AA147" t="s">
        <v>382</v>
      </c>
      <c r="AB147" t="s">
        <v>382</v>
      </c>
      <c r="AC147">
        <v>5</v>
      </c>
      <c r="AD147">
        <v>1</v>
      </c>
      <c r="AE147">
        <v>1</v>
      </c>
      <c r="AF147" t="s">
        <v>398</v>
      </c>
      <c r="AH147" t="s">
        <v>69</v>
      </c>
      <c r="AI147" t="s">
        <v>97</v>
      </c>
      <c r="AK147">
        <v>1163</v>
      </c>
      <c r="AL147">
        <v>815</v>
      </c>
    </row>
    <row r="148" spans="1:38">
      <c r="A148" t="s">
        <v>382</v>
      </c>
      <c r="B148" t="s">
        <v>382</v>
      </c>
      <c r="C148" t="s">
        <v>382</v>
      </c>
      <c r="D148" t="s">
        <v>382</v>
      </c>
      <c r="E148" t="s">
        <v>382</v>
      </c>
      <c r="F148" t="s">
        <v>382</v>
      </c>
      <c r="G148" t="s">
        <v>382</v>
      </c>
      <c r="H148" t="s">
        <v>382</v>
      </c>
      <c r="I148" t="s">
        <v>382</v>
      </c>
      <c r="J148" t="s">
        <v>382</v>
      </c>
      <c r="K148" t="s">
        <v>382</v>
      </c>
      <c r="L148" t="s">
        <v>382</v>
      </c>
      <c r="M148" t="s">
        <v>382</v>
      </c>
      <c r="N148" t="s">
        <v>382</v>
      </c>
      <c r="O148" t="s">
        <v>382</v>
      </c>
      <c r="P148" t="s">
        <v>382</v>
      </c>
      <c r="Q148" t="s">
        <v>382</v>
      </c>
      <c r="R148" t="s">
        <v>382</v>
      </c>
      <c r="S148" t="s">
        <v>382</v>
      </c>
      <c r="T148" t="s">
        <v>382</v>
      </c>
      <c r="U148" t="s">
        <v>382</v>
      </c>
      <c r="V148" t="s">
        <v>382</v>
      </c>
      <c r="W148" t="s">
        <v>382</v>
      </c>
      <c r="X148" t="s">
        <v>382</v>
      </c>
      <c r="Y148" t="s">
        <v>382</v>
      </c>
      <c r="Z148" t="s">
        <v>382</v>
      </c>
      <c r="AA148" t="s">
        <v>382</v>
      </c>
      <c r="AB148" t="s">
        <v>382</v>
      </c>
      <c r="AC148">
        <v>5</v>
      </c>
      <c r="AD148">
        <v>2</v>
      </c>
      <c r="AE148">
        <v>1</v>
      </c>
      <c r="AF148" t="s">
        <v>383</v>
      </c>
      <c r="AH148" t="s">
        <v>22</v>
      </c>
      <c r="AI148" t="s">
        <v>97</v>
      </c>
      <c r="AK148">
        <v>2653</v>
      </c>
      <c r="AL148">
        <v>1048</v>
      </c>
    </row>
    <row r="149" spans="1:38">
      <c r="A149" t="s">
        <v>382</v>
      </c>
      <c r="B149" t="s">
        <v>382</v>
      </c>
      <c r="C149" t="s">
        <v>382</v>
      </c>
      <c r="D149" t="s">
        <v>382</v>
      </c>
      <c r="E149" t="s">
        <v>382</v>
      </c>
      <c r="F149" t="s">
        <v>382</v>
      </c>
      <c r="G149" t="s">
        <v>382</v>
      </c>
      <c r="H149" t="s">
        <v>382</v>
      </c>
      <c r="I149" t="s">
        <v>382</v>
      </c>
      <c r="J149" t="s">
        <v>382</v>
      </c>
      <c r="K149" t="s">
        <v>382</v>
      </c>
      <c r="L149" t="s">
        <v>382</v>
      </c>
      <c r="M149" t="s">
        <v>382</v>
      </c>
      <c r="N149" t="s">
        <v>382</v>
      </c>
      <c r="O149" t="s">
        <v>382</v>
      </c>
      <c r="P149" t="s">
        <v>382</v>
      </c>
      <c r="Q149" t="s">
        <v>382</v>
      </c>
      <c r="R149" t="s">
        <v>382</v>
      </c>
      <c r="S149" t="s">
        <v>382</v>
      </c>
      <c r="T149" t="s">
        <v>382</v>
      </c>
      <c r="U149" t="s">
        <v>382</v>
      </c>
      <c r="V149" t="s">
        <v>382</v>
      </c>
      <c r="W149" t="s">
        <v>382</v>
      </c>
      <c r="X149" t="s">
        <v>382</v>
      </c>
      <c r="Y149" t="s">
        <v>382</v>
      </c>
      <c r="Z149" t="s">
        <v>382</v>
      </c>
      <c r="AA149" t="s">
        <v>382</v>
      </c>
      <c r="AB149" t="s">
        <v>382</v>
      </c>
      <c r="AC149">
        <v>5</v>
      </c>
      <c r="AD149">
        <v>3</v>
      </c>
      <c r="AF149" t="s">
        <v>386</v>
      </c>
      <c r="AH149" t="s">
        <v>29</v>
      </c>
      <c r="AI149" t="s">
        <v>103</v>
      </c>
      <c r="AK149">
        <v>1502</v>
      </c>
      <c r="AL149">
        <v>964</v>
      </c>
    </row>
    <row r="150" spans="1:38">
      <c r="A150" t="s">
        <v>382</v>
      </c>
      <c r="B150" t="s">
        <v>382</v>
      </c>
      <c r="C150" t="s">
        <v>382</v>
      </c>
      <c r="D150" t="s">
        <v>382</v>
      </c>
      <c r="E150" t="s">
        <v>382</v>
      </c>
      <c r="F150" t="s">
        <v>382</v>
      </c>
      <c r="G150" t="s">
        <v>382</v>
      </c>
      <c r="H150" t="s">
        <v>382</v>
      </c>
      <c r="I150" t="s">
        <v>382</v>
      </c>
      <c r="J150" t="s">
        <v>382</v>
      </c>
      <c r="K150" t="s">
        <v>382</v>
      </c>
      <c r="L150" t="s">
        <v>382</v>
      </c>
      <c r="M150" t="s">
        <v>382</v>
      </c>
      <c r="N150" t="s">
        <v>382</v>
      </c>
      <c r="O150" t="s">
        <v>382</v>
      </c>
      <c r="P150" t="s">
        <v>382</v>
      </c>
      <c r="Q150" t="s">
        <v>382</v>
      </c>
      <c r="R150" t="s">
        <v>382</v>
      </c>
      <c r="S150" t="s">
        <v>382</v>
      </c>
      <c r="T150" t="s">
        <v>382</v>
      </c>
      <c r="U150" t="s">
        <v>382</v>
      </c>
      <c r="V150" t="s">
        <v>382</v>
      </c>
      <c r="W150" t="s">
        <v>382</v>
      </c>
      <c r="X150" t="s">
        <v>382</v>
      </c>
      <c r="Y150" t="s">
        <v>382</v>
      </c>
      <c r="Z150" t="s">
        <v>382</v>
      </c>
      <c r="AA150" t="s">
        <v>382</v>
      </c>
      <c r="AB150" t="s">
        <v>382</v>
      </c>
      <c r="AC150">
        <v>5</v>
      </c>
      <c r="AD150">
        <v>4</v>
      </c>
      <c r="AE150">
        <v>1</v>
      </c>
      <c r="AF150" t="s">
        <v>389</v>
      </c>
      <c r="AH150" t="s">
        <v>35</v>
      </c>
      <c r="AI150" t="s">
        <v>97</v>
      </c>
      <c r="AK150">
        <v>2415</v>
      </c>
      <c r="AL150">
        <v>884</v>
      </c>
    </row>
    <row r="151" spans="1:38">
      <c r="A151" t="s">
        <v>382</v>
      </c>
      <c r="B151" t="s">
        <v>382</v>
      </c>
      <c r="C151" t="s">
        <v>382</v>
      </c>
      <c r="D151" t="s">
        <v>382</v>
      </c>
      <c r="E151" t="s">
        <v>382</v>
      </c>
      <c r="F151" t="s">
        <v>382</v>
      </c>
      <c r="G151" t="s">
        <v>382</v>
      </c>
      <c r="H151" t="s">
        <v>382</v>
      </c>
      <c r="I151" t="s">
        <v>382</v>
      </c>
      <c r="J151" t="s">
        <v>382</v>
      </c>
      <c r="K151" t="s">
        <v>382</v>
      </c>
      <c r="L151" t="s">
        <v>382</v>
      </c>
      <c r="M151" t="s">
        <v>382</v>
      </c>
      <c r="N151" t="s">
        <v>382</v>
      </c>
      <c r="O151" t="s">
        <v>382</v>
      </c>
      <c r="P151" t="s">
        <v>382</v>
      </c>
      <c r="Q151" t="s">
        <v>382</v>
      </c>
      <c r="R151" t="s">
        <v>382</v>
      </c>
      <c r="S151" t="s">
        <v>382</v>
      </c>
      <c r="T151" t="s">
        <v>382</v>
      </c>
      <c r="U151" t="s">
        <v>382</v>
      </c>
      <c r="V151" t="s">
        <v>382</v>
      </c>
      <c r="W151" t="s">
        <v>382</v>
      </c>
      <c r="X151" t="s">
        <v>382</v>
      </c>
      <c r="Y151" t="s">
        <v>382</v>
      </c>
      <c r="Z151" t="s">
        <v>382</v>
      </c>
      <c r="AA151" t="s">
        <v>382</v>
      </c>
      <c r="AB151" t="s">
        <v>382</v>
      </c>
      <c r="AC151">
        <v>5</v>
      </c>
      <c r="AD151">
        <v>5</v>
      </c>
      <c r="AE151">
        <v>1</v>
      </c>
      <c r="AF151" t="s">
        <v>389</v>
      </c>
      <c r="AH151" t="s">
        <v>35</v>
      </c>
      <c r="AI151" t="s">
        <v>97</v>
      </c>
      <c r="AK151">
        <v>485</v>
      </c>
      <c r="AL151">
        <v>2161</v>
      </c>
    </row>
    <row r="152" spans="1:38">
      <c r="A152" t="s">
        <v>382</v>
      </c>
      <c r="B152" t="s">
        <v>382</v>
      </c>
      <c r="C152" t="s">
        <v>382</v>
      </c>
      <c r="D152" t="s">
        <v>382</v>
      </c>
      <c r="E152" t="s">
        <v>382</v>
      </c>
      <c r="F152" t="s">
        <v>382</v>
      </c>
      <c r="G152" t="s">
        <v>382</v>
      </c>
      <c r="H152" t="s">
        <v>382</v>
      </c>
      <c r="I152" t="s">
        <v>382</v>
      </c>
      <c r="J152" t="s">
        <v>382</v>
      </c>
      <c r="K152" t="s">
        <v>382</v>
      </c>
      <c r="L152" t="s">
        <v>382</v>
      </c>
      <c r="M152" t="s">
        <v>382</v>
      </c>
      <c r="N152" t="s">
        <v>382</v>
      </c>
      <c r="O152" t="s">
        <v>382</v>
      </c>
      <c r="P152" t="s">
        <v>382</v>
      </c>
      <c r="Q152" t="s">
        <v>382</v>
      </c>
      <c r="R152" t="s">
        <v>382</v>
      </c>
      <c r="S152" t="s">
        <v>382</v>
      </c>
      <c r="T152" t="s">
        <v>382</v>
      </c>
      <c r="U152" t="s">
        <v>382</v>
      </c>
      <c r="V152" t="s">
        <v>382</v>
      </c>
      <c r="W152" t="s">
        <v>382</v>
      </c>
      <c r="X152" t="s">
        <v>382</v>
      </c>
      <c r="Y152" t="s">
        <v>382</v>
      </c>
      <c r="Z152" t="s">
        <v>382</v>
      </c>
      <c r="AA152" t="s">
        <v>382</v>
      </c>
      <c r="AB152" t="s">
        <v>382</v>
      </c>
      <c r="AC152">
        <v>5</v>
      </c>
      <c r="AD152">
        <v>1</v>
      </c>
      <c r="AE152">
        <v>1</v>
      </c>
      <c r="AF152" t="s">
        <v>389</v>
      </c>
      <c r="AH152" t="s">
        <v>35</v>
      </c>
      <c r="AI152" t="s">
        <v>97</v>
      </c>
      <c r="AK152">
        <v>2276</v>
      </c>
      <c r="AL152">
        <v>656</v>
      </c>
    </row>
    <row r="153" spans="1:38">
      <c r="A153" t="s">
        <v>382</v>
      </c>
      <c r="B153" t="s">
        <v>382</v>
      </c>
      <c r="C153" t="s">
        <v>382</v>
      </c>
      <c r="D153" t="s">
        <v>382</v>
      </c>
      <c r="E153" t="s">
        <v>382</v>
      </c>
      <c r="F153" t="s">
        <v>382</v>
      </c>
      <c r="G153" t="s">
        <v>382</v>
      </c>
      <c r="H153" t="s">
        <v>382</v>
      </c>
      <c r="I153" t="s">
        <v>382</v>
      </c>
      <c r="J153" t="s">
        <v>382</v>
      </c>
      <c r="K153" t="s">
        <v>382</v>
      </c>
      <c r="L153" t="s">
        <v>382</v>
      </c>
      <c r="M153" t="s">
        <v>382</v>
      </c>
      <c r="N153" t="s">
        <v>382</v>
      </c>
      <c r="O153" t="s">
        <v>382</v>
      </c>
      <c r="P153" t="s">
        <v>382</v>
      </c>
      <c r="Q153" t="s">
        <v>382</v>
      </c>
      <c r="R153" t="s">
        <v>382</v>
      </c>
      <c r="S153" t="s">
        <v>382</v>
      </c>
      <c r="T153" t="s">
        <v>382</v>
      </c>
      <c r="U153" t="s">
        <v>382</v>
      </c>
      <c r="V153" t="s">
        <v>382</v>
      </c>
      <c r="W153" t="s">
        <v>382</v>
      </c>
      <c r="X153" t="s">
        <v>382</v>
      </c>
      <c r="Y153" t="s">
        <v>382</v>
      </c>
      <c r="Z153" t="s">
        <v>382</v>
      </c>
      <c r="AA153" t="s">
        <v>382</v>
      </c>
      <c r="AB153" t="s">
        <v>382</v>
      </c>
      <c r="AC153">
        <v>5</v>
      </c>
      <c r="AD153">
        <v>2</v>
      </c>
      <c r="AF153" t="s">
        <v>386</v>
      </c>
      <c r="AH153" t="s">
        <v>29</v>
      </c>
      <c r="AI153" t="s">
        <v>103</v>
      </c>
      <c r="AK153">
        <v>1280</v>
      </c>
      <c r="AL153">
        <v>2250</v>
      </c>
    </row>
    <row r="154" spans="1:38">
      <c r="A154" t="s">
        <v>382</v>
      </c>
      <c r="B154" t="s">
        <v>382</v>
      </c>
      <c r="C154" t="s">
        <v>382</v>
      </c>
      <c r="D154" t="s">
        <v>382</v>
      </c>
      <c r="E154" t="s">
        <v>382</v>
      </c>
      <c r="F154" t="s">
        <v>382</v>
      </c>
      <c r="G154" t="s">
        <v>382</v>
      </c>
      <c r="H154" t="s">
        <v>382</v>
      </c>
      <c r="I154" t="s">
        <v>382</v>
      </c>
      <c r="J154" t="s">
        <v>382</v>
      </c>
      <c r="K154" t="s">
        <v>382</v>
      </c>
      <c r="L154" t="s">
        <v>382</v>
      </c>
      <c r="M154" t="s">
        <v>382</v>
      </c>
      <c r="N154" t="s">
        <v>382</v>
      </c>
      <c r="O154" t="s">
        <v>382</v>
      </c>
      <c r="P154" t="s">
        <v>382</v>
      </c>
      <c r="Q154" t="s">
        <v>382</v>
      </c>
      <c r="R154" t="s">
        <v>382</v>
      </c>
      <c r="S154" t="s">
        <v>382</v>
      </c>
      <c r="T154" t="s">
        <v>382</v>
      </c>
      <c r="U154" t="s">
        <v>382</v>
      </c>
      <c r="V154" t="s">
        <v>382</v>
      </c>
      <c r="W154" t="s">
        <v>382</v>
      </c>
      <c r="X154" t="s">
        <v>382</v>
      </c>
      <c r="Y154" t="s">
        <v>382</v>
      </c>
      <c r="Z154" t="s">
        <v>382</v>
      </c>
      <c r="AA154" t="s">
        <v>382</v>
      </c>
      <c r="AB154" t="s">
        <v>382</v>
      </c>
      <c r="AC154">
        <v>5</v>
      </c>
      <c r="AD154">
        <v>3</v>
      </c>
      <c r="AE154">
        <v>1</v>
      </c>
      <c r="AF154" t="s">
        <v>389</v>
      </c>
      <c r="AH154" t="s">
        <v>35</v>
      </c>
      <c r="AI154" t="s">
        <v>97</v>
      </c>
      <c r="AK154">
        <v>2177</v>
      </c>
      <c r="AL154">
        <v>1874</v>
      </c>
    </row>
    <row r="155" spans="1:38">
      <c r="A155" t="s">
        <v>382</v>
      </c>
      <c r="B155" t="s">
        <v>382</v>
      </c>
      <c r="C155" t="s">
        <v>382</v>
      </c>
      <c r="D155" t="s">
        <v>382</v>
      </c>
      <c r="E155" t="s">
        <v>382</v>
      </c>
      <c r="F155" t="s">
        <v>382</v>
      </c>
      <c r="G155" t="s">
        <v>382</v>
      </c>
      <c r="H155" t="s">
        <v>382</v>
      </c>
      <c r="I155" t="s">
        <v>382</v>
      </c>
      <c r="J155" t="s">
        <v>382</v>
      </c>
      <c r="K155" t="s">
        <v>382</v>
      </c>
      <c r="L155" t="s">
        <v>382</v>
      </c>
      <c r="M155" t="s">
        <v>382</v>
      </c>
      <c r="N155" t="s">
        <v>382</v>
      </c>
      <c r="O155" t="s">
        <v>382</v>
      </c>
      <c r="P155" t="s">
        <v>382</v>
      </c>
      <c r="Q155" t="s">
        <v>382</v>
      </c>
      <c r="R155" t="s">
        <v>382</v>
      </c>
      <c r="S155" t="s">
        <v>382</v>
      </c>
      <c r="T155" t="s">
        <v>382</v>
      </c>
      <c r="U155" t="s">
        <v>382</v>
      </c>
      <c r="V155" t="s">
        <v>382</v>
      </c>
      <c r="W155" t="s">
        <v>382</v>
      </c>
      <c r="X155" t="s">
        <v>382</v>
      </c>
      <c r="Y155" t="s">
        <v>382</v>
      </c>
      <c r="Z155" t="s">
        <v>382</v>
      </c>
      <c r="AA155" t="s">
        <v>382</v>
      </c>
      <c r="AB155" t="s">
        <v>382</v>
      </c>
      <c r="AC155">
        <v>5</v>
      </c>
      <c r="AD155">
        <v>4</v>
      </c>
      <c r="AE155">
        <v>1</v>
      </c>
      <c r="AF155" t="s">
        <v>389</v>
      </c>
      <c r="AH155" t="s">
        <v>35</v>
      </c>
      <c r="AI155" t="s">
        <v>97</v>
      </c>
      <c r="AK155">
        <v>1944</v>
      </c>
      <c r="AL155">
        <v>1432</v>
      </c>
    </row>
    <row r="156" spans="1:38">
      <c r="A156" t="s">
        <v>382</v>
      </c>
      <c r="B156" t="s">
        <v>382</v>
      </c>
      <c r="C156" t="s">
        <v>382</v>
      </c>
      <c r="D156" t="s">
        <v>382</v>
      </c>
      <c r="E156" t="s">
        <v>382</v>
      </c>
      <c r="F156" t="s">
        <v>382</v>
      </c>
      <c r="G156" t="s">
        <v>382</v>
      </c>
      <c r="H156" t="s">
        <v>382</v>
      </c>
      <c r="I156" t="s">
        <v>382</v>
      </c>
      <c r="J156" t="s">
        <v>382</v>
      </c>
      <c r="K156" t="s">
        <v>382</v>
      </c>
      <c r="L156" t="s">
        <v>382</v>
      </c>
      <c r="M156" t="s">
        <v>382</v>
      </c>
      <c r="N156" t="s">
        <v>382</v>
      </c>
      <c r="O156" t="s">
        <v>382</v>
      </c>
      <c r="P156" t="s">
        <v>382</v>
      </c>
      <c r="Q156" t="s">
        <v>382</v>
      </c>
      <c r="R156" t="s">
        <v>382</v>
      </c>
      <c r="S156" t="s">
        <v>382</v>
      </c>
      <c r="T156" t="s">
        <v>382</v>
      </c>
      <c r="U156" t="s">
        <v>382</v>
      </c>
      <c r="V156" t="s">
        <v>382</v>
      </c>
      <c r="W156" t="s">
        <v>382</v>
      </c>
      <c r="X156" t="s">
        <v>382</v>
      </c>
      <c r="Y156" t="s">
        <v>382</v>
      </c>
      <c r="Z156" t="s">
        <v>382</v>
      </c>
      <c r="AA156" t="s">
        <v>382</v>
      </c>
      <c r="AB156" t="s">
        <v>382</v>
      </c>
      <c r="AC156">
        <v>5</v>
      </c>
      <c r="AD156">
        <v>5</v>
      </c>
      <c r="AE156">
        <v>1</v>
      </c>
      <c r="AF156" t="s">
        <v>389</v>
      </c>
      <c r="AH156" t="s">
        <v>35</v>
      </c>
      <c r="AI156" t="s">
        <v>97</v>
      </c>
      <c r="AK156">
        <v>2805</v>
      </c>
      <c r="AL156">
        <v>631</v>
      </c>
    </row>
    <row r="157" spans="1:38">
      <c r="A157" t="s">
        <v>382</v>
      </c>
      <c r="B157" t="s">
        <v>382</v>
      </c>
      <c r="C157" t="s">
        <v>382</v>
      </c>
      <c r="D157" t="s">
        <v>382</v>
      </c>
      <c r="E157" t="s">
        <v>382</v>
      </c>
      <c r="F157" t="s">
        <v>382</v>
      </c>
      <c r="G157" t="s">
        <v>382</v>
      </c>
      <c r="H157" t="s">
        <v>382</v>
      </c>
      <c r="I157" t="s">
        <v>382</v>
      </c>
      <c r="J157" t="s">
        <v>382</v>
      </c>
      <c r="K157" t="s">
        <v>382</v>
      </c>
      <c r="L157" t="s">
        <v>382</v>
      </c>
      <c r="M157" t="s">
        <v>382</v>
      </c>
      <c r="N157" t="s">
        <v>382</v>
      </c>
      <c r="O157" t="s">
        <v>382</v>
      </c>
      <c r="P157" t="s">
        <v>382</v>
      </c>
      <c r="Q157" t="s">
        <v>382</v>
      </c>
      <c r="R157" t="s">
        <v>382</v>
      </c>
      <c r="S157" t="s">
        <v>382</v>
      </c>
      <c r="T157" t="s">
        <v>382</v>
      </c>
      <c r="U157" t="s">
        <v>382</v>
      </c>
      <c r="V157" t="s">
        <v>382</v>
      </c>
      <c r="W157" t="s">
        <v>382</v>
      </c>
      <c r="X157" t="s">
        <v>382</v>
      </c>
      <c r="Y157" t="s">
        <v>382</v>
      </c>
      <c r="Z157" t="s">
        <v>382</v>
      </c>
      <c r="AA157" t="s">
        <v>382</v>
      </c>
      <c r="AB157" t="s">
        <v>382</v>
      </c>
      <c r="AC157">
        <v>5</v>
      </c>
      <c r="AD157">
        <v>1</v>
      </c>
      <c r="AF157" t="s">
        <v>386</v>
      </c>
      <c r="AH157" t="s">
        <v>29</v>
      </c>
      <c r="AI157" t="s">
        <v>103</v>
      </c>
      <c r="AK157">
        <v>1980</v>
      </c>
      <c r="AL157">
        <v>1327</v>
      </c>
    </row>
    <row r="158" spans="1:38">
      <c r="A158" t="s">
        <v>382</v>
      </c>
      <c r="B158" t="s">
        <v>382</v>
      </c>
      <c r="C158" t="s">
        <v>382</v>
      </c>
      <c r="D158" t="s">
        <v>382</v>
      </c>
      <c r="E158" t="s">
        <v>382</v>
      </c>
      <c r="F158" t="s">
        <v>382</v>
      </c>
      <c r="G158" t="s">
        <v>382</v>
      </c>
      <c r="H158" t="s">
        <v>382</v>
      </c>
      <c r="I158" t="s">
        <v>382</v>
      </c>
      <c r="J158" t="s">
        <v>382</v>
      </c>
      <c r="K158" t="s">
        <v>382</v>
      </c>
      <c r="L158" t="s">
        <v>382</v>
      </c>
      <c r="M158" t="s">
        <v>382</v>
      </c>
      <c r="N158" t="s">
        <v>382</v>
      </c>
      <c r="O158" t="s">
        <v>382</v>
      </c>
      <c r="P158" t="s">
        <v>382</v>
      </c>
      <c r="Q158" t="s">
        <v>382</v>
      </c>
      <c r="R158" t="s">
        <v>382</v>
      </c>
      <c r="S158" t="s">
        <v>382</v>
      </c>
      <c r="T158" t="s">
        <v>382</v>
      </c>
      <c r="U158" t="s">
        <v>382</v>
      </c>
      <c r="V158" t="s">
        <v>382</v>
      </c>
      <c r="W158" t="s">
        <v>382</v>
      </c>
      <c r="X158" t="s">
        <v>382</v>
      </c>
      <c r="Y158" t="s">
        <v>382</v>
      </c>
      <c r="Z158" t="s">
        <v>382</v>
      </c>
      <c r="AA158" t="s">
        <v>382</v>
      </c>
      <c r="AB158" t="s">
        <v>382</v>
      </c>
      <c r="AC158">
        <v>5</v>
      </c>
      <c r="AD158">
        <v>2</v>
      </c>
      <c r="AF158" t="s">
        <v>386</v>
      </c>
      <c r="AH158" t="s">
        <v>29</v>
      </c>
      <c r="AI158" t="s">
        <v>103</v>
      </c>
      <c r="AK158">
        <v>1732</v>
      </c>
      <c r="AL158">
        <v>974</v>
      </c>
    </row>
    <row r="159" spans="1:38">
      <c r="A159" t="s">
        <v>382</v>
      </c>
      <c r="B159" t="s">
        <v>382</v>
      </c>
      <c r="C159" t="s">
        <v>382</v>
      </c>
      <c r="D159" t="s">
        <v>382</v>
      </c>
      <c r="E159" t="s">
        <v>382</v>
      </c>
      <c r="F159" t="s">
        <v>382</v>
      </c>
      <c r="G159" t="s">
        <v>382</v>
      </c>
      <c r="H159" t="s">
        <v>382</v>
      </c>
      <c r="I159" t="s">
        <v>382</v>
      </c>
      <c r="J159" t="s">
        <v>382</v>
      </c>
      <c r="K159" t="s">
        <v>382</v>
      </c>
      <c r="L159" t="s">
        <v>382</v>
      </c>
      <c r="M159" t="s">
        <v>382</v>
      </c>
      <c r="N159" t="s">
        <v>382</v>
      </c>
      <c r="O159" t="s">
        <v>382</v>
      </c>
      <c r="P159" t="s">
        <v>382</v>
      </c>
      <c r="Q159" t="s">
        <v>382</v>
      </c>
      <c r="R159" t="s">
        <v>382</v>
      </c>
      <c r="S159" t="s">
        <v>382</v>
      </c>
      <c r="T159" t="s">
        <v>382</v>
      </c>
      <c r="U159" t="s">
        <v>382</v>
      </c>
      <c r="V159" t="s">
        <v>382</v>
      </c>
      <c r="W159" t="s">
        <v>382</v>
      </c>
      <c r="X159" t="s">
        <v>382</v>
      </c>
      <c r="Y159" t="s">
        <v>382</v>
      </c>
      <c r="Z159" t="s">
        <v>382</v>
      </c>
      <c r="AA159" t="s">
        <v>382</v>
      </c>
      <c r="AB159" t="s">
        <v>382</v>
      </c>
      <c r="AC159">
        <v>5</v>
      </c>
      <c r="AD159">
        <v>3</v>
      </c>
      <c r="AE159">
        <v>1</v>
      </c>
      <c r="AF159" t="s">
        <v>387</v>
      </c>
      <c r="AH159" t="s">
        <v>31</v>
      </c>
      <c r="AI159" t="s">
        <v>97</v>
      </c>
      <c r="AK159">
        <v>2489</v>
      </c>
      <c r="AL159">
        <v>387</v>
      </c>
    </row>
    <row r="160" spans="1:38">
      <c r="A160" t="s">
        <v>382</v>
      </c>
      <c r="B160" t="s">
        <v>382</v>
      </c>
      <c r="C160" t="s">
        <v>382</v>
      </c>
      <c r="D160" t="s">
        <v>382</v>
      </c>
      <c r="E160" t="s">
        <v>382</v>
      </c>
      <c r="F160" t="s">
        <v>382</v>
      </c>
      <c r="G160" t="s">
        <v>382</v>
      </c>
      <c r="H160" t="s">
        <v>382</v>
      </c>
      <c r="I160" t="s">
        <v>382</v>
      </c>
      <c r="J160" t="s">
        <v>382</v>
      </c>
      <c r="K160" t="s">
        <v>382</v>
      </c>
      <c r="L160" t="s">
        <v>382</v>
      </c>
      <c r="M160" t="s">
        <v>382</v>
      </c>
      <c r="N160" t="s">
        <v>382</v>
      </c>
      <c r="O160" t="s">
        <v>382</v>
      </c>
      <c r="P160" t="s">
        <v>382</v>
      </c>
      <c r="Q160" t="s">
        <v>382</v>
      </c>
      <c r="R160" t="s">
        <v>382</v>
      </c>
      <c r="S160" t="s">
        <v>382</v>
      </c>
      <c r="T160" t="s">
        <v>382</v>
      </c>
      <c r="U160" t="s">
        <v>382</v>
      </c>
      <c r="V160" t="s">
        <v>382</v>
      </c>
      <c r="W160" t="s">
        <v>382</v>
      </c>
      <c r="X160" t="s">
        <v>382</v>
      </c>
      <c r="Y160" t="s">
        <v>382</v>
      </c>
      <c r="Z160" t="s">
        <v>382</v>
      </c>
      <c r="AA160" t="s">
        <v>382</v>
      </c>
      <c r="AB160" t="s">
        <v>382</v>
      </c>
      <c r="AC160">
        <v>5</v>
      </c>
      <c r="AD160">
        <v>4</v>
      </c>
      <c r="AF160" t="s">
        <v>385</v>
      </c>
      <c r="AH160" t="s">
        <v>27</v>
      </c>
      <c r="AI160" t="s">
        <v>109</v>
      </c>
      <c r="AK160">
        <v>2751</v>
      </c>
      <c r="AL160">
        <v>1216</v>
      </c>
    </row>
    <row r="161" spans="1:38">
      <c r="A161" t="s">
        <v>382</v>
      </c>
      <c r="B161" t="s">
        <v>382</v>
      </c>
      <c r="C161" t="s">
        <v>382</v>
      </c>
      <c r="D161" t="s">
        <v>382</v>
      </c>
      <c r="E161" t="s">
        <v>382</v>
      </c>
      <c r="F161" t="s">
        <v>382</v>
      </c>
      <c r="G161" t="s">
        <v>382</v>
      </c>
      <c r="H161" t="s">
        <v>382</v>
      </c>
      <c r="I161" t="s">
        <v>382</v>
      </c>
      <c r="J161" t="s">
        <v>382</v>
      </c>
      <c r="K161" t="s">
        <v>382</v>
      </c>
      <c r="L161" t="s">
        <v>382</v>
      </c>
      <c r="M161" t="s">
        <v>382</v>
      </c>
      <c r="N161" t="s">
        <v>382</v>
      </c>
      <c r="O161" t="s">
        <v>382</v>
      </c>
      <c r="P161" t="s">
        <v>382</v>
      </c>
      <c r="Q161" t="s">
        <v>382</v>
      </c>
      <c r="R161" t="s">
        <v>382</v>
      </c>
      <c r="S161" t="s">
        <v>382</v>
      </c>
      <c r="T161" t="s">
        <v>382</v>
      </c>
      <c r="U161" t="s">
        <v>382</v>
      </c>
      <c r="V161" t="s">
        <v>382</v>
      </c>
      <c r="W161" t="s">
        <v>382</v>
      </c>
      <c r="X161" t="s">
        <v>382</v>
      </c>
      <c r="Y161" t="s">
        <v>382</v>
      </c>
      <c r="Z161" t="s">
        <v>382</v>
      </c>
      <c r="AA161" t="s">
        <v>382</v>
      </c>
      <c r="AB161" t="s">
        <v>382</v>
      </c>
      <c r="AC161">
        <v>5</v>
      </c>
      <c r="AD161">
        <v>5</v>
      </c>
      <c r="AE161">
        <v>1</v>
      </c>
      <c r="AF161" t="s">
        <v>389</v>
      </c>
      <c r="AH161" t="s">
        <v>35</v>
      </c>
      <c r="AI161" t="s">
        <v>97</v>
      </c>
      <c r="AK161">
        <v>2824</v>
      </c>
      <c r="AL161">
        <v>1834</v>
      </c>
    </row>
    <row r="162" spans="1:38">
      <c r="A162" t="s">
        <v>382</v>
      </c>
      <c r="B162" t="s">
        <v>382</v>
      </c>
      <c r="C162" t="s">
        <v>382</v>
      </c>
      <c r="D162" t="s">
        <v>382</v>
      </c>
      <c r="E162" t="s">
        <v>382</v>
      </c>
      <c r="F162" t="s">
        <v>382</v>
      </c>
      <c r="G162" t="s">
        <v>382</v>
      </c>
      <c r="H162" t="s">
        <v>382</v>
      </c>
      <c r="I162" t="s">
        <v>382</v>
      </c>
      <c r="J162" t="s">
        <v>382</v>
      </c>
      <c r="K162" t="s">
        <v>382</v>
      </c>
      <c r="L162" t="s">
        <v>382</v>
      </c>
      <c r="M162" t="s">
        <v>382</v>
      </c>
      <c r="N162" t="s">
        <v>382</v>
      </c>
      <c r="O162" t="s">
        <v>382</v>
      </c>
      <c r="P162" t="s">
        <v>382</v>
      </c>
      <c r="Q162" t="s">
        <v>382</v>
      </c>
      <c r="R162" t="s">
        <v>382</v>
      </c>
      <c r="S162" t="s">
        <v>382</v>
      </c>
      <c r="T162" t="s">
        <v>382</v>
      </c>
      <c r="U162" t="s">
        <v>382</v>
      </c>
      <c r="V162" t="s">
        <v>382</v>
      </c>
      <c r="W162" t="s">
        <v>382</v>
      </c>
      <c r="X162" t="s">
        <v>382</v>
      </c>
      <c r="Y162" t="s">
        <v>382</v>
      </c>
      <c r="Z162" t="s">
        <v>382</v>
      </c>
      <c r="AA162" t="s">
        <v>382</v>
      </c>
      <c r="AB162" t="s">
        <v>382</v>
      </c>
      <c r="AC162">
        <v>5</v>
      </c>
      <c r="AD162">
        <v>1</v>
      </c>
      <c r="AE162">
        <v>1</v>
      </c>
      <c r="AF162" t="s">
        <v>398</v>
      </c>
      <c r="AH162" t="s">
        <v>69</v>
      </c>
      <c r="AI162" t="s">
        <v>97</v>
      </c>
      <c r="AK162">
        <v>1977</v>
      </c>
      <c r="AL162">
        <v>672</v>
      </c>
    </row>
    <row r="163" spans="1:38">
      <c r="A163" t="s">
        <v>382</v>
      </c>
      <c r="B163" t="s">
        <v>382</v>
      </c>
      <c r="C163" t="s">
        <v>382</v>
      </c>
      <c r="D163" t="s">
        <v>382</v>
      </c>
      <c r="E163" t="s">
        <v>382</v>
      </c>
      <c r="F163" t="s">
        <v>382</v>
      </c>
      <c r="G163" t="s">
        <v>382</v>
      </c>
      <c r="H163" t="s">
        <v>382</v>
      </c>
      <c r="I163" t="s">
        <v>382</v>
      </c>
      <c r="J163" t="s">
        <v>382</v>
      </c>
      <c r="K163" t="s">
        <v>382</v>
      </c>
      <c r="L163" t="s">
        <v>382</v>
      </c>
      <c r="M163" t="s">
        <v>382</v>
      </c>
      <c r="N163" t="s">
        <v>382</v>
      </c>
      <c r="O163" t="s">
        <v>382</v>
      </c>
      <c r="P163" t="s">
        <v>382</v>
      </c>
      <c r="Q163" t="s">
        <v>382</v>
      </c>
      <c r="R163" t="s">
        <v>382</v>
      </c>
      <c r="S163" t="s">
        <v>382</v>
      </c>
      <c r="T163" t="s">
        <v>382</v>
      </c>
      <c r="U163" t="s">
        <v>382</v>
      </c>
      <c r="V163" t="s">
        <v>382</v>
      </c>
      <c r="W163" t="s">
        <v>382</v>
      </c>
      <c r="X163" t="s">
        <v>382</v>
      </c>
      <c r="Y163" t="s">
        <v>382</v>
      </c>
      <c r="Z163" t="s">
        <v>382</v>
      </c>
      <c r="AA163" t="s">
        <v>382</v>
      </c>
      <c r="AB163" t="s">
        <v>382</v>
      </c>
      <c r="AC163">
        <v>5</v>
      </c>
      <c r="AD163">
        <v>2</v>
      </c>
      <c r="AE163">
        <v>1</v>
      </c>
      <c r="AF163" t="s">
        <v>398</v>
      </c>
      <c r="AH163" t="s">
        <v>69</v>
      </c>
      <c r="AI163" t="s">
        <v>97</v>
      </c>
      <c r="AK163">
        <v>2526</v>
      </c>
      <c r="AL163">
        <v>2050</v>
      </c>
    </row>
    <row r="164" spans="1:38">
      <c r="A164" t="s">
        <v>382</v>
      </c>
      <c r="B164" t="s">
        <v>382</v>
      </c>
      <c r="C164" t="s">
        <v>382</v>
      </c>
      <c r="D164" t="s">
        <v>382</v>
      </c>
      <c r="E164" t="s">
        <v>382</v>
      </c>
      <c r="F164" t="s">
        <v>382</v>
      </c>
      <c r="G164" t="s">
        <v>382</v>
      </c>
      <c r="H164" t="s">
        <v>382</v>
      </c>
      <c r="I164" t="s">
        <v>382</v>
      </c>
      <c r="J164" t="s">
        <v>382</v>
      </c>
      <c r="K164" t="s">
        <v>382</v>
      </c>
      <c r="L164" t="s">
        <v>382</v>
      </c>
      <c r="M164" t="s">
        <v>382</v>
      </c>
      <c r="N164" t="s">
        <v>382</v>
      </c>
      <c r="O164" t="s">
        <v>382</v>
      </c>
      <c r="P164" t="s">
        <v>382</v>
      </c>
      <c r="Q164" t="s">
        <v>382</v>
      </c>
      <c r="R164" t="s">
        <v>382</v>
      </c>
      <c r="S164" t="s">
        <v>382</v>
      </c>
      <c r="T164" t="s">
        <v>382</v>
      </c>
      <c r="U164" t="s">
        <v>382</v>
      </c>
      <c r="V164" t="s">
        <v>382</v>
      </c>
      <c r="W164" t="s">
        <v>382</v>
      </c>
      <c r="X164" t="s">
        <v>382</v>
      </c>
      <c r="Y164" t="s">
        <v>382</v>
      </c>
      <c r="Z164" t="s">
        <v>382</v>
      </c>
      <c r="AA164" t="s">
        <v>382</v>
      </c>
      <c r="AB164" t="s">
        <v>382</v>
      </c>
      <c r="AC164">
        <v>5</v>
      </c>
      <c r="AD164">
        <v>3</v>
      </c>
      <c r="AF164" t="s">
        <v>384</v>
      </c>
      <c r="AH164" t="s">
        <v>25</v>
      </c>
      <c r="AI164" t="s">
        <v>106</v>
      </c>
      <c r="AK164">
        <v>1265</v>
      </c>
      <c r="AL164">
        <v>1346</v>
      </c>
    </row>
    <row r="165" spans="1:38">
      <c r="A165" t="s">
        <v>382</v>
      </c>
      <c r="B165" t="s">
        <v>382</v>
      </c>
      <c r="C165" t="s">
        <v>382</v>
      </c>
      <c r="D165" t="s">
        <v>382</v>
      </c>
      <c r="E165" t="s">
        <v>382</v>
      </c>
      <c r="F165" t="s">
        <v>382</v>
      </c>
      <c r="G165" t="s">
        <v>382</v>
      </c>
      <c r="H165" t="s">
        <v>382</v>
      </c>
      <c r="I165" t="s">
        <v>382</v>
      </c>
      <c r="J165" t="s">
        <v>382</v>
      </c>
      <c r="K165" t="s">
        <v>382</v>
      </c>
      <c r="L165" t="s">
        <v>382</v>
      </c>
      <c r="M165" t="s">
        <v>382</v>
      </c>
      <c r="N165" t="s">
        <v>382</v>
      </c>
      <c r="O165" t="s">
        <v>382</v>
      </c>
      <c r="P165" t="s">
        <v>382</v>
      </c>
      <c r="Q165" t="s">
        <v>382</v>
      </c>
      <c r="R165" t="s">
        <v>382</v>
      </c>
      <c r="S165" t="s">
        <v>382</v>
      </c>
      <c r="T165" t="s">
        <v>382</v>
      </c>
      <c r="U165" t="s">
        <v>382</v>
      </c>
      <c r="V165" t="s">
        <v>382</v>
      </c>
      <c r="W165" t="s">
        <v>382</v>
      </c>
      <c r="X165" t="s">
        <v>382</v>
      </c>
      <c r="Y165" t="s">
        <v>382</v>
      </c>
      <c r="Z165" t="s">
        <v>382</v>
      </c>
      <c r="AA165" t="s">
        <v>382</v>
      </c>
      <c r="AB165" t="s">
        <v>382</v>
      </c>
      <c r="AC165">
        <v>5</v>
      </c>
      <c r="AD165">
        <v>4</v>
      </c>
      <c r="AF165" t="s">
        <v>386</v>
      </c>
      <c r="AH165" t="s">
        <v>29</v>
      </c>
      <c r="AI165" t="s">
        <v>103</v>
      </c>
      <c r="AK165">
        <v>2127</v>
      </c>
      <c r="AL165">
        <v>1657</v>
      </c>
    </row>
    <row r="166" spans="1:38">
      <c r="A166" t="s">
        <v>382</v>
      </c>
      <c r="B166" t="s">
        <v>382</v>
      </c>
      <c r="C166" t="s">
        <v>382</v>
      </c>
      <c r="D166" t="s">
        <v>382</v>
      </c>
      <c r="E166" t="s">
        <v>382</v>
      </c>
      <c r="F166" t="s">
        <v>382</v>
      </c>
      <c r="G166" t="s">
        <v>382</v>
      </c>
      <c r="H166" t="s">
        <v>382</v>
      </c>
      <c r="I166" t="s">
        <v>382</v>
      </c>
      <c r="J166" t="s">
        <v>382</v>
      </c>
      <c r="K166" t="s">
        <v>382</v>
      </c>
      <c r="L166" t="s">
        <v>382</v>
      </c>
      <c r="M166" t="s">
        <v>382</v>
      </c>
      <c r="N166" t="s">
        <v>382</v>
      </c>
      <c r="O166" t="s">
        <v>382</v>
      </c>
      <c r="P166" t="s">
        <v>382</v>
      </c>
      <c r="Q166" t="s">
        <v>382</v>
      </c>
      <c r="R166" t="s">
        <v>382</v>
      </c>
      <c r="S166" t="s">
        <v>382</v>
      </c>
      <c r="T166" t="s">
        <v>382</v>
      </c>
      <c r="U166" t="s">
        <v>382</v>
      </c>
      <c r="V166" t="s">
        <v>382</v>
      </c>
      <c r="W166" t="s">
        <v>382</v>
      </c>
      <c r="X166" t="s">
        <v>382</v>
      </c>
      <c r="Y166" t="s">
        <v>382</v>
      </c>
      <c r="Z166" t="s">
        <v>382</v>
      </c>
      <c r="AA166" t="s">
        <v>382</v>
      </c>
      <c r="AB166" t="s">
        <v>382</v>
      </c>
      <c r="AC166">
        <v>5</v>
      </c>
      <c r="AD166">
        <v>5</v>
      </c>
      <c r="AF166" t="s">
        <v>385</v>
      </c>
      <c r="AH166" t="s">
        <v>27</v>
      </c>
      <c r="AI166" t="s">
        <v>109</v>
      </c>
      <c r="AK166">
        <v>2197</v>
      </c>
      <c r="AL166">
        <v>1937</v>
      </c>
    </row>
    <row r="167" spans="1:38">
      <c r="A167" t="s">
        <v>382</v>
      </c>
      <c r="B167" t="s">
        <v>382</v>
      </c>
      <c r="C167" t="s">
        <v>382</v>
      </c>
      <c r="D167" t="s">
        <v>382</v>
      </c>
      <c r="E167" t="s">
        <v>382</v>
      </c>
      <c r="F167" t="s">
        <v>382</v>
      </c>
      <c r="G167" t="s">
        <v>382</v>
      </c>
      <c r="H167" t="s">
        <v>382</v>
      </c>
      <c r="I167" t="s">
        <v>382</v>
      </c>
      <c r="J167" t="s">
        <v>382</v>
      </c>
      <c r="K167" t="s">
        <v>382</v>
      </c>
      <c r="L167" t="s">
        <v>382</v>
      </c>
      <c r="M167" t="s">
        <v>382</v>
      </c>
      <c r="N167" t="s">
        <v>382</v>
      </c>
      <c r="O167" t="s">
        <v>382</v>
      </c>
      <c r="P167" t="s">
        <v>382</v>
      </c>
      <c r="Q167" t="s">
        <v>382</v>
      </c>
      <c r="R167" t="s">
        <v>382</v>
      </c>
      <c r="S167" t="s">
        <v>382</v>
      </c>
      <c r="T167" t="s">
        <v>382</v>
      </c>
      <c r="U167" t="s">
        <v>382</v>
      </c>
      <c r="V167" t="s">
        <v>382</v>
      </c>
      <c r="W167" t="s">
        <v>382</v>
      </c>
      <c r="X167" t="s">
        <v>382</v>
      </c>
      <c r="Y167" t="s">
        <v>382</v>
      </c>
      <c r="Z167" t="s">
        <v>382</v>
      </c>
      <c r="AA167" t="s">
        <v>382</v>
      </c>
      <c r="AB167" t="s">
        <v>382</v>
      </c>
      <c r="AC167">
        <v>5</v>
      </c>
      <c r="AD167">
        <v>1</v>
      </c>
      <c r="AF167" t="s">
        <v>386</v>
      </c>
      <c r="AH167" t="s">
        <v>29</v>
      </c>
      <c r="AI167" t="s">
        <v>103</v>
      </c>
      <c r="AK167">
        <v>2732</v>
      </c>
      <c r="AL167">
        <v>253</v>
      </c>
    </row>
    <row r="168" spans="1:38">
      <c r="A168" t="s">
        <v>382</v>
      </c>
      <c r="B168" t="s">
        <v>382</v>
      </c>
      <c r="C168" t="s">
        <v>382</v>
      </c>
      <c r="D168" t="s">
        <v>382</v>
      </c>
      <c r="E168" t="s">
        <v>382</v>
      </c>
      <c r="F168" t="s">
        <v>382</v>
      </c>
      <c r="G168" t="s">
        <v>382</v>
      </c>
      <c r="H168" t="s">
        <v>382</v>
      </c>
      <c r="I168" t="s">
        <v>382</v>
      </c>
      <c r="J168" t="s">
        <v>382</v>
      </c>
      <c r="K168" t="s">
        <v>382</v>
      </c>
      <c r="L168" t="s">
        <v>382</v>
      </c>
      <c r="M168" t="s">
        <v>382</v>
      </c>
      <c r="N168" t="s">
        <v>382</v>
      </c>
      <c r="O168" t="s">
        <v>382</v>
      </c>
      <c r="P168" t="s">
        <v>382</v>
      </c>
      <c r="Q168" t="s">
        <v>382</v>
      </c>
      <c r="R168" t="s">
        <v>382</v>
      </c>
      <c r="S168" t="s">
        <v>382</v>
      </c>
      <c r="T168" t="s">
        <v>382</v>
      </c>
      <c r="U168" t="s">
        <v>382</v>
      </c>
      <c r="V168" t="s">
        <v>382</v>
      </c>
      <c r="W168" t="s">
        <v>382</v>
      </c>
      <c r="X168" t="s">
        <v>382</v>
      </c>
      <c r="Y168" t="s">
        <v>382</v>
      </c>
      <c r="Z168" t="s">
        <v>382</v>
      </c>
      <c r="AA168" t="s">
        <v>382</v>
      </c>
      <c r="AB168" t="s">
        <v>382</v>
      </c>
      <c r="AC168">
        <v>5</v>
      </c>
      <c r="AD168">
        <v>2</v>
      </c>
      <c r="AF168" t="s">
        <v>385</v>
      </c>
      <c r="AH168" t="s">
        <v>27</v>
      </c>
      <c r="AI168" t="s">
        <v>109</v>
      </c>
      <c r="AK168">
        <v>1929</v>
      </c>
      <c r="AL168">
        <v>2096</v>
      </c>
    </row>
    <row r="169" spans="1:38">
      <c r="A169" t="s">
        <v>382</v>
      </c>
      <c r="B169" t="s">
        <v>382</v>
      </c>
      <c r="C169" t="s">
        <v>382</v>
      </c>
      <c r="D169" t="s">
        <v>382</v>
      </c>
      <c r="E169" t="s">
        <v>382</v>
      </c>
      <c r="F169" t="s">
        <v>382</v>
      </c>
      <c r="G169" t="s">
        <v>382</v>
      </c>
      <c r="H169" t="s">
        <v>382</v>
      </c>
      <c r="I169" t="s">
        <v>382</v>
      </c>
      <c r="J169" t="s">
        <v>382</v>
      </c>
      <c r="K169" t="s">
        <v>382</v>
      </c>
      <c r="L169" t="s">
        <v>382</v>
      </c>
      <c r="M169" t="s">
        <v>382</v>
      </c>
      <c r="N169" t="s">
        <v>382</v>
      </c>
      <c r="O169" t="s">
        <v>382</v>
      </c>
      <c r="P169" t="s">
        <v>382</v>
      </c>
      <c r="Q169" t="s">
        <v>382</v>
      </c>
      <c r="R169" t="s">
        <v>382</v>
      </c>
      <c r="S169" t="s">
        <v>382</v>
      </c>
      <c r="T169" t="s">
        <v>382</v>
      </c>
      <c r="U169" t="s">
        <v>382</v>
      </c>
      <c r="V169" t="s">
        <v>382</v>
      </c>
      <c r="W169" t="s">
        <v>382</v>
      </c>
      <c r="X169" t="s">
        <v>382</v>
      </c>
      <c r="Y169" t="s">
        <v>382</v>
      </c>
      <c r="Z169" t="s">
        <v>382</v>
      </c>
      <c r="AA169" t="s">
        <v>382</v>
      </c>
      <c r="AB169" t="s">
        <v>382</v>
      </c>
      <c r="AC169">
        <v>5</v>
      </c>
      <c r="AD169">
        <v>3</v>
      </c>
      <c r="AF169" t="s">
        <v>386</v>
      </c>
      <c r="AH169" t="s">
        <v>29</v>
      </c>
      <c r="AI169" t="s">
        <v>103</v>
      </c>
      <c r="AK169">
        <v>1486</v>
      </c>
      <c r="AL169">
        <v>1723</v>
      </c>
    </row>
    <row r="170" spans="1:38">
      <c r="A170" t="s">
        <v>382</v>
      </c>
      <c r="B170" t="s">
        <v>382</v>
      </c>
      <c r="C170" t="s">
        <v>382</v>
      </c>
      <c r="D170" t="s">
        <v>382</v>
      </c>
      <c r="E170" t="s">
        <v>382</v>
      </c>
      <c r="F170" t="s">
        <v>382</v>
      </c>
      <c r="G170" t="s">
        <v>382</v>
      </c>
      <c r="H170" t="s">
        <v>382</v>
      </c>
      <c r="I170" t="s">
        <v>382</v>
      </c>
      <c r="J170" t="s">
        <v>382</v>
      </c>
      <c r="K170" t="s">
        <v>382</v>
      </c>
      <c r="L170" t="s">
        <v>382</v>
      </c>
      <c r="M170" t="s">
        <v>382</v>
      </c>
      <c r="N170" t="s">
        <v>382</v>
      </c>
      <c r="O170" t="s">
        <v>382</v>
      </c>
      <c r="P170" t="s">
        <v>382</v>
      </c>
      <c r="Q170" t="s">
        <v>382</v>
      </c>
      <c r="R170" t="s">
        <v>382</v>
      </c>
      <c r="S170" t="s">
        <v>382</v>
      </c>
      <c r="T170" t="s">
        <v>382</v>
      </c>
      <c r="U170" t="s">
        <v>382</v>
      </c>
      <c r="V170" t="s">
        <v>382</v>
      </c>
      <c r="W170" t="s">
        <v>382</v>
      </c>
      <c r="X170" t="s">
        <v>382</v>
      </c>
      <c r="Y170" t="s">
        <v>382</v>
      </c>
      <c r="Z170" t="s">
        <v>382</v>
      </c>
      <c r="AA170" t="s">
        <v>382</v>
      </c>
      <c r="AB170" t="s">
        <v>382</v>
      </c>
      <c r="AC170">
        <v>5</v>
      </c>
      <c r="AD170">
        <v>4</v>
      </c>
      <c r="AF170" t="s">
        <v>386</v>
      </c>
      <c r="AH170" t="s">
        <v>29</v>
      </c>
      <c r="AI170" t="s">
        <v>103</v>
      </c>
      <c r="AK170">
        <v>1648</v>
      </c>
      <c r="AL170">
        <v>203</v>
      </c>
    </row>
    <row r="171" spans="1:38">
      <c r="A171" t="s">
        <v>382</v>
      </c>
      <c r="B171" t="s">
        <v>382</v>
      </c>
      <c r="C171" t="s">
        <v>382</v>
      </c>
      <c r="D171" t="s">
        <v>382</v>
      </c>
      <c r="E171" t="s">
        <v>382</v>
      </c>
      <c r="F171" t="s">
        <v>382</v>
      </c>
      <c r="G171" t="s">
        <v>382</v>
      </c>
      <c r="H171" t="s">
        <v>382</v>
      </c>
      <c r="I171" t="s">
        <v>382</v>
      </c>
      <c r="J171" t="s">
        <v>382</v>
      </c>
      <c r="K171" t="s">
        <v>382</v>
      </c>
      <c r="L171" t="s">
        <v>382</v>
      </c>
      <c r="M171" t="s">
        <v>382</v>
      </c>
      <c r="N171" t="s">
        <v>382</v>
      </c>
      <c r="O171" t="s">
        <v>382</v>
      </c>
      <c r="P171" t="s">
        <v>382</v>
      </c>
      <c r="Q171" t="s">
        <v>382</v>
      </c>
      <c r="R171" t="s">
        <v>382</v>
      </c>
      <c r="S171" t="s">
        <v>382</v>
      </c>
      <c r="T171" t="s">
        <v>382</v>
      </c>
      <c r="U171" t="s">
        <v>382</v>
      </c>
      <c r="V171" t="s">
        <v>382</v>
      </c>
      <c r="W171" t="s">
        <v>382</v>
      </c>
      <c r="X171" t="s">
        <v>382</v>
      </c>
      <c r="Y171" t="s">
        <v>382</v>
      </c>
      <c r="Z171" t="s">
        <v>382</v>
      </c>
      <c r="AA171" t="s">
        <v>382</v>
      </c>
      <c r="AB171" t="s">
        <v>382</v>
      </c>
      <c r="AC171">
        <v>5</v>
      </c>
      <c r="AD171">
        <v>5</v>
      </c>
      <c r="AF171" t="s">
        <v>386</v>
      </c>
      <c r="AH171" t="s">
        <v>29</v>
      </c>
      <c r="AI171" t="s">
        <v>103</v>
      </c>
      <c r="AK171">
        <v>2697</v>
      </c>
      <c r="AL171">
        <v>1241</v>
      </c>
    </row>
    <row r="172" spans="1:38">
      <c r="A172" t="s">
        <v>382</v>
      </c>
      <c r="B172" t="s">
        <v>382</v>
      </c>
      <c r="C172" t="s">
        <v>382</v>
      </c>
      <c r="D172" t="s">
        <v>382</v>
      </c>
      <c r="E172" t="s">
        <v>382</v>
      </c>
      <c r="F172" t="s">
        <v>382</v>
      </c>
      <c r="G172" t="s">
        <v>382</v>
      </c>
      <c r="H172" t="s">
        <v>382</v>
      </c>
      <c r="I172" t="s">
        <v>382</v>
      </c>
      <c r="J172" t="s">
        <v>382</v>
      </c>
      <c r="K172" t="s">
        <v>382</v>
      </c>
      <c r="L172" t="s">
        <v>382</v>
      </c>
      <c r="M172" t="s">
        <v>382</v>
      </c>
      <c r="N172" t="s">
        <v>382</v>
      </c>
      <c r="O172" t="s">
        <v>382</v>
      </c>
      <c r="P172" t="s">
        <v>382</v>
      </c>
      <c r="Q172" t="s">
        <v>382</v>
      </c>
      <c r="R172" t="s">
        <v>382</v>
      </c>
      <c r="S172" t="s">
        <v>382</v>
      </c>
      <c r="T172" t="s">
        <v>382</v>
      </c>
      <c r="U172" t="s">
        <v>382</v>
      </c>
      <c r="V172" t="s">
        <v>382</v>
      </c>
      <c r="W172" t="s">
        <v>382</v>
      </c>
      <c r="X172" t="s">
        <v>382</v>
      </c>
      <c r="Y172" t="s">
        <v>382</v>
      </c>
      <c r="Z172" t="s">
        <v>382</v>
      </c>
      <c r="AA172" t="s">
        <v>382</v>
      </c>
      <c r="AB172" t="s">
        <v>382</v>
      </c>
      <c r="AC172">
        <v>5</v>
      </c>
      <c r="AD172">
        <v>1</v>
      </c>
      <c r="AE172">
        <v>1</v>
      </c>
      <c r="AF172" t="s">
        <v>389</v>
      </c>
      <c r="AH172" t="s">
        <v>35</v>
      </c>
      <c r="AI172" t="s">
        <v>97</v>
      </c>
      <c r="AK172">
        <v>2567</v>
      </c>
      <c r="AL172">
        <v>465</v>
      </c>
    </row>
    <row r="173" spans="1:38">
      <c r="A173" t="s">
        <v>382</v>
      </c>
      <c r="B173" t="s">
        <v>382</v>
      </c>
      <c r="C173" t="s">
        <v>382</v>
      </c>
      <c r="D173" t="s">
        <v>382</v>
      </c>
      <c r="E173" t="s">
        <v>382</v>
      </c>
      <c r="F173" t="s">
        <v>382</v>
      </c>
      <c r="G173" t="s">
        <v>382</v>
      </c>
      <c r="H173" t="s">
        <v>382</v>
      </c>
      <c r="I173" t="s">
        <v>382</v>
      </c>
      <c r="J173" t="s">
        <v>382</v>
      </c>
      <c r="K173" t="s">
        <v>382</v>
      </c>
      <c r="L173" t="s">
        <v>382</v>
      </c>
      <c r="M173" t="s">
        <v>382</v>
      </c>
      <c r="N173" t="s">
        <v>382</v>
      </c>
      <c r="O173" t="s">
        <v>382</v>
      </c>
      <c r="P173" t="s">
        <v>382</v>
      </c>
      <c r="Q173" t="s">
        <v>382</v>
      </c>
      <c r="R173" t="s">
        <v>382</v>
      </c>
      <c r="S173" t="s">
        <v>382</v>
      </c>
      <c r="T173" t="s">
        <v>382</v>
      </c>
      <c r="U173" t="s">
        <v>382</v>
      </c>
      <c r="V173" t="s">
        <v>382</v>
      </c>
      <c r="W173" t="s">
        <v>382</v>
      </c>
      <c r="X173" t="s">
        <v>382</v>
      </c>
      <c r="Y173" t="s">
        <v>382</v>
      </c>
      <c r="Z173" t="s">
        <v>382</v>
      </c>
      <c r="AA173" t="s">
        <v>382</v>
      </c>
      <c r="AB173" t="s">
        <v>382</v>
      </c>
      <c r="AC173">
        <v>5</v>
      </c>
      <c r="AD173">
        <v>2</v>
      </c>
      <c r="AF173" t="s">
        <v>386</v>
      </c>
      <c r="AH173" t="s">
        <v>29</v>
      </c>
      <c r="AI173" t="s">
        <v>103</v>
      </c>
      <c r="AK173">
        <v>618</v>
      </c>
      <c r="AL173">
        <v>547</v>
      </c>
    </row>
    <row r="174" spans="1:38">
      <c r="A174" t="s">
        <v>382</v>
      </c>
      <c r="B174" t="s">
        <v>382</v>
      </c>
      <c r="C174" t="s">
        <v>382</v>
      </c>
      <c r="D174" t="s">
        <v>382</v>
      </c>
      <c r="E174" t="s">
        <v>382</v>
      </c>
      <c r="F174" t="s">
        <v>382</v>
      </c>
      <c r="G174" t="s">
        <v>382</v>
      </c>
      <c r="H174" t="s">
        <v>382</v>
      </c>
      <c r="I174" t="s">
        <v>382</v>
      </c>
      <c r="J174" t="s">
        <v>382</v>
      </c>
      <c r="K174" t="s">
        <v>382</v>
      </c>
      <c r="L174" t="s">
        <v>382</v>
      </c>
      <c r="M174" t="s">
        <v>382</v>
      </c>
      <c r="N174" t="s">
        <v>382</v>
      </c>
      <c r="O174" t="s">
        <v>382</v>
      </c>
      <c r="P174" t="s">
        <v>382</v>
      </c>
      <c r="Q174" t="s">
        <v>382</v>
      </c>
      <c r="R174" t="s">
        <v>382</v>
      </c>
      <c r="S174" t="s">
        <v>382</v>
      </c>
      <c r="T174" t="s">
        <v>382</v>
      </c>
      <c r="U174" t="s">
        <v>382</v>
      </c>
      <c r="V174" t="s">
        <v>382</v>
      </c>
      <c r="W174" t="s">
        <v>382</v>
      </c>
      <c r="X174" t="s">
        <v>382</v>
      </c>
      <c r="Y174" t="s">
        <v>382</v>
      </c>
      <c r="Z174" t="s">
        <v>382</v>
      </c>
      <c r="AA174" t="s">
        <v>382</v>
      </c>
      <c r="AB174" t="s">
        <v>382</v>
      </c>
      <c r="AC174">
        <v>5</v>
      </c>
      <c r="AD174">
        <v>3</v>
      </c>
      <c r="AF174" t="s">
        <v>385</v>
      </c>
      <c r="AH174" t="s">
        <v>27</v>
      </c>
      <c r="AI174" t="s">
        <v>109</v>
      </c>
      <c r="AK174">
        <v>1484</v>
      </c>
      <c r="AL174">
        <v>434</v>
      </c>
    </row>
    <row r="175" spans="1:38">
      <c r="A175" t="s">
        <v>382</v>
      </c>
      <c r="B175" t="s">
        <v>382</v>
      </c>
      <c r="C175" t="s">
        <v>382</v>
      </c>
      <c r="D175" t="s">
        <v>382</v>
      </c>
      <c r="E175" t="s">
        <v>382</v>
      </c>
      <c r="F175" t="s">
        <v>382</v>
      </c>
      <c r="G175" t="s">
        <v>382</v>
      </c>
      <c r="H175" t="s">
        <v>382</v>
      </c>
      <c r="I175" t="s">
        <v>382</v>
      </c>
      <c r="J175" t="s">
        <v>382</v>
      </c>
      <c r="K175" t="s">
        <v>382</v>
      </c>
      <c r="L175" t="s">
        <v>382</v>
      </c>
      <c r="M175" t="s">
        <v>382</v>
      </c>
      <c r="N175" t="s">
        <v>382</v>
      </c>
      <c r="O175" t="s">
        <v>382</v>
      </c>
      <c r="P175" t="s">
        <v>382</v>
      </c>
      <c r="Q175" t="s">
        <v>382</v>
      </c>
      <c r="R175" t="s">
        <v>382</v>
      </c>
      <c r="S175" t="s">
        <v>382</v>
      </c>
      <c r="T175" t="s">
        <v>382</v>
      </c>
      <c r="U175" t="s">
        <v>382</v>
      </c>
      <c r="V175" t="s">
        <v>382</v>
      </c>
      <c r="W175" t="s">
        <v>382</v>
      </c>
      <c r="X175" t="s">
        <v>382</v>
      </c>
      <c r="Y175" t="s">
        <v>382</v>
      </c>
      <c r="Z175" t="s">
        <v>382</v>
      </c>
      <c r="AA175" t="s">
        <v>382</v>
      </c>
      <c r="AB175" t="s">
        <v>382</v>
      </c>
      <c r="AC175">
        <v>5</v>
      </c>
      <c r="AD175">
        <v>4</v>
      </c>
      <c r="AF175" t="s">
        <v>385</v>
      </c>
      <c r="AH175" t="s">
        <v>27</v>
      </c>
      <c r="AI175" t="s">
        <v>109</v>
      </c>
      <c r="AK175">
        <v>1152</v>
      </c>
      <c r="AL175">
        <v>2151</v>
      </c>
    </row>
    <row r="176" spans="1:38">
      <c r="A176" t="s">
        <v>382</v>
      </c>
      <c r="B176" t="s">
        <v>382</v>
      </c>
      <c r="C176" t="s">
        <v>382</v>
      </c>
      <c r="D176" t="s">
        <v>382</v>
      </c>
      <c r="E176" t="s">
        <v>382</v>
      </c>
      <c r="F176" t="s">
        <v>382</v>
      </c>
      <c r="G176" t="s">
        <v>382</v>
      </c>
      <c r="H176" t="s">
        <v>382</v>
      </c>
      <c r="I176" t="s">
        <v>382</v>
      </c>
      <c r="J176" t="s">
        <v>382</v>
      </c>
      <c r="K176" t="s">
        <v>382</v>
      </c>
      <c r="L176" t="s">
        <v>382</v>
      </c>
      <c r="M176" t="s">
        <v>382</v>
      </c>
      <c r="N176" t="s">
        <v>382</v>
      </c>
      <c r="O176" t="s">
        <v>382</v>
      </c>
      <c r="P176" t="s">
        <v>382</v>
      </c>
      <c r="Q176" t="s">
        <v>382</v>
      </c>
      <c r="R176" t="s">
        <v>382</v>
      </c>
      <c r="S176" t="s">
        <v>382</v>
      </c>
      <c r="T176" t="s">
        <v>382</v>
      </c>
      <c r="U176" t="s">
        <v>382</v>
      </c>
      <c r="V176" t="s">
        <v>382</v>
      </c>
      <c r="W176" t="s">
        <v>382</v>
      </c>
      <c r="X176" t="s">
        <v>382</v>
      </c>
      <c r="Y176" t="s">
        <v>382</v>
      </c>
      <c r="Z176" t="s">
        <v>382</v>
      </c>
      <c r="AA176" t="s">
        <v>382</v>
      </c>
      <c r="AB176" t="s">
        <v>382</v>
      </c>
      <c r="AC176">
        <v>5</v>
      </c>
      <c r="AD176">
        <v>5</v>
      </c>
      <c r="AF176" t="s">
        <v>385</v>
      </c>
      <c r="AH176" t="s">
        <v>27</v>
      </c>
      <c r="AI176" t="s">
        <v>109</v>
      </c>
      <c r="AK176">
        <v>2657</v>
      </c>
      <c r="AL176">
        <v>2448</v>
      </c>
    </row>
    <row r="177" spans="1:38">
      <c r="A177" t="s">
        <v>382</v>
      </c>
      <c r="B177" t="s">
        <v>382</v>
      </c>
      <c r="C177" t="s">
        <v>382</v>
      </c>
      <c r="D177" t="s">
        <v>382</v>
      </c>
      <c r="E177" t="s">
        <v>382</v>
      </c>
      <c r="F177" t="s">
        <v>382</v>
      </c>
      <c r="G177" t="s">
        <v>382</v>
      </c>
      <c r="H177" t="s">
        <v>382</v>
      </c>
      <c r="I177" t="s">
        <v>382</v>
      </c>
      <c r="J177" t="s">
        <v>382</v>
      </c>
      <c r="K177" t="s">
        <v>382</v>
      </c>
      <c r="L177" t="s">
        <v>382</v>
      </c>
      <c r="M177" t="s">
        <v>382</v>
      </c>
      <c r="N177" t="s">
        <v>382</v>
      </c>
      <c r="O177" t="s">
        <v>382</v>
      </c>
      <c r="P177" t="s">
        <v>382</v>
      </c>
      <c r="Q177" t="s">
        <v>382</v>
      </c>
      <c r="R177" t="s">
        <v>382</v>
      </c>
      <c r="S177" t="s">
        <v>382</v>
      </c>
      <c r="T177" t="s">
        <v>382</v>
      </c>
      <c r="U177" t="s">
        <v>382</v>
      </c>
      <c r="V177" t="s">
        <v>382</v>
      </c>
      <c r="W177" t="s">
        <v>382</v>
      </c>
      <c r="X177" t="s">
        <v>382</v>
      </c>
      <c r="Y177" t="s">
        <v>382</v>
      </c>
      <c r="Z177" t="s">
        <v>382</v>
      </c>
      <c r="AA177" t="s">
        <v>382</v>
      </c>
      <c r="AB177" t="s">
        <v>382</v>
      </c>
      <c r="AC177">
        <v>5</v>
      </c>
      <c r="AD177">
        <v>1</v>
      </c>
      <c r="AF177" t="s">
        <v>386</v>
      </c>
      <c r="AH177" t="s">
        <v>29</v>
      </c>
      <c r="AI177" t="s">
        <v>103</v>
      </c>
      <c r="AK177">
        <v>3123</v>
      </c>
      <c r="AL177">
        <v>2366</v>
      </c>
    </row>
    <row r="178" spans="1:38">
      <c r="A178" t="s">
        <v>382</v>
      </c>
      <c r="B178" t="s">
        <v>382</v>
      </c>
      <c r="C178" t="s">
        <v>382</v>
      </c>
      <c r="D178" t="s">
        <v>382</v>
      </c>
      <c r="E178" t="s">
        <v>382</v>
      </c>
      <c r="F178" t="s">
        <v>382</v>
      </c>
      <c r="G178" t="s">
        <v>382</v>
      </c>
      <c r="H178" t="s">
        <v>382</v>
      </c>
      <c r="I178" t="s">
        <v>382</v>
      </c>
      <c r="J178" t="s">
        <v>382</v>
      </c>
      <c r="K178" t="s">
        <v>382</v>
      </c>
      <c r="L178" t="s">
        <v>382</v>
      </c>
      <c r="M178" t="s">
        <v>382</v>
      </c>
      <c r="N178" t="s">
        <v>382</v>
      </c>
      <c r="O178" t="s">
        <v>382</v>
      </c>
      <c r="P178" t="s">
        <v>382</v>
      </c>
      <c r="Q178" t="s">
        <v>382</v>
      </c>
      <c r="R178" t="s">
        <v>382</v>
      </c>
      <c r="S178" t="s">
        <v>382</v>
      </c>
      <c r="T178" t="s">
        <v>382</v>
      </c>
      <c r="U178" t="s">
        <v>382</v>
      </c>
      <c r="V178" t="s">
        <v>382</v>
      </c>
      <c r="W178" t="s">
        <v>382</v>
      </c>
      <c r="X178" t="s">
        <v>382</v>
      </c>
      <c r="Y178" t="s">
        <v>382</v>
      </c>
      <c r="Z178" t="s">
        <v>382</v>
      </c>
      <c r="AA178" t="s">
        <v>382</v>
      </c>
      <c r="AB178" t="s">
        <v>382</v>
      </c>
      <c r="AC178">
        <v>5</v>
      </c>
      <c r="AD178">
        <v>2</v>
      </c>
      <c r="AF178" t="s">
        <v>386</v>
      </c>
      <c r="AH178" t="s">
        <v>29</v>
      </c>
      <c r="AI178" t="s">
        <v>103</v>
      </c>
      <c r="AK178">
        <v>2686</v>
      </c>
      <c r="AL178">
        <v>1180</v>
      </c>
    </row>
    <row r="179" spans="1:38">
      <c r="A179" t="s">
        <v>382</v>
      </c>
      <c r="B179" t="s">
        <v>382</v>
      </c>
      <c r="C179" t="s">
        <v>382</v>
      </c>
      <c r="D179" t="s">
        <v>382</v>
      </c>
      <c r="E179" t="s">
        <v>382</v>
      </c>
      <c r="F179" t="s">
        <v>382</v>
      </c>
      <c r="G179" t="s">
        <v>382</v>
      </c>
      <c r="H179" t="s">
        <v>382</v>
      </c>
      <c r="I179" t="s">
        <v>382</v>
      </c>
      <c r="J179" t="s">
        <v>382</v>
      </c>
      <c r="K179" t="s">
        <v>382</v>
      </c>
      <c r="L179" t="s">
        <v>382</v>
      </c>
      <c r="M179" t="s">
        <v>382</v>
      </c>
      <c r="N179" t="s">
        <v>382</v>
      </c>
      <c r="O179" t="s">
        <v>382</v>
      </c>
      <c r="P179" t="s">
        <v>382</v>
      </c>
      <c r="Q179" t="s">
        <v>382</v>
      </c>
      <c r="R179" t="s">
        <v>382</v>
      </c>
      <c r="S179" t="s">
        <v>382</v>
      </c>
      <c r="T179" t="s">
        <v>382</v>
      </c>
      <c r="U179" t="s">
        <v>382</v>
      </c>
      <c r="V179" t="s">
        <v>382</v>
      </c>
      <c r="W179" t="s">
        <v>382</v>
      </c>
      <c r="X179" t="s">
        <v>382</v>
      </c>
      <c r="Y179" t="s">
        <v>382</v>
      </c>
      <c r="Z179" t="s">
        <v>382</v>
      </c>
      <c r="AA179" t="s">
        <v>382</v>
      </c>
      <c r="AB179" t="s">
        <v>382</v>
      </c>
      <c r="AC179">
        <v>5</v>
      </c>
      <c r="AD179">
        <v>3</v>
      </c>
      <c r="AE179">
        <v>1</v>
      </c>
      <c r="AF179" t="s">
        <v>398</v>
      </c>
      <c r="AH179" t="s">
        <v>69</v>
      </c>
      <c r="AI179" t="s">
        <v>97</v>
      </c>
      <c r="AK179">
        <v>1938</v>
      </c>
      <c r="AL179">
        <v>1247</v>
      </c>
    </row>
    <row r="180" spans="1:38">
      <c r="A180" t="s">
        <v>382</v>
      </c>
      <c r="B180" t="s">
        <v>382</v>
      </c>
      <c r="C180" t="s">
        <v>382</v>
      </c>
      <c r="D180" t="s">
        <v>382</v>
      </c>
      <c r="E180" t="s">
        <v>382</v>
      </c>
      <c r="F180" t="s">
        <v>382</v>
      </c>
      <c r="G180" t="s">
        <v>382</v>
      </c>
      <c r="H180" t="s">
        <v>382</v>
      </c>
      <c r="I180" t="s">
        <v>382</v>
      </c>
      <c r="J180" t="s">
        <v>382</v>
      </c>
      <c r="K180" t="s">
        <v>382</v>
      </c>
      <c r="L180" t="s">
        <v>382</v>
      </c>
      <c r="M180" t="s">
        <v>382</v>
      </c>
      <c r="N180" t="s">
        <v>382</v>
      </c>
      <c r="O180" t="s">
        <v>382</v>
      </c>
      <c r="P180" t="s">
        <v>382</v>
      </c>
      <c r="Q180" t="s">
        <v>382</v>
      </c>
      <c r="R180" t="s">
        <v>382</v>
      </c>
      <c r="S180" t="s">
        <v>382</v>
      </c>
      <c r="T180" t="s">
        <v>382</v>
      </c>
      <c r="U180" t="s">
        <v>382</v>
      </c>
      <c r="V180" t="s">
        <v>382</v>
      </c>
      <c r="W180" t="s">
        <v>382</v>
      </c>
      <c r="X180" t="s">
        <v>382</v>
      </c>
      <c r="Y180" t="s">
        <v>382</v>
      </c>
      <c r="Z180" t="s">
        <v>382</v>
      </c>
      <c r="AA180" t="s">
        <v>382</v>
      </c>
      <c r="AB180" t="s">
        <v>382</v>
      </c>
      <c r="AC180">
        <v>5</v>
      </c>
      <c r="AD180">
        <v>4</v>
      </c>
      <c r="AE180">
        <v>1</v>
      </c>
      <c r="AF180" t="s">
        <v>389</v>
      </c>
      <c r="AH180" t="s">
        <v>35</v>
      </c>
      <c r="AI180" t="s">
        <v>97</v>
      </c>
      <c r="AK180">
        <v>2173</v>
      </c>
      <c r="AL180">
        <v>2167</v>
      </c>
    </row>
    <row r="181" spans="1:38">
      <c r="A181" t="s">
        <v>382</v>
      </c>
      <c r="B181" t="s">
        <v>382</v>
      </c>
      <c r="C181" t="s">
        <v>382</v>
      </c>
      <c r="D181" t="s">
        <v>382</v>
      </c>
      <c r="E181" t="s">
        <v>382</v>
      </c>
      <c r="F181" t="s">
        <v>382</v>
      </c>
      <c r="G181" t="s">
        <v>382</v>
      </c>
      <c r="H181" t="s">
        <v>382</v>
      </c>
      <c r="I181" t="s">
        <v>382</v>
      </c>
      <c r="J181" t="s">
        <v>382</v>
      </c>
      <c r="K181" t="s">
        <v>382</v>
      </c>
      <c r="L181" t="s">
        <v>382</v>
      </c>
      <c r="M181" t="s">
        <v>382</v>
      </c>
      <c r="N181" t="s">
        <v>382</v>
      </c>
      <c r="O181" t="s">
        <v>382</v>
      </c>
      <c r="P181" t="s">
        <v>382</v>
      </c>
      <c r="Q181" t="s">
        <v>382</v>
      </c>
      <c r="R181" t="s">
        <v>382</v>
      </c>
      <c r="S181" t="s">
        <v>382</v>
      </c>
      <c r="T181" t="s">
        <v>382</v>
      </c>
      <c r="U181" t="s">
        <v>382</v>
      </c>
      <c r="V181" t="s">
        <v>382</v>
      </c>
      <c r="W181" t="s">
        <v>382</v>
      </c>
      <c r="X181" t="s">
        <v>382</v>
      </c>
      <c r="Y181" t="s">
        <v>382</v>
      </c>
      <c r="Z181" t="s">
        <v>382</v>
      </c>
      <c r="AA181" t="s">
        <v>382</v>
      </c>
      <c r="AB181" t="s">
        <v>382</v>
      </c>
      <c r="AC181">
        <v>5</v>
      </c>
      <c r="AD181">
        <v>5</v>
      </c>
      <c r="AF181" t="s">
        <v>385</v>
      </c>
      <c r="AH181" t="s">
        <v>27</v>
      </c>
      <c r="AI181" t="s">
        <v>109</v>
      </c>
      <c r="AK181">
        <v>963</v>
      </c>
      <c r="AL181">
        <v>1046</v>
      </c>
    </row>
    <row r="182" spans="1:38">
      <c r="A182" t="s">
        <v>382</v>
      </c>
      <c r="B182" t="s">
        <v>382</v>
      </c>
      <c r="C182" t="s">
        <v>382</v>
      </c>
      <c r="D182" t="s">
        <v>382</v>
      </c>
      <c r="E182" t="s">
        <v>382</v>
      </c>
      <c r="F182" t="s">
        <v>382</v>
      </c>
      <c r="G182" t="s">
        <v>382</v>
      </c>
      <c r="H182" t="s">
        <v>382</v>
      </c>
      <c r="I182" t="s">
        <v>382</v>
      </c>
      <c r="J182" t="s">
        <v>382</v>
      </c>
      <c r="K182" t="s">
        <v>382</v>
      </c>
      <c r="L182" t="s">
        <v>382</v>
      </c>
      <c r="M182" t="s">
        <v>382</v>
      </c>
      <c r="N182" t="s">
        <v>382</v>
      </c>
      <c r="O182" t="s">
        <v>382</v>
      </c>
      <c r="P182" t="s">
        <v>382</v>
      </c>
      <c r="Q182" t="s">
        <v>382</v>
      </c>
      <c r="R182" t="s">
        <v>382</v>
      </c>
      <c r="S182" t="s">
        <v>382</v>
      </c>
      <c r="T182" t="s">
        <v>382</v>
      </c>
      <c r="U182" t="s">
        <v>382</v>
      </c>
      <c r="V182" t="s">
        <v>382</v>
      </c>
      <c r="W182" t="s">
        <v>382</v>
      </c>
      <c r="X182" t="s">
        <v>382</v>
      </c>
      <c r="Y182" t="s">
        <v>382</v>
      </c>
      <c r="Z182" t="s">
        <v>382</v>
      </c>
      <c r="AA182" t="s">
        <v>382</v>
      </c>
      <c r="AB182" t="s">
        <v>382</v>
      </c>
      <c r="AC182">
        <v>5</v>
      </c>
      <c r="AD182">
        <v>1</v>
      </c>
      <c r="AF182" t="s">
        <v>385</v>
      </c>
      <c r="AH182" t="s">
        <v>27</v>
      </c>
      <c r="AI182" t="s">
        <v>109</v>
      </c>
      <c r="AK182">
        <v>1516</v>
      </c>
      <c r="AL182">
        <v>1501</v>
      </c>
    </row>
    <row r="183" spans="1:38">
      <c r="A183" t="s">
        <v>382</v>
      </c>
      <c r="B183" t="s">
        <v>382</v>
      </c>
      <c r="C183" t="s">
        <v>382</v>
      </c>
      <c r="D183" t="s">
        <v>382</v>
      </c>
      <c r="E183" t="s">
        <v>382</v>
      </c>
      <c r="F183" t="s">
        <v>382</v>
      </c>
      <c r="G183" t="s">
        <v>382</v>
      </c>
      <c r="H183" t="s">
        <v>382</v>
      </c>
      <c r="I183" t="s">
        <v>382</v>
      </c>
      <c r="J183" t="s">
        <v>382</v>
      </c>
      <c r="K183" t="s">
        <v>382</v>
      </c>
      <c r="L183" t="s">
        <v>382</v>
      </c>
      <c r="M183" t="s">
        <v>382</v>
      </c>
      <c r="N183" t="s">
        <v>382</v>
      </c>
      <c r="O183" t="s">
        <v>382</v>
      </c>
      <c r="P183" t="s">
        <v>382</v>
      </c>
      <c r="Q183" t="s">
        <v>382</v>
      </c>
      <c r="R183" t="s">
        <v>382</v>
      </c>
      <c r="S183" t="s">
        <v>382</v>
      </c>
      <c r="T183" t="s">
        <v>382</v>
      </c>
      <c r="U183" t="s">
        <v>382</v>
      </c>
      <c r="V183" t="s">
        <v>382</v>
      </c>
      <c r="W183" t="s">
        <v>382</v>
      </c>
      <c r="X183" t="s">
        <v>382</v>
      </c>
      <c r="Y183" t="s">
        <v>382</v>
      </c>
      <c r="Z183" t="s">
        <v>382</v>
      </c>
      <c r="AA183" t="s">
        <v>382</v>
      </c>
      <c r="AB183" t="s">
        <v>382</v>
      </c>
      <c r="AC183">
        <v>5</v>
      </c>
      <c r="AD183">
        <v>2</v>
      </c>
      <c r="AF183" t="s">
        <v>386</v>
      </c>
      <c r="AH183" t="s">
        <v>29</v>
      </c>
      <c r="AI183" t="s">
        <v>103</v>
      </c>
      <c r="AK183">
        <v>2121</v>
      </c>
      <c r="AL183">
        <v>1858</v>
      </c>
    </row>
    <row r="184" spans="1:38">
      <c r="A184" t="s">
        <v>382</v>
      </c>
      <c r="B184" t="s">
        <v>382</v>
      </c>
      <c r="C184" t="s">
        <v>382</v>
      </c>
      <c r="D184" t="s">
        <v>382</v>
      </c>
      <c r="E184" t="s">
        <v>382</v>
      </c>
      <c r="F184" t="s">
        <v>382</v>
      </c>
      <c r="G184" t="s">
        <v>382</v>
      </c>
      <c r="H184" t="s">
        <v>382</v>
      </c>
      <c r="I184" t="s">
        <v>382</v>
      </c>
      <c r="J184" t="s">
        <v>382</v>
      </c>
      <c r="K184" t="s">
        <v>382</v>
      </c>
      <c r="L184" t="s">
        <v>382</v>
      </c>
      <c r="M184" t="s">
        <v>382</v>
      </c>
      <c r="N184" t="s">
        <v>382</v>
      </c>
      <c r="O184" t="s">
        <v>382</v>
      </c>
      <c r="P184" t="s">
        <v>382</v>
      </c>
      <c r="Q184" t="s">
        <v>382</v>
      </c>
      <c r="R184" t="s">
        <v>382</v>
      </c>
      <c r="S184" t="s">
        <v>382</v>
      </c>
      <c r="T184" t="s">
        <v>382</v>
      </c>
      <c r="U184" t="s">
        <v>382</v>
      </c>
      <c r="V184" t="s">
        <v>382</v>
      </c>
      <c r="W184" t="s">
        <v>382</v>
      </c>
      <c r="X184" t="s">
        <v>382</v>
      </c>
      <c r="Y184" t="s">
        <v>382</v>
      </c>
      <c r="Z184" t="s">
        <v>382</v>
      </c>
      <c r="AA184" t="s">
        <v>382</v>
      </c>
      <c r="AB184" t="s">
        <v>382</v>
      </c>
      <c r="AC184">
        <v>5</v>
      </c>
      <c r="AD184">
        <v>3</v>
      </c>
      <c r="AE184">
        <v>1</v>
      </c>
      <c r="AF184" t="s">
        <v>393</v>
      </c>
      <c r="AH184" t="s">
        <v>51</v>
      </c>
      <c r="AI184" t="s">
        <v>97</v>
      </c>
      <c r="AK184">
        <v>2314</v>
      </c>
      <c r="AL184">
        <v>2099</v>
      </c>
    </row>
    <row r="185" spans="1:38">
      <c r="A185" t="s">
        <v>382</v>
      </c>
      <c r="B185" t="s">
        <v>382</v>
      </c>
      <c r="C185" t="s">
        <v>382</v>
      </c>
      <c r="D185" t="s">
        <v>382</v>
      </c>
      <c r="E185" t="s">
        <v>382</v>
      </c>
      <c r="F185" t="s">
        <v>382</v>
      </c>
      <c r="G185" t="s">
        <v>382</v>
      </c>
      <c r="H185" t="s">
        <v>382</v>
      </c>
      <c r="I185" t="s">
        <v>382</v>
      </c>
      <c r="J185" t="s">
        <v>382</v>
      </c>
      <c r="K185" t="s">
        <v>382</v>
      </c>
      <c r="L185" t="s">
        <v>382</v>
      </c>
      <c r="M185" t="s">
        <v>382</v>
      </c>
      <c r="N185" t="s">
        <v>382</v>
      </c>
      <c r="O185" t="s">
        <v>382</v>
      </c>
      <c r="P185" t="s">
        <v>382</v>
      </c>
      <c r="Q185" t="s">
        <v>382</v>
      </c>
      <c r="R185" t="s">
        <v>382</v>
      </c>
      <c r="S185" t="s">
        <v>382</v>
      </c>
      <c r="T185" t="s">
        <v>382</v>
      </c>
      <c r="U185" t="s">
        <v>382</v>
      </c>
      <c r="V185" t="s">
        <v>382</v>
      </c>
      <c r="W185" t="s">
        <v>382</v>
      </c>
      <c r="X185" t="s">
        <v>382</v>
      </c>
      <c r="Y185" t="s">
        <v>382</v>
      </c>
      <c r="Z185" t="s">
        <v>382</v>
      </c>
      <c r="AA185" t="s">
        <v>382</v>
      </c>
      <c r="AB185" t="s">
        <v>382</v>
      </c>
      <c r="AC185">
        <v>5</v>
      </c>
      <c r="AD185">
        <v>4</v>
      </c>
      <c r="AE185">
        <v>1</v>
      </c>
      <c r="AF185" t="s">
        <v>398</v>
      </c>
      <c r="AH185" t="s">
        <v>69</v>
      </c>
      <c r="AI185" t="s">
        <v>97</v>
      </c>
      <c r="AK185">
        <v>1749</v>
      </c>
      <c r="AL185">
        <v>1862</v>
      </c>
    </row>
    <row r="186" spans="1:38">
      <c r="A186" t="s">
        <v>382</v>
      </c>
      <c r="B186" t="s">
        <v>382</v>
      </c>
      <c r="C186" t="s">
        <v>382</v>
      </c>
      <c r="D186" t="s">
        <v>382</v>
      </c>
      <c r="E186" t="s">
        <v>382</v>
      </c>
      <c r="F186" t="s">
        <v>382</v>
      </c>
      <c r="G186" t="s">
        <v>382</v>
      </c>
      <c r="H186" t="s">
        <v>382</v>
      </c>
      <c r="I186" t="s">
        <v>382</v>
      </c>
      <c r="J186" t="s">
        <v>382</v>
      </c>
      <c r="K186" t="s">
        <v>382</v>
      </c>
      <c r="L186" t="s">
        <v>382</v>
      </c>
      <c r="M186" t="s">
        <v>382</v>
      </c>
      <c r="N186" t="s">
        <v>382</v>
      </c>
      <c r="O186" t="s">
        <v>382</v>
      </c>
      <c r="P186" t="s">
        <v>382</v>
      </c>
      <c r="Q186" t="s">
        <v>382</v>
      </c>
      <c r="R186" t="s">
        <v>382</v>
      </c>
      <c r="S186" t="s">
        <v>382</v>
      </c>
      <c r="T186" t="s">
        <v>382</v>
      </c>
      <c r="U186" t="s">
        <v>382</v>
      </c>
      <c r="V186" t="s">
        <v>382</v>
      </c>
      <c r="W186" t="s">
        <v>382</v>
      </c>
      <c r="X186" t="s">
        <v>382</v>
      </c>
      <c r="Y186" t="s">
        <v>382</v>
      </c>
      <c r="Z186" t="s">
        <v>382</v>
      </c>
      <c r="AA186" t="s">
        <v>382</v>
      </c>
      <c r="AB186" t="s">
        <v>382</v>
      </c>
      <c r="AC186">
        <v>5</v>
      </c>
      <c r="AD186">
        <v>5</v>
      </c>
      <c r="AF186" t="s">
        <v>384</v>
      </c>
      <c r="AH186" t="s">
        <v>25</v>
      </c>
      <c r="AI186" t="s">
        <v>106</v>
      </c>
      <c r="AK186">
        <v>729</v>
      </c>
      <c r="AL186">
        <v>272</v>
      </c>
    </row>
    <row r="187" spans="1:38">
      <c r="A187" t="s">
        <v>382</v>
      </c>
      <c r="B187" t="s">
        <v>382</v>
      </c>
      <c r="C187" t="s">
        <v>382</v>
      </c>
      <c r="D187" t="s">
        <v>382</v>
      </c>
      <c r="E187" t="s">
        <v>382</v>
      </c>
      <c r="F187" t="s">
        <v>382</v>
      </c>
      <c r="G187" t="s">
        <v>382</v>
      </c>
      <c r="H187" t="s">
        <v>382</v>
      </c>
      <c r="I187" t="s">
        <v>382</v>
      </c>
      <c r="J187" t="s">
        <v>382</v>
      </c>
      <c r="K187" t="s">
        <v>382</v>
      </c>
      <c r="L187" t="s">
        <v>382</v>
      </c>
      <c r="M187" t="s">
        <v>382</v>
      </c>
      <c r="N187" t="s">
        <v>382</v>
      </c>
      <c r="O187" t="s">
        <v>382</v>
      </c>
      <c r="P187" t="s">
        <v>382</v>
      </c>
      <c r="Q187" t="s">
        <v>382</v>
      </c>
      <c r="R187" t="s">
        <v>382</v>
      </c>
      <c r="S187" t="s">
        <v>382</v>
      </c>
      <c r="T187" t="s">
        <v>382</v>
      </c>
      <c r="U187" t="s">
        <v>382</v>
      </c>
      <c r="V187" t="s">
        <v>382</v>
      </c>
      <c r="W187" t="s">
        <v>382</v>
      </c>
      <c r="X187" t="s">
        <v>382</v>
      </c>
      <c r="Y187" t="s">
        <v>382</v>
      </c>
      <c r="Z187" t="s">
        <v>382</v>
      </c>
      <c r="AA187" t="s">
        <v>382</v>
      </c>
      <c r="AB187" t="s">
        <v>382</v>
      </c>
      <c r="AC187">
        <v>5</v>
      </c>
      <c r="AD187">
        <v>1</v>
      </c>
      <c r="AF187" t="s">
        <v>384</v>
      </c>
      <c r="AH187" t="s">
        <v>25</v>
      </c>
      <c r="AI187" t="s">
        <v>106</v>
      </c>
      <c r="AK187">
        <v>1270</v>
      </c>
      <c r="AL187">
        <v>97</v>
      </c>
    </row>
    <row r="188" spans="1:38">
      <c r="A188" t="s">
        <v>382</v>
      </c>
      <c r="B188" t="s">
        <v>382</v>
      </c>
      <c r="C188" t="s">
        <v>382</v>
      </c>
      <c r="D188" t="s">
        <v>382</v>
      </c>
      <c r="E188" t="s">
        <v>382</v>
      </c>
      <c r="F188" t="s">
        <v>382</v>
      </c>
      <c r="G188" t="s">
        <v>382</v>
      </c>
      <c r="H188" t="s">
        <v>382</v>
      </c>
      <c r="I188" t="s">
        <v>382</v>
      </c>
      <c r="J188" t="s">
        <v>382</v>
      </c>
      <c r="K188" t="s">
        <v>382</v>
      </c>
      <c r="L188" t="s">
        <v>382</v>
      </c>
      <c r="M188" t="s">
        <v>382</v>
      </c>
      <c r="N188" t="s">
        <v>382</v>
      </c>
      <c r="O188" t="s">
        <v>382</v>
      </c>
      <c r="P188" t="s">
        <v>382</v>
      </c>
      <c r="Q188" t="s">
        <v>382</v>
      </c>
      <c r="R188" t="s">
        <v>382</v>
      </c>
      <c r="S188" t="s">
        <v>382</v>
      </c>
      <c r="T188" t="s">
        <v>382</v>
      </c>
      <c r="U188" t="s">
        <v>382</v>
      </c>
      <c r="V188" t="s">
        <v>382</v>
      </c>
      <c r="W188" t="s">
        <v>382</v>
      </c>
      <c r="X188" t="s">
        <v>382</v>
      </c>
      <c r="Y188" t="s">
        <v>382</v>
      </c>
      <c r="Z188" t="s">
        <v>382</v>
      </c>
      <c r="AA188" t="s">
        <v>382</v>
      </c>
      <c r="AB188" t="s">
        <v>382</v>
      </c>
      <c r="AC188">
        <v>5</v>
      </c>
      <c r="AD188">
        <v>2</v>
      </c>
      <c r="AF188" t="s">
        <v>384</v>
      </c>
      <c r="AH188" t="s">
        <v>25</v>
      </c>
      <c r="AI188" t="s">
        <v>106</v>
      </c>
      <c r="AK188">
        <v>2713</v>
      </c>
      <c r="AL188">
        <v>1325</v>
      </c>
    </row>
    <row r="189" spans="1:38">
      <c r="A189" t="s">
        <v>382</v>
      </c>
      <c r="B189" t="s">
        <v>382</v>
      </c>
      <c r="C189" t="s">
        <v>382</v>
      </c>
      <c r="D189" t="s">
        <v>382</v>
      </c>
      <c r="E189" t="s">
        <v>382</v>
      </c>
      <c r="F189" t="s">
        <v>382</v>
      </c>
      <c r="G189" t="s">
        <v>382</v>
      </c>
      <c r="H189" t="s">
        <v>382</v>
      </c>
      <c r="I189" t="s">
        <v>382</v>
      </c>
      <c r="J189" t="s">
        <v>382</v>
      </c>
      <c r="K189" t="s">
        <v>382</v>
      </c>
      <c r="L189" t="s">
        <v>382</v>
      </c>
      <c r="M189" t="s">
        <v>382</v>
      </c>
      <c r="N189" t="s">
        <v>382</v>
      </c>
      <c r="O189" t="s">
        <v>382</v>
      </c>
      <c r="P189" t="s">
        <v>382</v>
      </c>
      <c r="Q189" t="s">
        <v>382</v>
      </c>
      <c r="R189" t="s">
        <v>382</v>
      </c>
      <c r="S189" t="s">
        <v>382</v>
      </c>
      <c r="T189" t="s">
        <v>382</v>
      </c>
      <c r="U189" t="s">
        <v>382</v>
      </c>
      <c r="V189" t="s">
        <v>382</v>
      </c>
      <c r="W189" t="s">
        <v>382</v>
      </c>
      <c r="X189" t="s">
        <v>382</v>
      </c>
      <c r="Y189" t="s">
        <v>382</v>
      </c>
      <c r="Z189" t="s">
        <v>382</v>
      </c>
      <c r="AA189" t="s">
        <v>382</v>
      </c>
      <c r="AB189" t="s">
        <v>382</v>
      </c>
      <c r="AC189">
        <v>5</v>
      </c>
      <c r="AD189">
        <v>3</v>
      </c>
      <c r="AF189" t="s">
        <v>384</v>
      </c>
      <c r="AH189" t="s">
        <v>25</v>
      </c>
      <c r="AI189" t="s">
        <v>106</v>
      </c>
      <c r="AK189">
        <v>2788</v>
      </c>
      <c r="AL189">
        <v>1373</v>
      </c>
    </row>
    <row r="190" spans="1:38">
      <c r="A190" t="s">
        <v>382</v>
      </c>
      <c r="B190" t="s">
        <v>382</v>
      </c>
      <c r="C190" t="s">
        <v>382</v>
      </c>
      <c r="D190" t="s">
        <v>382</v>
      </c>
      <c r="E190" t="s">
        <v>382</v>
      </c>
      <c r="F190" t="s">
        <v>382</v>
      </c>
      <c r="G190" t="s">
        <v>382</v>
      </c>
      <c r="H190" t="s">
        <v>382</v>
      </c>
      <c r="I190" t="s">
        <v>382</v>
      </c>
      <c r="J190" t="s">
        <v>382</v>
      </c>
      <c r="K190" t="s">
        <v>382</v>
      </c>
      <c r="L190" t="s">
        <v>382</v>
      </c>
      <c r="M190" t="s">
        <v>382</v>
      </c>
      <c r="N190" t="s">
        <v>382</v>
      </c>
      <c r="O190" t="s">
        <v>382</v>
      </c>
      <c r="P190" t="s">
        <v>382</v>
      </c>
      <c r="Q190" t="s">
        <v>382</v>
      </c>
      <c r="R190" t="s">
        <v>382</v>
      </c>
      <c r="S190" t="s">
        <v>382</v>
      </c>
      <c r="T190" t="s">
        <v>382</v>
      </c>
      <c r="U190" t="s">
        <v>382</v>
      </c>
      <c r="V190" t="s">
        <v>382</v>
      </c>
      <c r="W190" t="s">
        <v>382</v>
      </c>
      <c r="X190" t="s">
        <v>382</v>
      </c>
      <c r="Y190" t="s">
        <v>382</v>
      </c>
      <c r="Z190" t="s">
        <v>382</v>
      </c>
      <c r="AA190" t="s">
        <v>382</v>
      </c>
      <c r="AB190" t="s">
        <v>382</v>
      </c>
      <c r="AC190">
        <v>5</v>
      </c>
      <c r="AD190">
        <v>4</v>
      </c>
      <c r="AF190" t="s">
        <v>385</v>
      </c>
      <c r="AH190" t="s">
        <v>27</v>
      </c>
      <c r="AI190" t="s">
        <v>109</v>
      </c>
      <c r="AK190">
        <v>2406</v>
      </c>
      <c r="AL190">
        <v>2172</v>
      </c>
    </row>
    <row r="191" spans="1:38">
      <c r="A191" t="s">
        <v>382</v>
      </c>
      <c r="B191" t="s">
        <v>382</v>
      </c>
      <c r="C191" t="s">
        <v>382</v>
      </c>
      <c r="D191" t="s">
        <v>382</v>
      </c>
      <c r="E191" t="s">
        <v>382</v>
      </c>
      <c r="F191" t="s">
        <v>382</v>
      </c>
      <c r="G191" t="s">
        <v>382</v>
      </c>
      <c r="H191" t="s">
        <v>382</v>
      </c>
      <c r="I191" t="s">
        <v>382</v>
      </c>
      <c r="J191" t="s">
        <v>382</v>
      </c>
      <c r="K191" t="s">
        <v>382</v>
      </c>
      <c r="L191" t="s">
        <v>382</v>
      </c>
      <c r="M191" t="s">
        <v>382</v>
      </c>
      <c r="N191" t="s">
        <v>382</v>
      </c>
      <c r="O191" t="s">
        <v>382</v>
      </c>
      <c r="P191" t="s">
        <v>382</v>
      </c>
      <c r="Q191" t="s">
        <v>382</v>
      </c>
      <c r="R191" t="s">
        <v>382</v>
      </c>
      <c r="S191" t="s">
        <v>382</v>
      </c>
      <c r="T191" t="s">
        <v>382</v>
      </c>
      <c r="U191" t="s">
        <v>382</v>
      </c>
      <c r="V191" t="s">
        <v>382</v>
      </c>
      <c r="W191" t="s">
        <v>382</v>
      </c>
      <c r="X191" t="s">
        <v>382</v>
      </c>
      <c r="Y191" t="s">
        <v>382</v>
      </c>
      <c r="Z191" t="s">
        <v>382</v>
      </c>
      <c r="AA191" t="s">
        <v>382</v>
      </c>
      <c r="AB191" t="s">
        <v>382</v>
      </c>
      <c r="AC191">
        <v>5</v>
      </c>
      <c r="AD191">
        <v>5</v>
      </c>
      <c r="AF191" t="s">
        <v>386</v>
      </c>
      <c r="AH191" t="s">
        <v>29</v>
      </c>
      <c r="AI191" t="s">
        <v>103</v>
      </c>
      <c r="AK191">
        <v>2444</v>
      </c>
      <c r="AL191">
        <v>1603</v>
      </c>
    </row>
    <row r="192" spans="1:38">
      <c r="A192" t="s">
        <v>382</v>
      </c>
      <c r="B192" t="s">
        <v>382</v>
      </c>
      <c r="C192" t="s">
        <v>382</v>
      </c>
      <c r="D192" t="s">
        <v>382</v>
      </c>
      <c r="E192" t="s">
        <v>382</v>
      </c>
      <c r="F192" t="s">
        <v>382</v>
      </c>
      <c r="G192" t="s">
        <v>382</v>
      </c>
      <c r="H192" t="s">
        <v>382</v>
      </c>
      <c r="I192" t="s">
        <v>382</v>
      </c>
      <c r="J192" t="s">
        <v>382</v>
      </c>
      <c r="K192" t="s">
        <v>382</v>
      </c>
      <c r="L192" t="s">
        <v>382</v>
      </c>
      <c r="M192" t="s">
        <v>382</v>
      </c>
      <c r="N192" t="s">
        <v>382</v>
      </c>
      <c r="O192" t="s">
        <v>382</v>
      </c>
      <c r="P192" t="s">
        <v>382</v>
      </c>
      <c r="Q192" t="s">
        <v>382</v>
      </c>
      <c r="R192" t="s">
        <v>382</v>
      </c>
      <c r="S192" t="s">
        <v>382</v>
      </c>
      <c r="T192" t="s">
        <v>382</v>
      </c>
      <c r="U192" t="s">
        <v>382</v>
      </c>
      <c r="V192" t="s">
        <v>382</v>
      </c>
      <c r="W192" t="s">
        <v>382</v>
      </c>
      <c r="X192" t="s">
        <v>382</v>
      </c>
      <c r="Y192" t="s">
        <v>382</v>
      </c>
      <c r="Z192" t="s">
        <v>382</v>
      </c>
      <c r="AA192" t="s">
        <v>382</v>
      </c>
      <c r="AB192" t="s">
        <v>382</v>
      </c>
      <c r="AC192">
        <v>5</v>
      </c>
      <c r="AD192">
        <v>1</v>
      </c>
      <c r="AF192" t="s">
        <v>385</v>
      </c>
      <c r="AH192" t="s">
        <v>27</v>
      </c>
      <c r="AI192" t="s">
        <v>109</v>
      </c>
      <c r="AK192">
        <v>2826</v>
      </c>
      <c r="AL192">
        <v>1978</v>
      </c>
    </row>
    <row r="193" spans="1:38">
      <c r="A193" t="s">
        <v>382</v>
      </c>
      <c r="B193" t="s">
        <v>382</v>
      </c>
      <c r="C193" t="s">
        <v>382</v>
      </c>
      <c r="D193" t="s">
        <v>382</v>
      </c>
      <c r="E193" t="s">
        <v>382</v>
      </c>
      <c r="F193" t="s">
        <v>382</v>
      </c>
      <c r="G193" t="s">
        <v>382</v>
      </c>
      <c r="H193" t="s">
        <v>382</v>
      </c>
      <c r="I193" t="s">
        <v>382</v>
      </c>
      <c r="J193" t="s">
        <v>382</v>
      </c>
      <c r="K193" t="s">
        <v>382</v>
      </c>
      <c r="L193" t="s">
        <v>382</v>
      </c>
      <c r="M193" t="s">
        <v>382</v>
      </c>
      <c r="N193" t="s">
        <v>382</v>
      </c>
      <c r="O193" t="s">
        <v>382</v>
      </c>
      <c r="P193" t="s">
        <v>382</v>
      </c>
      <c r="Q193" t="s">
        <v>382</v>
      </c>
      <c r="R193" t="s">
        <v>382</v>
      </c>
      <c r="S193" t="s">
        <v>382</v>
      </c>
      <c r="T193" t="s">
        <v>382</v>
      </c>
      <c r="U193" t="s">
        <v>382</v>
      </c>
      <c r="V193" t="s">
        <v>382</v>
      </c>
      <c r="W193" t="s">
        <v>382</v>
      </c>
      <c r="X193" t="s">
        <v>382</v>
      </c>
      <c r="Y193" t="s">
        <v>382</v>
      </c>
      <c r="Z193" t="s">
        <v>382</v>
      </c>
      <c r="AA193" t="s">
        <v>382</v>
      </c>
      <c r="AB193" t="s">
        <v>382</v>
      </c>
      <c r="AC193">
        <v>5</v>
      </c>
      <c r="AD193">
        <v>2</v>
      </c>
      <c r="AF193" t="s">
        <v>386</v>
      </c>
      <c r="AH193" t="s">
        <v>29</v>
      </c>
      <c r="AI193" t="s">
        <v>103</v>
      </c>
      <c r="AK193">
        <v>2912</v>
      </c>
      <c r="AL193">
        <v>443</v>
      </c>
    </row>
    <row r="194" spans="1:38">
      <c r="A194" t="s">
        <v>382</v>
      </c>
      <c r="B194" t="s">
        <v>382</v>
      </c>
      <c r="C194" t="s">
        <v>382</v>
      </c>
      <c r="D194" t="s">
        <v>382</v>
      </c>
      <c r="E194" t="s">
        <v>382</v>
      </c>
      <c r="F194" t="s">
        <v>382</v>
      </c>
      <c r="G194" t="s">
        <v>382</v>
      </c>
      <c r="H194" t="s">
        <v>382</v>
      </c>
      <c r="I194" t="s">
        <v>382</v>
      </c>
      <c r="J194" t="s">
        <v>382</v>
      </c>
      <c r="K194" t="s">
        <v>382</v>
      </c>
      <c r="L194" t="s">
        <v>382</v>
      </c>
      <c r="M194" t="s">
        <v>382</v>
      </c>
      <c r="N194" t="s">
        <v>382</v>
      </c>
      <c r="O194" t="s">
        <v>382</v>
      </c>
      <c r="P194" t="s">
        <v>382</v>
      </c>
      <c r="Q194" t="s">
        <v>382</v>
      </c>
      <c r="R194" t="s">
        <v>382</v>
      </c>
      <c r="S194" t="s">
        <v>382</v>
      </c>
      <c r="T194" t="s">
        <v>382</v>
      </c>
      <c r="U194" t="s">
        <v>382</v>
      </c>
      <c r="V194" t="s">
        <v>382</v>
      </c>
      <c r="W194" t="s">
        <v>382</v>
      </c>
      <c r="X194" t="s">
        <v>382</v>
      </c>
      <c r="Y194" t="s">
        <v>382</v>
      </c>
      <c r="Z194" t="s">
        <v>382</v>
      </c>
      <c r="AA194" t="s">
        <v>382</v>
      </c>
      <c r="AB194" t="s">
        <v>382</v>
      </c>
      <c r="AC194">
        <v>5</v>
      </c>
      <c r="AD194">
        <v>3</v>
      </c>
      <c r="AF194" t="s">
        <v>385</v>
      </c>
      <c r="AH194" t="s">
        <v>27</v>
      </c>
      <c r="AI194" t="s">
        <v>109</v>
      </c>
      <c r="AK194">
        <v>1407</v>
      </c>
      <c r="AL194">
        <v>992</v>
      </c>
    </row>
    <row r="195" spans="1:38">
      <c r="A195" t="s">
        <v>382</v>
      </c>
      <c r="B195" t="s">
        <v>382</v>
      </c>
      <c r="C195" t="s">
        <v>382</v>
      </c>
      <c r="D195" t="s">
        <v>382</v>
      </c>
      <c r="E195" t="s">
        <v>382</v>
      </c>
      <c r="F195" t="s">
        <v>382</v>
      </c>
      <c r="G195" t="s">
        <v>382</v>
      </c>
      <c r="H195" t="s">
        <v>382</v>
      </c>
      <c r="I195" t="s">
        <v>382</v>
      </c>
      <c r="J195" t="s">
        <v>382</v>
      </c>
      <c r="K195" t="s">
        <v>382</v>
      </c>
      <c r="L195" t="s">
        <v>382</v>
      </c>
      <c r="M195" t="s">
        <v>382</v>
      </c>
      <c r="N195" t="s">
        <v>382</v>
      </c>
      <c r="O195" t="s">
        <v>382</v>
      </c>
      <c r="P195" t="s">
        <v>382</v>
      </c>
      <c r="Q195" t="s">
        <v>382</v>
      </c>
      <c r="R195" t="s">
        <v>382</v>
      </c>
      <c r="S195" t="s">
        <v>382</v>
      </c>
      <c r="T195" t="s">
        <v>382</v>
      </c>
      <c r="U195" t="s">
        <v>382</v>
      </c>
      <c r="V195" t="s">
        <v>382</v>
      </c>
      <c r="W195" t="s">
        <v>382</v>
      </c>
      <c r="X195" t="s">
        <v>382</v>
      </c>
      <c r="Y195" t="s">
        <v>382</v>
      </c>
      <c r="Z195" t="s">
        <v>382</v>
      </c>
      <c r="AA195" t="s">
        <v>382</v>
      </c>
      <c r="AB195" t="s">
        <v>382</v>
      </c>
      <c r="AC195">
        <v>5</v>
      </c>
      <c r="AD195">
        <v>4</v>
      </c>
      <c r="AF195" t="s">
        <v>385</v>
      </c>
      <c r="AH195" t="s">
        <v>27</v>
      </c>
      <c r="AI195" t="s">
        <v>109</v>
      </c>
      <c r="AK195">
        <v>2052</v>
      </c>
      <c r="AL195">
        <v>2272</v>
      </c>
    </row>
    <row r="196" spans="1:38">
      <c r="A196" t="s">
        <v>382</v>
      </c>
      <c r="B196" t="s">
        <v>382</v>
      </c>
      <c r="C196" t="s">
        <v>382</v>
      </c>
      <c r="D196" t="s">
        <v>382</v>
      </c>
      <c r="E196" t="s">
        <v>382</v>
      </c>
      <c r="F196" t="s">
        <v>382</v>
      </c>
      <c r="G196" t="s">
        <v>382</v>
      </c>
      <c r="H196" t="s">
        <v>382</v>
      </c>
      <c r="I196" t="s">
        <v>382</v>
      </c>
      <c r="J196" t="s">
        <v>382</v>
      </c>
      <c r="K196" t="s">
        <v>382</v>
      </c>
      <c r="L196" t="s">
        <v>382</v>
      </c>
      <c r="M196" t="s">
        <v>382</v>
      </c>
      <c r="N196" t="s">
        <v>382</v>
      </c>
      <c r="O196" t="s">
        <v>382</v>
      </c>
      <c r="P196" t="s">
        <v>382</v>
      </c>
      <c r="Q196" t="s">
        <v>382</v>
      </c>
      <c r="R196" t="s">
        <v>382</v>
      </c>
      <c r="S196" t="s">
        <v>382</v>
      </c>
      <c r="T196" t="s">
        <v>382</v>
      </c>
      <c r="U196" t="s">
        <v>382</v>
      </c>
      <c r="V196" t="s">
        <v>382</v>
      </c>
      <c r="W196" t="s">
        <v>382</v>
      </c>
      <c r="X196" t="s">
        <v>382</v>
      </c>
      <c r="Y196" t="s">
        <v>382</v>
      </c>
      <c r="Z196" t="s">
        <v>382</v>
      </c>
      <c r="AA196" t="s">
        <v>382</v>
      </c>
      <c r="AB196" t="s">
        <v>382</v>
      </c>
      <c r="AC196">
        <v>5</v>
      </c>
      <c r="AD196">
        <v>5</v>
      </c>
      <c r="AF196" t="s">
        <v>385</v>
      </c>
      <c r="AH196" t="s">
        <v>27</v>
      </c>
      <c r="AI196" t="s">
        <v>109</v>
      </c>
      <c r="AK196">
        <v>2081</v>
      </c>
      <c r="AL196">
        <v>2550</v>
      </c>
    </row>
    <row r="197" spans="1:38">
      <c r="A197" t="s">
        <v>382</v>
      </c>
      <c r="B197" t="s">
        <v>382</v>
      </c>
      <c r="C197" t="s">
        <v>382</v>
      </c>
      <c r="D197" t="s">
        <v>382</v>
      </c>
      <c r="E197" t="s">
        <v>382</v>
      </c>
      <c r="F197" t="s">
        <v>382</v>
      </c>
      <c r="G197" t="s">
        <v>382</v>
      </c>
      <c r="H197" t="s">
        <v>382</v>
      </c>
      <c r="I197" t="s">
        <v>382</v>
      </c>
      <c r="J197" t="s">
        <v>382</v>
      </c>
      <c r="K197" t="s">
        <v>382</v>
      </c>
      <c r="L197" t="s">
        <v>382</v>
      </c>
      <c r="M197" t="s">
        <v>382</v>
      </c>
      <c r="N197" t="s">
        <v>382</v>
      </c>
      <c r="O197" t="s">
        <v>382</v>
      </c>
      <c r="P197" t="s">
        <v>382</v>
      </c>
      <c r="Q197" t="s">
        <v>382</v>
      </c>
      <c r="R197" t="s">
        <v>382</v>
      </c>
      <c r="S197" t="s">
        <v>382</v>
      </c>
      <c r="T197" t="s">
        <v>382</v>
      </c>
      <c r="U197" t="s">
        <v>382</v>
      </c>
      <c r="V197" t="s">
        <v>382</v>
      </c>
      <c r="W197" t="s">
        <v>382</v>
      </c>
      <c r="X197" t="s">
        <v>382</v>
      </c>
      <c r="Y197" t="s">
        <v>382</v>
      </c>
      <c r="Z197" t="s">
        <v>382</v>
      </c>
      <c r="AA197" t="s">
        <v>382</v>
      </c>
      <c r="AB197" t="s">
        <v>382</v>
      </c>
      <c r="AC197">
        <v>5</v>
      </c>
      <c r="AD197">
        <v>1</v>
      </c>
      <c r="AF197" t="s">
        <v>392</v>
      </c>
      <c r="AH197" t="s">
        <v>41</v>
      </c>
      <c r="AI197" t="s">
        <v>102</v>
      </c>
      <c r="AK197">
        <v>2837</v>
      </c>
      <c r="AL197">
        <v>1009</v>
      </c>
    </row>
    <row r="198" spans="1:38">
      <c r="A198" t="s">
        <v>382</v>
      </c>
      <c r="B198" t="s">
        <v>382</v>
      </c>
      <c r="C198" t="s">
        <v>382</v>
      </c>
      <c r="D198" t="s">
        <v>382</v>
      </c>
      <c r="E198" t="s">
        <v>382</v>
      </c>
      <c r="F198" t="s">
        <v>382</v>
      </c>
      <c r="G198" t="s">
        <v>382</v>
      </c>
      <c r="H198" t="s">
        <v>382</v>
      </c>
      <c r="I198" t="s">
        <v>382</v>
      </c>
      <c r="J198" t="s">
        <v>382</v>
      </c>
      <c r="K198" t="s">
        <v>382</v>
      </c>
      <c r="L198" t="s">
        <v>382</v>
      </c>
      <c r="M198" t="s">
        <v>382</v>
      </c>
      <c r="N198" t="s">
        <v>382</v>
      </c>
      <c r="O198" t="s">
        <v>382</v>
      </c>
      <c r="P198" t="s">
        <v>382</v>
      </c>
      <c r="Q198" t="s">
        <v>382</v>
      </c>
      <c r="R198" t="s">
        <v>382</v>
      </c>
      <c r="S198" t="s">
        <v>382</v>
      </c>
      <c r="T198" t="s">
        <v>382</v>
      </c>
      <c r="U198" t="s">
        <v>382</v>
      </c>
      <c r="V198" t="s">
        <v>382</v>
      </c>
      <c r="W198" t="s">
        <v>382</v>
      </c>
      <c r="X198" t="s">
        <v>382</v>
      </c>
      <c r="Y198" t="s">
        <v>382</v>
      </c>
      <c r="Z198" t="s">
        <v>382</v>
      </c>
      <c r="AA198" t="s">
        <v>382</v>
      </c>
      <c r="AB198" t="s">
        <v>382</v>
      </c>
      <c r="AC198">
        <v>5</v>
      </c>
      <c r="AD198">
        <v>2</v>
      </c>
      <c r="AF198" t="s">
        <v>386</v>
      </c>
      <c r="AH198" t="s">
        <v>29</v>
      </c>
      <c r="AI198" t="s">
        <v>103</v>
      </c>
      <c r="AK198">
        <v>917</v>
      </c>
      <c r="AL198">
        <v>87</v>
      </c>
    </row>
    <row r="199" spans="1:38">
      <c r="A199" t="s">
        <v>382</v>
      </c>
      <c r="B199" t="s">
        <v>382</v>
      </c>
      <c r="C199" t="s">
        <v>382</v>
      </c>
      <c r="D199" t="s">
        <v>382</v>
      </c>
      <c r="E199" t="s">
        <v>382</v>
      </c>
      <c r="F199" t="s">
        <v>382</v>
      </c>
      <c r="G199" t="s">
        <v>382</v>
      </c>
      <c r="H199" t="s">
        <v>382</v>
      </c>
      <c r="I199" t="s">
        <v>382</v>
      </c>
      <c r="J199" t="s">
        <v>382</v>
      </c>
      <c r="K199" t="s">
        <v>382</v>
      </c>
      <c r="L199" t="s">
        <v>382</v>
      </c>
      <c r="M199" t="s">
        <v>382</v>
      </c>
      <c r="N199" t="s">
        <v>382</v>
      </c>
      <c r="O199" t="s">
        <v>382</v>
      </c>
      <c r="P199" t="s">
        <v>382</v>
      </c>
      <c r="Q199" t="s">
        <v>382</v>
      </c>
      <c r="R199" t="s">
        <v>382</v>
      </c>
      <c r="S199" t="s">
        <v>382</v>
      </c>
      <c r="T199" t="s">
        <v>382</v>
      </c>
      <c r="U199" t="s">
        <v>382</v>
      </c>
      <c r="V199" t="s">
        <v>382</v>
      </c>
      <c r="W199" t="s">
        <v>382</v>
      </c>
      <c r="X199" t="s">
        <v>382</v>
      </c>
      <c r="Y199" t="s">
        <v>382</v>
      </c>
      <c r="Z199" t="s">
        <v>382</v>
      </c>
      <c r="AA199" t="s">
        <v>382</v>
      </c>
      <c r="AB199" t="s">
        <v>382</v>
      </c>
      <c r="AC199">
        <v>5</v>
      </c>
      <c r="AD199">
        <v>3</v>
      </c>
      <c r="AF199" t="s">
        <v>386</v>
      </c>
      <c r="AH199" t="s">
        <v>29</v>
      </c>
      <c r="AI199" t="s">
        <v>103</v>
      </c>
      <c r="AK199">
        <v>3195</v>
      </c>
      <c r="AL199">
        <v>2554</v>
      </c>
    </row>
    <row r="200" spans="1:38">
      <c r="A200" t="s">
        <v>382</v>
      </c>
      <c r="B200" t="s">
        <v>382</v>
      </c>
      <c r="C200" t="s">
        <v>382</v>
      </c>
      <c r="D200" t="s">
        <v>382</v>
      </c>
      <c r="E200" t="s">
        <v>382</v>
      </c>
      <c r="F200" t="s">
        <v>382</v>
      </c>
      <c r="G200" t="s">
        <v>382</v>
      </c>
      <c r="H200" t="s">
        <v>382</v>
      </c>
      <c r="I200" t="s">
        <v>382</v>
      </c>
      <c r="J200" t="s">
        <v>382</v>
      </c>
      <c r="K200" t="s">
        <v>382</v>
      </c>
      <c r="L200" t="s">
        <v>382</v>
      </c>
      <c r="M200" t="s">
        <v>382</v>
      </c>
      <c r="N200" t="s">
        <v>382</v>
      </c>
      <c r="O200" t="s">
        <v>382</v>
      </c>
      <c r="P200" t="s">
        <v>382</v>
      </c>
      <c r="Q200" t="s">
        <v>382</v>
      </c>
      <c r="R200" t="s">
        <v>382</v>
      </c>
      <c r="S200" t="s">
        <v>382</v>
      </c>
      <c r="T200" t="s">
        <v>382</v>
      </c>
      <c r="U200" t="s">
        <v>382</v>
      </c>
      <c r="V200" t="s">
        <v>382</v>
      </c>
      <c r="W200" t="s">
        <v>382</v>
      </c>
      <c r="X200" t="s">
        <v>382</v>
      </c>
      <c r="Y200" t="s">
        <v>382</v>
      </c>
      <c r="Z200" t="s">
        <v>382</v>
      </c>
      <c r="AA200" t="s">
        <v>382</v>
      </c>
      <c r="AB200" t="s">
        <v>382</v>
      </c>
      <c r="AC200">
        <v>5</v>
      </c>
      <c r="AD200">
        <v>4</v>
      </c>
      <c r="AF200" t="s">
        <v>386</v>
      </c>
      <c r="AH200" t="s">
        <v>29</v>
      </c>
      <c r="AI200" t="s">
        <v>103</v>
      </c>
      <c r="AK200">
        <v>1249</v>
      </c>
      <c r="AL200">
        <v>694</v>
      </c>
    </row>
    <row r="201" spans="1:38">
      <c r="A201" t="s">
        <v>382</v>
      </c>
      <c r="B201" t="s">
        <v>382</v>
      </c>
      <c r="C201" t="s">
        <v>382</v>
      </c>
      <c r="D201" t="s">
        <v>382</v>
      </c>
      <c r="E201" t="s">
        <v>382</v>
      </c>
      <c r="F201" t="s">
        <v>382</v>
      </c>
      <c r="G201" t="s">
        <v>382</v>
      </c>
      <c r="H201" t="s">
        <v>382</v>
      </c>
      <c r="I201" t="s">
        <v>382</v>
      </c>
      <c r="J201" t="s">
        <v>382</v>
      </c>
      <c r="K201" t="s">
        <v>382</v>
      </c>
      <c r="L201" t="s">
        <v>382</v>
      </c>
      <c r="M201" t="s">
        <v>382</v>
      </c>
      <c r="N201" t="s">
        <v>382</v>
      </c>
      <c r="O201" t="s">
        <v>382</v>
      </c>
      <c r="P201" t="s">
        <v>382</v>
      </c>
      <c r="Q201" t="s">
        <v>382</v>
      </c>
      <c r="R201" t="s">
        <v>382</v>
      </c>
      <c r="S201" t="s">
        <v>382</v>
      </c>
      <c r="T201" t="s">
        <v>382</v>
      </c>
      <c r="U201" t="s">
        <v>382</v>
      </c>
      <c r="V201" t="s">
        <v>382</v>
      </c>
      <c r="W201" t="s">
        <v>382</v>
      </c>
      <c r="X201" t="s">
        <v>382</v>
      </c>
      <c r="Y201" t="s">
        <v>382</v>
      </c>
      <c r="Z201" t="s">
        <v>382</v>
      </c>
      <c r="AA201" t="s">
        <v>382</v>
      </c>
      <c r="AB201" t="s">
        <v>382</v>
      </c>
      <c r="AC201">
        <v>5</v>
      </c>
      <c r="AD201">
        <v>5</v>
      </c>
      <c r="AF201" t="s">
        <v>392</v>
      </c>
      <c r="AH201" t="s">
        <v>41</v>
      </c>
      <c r="AI201" t="s">
        <v>102</v>
      </c>
      <c r="AK201">
        <v>1302</v>
      </c>
      <c r="AL201">
        <v>1660</v>
      </c>
    </row>
    <row r="202" spans="1:38">
      <c r="A202" t="s">
        <v>382</v>
      </c>
      <c r="B202" t="s">
        <v>382</v>
      </c>
      <c r="C202" t="s">
        <v>382</v>
      </c>
      <c r="D202" t="s">
        <v>382</v>
      </c>
      <c r="E202" t="s">
        <v>382</v>
      </c>
      <c r="F202" t="s">
        <v>382</v>
      </c>
      <c r="G202" t="s">
        <v>382</v>
      </c>
      <c r="H202" t="s">
        <v>382</v>
      </c>
      <c r="I202" t="s">
        <v>382</v>
      </c>
      <c r="J202" t="s">
        <v>382</v>
      </c>
      <c r="K202" t="s">
        <v>382</v>
      </c>
      <c r="L202" t="s">
        <v>382</v>
      </c>
      <c r="M202" t="s">
        <v>382</v>
      </c>
      <c r="N202" t="s">
        <v>382</v>
      </c>
      <c r="O202" t="s">
        <v>382</v>
      </c>
      <c r="P202" t="s">
        <v>382</v>
      </c>
      <c r="Q202" t="s">
        <v>382</v>
      </c>
      <c r="R202" t="s">
        <v>382</v>
      </c>
      <c r="S202" t="s">
        <v>382</v>
      </c>
      <c r="T202" t="s">
        <v>382</v>
      </c>
      <c r="U202" t="s">
        <v>382</v>
      </c>
      <c r="V202" t="s">
        <v>382</v>
      </c>
      <c r="W202" t="s">
        <v>382</v>
      </c>
      <c r="X202" t="s">
        <v>382</v>
      </c>
      <c r="Y202" t="s">
        <v>382</v>
      </c>
      <c r="Z202" t="s">
        <v>382</v>
      </c>
      <c r="AA202" t="s">
        <v>382</v>
      </c>
      <c r="AB202" t="s">
        <v>382</v>
      </c>
      <c r="AC202">
        <v>5</v>
      </c>
      <c r="AD202">
        <v>1</v>
      </c>
      <c r="AF202" t="s">
        <v>386</v>
      </c>
      <c r="AH202" t="s">
        <v>29</v>
      </c>
      <c r="AI202" t="s">
        <v>103</v>
      </c>
      <c r="AK202">
        <v>2170</v>
      </c>
      <c r="AL202">
        <v>411</v>
      </c>
    </row>
    <row r="203" spans="1:38">
      <c r="A203" t="s">
        <v>382</v>
      </c>
      <c r="B203" t="s">
        <v>382</v>
      </c>
      <c r="C203" t="s">
        <v>382</v>
      </c>
      <c r="D203" t="s">
        <v>382</v>
      </c>
      <c r="E203" t="s">
        <v>382</v>
      </c>
      <c r="F203" t="s">
        <v>382</v>
      </c>
      <c r="G203" t="s">
        <v>382</v>
      </c>
      <c r="H203" t="s">
        <v>382</v>
      </c>
      <c r="I203" t="s">
        <v>382</v>
      </c>
      <c r="J203" t="s">
        <v>382</v>
      </c>
      <c r="K203" t="s">
        <v>382</v>
      </c>
      <c r="L203" t="s">
        <v>382</v>
      </c>
      <c r="M203" t="s">
        <v>382</v>
      </c>
      <c r="N203" t="s">
        <v>382</v>
      </c>
      <c r="O203" t="s">
        <v>382</v>
      </c>
      <c r="P203" t="s">
        <v>382</v>
      </c>
      <c r="Q203" t="s">
        <v>382</v>
      </c>
      <c r="R203" t="s">
        <v>382</v>
      </c>
      <c r="S203" t="s">
        <v>382</v>
      </c>
      <c r="T203" t="s">
        <v>382</v>
      </c>
      <c r="U203" t="s">
        <v>382</v>
      </c>
      <c r="V203" t="s">
        <v>382</v>
      </c>
      <c r="W203" t="s">
        <v>382</v>
      </c>
      <c r="X203" t="s">
        <v>382</v>
      </c>
      <c r="Y203" t="s">
        <v>382</v>
      </c>
      <c r="Z203" t="s">
        <v>382</v>
      </c>
      <c r="AA203" t="s">
        <v>382</v>
      </c>
      <c r="AB203" t="s">
        <v>382</v>
      </c>
      <c r="AC203">
        <v>5</v>
      </c>
      <c r="AD203">
        <v>2</v>
      </c>
      <c r="AF203" t="s">
        <v>386</v>
      </c>
      <c r="AH203" t="s">
        <v>29</v>
      </c>
      <c r="AI203" t="s">
        <v>103</v>
      </c>
      <c r="AK203">
        <v>2310</v>
      </c>
      <c r="AL203">
        <v>1097</v>
      </c>
    </row>
    <row r="204" spans="1:38">
      <c r="A204" t="s">
        <v>382</v>
      </c>
      <c r="B204" t="s">
        <v>382</v>
      </c>
      <c r="C204" t="s">
        <v>382</v>
      </c>
      <c r="D204" t="s">
        <v>382</v>
      </c>
      <c r="E204" t="s">
        <v>382</v>
      </c>
      <c r="F204" t="s">
        <v>382</v>
      </c>
      <c r="G204" t="s">
        <v>382</v>
      </c>
      <c r="H204" t="s">
        <v>382</v>
      </c>
      <c r="I204" t="s">
        <v>382</v>
      </c>
      <c r="J204" t="s">
        <v>382</v>
      </c>
      <c r="K204" t="s">
        <v>382</v>
      </c>
      <c r="L204" t="s">
        <v>382</v>
      </c>
      <c r="M204" t="s">
        <v>382</v>
      </c>
      <c r="N204" t="s">
        <v>382</v>
      </c>
      <c r="O204" t="s">
        <v>382</v>
      </c>
      <c r="P204" t="s">
        <v>382</v>
      </c>
      <c r="Q204" t="s">
        <v>382</v>
      </c>
      <c r="R204" t="s">
        <v>382</v>
      </c>
      <c r="S204" t="s">
        <v>382</v>
      </c>
      <c r="T204" t="s">
        <v>382</v>
      </c>
      <c r="U204" t="s">
        <v>382</v>
      </c>
      <c r="V204" t="s">
        <v>382</v>
      </c>
      <c r="W204" t="s">
        <v>382</v>
      </c>
      <c r="X204" t="s">
        <v>382</v>
      </c>
      <c r="Y204" t="s">
        <v>382</v>
      </c>
      <c r="Z204" t="s">
        <v>382</v>
      </c>
      <c r="AA204" t="s">
        <v>382</v>
      </c>
      <c r="AB204" t="s">
        <v>382</v>
      </c>
      <c r="AC204">
        <v>5</v>
      </c>
      <c r="AD204">
        <v>3</v>
      </c>
      <c r="AF204" t="s">
        <v>384</v>
      </c>
      <c r="AH204" t="s">
        <v>25</v>
      </c>
      <c r="AI204" t="s">
        <v>106</v>
      </c>
      <c r="AK204">
        <v>818</v>
      </c>
      <c r="AL204">
        <v>1235</v>
      </c>
    </row>
    <row r="205" spans="1:38">
      <c r="A205" t="s">
        <v>382</v>
      </c>
      <c r="B205" t="s">
        <v>382</v>
      </c>
      <c r="C205" t="s">
        <v>382</v>
      </c>
      <c r="D205" t="s">
        <v>382</v>
      </c>
      <c r="E205" t="s">
        <v>382</v>
      </c>
      <c r="F205" t="s">
        <v>382</v>
      </c>
      <c r="G205" t="s">
        <v>382</v>
      </c>
      <c r="H205" t="s">
        <v>382</v>
      </c>
      <c r="I205" t="s">
        <v>382</v>
      </c>
      <c r="J205" t="s">
        <v>382</v>
      </c>
      <c r="K205" t="s">
        <v>382</v>
      </c>
      <c r="L205" t="s">
        <v>382</v>
      </c>
      <c r="M205" t="s">
        <v>382</v>
      </c>
      <c r="N205" t="s">
        <v>382</v>
      </c>
      <c r="O205" t="s">
        <v>382</v>
      </c>
      <c r="P205" t="s">
        <v>382</v>
      </c>
      <c r="Q205" t="s">
        <v>382</v>
      </c>
      <c r="R205" t="s">
        <v>382</v>
      </c>
      <c r="S205" t="s">
        <v>382</v>
      </c>
      <c r="T205" t="s">
        <v>382</v>
      </c>
      <c r="U205" t="s">
        <v>382</v>
      </c>
      <c r="V205" t="s">
        <v>382</v>
      </c>
      <c r="W205" t="s">
        <v>382</v>
      </c>
      <c r="X205" t="s">
        <v>382</v>
      </c>
      <c r="Y205" t="s">
        <v>382</v>
      </c>
      <c r="Z205" t="s">
        <v>382</v>
      </c>
      <c r="AA205" t="s">
        <v>382</v>
      </c>
      <c r="AB205" t="s">
        <v>382</v>
      </c>
      <c r="AC205">
        <v>5</v>
      </c>
      <c r="AD205">
        <v>4</v>
      </c>
      <c r="AF205" t="s">
        <v>386</v>
      </c>
      <c r="AH205" t="s">
        <v>29</v>
      </c>
      <c r="AI205" t="s">
        <v>103</v>
      </c>
      <c r="AK205">
        <v>2944</v>
      </c>
      <c r="AL205">
        <v>2583</v>
      </c>
    </row>
    <row r="206" spans="1:38">
      <c r="A206" t="s">
        <v>382</v>
      </c>
      <c r="B206" t="s">
        <v>382</v>
      </c>
      <c r="C206" t="s">
        <v>382</v>
      </c>
      <c r="D206" t="s">
        <v>382</v>
      </c>
      <c r="E206" t="s">
        <v>382</v>
      </c>
      <c r="F206" t="s">
        <v>382</v>
      </c>
      <c r="G206" t="s">
        <v>382</v>
      </c>
      <c r="H206" t="s">
        <v>382</v>
      </c>
      <c r="I206" t="s">
        <v>382</v>
      </c>
      <c r="J206" t="s">
        <v>382</v>
      </c>
      <c r="K206" t="s">
        <v>382</v>
      </c>
      <c r="L206" t="s">
        <v>382</v>
      </c>
      <c r="M206" t="s">
        <v>382</v>
      </c>
      <c r="N206" t="s">
        <v>382</v>
      </c>
      <c r="O206" t="s">
        <v>382</v>
      </c>
      <c r="P206" t="s">
        <v>382</v>
      </c>
      <c r="Q206" t="s">
        <v>382</v>
      </c>
      <c r="R206" t="s">
        <v>382</v>
      </c>
      <c r="S206" t="s">
        <v>382</v>
      </c>
      <c r="T206" t="s">
        <v>382</v>
      </c>
      <c r="U206" t="s">
        <v>382</v>
      </c>
      <c r="V206" t="s">
        <v>382</v>
      </c>
      <c r="W206" t="s">
        <v>382</v>
      </c>
      <c r="X206" t="s">
        <v>382</v>
      </c>
      <c r="Y206" t="s">
        <v>382</v>
      </c>
      <c r="Z206" t="s">
        <v>382</v>
      </c>
      <c r="AA206" t="s">
        <v>382</v>
      </c>
      <c r="AB206" t="s">
        <v>382</v>
      </c>
      <c r="AC206">
        <v>5</v>
      </c>
      <c r="AD206">
        <v>5</v>
      </c>
      <c r="AF206" t="s">
        <v>386</v>
      </c>
      <c r="AH206" t="s">
        <v>29</v>
      </c>
      <c r="AI206" t="s">
        <v>103</v>
      </c>
      <c r="AK206">
        <v>1081</v>
      </c>
      <c r="AL206">
        <v>2576</v>
      </c>
    </row>
    <row r="207" spans="1:38">
      <c r="A207" t="s">
        <v>382</v>
      </c>
      <c r="B207" t="s">
        <v>382</v>
      </c>
      <c r="C207" t="s">
        <v>382</v>
      </c>
      <c r="D207" t="s">
        <v>382</v>
      </c>
      <c r="E207" t="s">
        <v>382</v>
      </c>
      <c r="F207" t="s">
        <v>382</v>
      </c>
      <c r="G207" t="s">
        <v>382</v>
      </c>
      <c r="H207" t="s">
        <v>382</v>
      </c>
      <c r="I207" t="s">
        <v>382</v>
      </c>
      <c r="J207" t="s">
        <v>382</v>
      </c>
      <c r="K207" t="s">
        <v>382</v>
      </c>
      <c r="L207" t="s">
        <v>382</v>
      </c>
      <c r="M207" t="s">
        <v>382</v>
      </c>
      <c r="N207" t="s">
        <v>382</v>
      </c>
      <c r="O207" t="s">
        <v>382</v>
      </c>
      <c r="P207" t="s">
        <v>382</v>
      </c>
      <c r="Q207" t="s">
        <v>382</v>
      </c>
      <c r="R207" t="s">
        <v>382</v>
      </c>
      <c r="S207" t="s">
        <v>382</v>
      </c>
      <c r="T207" t="s">
        <v>382</v>
      </c>
      <c r="U207" t="s">
        <v>382</v>
      </c>
      <c r="V207" t="s">
        <v>382</v>
      </c>
      <c r="W207" t="s">
        <v>382</v>
      </c>
      <c r="X207" t="s">
        <v>382</v>
      </c>
      <c r="Y207" t="s">
        <v>382</v>
      </c>
      <c r="Z207" t="s">
        <v>382</v>
      </c>
      <c r="AA207" t="s">
        <v>382</v>
      </c>
      <c r="AB207" t="s">
        <v>382</v>
      </c>
      <c r="AC207">
        <v>5</v>
      </c>
      <c r="AD207">
        <v>1</v>
      </c>
      <c r="AE207">
        <v>1</v>
      </c>
      <c r="AF207" t="s">
        <v>383</v>
      </c>
      <c r="AH207" t="s">
        <v>22</v>
      </c>
      <c r="AI207" t="s">
        <v>97</v>
      </c>
      <c r="AK207">
        <v>1212</v>
      </c>
      <c r="AL207">
        <v>1973</v>
      </c>
    </row>
    <row r="208" spans="1:38">
      <c r="A208" t="s">
        <v>382</v>
      </c>
      <c r="B208" t="s">
        <v>382</v>
      </c>
      <c r="C208" t="s">
        <v>382</v>
      </c>
      <c r="D208" t="s">
        <v>382</v>
      </c>
      <c r="E208" t="s">
        <v>382</v>
      </c>
      <c r="F208" t="s">
        <v>382</v>
      </c>
      <c r="G208" t="s">
        <v>382</v>
      </c>
      <c r="H208" t="s">
        <v>382</v>
      </c>
      <c r="I208" t="s">
        <v>382</v>
      </c>
      <c r="J208" t="s">
        <v>382</v>
      </c>
      <c r="K208" t="s">
        <v>382</v>
      </c>
      <c r="L208" t="s">
        <v>382</v>
      </c>
      <c r="M208" t="s">
        <v>382</v>
      </c>
      <c r="N208" t="s">
        <v>382</v>
      </c>
      <c r="O208" t="s">
        <v>382</v>
      </c>
      <c r="P208" t="s">
        <v>382</v>
      </c>
      <c r="Q208" t="s">
        <v>382</v>
      </c>
      <c r="R208" t="s">
        <v>382</v>
      </c>
      <c r="S208" t="s">
        <v>382</v>
      </c>
      <c r="T208" t="s">
        <v>382</v>
      </c>
      <c r="U208" t="s">
        <v>382</v>
      </c>
      <c r="V208" t="s">
        <v>382</v>
      </c>
      <c r="W208" t="s">
        <v>382</v>
      </c>
      <c r="X208" t="s">
        <v>382</v>
      </c>
      <c r="Y208" t="s">
        <v>382</v>
      </c>
      <c r="Z208" t="s">
        <v>382</v>
      </c>
      <c r="AA208" t="s">
        <v>382</v>
      </c>
      <c r="AB208" t="s">
        <v>382</v>
      </c>
      <c r="AC208">
        <v>5</v>
      </c>
      <c r="AD208">
        <v>2</v>
      </c>
      <c r="AE208">
        <v>1</v>
      </c>
      <c r="AF208" t="s">
        <v>394</v>
      </c>
      <c r="AH208" t="s">
        <v>55</v>
      </c>
      <c r="AI208" t="s">
        <v>97</v>
      </c>
      <c r="AK208">
        <v>2634</v>
      </c>
      <c r="AL208">
        <v>1674</v>
      </c>
    </row>
    <row r="209" spans="1:38">
      <c r="A209" t="s">
        <v>382</v>
      </c>
      <c r="B209" t="s">
        <v>382</v>
      </c>
      <c r="C209" t="s">
        <v>382</v>
      </c>
      <c r="D209" t="s">
        <v>382</v>
      </c>
      <c r="E209" t="s">
        <v>382</v>
      </c>
      <c r="F209" t="s">
        <v>382</v>
      </c>
      <c r="G209" t="s">
        <v>382</v>
      </c>
      <c r="H209" t="s">
        <v>382</v>
      </c>
      <c r="I209" t="s">
        <v>382</v>
      </c>
      <c r="J209" t="s">
        <v>382</v>
      </c>
      <c r="K209" t="s">
        <v>382</v>
      </c>
      <c r="L209" t="s">
        <v>382</v>
      </c>
      <c r="M209" t="s">
        <v>382</v>
      </c>
      <c r="N209" t="s">
        <v>382</v>
      </c>
      <c r="O209" t="s">
        <v>382</v>
      </c>
      <c r="P209" t="s">
        <v>382</v>
      </c>
      <c r="Q209" t="s">
        <v>382</v>
      </c>
      <c r="R209" t="s">
        <v>382</v>
      </c>
      <c r="S209" t="s">
        <v>382</v>
      </c>
      <c r="T209" t="s">
        <v>382</v>
      </c>
      <c r="U209" t="s">
        <v>382</v>
      </c>
      <c r="V209" t="s">
        <v>382</v>
      </c>
      <c r="W209" t="s">
        <v>382</v>
      </c>
      <c r="X209" t="s">
        <v>382</v>
      </c>
      <c r="Y209" t="s">
        <v>382</v>
      </c>
      <c r="Z209" t="s">
        <v>382</v>
      </c>
      <c r="AA209" t="s">
        <v>382</v>
      </c>
      <c r="AB209" t="s">
        <v>382</v>
      </c>
      <c r="AC209">
        <v>5</v>
      </c>
      <c r="AD209">
        <v>3</v>
      </c>
      <c r="AE209">
        <v>1</v>
      </c>
      <c r="AF209" t="s">
        <v>396</v>
      </c>
      <c r="AH209" t="s">
        <v>64</v>
      </c>
      <c r="AI209" t="s">
        <v>97</v>
      </c>
      <c r="AK209">
        <v>1555</v>
      </c>
      <c r="AL209">
        <v>161</v>
      </c>
    </row>
    <row r="210" spans="1:38">
      <c r="A210" t="s">
        <v>382</v>
      </c>
      <c r="B210" t="s">
        <v>382</v>
      </c>
      <c r="C210" t="s">
        <v>382</v>
      </c>
      <c r="D210" t="s">
        <v>382</v>
      </c>
      <c r="E210" t="s">
        <v>382</v>
      </c>
      <c r="F210" t="s">
        <v>382</v>
      </c>
      <c r="G210" t="s">
        <v>382</v>
      </c>
      <c r="H210" t="s">
        <v>382</v>
      </c>
      <c r="I210" t="s">
        <v>382</v>
      </c>
      <c r="J210" t="s">
        <v>382</v>
      </c>
      <c r="K210" t="s">
        <v>382</v>
      </c>
      <c r="L210" t="s">
        <v>382</v>
      </c>
      <c r="M210" t="s">
        <v>382</v>
      </c>
      <c r="N210" t="s">
        <v>382</v>
      </c>
      <c r="O210" t="s">
        <v>382</v>
      </c>
      <c r="P210" t="s">
        <v>382</v>
      </c>
      <c r="Q210" t="s">
        <v>382</v>
      </c>
      <c r="R210" t="s">
        <v>382</v>
      </c>
      <c r="S210" t="s">
        <v>382</v>
      </c>
      <c r="T210" t="s">
        <v>382</v>
      </c>
      <c r="U210" t="s">
        <v>382</v>
      </c>
      <c r="V210" t="s">
        <v>382</v>
      </c>
      <c r="W210" t="s">
        <v>382</v>
      </c>
      <c r="X210" t="s">
        <v>382</v>
      </c>
      <c r="Y210" t="s">
        <v>382</v>
      </c>
      <c r="Z210" t="s">
        <v>382</v>
      </c>
      <c r="AA210" t="s">
        <v>382</v>
      </c>
      <c r="AB210" t="s">
        <v>382</v>
      </c>
      <c r="AC210">
        <v>5</v>
      </c>
      <c r="AD210">
        <v>4</v>
      </c>
      <c r="AE210">
        <v>1</v>
      </c>
      <c r="AF210" t="s">
        <v>383</v>
      </c>
      <c r="AH210" t="s">
        <v>22</v>
      </c>
      <c r="AI210" t="s">
        <v>97</v>
      </c>
      <c r="AK210">
        <v>886</v>
      </c>
      <c r="AL210">
        <v>2062</v>
      </c>
    </row>
    <row r="211" spans="1:38">
      <c r="A211" t="s">
        <v>382</v>
      </c>
      <c r="B211" t="s">
        <v>382</v>
      </c>
      <c r="C211" t="s">
        <v>382</v>
      </c>
      <c r="D211" t="s">
        <v>382</v>
      </c>
      <c r="E211" t="s">
        <v>382</v>
      </c>
      <c r="F211" t="s">
        <v>382</v>
      </c>
      <c r="G211" t="s">
        <v>382</v>
      </c>
      <c r="H211" t="s">
        <v>382</v>
      </c>
      <c r="I211" t="s">
        <v>382</v>
      </c>
      <c r="J211" t="s">
        <v>382</v>
      </c>
      <c r="K211" t="s">
        <v>382</v>
      </c>
      <c r="L211" t="s">
        <v>382</v>
      </c>
      <c r="M211" t="s">
        <v>382</v>
      </c>
      <c r="N211" t="s">
        <v>382</v>
      </c>
      <c r="O211" t="s">
        <v>382</v>
      </c>
      <c r="P211" t="s">
        <v>382</v>
      </c>
      <c r="Q211" t="s">
        <v>382</v>
      </c>
      <c r="R211" t="s">
        <v>382</v>
      </c>
      <c r="S211" t="s">
        <v>382</v>
      </c>
      <c r="T211" t="s">
        <v>382</v>
      </c>
      <c r="U211" t="s">
        <v>382</v>
      </c>
      <c r="V211" t="s">
        <v>382</v>
      </c>
      <c r="W211" t="s">
        <v>382</v>
      </c>
      <c r="X211" t="s">
        <v>382</v>
      </c>
      <c r="Y211" t="s">
        <v>382</v>
      </c>
      <c r="Z211" t="s">
        <v>382</v>
      </c>
      <c r="AA211" t="s">
        <v>382</v>
      </c>
      <c r="AB211" t="s">
        <v>382</v>
      </c>
      <c r="AC211">
        <v>5</v>
      </c>
      <c r="AD211">
        <v>5</v>
      </c>
      <c r="AE211">
        <v>1</v>
      </c>
      <c r="AF211" t="s">
        <v>394</v>
      </c>
      <c r="AH211" t="s">
        <v>55</v>
      </c>
      <c r="AI211" t="s">
        <v>97</v>
      </c>
      <c r="AK211">
        <v>3043</v>
      </c>
      <c r="AL211">
        <v>1639</v>
      </c>
    </row>
    <row r="212" spans="1:38">
      <c r="A212" t="s">
        <v>382</v>
      </c>
      <c r="B212" t="s">
        <v>382</v>
      </c>
      <c r="C212" t="s">
        <v>382</v>
      </c>
      <c r="D212" t="s">
        <v>382</v>
      </c>
      <c r="E212" t="s">
        <v>382</v>
      </c>
      <c r="F212" t="s">
        <v>382</v>
      </c>
      <c r="G212" t="s">
        <v>382</v>
      </c>
      <c r="H212" t="s">
        <v>382</v>
      </c>
      <c r="I212" t="s">
        <v>382</v>
      </c>
      <c r="J212" t="s">
        <v>382</v>
      </c>
      <c r="K212" t="s">
        <v>382</v>
      </c>
      <c r="L212" t="s">
        <v>382</v>
      </c>
      <c r="M212" t="s">
        <v>382</v>
      </c>
      <c r="N212" t="s">
        <v>382</v>
      </c>
      <c r="O212" t="s">
        <v>382</v>
      </c>
      <c r="P212" t="s">
        <v>382</v>
      </c>
      <c r="Q212" t="s">
        <v>382</v>
      </c>
      <c r="R212" t="s">
        <v>382</v>
      </c>
      <c r="S212" t="s">
        <v>382</v>
      </c>
      <c r="T212" t="s">
        <v>382</v>
      </c>
      <c r="U212" t="s">
        <v>382</v>
      </c>
      <c r="V212" t="s">
        <v>382</v>
      </c>
      <c r="W212" t="s">
        <v>382</v>
      </c>
      <c r="X212" t="s">
        <v>382</v>
      </c>
      <c r="Y212" t="s">
        <v>382</v>
      </c>
      <c r="Z212" t="s">
        <v>382</v>
      </c>
      <c r="AA212" t="s">
        <v>382</v>
      </c>
      <c r="AB212" t="s">
        <v>382</v>
      </c>
      <c r="AC212">
        <v>5</v>
      </c>
      <c r="AD212">
        <v>1</v>
      </c>
      <c r="AE212">
        <v>1</v>
      </c>
      <c r="AF212" t="s">
        <v>383</v>
      </c>
      <c r="AH212" t="s">
        <v>22</v>
      </c>
      <c r="AI212" t="s">
        <v>97</v>
      </c>
      <c r="AK212">
        <v>1827</v>
      </c>
      <c r="AL212">
        <v>2336</v>
      </c>
    </row>
    <row r="213" spans="1:38">
      <c r="A213" t="s">
        <v>382</v>
      </c>
      <c r="B213" t="s">
        <v>382</v>
      </c>
      <c r="C213" t="s">
        <v>382</v>
      </c>
      <c r="D213" t="s">
        <v>382</v>
      </c>
      <c r="E213" t="s">
        <v>382</v>
      </c>
      <c r="F213" t="s">
        <v>382</v>
      </c>
      <c r="G213" t="s">
        <v>382</v>
      </c>
      <c r="H213" t="s">
        <v>382</v>
      </c>
      <c r="I213" t="s">
        <v>382</v>
      </c>
      <c r="J213" t="s">
        <v>382</v>
      </c>
      <c r="K213" t="s">
        <v>382</v>
      </c>
      <c r="L213" t="s">
        <v>382</v>
      </c>
      <c r="M213" t="s">
        <v>382</v>
      </c>
      <c r="N213" t="s">
        <v>382</v>
      </c>
      <c r="O213" t="s">
        <v>382</v>
      </c>
      <c r="P213" t="s">
        <v>382</v>
      </c>
      <c r="Q213" t="s">
        <v>382</v>
      </c>
      <c r="R213" t="s">
        <v>382</v>
      </c>
      <c r="S213" t="s">
        <v>382</v>
      </c>
      <c r="T213" t="s">
        <v>382</v>
      </c>
      <c r="U213" t="s">
        <v>382</v>
      </c>
      <c r="V213" t="s">
        <v>382</v>
      </c>
      <c r="W213" t="s">
        <v>382</v>
      </c>
      <c r="X213" t="s">
        <v>382</v>
      </c>
      <c r="Y213" t="s">
        <v>382</v>
      </c>
      <c r="Z213" t="s">
        <v>382</v>
      </c>
      <c r="AA213" t="s">
        <v>382</v>
      </c>
      <c r="AB213" t="s">
        <v>382</v>
      </c>
      <c r="AC213">
        <v>5</v>
      </c>
      <c r="AD213">
        <v>2</v>
      </c>
      <c r="AE213">
        <v>1</v>
      </c>
      <c r="AF213" t="s">
        <v>383</v>
      </c>
      <c r="AH213" t="s">
        <v>22</v>
      </c>
      <c r="AI213" t="s">
        <v>97</v>
      </c>
      <c r="AK213">
        <v>803</v>
      </c>
      <c r="AL213">
        <v>2284</v>
      </c>
    </row>
    <row r="214" spans="1:38">
      <c r="A214" t="s">
        <v>382</v>
      </c>
      <c r="B214" t="s">
        <v>382</v>
      </c>
      <c r="C214" t="s">
        <v>382</v>
      </c>
      <c r="D214" t="s">
        <v>382</v>
      </c>
      <c r="E214" t="s">
        <v>382</v>
      </c>
      <c r="F214" t="s">
        <v>382</v>
      </c>
      <c r="G214" t="s">
        <v>382</v>
      </c>
      <c r="H214" t="s">
        <v>382</v>
      </c>
      <c r="I214" t="s">
        <v>382</v>
      </c>
      <c r="J214" t="s">
        <v>382</v>
      </c>
      <c r="K214" t="s">
        <v>382</v>
      </c>
      <c r="L214" t="s">
        <v>382</v>
      </c>
      <c r="M214" t="s">
        <v>382</v>
      </c>
      <c r="N214" t="s">
        <v>382</v>
      </c>
      <c r="O214" t="s">
        <v>382</v>
      </c>
      <c r="P214" t="s">
        <v>382</v>
      </c>
      <c r="Q214" t="s">
        <v>382</v>
      </c>
      <c r="R214" t="s">
        <v>382</v>
      </c>
      <c r="S214" t="s">
        <v>382</v>
      </c>
      <c r="T214" t="s">
        <v>382</v>
      </c>
      <c r="U214" t="s">
        <v>382</v>
      </c>
      <c r="V214" t="s">
        <v>382</v>
      </c>
      <c r="W214" t="s">
        <v>382</v>
      </c>
      <c r="X214" t="s">
        <v>382</v>
      </c>
      <c r="Y214" t="s">
        <v>382</v>
      </c>
      <c r="Z214" t="s">
        <v>382</v>
      </c>
      <c r="AA214" t="s">
        <v>382</v>
      </c>
      <c r="AB214" t="s">
        <v>382</v>
      </c>
      <c r="AC214">
        <v>5</v>
      </c>
      <c r="AD214">
        <v>3</v>
      </c>
      <c r="AF214" t="s">
        <v>385</v>
      </c>
      <c r="AH214" t="s">
        <v>27</v>
      </c>
      <c r="AI214" t="s">
        <v>109</v>
      </c>
      <c r="AK214">
        <v>2036</v>
      </c>
      <c r="AL214">
        <v>818</v>
      </c>
    </row>
    <row r="215" spans="1:38">
      <c r="A215" t="s">
        <v>382</v>
      </c>
      <c r="B215" t="s">
        <v>382</v>
      </c>
      <c r="C215" t="s">
        <v>382</v>
      </c>
      <c r="D215" t="s">
        <v>382</v>
      </c>
      <c r="E215" t="s">
        <v>382</v>
      </c>
      <c r="F215" t="s">
        <v>382</v>
      </c>
      <c r="G215" t="s">
        <v>382</v>
      </c>
      <c r="H215" t="s">
        <v>382</v>
      </c>
      <c r="I215" t="s">
        <v>382</v>
      </c>
      <c r="J215" t="s">
        <v>382</v>
      </c>
      <c r="K215" t="s">
        <v>382</v>
      </c>
      <c r="L215" t="s">
        <v>382</v>
      </c>
      <c r="M215" t="s">
        <v>382</v>
      </c>
      <c r="N215" t="s">
        <v>382</v>
      </c>
      <c r="O215" t="s">
        <v>382</v>
      </c>
      <c r="P215" t="s">
        <v>382</v>
      </c>
      <c r="Q215" t="s">
        <v>382</v>
      </c>
      <c r="R215" t="s">
        <v>382</v>
      </c>
      <c r="S215" t="s">
        <v>382</v>
      </c>
      <c r="T215" t="s">
        <v>382</v>
      </c>
      <c r="U215" t="s">
        <v>382</v>
      </c>
      <c r="V215" t="s">
        <v>382</v>
      </c>
      <c r="W215" t="s">
        <v>382</v>
      </c>
      <c r="X215" t="s">
        <v>382</v>
      </c>
      <c r="Y215" t="s">
        <v>382</v>
      </c>
      <c r="Z215" t="s">
        <v>382</v>
      </c>
      <c r="AA215" t="s">
        <v>382</v>
      </c>
      <c r="AB215" t="s">
        <v>382</v>
      </c>
      <c r="AC215">
        <v>5</v>
      </c>
      <c r="AD215">
        <v>4</v>
      </c>
      <c r="AF215" t="s">
        <v>385</v>
      </c>
      <c r="AH215" t="s">
        <v>27</v>
      </c>
      <c r="AI215" t="s">
        <v>109</v>
      </c>
      <c r="AK215">
        <v>2004</v>
      </c>
      <c r="AL215">
        <v>779</v>
      </c>
    </row>
    <row r="216" spans="1:38">
      <c r="A216" t="s">
        <v>382</v>
      </c>
      <c r="B216" t="s">
        <v>382</v>
      </c>
      <c r="C216" t="s">
        <v>382</v>
      </c>
      <c r="D216" t="s">
        <v>382</v>
      </c>
      <c r="E216" t="s">
        <v>382</v>
      </c>
      <c r="F216" t="s">
        <v>382</v>
      </c>
      <c r="G216" t="s">
        <v>382</v>
      </c>
      <c r="H216" t="s">
        <v>382</v>
      </c>
      <c r="I216" t="s">
        <v>382</v>
      </c>
      <c r="J216" t="s">
        <v>382</v>
      </c>
      <c r="K216" t="s">
        <v>382</v>
      </c>
      <c r="L216" t="s">
        <v>382</v>
      </c>
      <c r="M216" t="s">
        <v>382</v>
      </c>
      <c r="N216" t="s">
        <v>382</v>
      </c>
      <c r="O216" t="s">
        <v>382</v>
      </c>
      <c r="P216" t="s">
        <v>382</v>
      </c>
      <c r="Q216" t="s">
        <v>382</v>
      </c>
      <c r="R216" t="s">
        <v>382</v>
      </c>
      <c r="S216" t="s">
        <v>382</v>
      </c>
      <c r="T216" t="s">
        <v>382</v>
      </c>
      <c r="U216" t="s">
        <v>382</v>
      </c>
      <c r="V216" t="s">
        <v>382</v>
      </c>
      <c r="W216" t="s">
        <v>382</v>
      </c>
      <c r="X216" t="s">
        <v>382</v>
      </c>
      <c r="Y216" t="s">
        <v>382</v>
      </c>
      <c r="Z216" t="s">
        <v>382</v>
      </c>
      <c r="AA216" t="s">
        <v>382</v>
      </c>
      <c r="AB216" t="s">
        <v>382</v>
      </c>
      <c r="AC216">
        <v>5</v>
      </c>
      <c r="AD216">
        <v>5</v>
      </c>
      <c r="AF216" t="s">
        <v>386</v>
      </c>
      <c r="AH216" t="s">
        <v>29</v>
      </c>
      <c r="AI216" t="s">
        <v>103</v>
      </c>
      <c r="AK216">
        <v>2160</v>
      </c>
      <c r="AL216">
        <v>1305</v>
      </c>
    </row>
    <row r="217" spans="1:38">
      <c r="A217" t="s">
        <v>382</v>
      </c>
      <c r="B217" t="s">
        <v>382</v>
      </c>
      <c r="C217" t="s">
        <v>382</v>
      </c>
      <c r="D217" t="s">
        <v>382</v>
      </c>
      <c r="E217" t="s">
        <v>382</v>
      </c>
      <c r="F217" t="s">
        <v>382</v>
      </c>
      <c r="G217" t="s">
        <v>382</v>
      </c>
      <c r="H217" t="s">
        <v>382</v>
      </c>
      <c r="I217" t="s">
        <v>382</v>
      </c>
      <c r="J217" t="s">
        <v>382</v>
      </c>
      <c r="K217" t="s">
        <v>382</v>
      </c>
      <c r="L217" t="s">
        <v>382</v>
      </c>
      <c r="M217" t="s">
        <v>382</v>
      </c>
      <c r="N217" t="s">
        <v>382</v>
      </c>
      <c r="O217" t="s">
        <v>382</v>
      </c>
      <c r="P217" t="s">
        <v>382</v>
      </c>
      <c r="Q217" t="s">
        <v>382</v>
      </c>
      <c r="R217" t="s">
        <v>382</v>
      </c>
      <c r="S217" t="s">
        <v>382</v>
      </c>
      <c r="T217" t="s">
        <v>382</v>
      </c>
      <c r="U217" t="s">
        <v>382</v>
      </c>
      <c r="V217" t="s">
        <v>382</v>
      </c>
      <c r="W217" t="s">
        <v>382</v>
      </c>
      <c r="X217" t="s">
        <v>382</v>
      </c>
      <c r="Y217" t="s">
        <v>382</v>
      </c>
      <c r="Z217" t="s">
        <v>382</v>
      </c>
      <c r="AA217" t="s">
        <v>382</v>
      </c>
      <c r="AB217" t="s">
        <v>382</v>
      </c>
      <c r="AC217">
        <v>5</v>
      </c>
      <c r="AD217">
        <v>1</v>
      </c>
      <c r="AF217" t="s">
        <v>386</v>
      </c>
      <c r="AH217" t="s">
        <v>29</v>
      </c>
      <c r="AI217" t="s">
        <v>103</v>
      </c>
      <c r="AK217">
        <v>3078</v>
      </c>
      <c r="AL217">
        <v>1778</v>
      </c>
    </row>
    <row r="218" spans="1:38">
      <c r="A218" t="s">
        <v>382</v>
      </c>
      <c r="B218" t="s">
        <v>382</v>
      </c>
      <c r="C218" t="s">
        <v>382</v>
      </c>
      <c r="D218" t="s">
        <v>382</v>
      </c>
      <c r="E218" t="s">
        <v>382</v>
      </c>
      <c r="F218" t="s">
        <v>382</v>
      </c>
      <c r="G218" t="s">
        <v>382</v>
      </c>
      <c r="H218" t="s">
        <v>382</v>
      </c>
      <c r="I218" t="s">
        <v>382</v>
      </c>
      <c r="J218" t="s">
        <v>382</v>
      </c>
      <c r="K218" t="s">
        <v>382</v>
      </c>
      <c r="L218" t="s">
        <v>382</v>
      </c>
      <c r="M218" t="s">
        <v>382</v>
      </c>
      <c r="N218" t="s">
        <v>382</v>
      </c>
      <c r="O218" t="s">
        <v>382</v>
      </c>
      <c r="P218" t="s">
        <v>382</v>
      </c>
      <c r="Q218" t="s">
        <v>382</v>
      </c>
      <c r="R218" t="s">
        <v>382</v>
      </c>
      <c r="S218" t="s">
        <v>382</v>
      </c>
      <c r="T218" t="s">
        <v>382</v>
      </c>
      <c r="U218" t="s">
        <v>382</v>
      </c>
      <c r="V218" t="s">
        <v>382</v>
      </c>
      <c r="W218" t="s">
        <v>382</v>
      </c>
      <c r="X218" t="s">
        <v>382</v>
      </c>
      <c r="Y218" t="s">
        <v>382</v>
      </c>
      <c r="Z218" t="s">
        <v>382</v>
      </c>
      <c r="AA218" t="s">
        <v>382</v>
      </c>
      <c r="AB218" t="s">
        <v>382</v>
      </c>
      <c r="AC218">
        <v>5</v>
      </c>
      <c r="AD218">
        <v>2</v>
      </c>
      <c r="AF218" t="s">
        <v>386</v>
      </c>
      <c r="AH218" t="s">
        <v>29</v>
      </c>
      <c r="AI218" t="s">
        <v>103</v>
      </c>
      <c r="AK218">
        <v>2224</v>
      </c>
      <c r="AL218">
        <v>2545</v>
      </c>
    </row>
    <row r="219" spans="1:38">
      <c r="A219" t="s">
        <v>382</v>
      </c>
      <c r="B219" t="s">
        <v>382</v>
      </c>
      <c r="C219" t="s">
        <v>382</v>
      </c>
      <c r="D219" t="s">
        <v>382</v>
      </c>
      <c r="E219" t="s">
        <v>382</v>
      </c>
      <c r="F219" t="s">
        <v>382</v>
      </c>
      <c r="G219" t="s">
        <v>382</v>
      </c>
      <c r="H219" t="s">
        <v>382</v>
      </c>
      <c r="I219" t="s">
        <v>382</v>
      </c>
      <c r="J219" t="s">
        <v>382</v>
      </c>
      <c r="K219" t="s">
        <v>382</v>
      </c>
      <c r="L219" t="s">
        <v>382</v>
      </c>
      <c r="M219" t="s">
        <v>382</v>
      </c>
      <c r="N219" t="s">
        <v>382</v>
      </c>
      <c r="O219" t="s">
        <v>382</v>
      </c>
      <c r="P219" t="s">
        <v>382</v>
      </c>
      <c r="Q219" t="s">
        <v>382</v>
      </c>
      <c r="R219" t="s">
        <v>382</v>
      </c>
      <c r="S219" t="s">
        <v>382</v>
      </c>
      <c r="T219" t="s">
        <v>382</v>
      </c>
      <c r="U219" t="s">
        <v>382</v>
      </c>
      <c r="V219" t="s">
        <v>382</v>
      </c>
      <c r="W219" t="s">
        <v>382</v>
      </c>
      <c r="X219" t="s">
        <v>382</v>
      </c>
      <c r="Y219" t="s">
        <v>382</v>
      </c>
      <c r="Z219" t="s">
        <v>382</v>
      </c>
      <c r="AA219" t="s">
        <v>382</v>
      </c>
      <c r="AB219" t="s">
        <v>382</v>
      </c>
      <c r="AC219">
        <v>5</v>
      </c>
      <c r="AD219">
        <v>3</v>
      </c>
      <c r="AF219" t="s">
        <v>385</v>
      </c>
      <c r="AH219" t="s">
        <v>27</v>
      </c>
      <c r="AI219" t="s">
        <v>109</v>
      </c>
      <c r="AK219">
        <v>1925</v>
      </c>
      <c r="AL219">
        <v>2461</v>
      </c>
    </row>
    <row r="220" spans="1:38">
      <c r="A220" t="s">
        <v>382</v>
      </c>
      <c r="B220" t="s">
        <v>382</v>
      </c>
      <c r="C220" t="s">
        <v>382</v>
      </c>
      <c r="D220" t="s">
        <v>382</v>
      </c>
      <c r="E220" t="s">
        <v>382</v>
      </c>
      <c r="F220" t="s">
        <v>382</v>
      </c>
      <c r="G220" t="s">
        <v>382</v>
      </c>
      <c r="H220" t="s">
        <v>382</v>
      </c>
      <c r="I220" t="s">
        <v>382</v>
      </c>
      <c r="J220" t="s">
        <v>382</v>
      </c>
      <c r="K220" t="s">
        <v>382</v>
      </c>
      <c r="L220" t="s">
        <v>382</v>
      </c>
      <c r="M220" t="s">
        <v>382</v>
      </c>
      <c r="N220" t="s">
        <v>382</v>
      </c>
      <c r="O220" t="s">
        <v>382</v>
      </c>
      <c r="P220" t="s">
        <v>382</v>
      </c>
      <c r="Q220" t="s">
        <v>382</v>
      </c>
      <c r="R220" t="s">
        <v>382</v>
      </c>
      <c r="S220" t="s">
        <v>382</v>
      </c>
      <c r="T220" t="s">
        <v>382</v>
      </c>
      <c r="U220" t="s">
        <v>382</v>
      </c>
      <c r="V220" t="s">
        <v>382</v>
      </c>
      <c r="W220" t="s">
        <v>382</v>
      </c>
      <c r="X220" t="s">
        <v>382</v>
      </c>
      <c r="Y220" t="s">
        <v>382</v>
      </c>
      <c r="Z220" t="s">
        <v>382</v>
      </c>
      <c r="AA220" t="s">
        <v>382</v>
      </c>
      <c r="AB220" t="s">
        <v>382</v>
      </c>
      <c r="AC220">
        <v>5</v>
      </c>
      <c r="AD220">
        <v>4</v>
      </c>
      <c r="AE220">
        <v>1</v>
      </c>
      <c r="AF220" t="s">
        <v>400</v>
      </c>
      <c r="AH220" t="s">
        <v>89</v>
      </c>
      <c r="AI220" t="s">
        <v>97</v>
      </c>
      <c r="AK220">
        <v>1111</v>
      </c>
      <c r="AL220">
        <v>800</v>
      </c>
    </row>
    <row r="221" spans="1:38">
      <c r="A221" t="s">
        <v>382</v>
      </c>
      <c r="B221" t="s">
        <v>382</v>
      </c>
      <c r="C221" t="s">
        <v>382</v>
      </c>
      <c r="D221" t="s">
        <v>382</v>
      </c>
      <c r="E221" t="s">
        <v>382</v>
      </c>
      <c r="F221" t="s">
        <v>382</v>
      </c>
      <c r="G221" t="s">
        <v>382</v>
      </c>
      <c r="H221" t="s">
        <v>382</v>
      </c>
      <c r="I221" t="s">
        <v>382</v>
      </c>
      <c r="J221" t="s">
        <v>382</v>
      </c>
      <c r="K221" t="s">
        <v>382</v>
      </c>
      <c r="L221" t="s">
        <v>382</v>
      </c>
      <c r="M221" t="s">
        <v>382</v>
      </c>
      <c r="N221" t="s">
        <v>382</v>
      </c>
      <c r="O221" t="s">
        <v>382</v>
      </c>
      <c r="P221" t="s">
        <v>382</v>
      </c>
      <c r="Q221" t="s">
        <v>382</v>
      </c>
      <c r="R221" t="s">
        <v>382</v>
      </c>
      <c r="S221" t="s">
        <v>382</v>
      </c>
      <c r="T221" t="s">
        <v>382</v>
      </c>
      <c r="U221" t="s">
        <v>382</v>
      </c>
      <c r="V221" t="s">
        <v>382</v>
      </c>
      <c r="W221" t="s">
        <v>382</v>
      </c>
      <c r="X221" t="s">
        <v>382</v>
      </c>
      <c r="Y221" t="s">
        <v>382</v>
      </c>
      <c r="Z221" t="s">
        <v>382</v>
      </c>
      <c r="AA221" t="s">
        <v>382</v>
      </c>
      <c r="AB221" t="s">
        <v>382</v>
      </c>
      <c r="AC221">
        <v>5</v>
      </c>
      <c r="AD221">
        <v>5</v>
      </c>
      <c r="AF221" t="s">
        <v>384</v>
      </c>
      <c r="AH221" t="s">
        <v>25</v>
      </c>
      <c r="AI221" t="s">
        <v>106</v>
      </c>
      <c r="AK221">
        <v>2570</v>
      </c>
      <c r="AL221">
        <v>213</v>
      </c>
    </row>
    <row r="222" spans="1:38">
      <c r="A222" t="s">
        <v>382</v>
      </c>
      <c r="B222" t="s">
        <v>382</v>
      </c>
      <c r="C222" t="s">
        <v>382</v>
      </c>
      <c r="D222" t="s">
        <v>382</v>
      </c>
      <c r="E222" t="s">
        <v>382</v>
      </c>
      <c r="F222" t="s">
        <v>382</v>
      </c>
      <c r="G222" t="s">
        <v>382</v>
      </c>
      <c r="H222" t="s">
        <v>382</v>
      </c>
      <c r="I222" t="s">
        <v>382</v>
      </c>
      <c r="J222" t="s">
        <v>382</v>
      </c>
      <c r="K222" t="s">
        <v>382</v>
      </c>
      <c r="L222" t="s">
        <v>382</v>
      </c>
      <c r="M222" t="s">
        <v>382</v>
      </c>
      <c r="N222" t="s">
        <v>382</v>
      </c>
      <c r="O222" t="s">
        <v>382</v>
      </c>
      <c r="P222" t="s">
        <v>382</v>
      </c>
      <c r="Q222" t="s">
        <v>382</v>
      </c>
      <c r="R222" t="s">
        <v>382</v>
      </c>
      <c r="S222" t="s">
        <v>382</v>
      </c>
      <c r="T222" t="s">
        <v>382</v>
      </c>
      <c r="U222" t="s">
        <v>382</v>
      </c>
      <c r="V222" t="s">
        <v>382</v>
      </c>
      <c r="W222" t="s">
        <v>382</v>
      </c>
      <c r="X222" t="s">
        <v>382</v>
      </c>
      <c r="Y222" t="s">
        <v>382</v>
      </c>
      <c r="Z222" t="s">
        <v>382</v>
      </c>
      <c r="AA222" t="s">
        <v>382</v>
      </c>
      <c r="AB222" t="s">
        <v>382</v>
      </c>
      <c r="AC222">
        <v>5</v>
      </c>
      <c r="AD222">
        <v>1</v>
      </c>
      <c r="AF222" t="s">
        <v>385</v>
      </c>
      <c r="AH222" t="s">
        <v>27</v>
      </c>
      <c r="AI222" t="s">
        <v>109</v>
      </c>
      <c r="AK222">
        <v>1936</v>
      </c>
      <c r="AL222">
        <v>2013</v>
      </c>
    </row>
    <row r="223" spans="1:38">
      <c r="A223" t="s">
        <v>382</v>
      </c>
      <c r="B223" t="s">
        <v>382</v>
      </c>
      <c r="C223" t="s">
        <v>382</v>
      </c>
      <c r="D223" t="s">
        <v>382</v>
      </c>
      <c r="E223" t="s">
        <v>382</v>
      </c>
      <c r="F223" t="s">
        <v>382</v>
      </c>
      <c r="G223" t="s">
        <v>382</v>
      </c>
      <c r="H223" t="s">
        <v>382</v>
      </c>
      <c r="I223" t="s">
        <v>382</v>
      </c>
      <c r="J223" t="s">
        <v>382</v>
      </c>
      <c r="K223" t="s">
        <v>382</v>
      </c>
      <c r="L223" t="s">
        <v>382</v>
      </c>
      <c r="M223" t="s">
        <v>382</v>
      </c>
      <c r="N223" t="s">
        <v>382</v>
      </c>
      <c r="O223" t="s">
        <v>382</v>
      </c>
      <c r="P223" t="s">
        <v>382</v>
      </c>
      <c r="Q223" t="s">
        <v>382</v>
      </c>
      <c r="R223" t="s">
        <v>382</v>
      </c>
      <c r="S223" t="s">
        <v>382</v>
      </c>
      <c r="T223" t="s">
        <v>382</v>
      </c>
      <c r="U223" t="s">
        <v>382</v>
      </c>
      <c r="V223" t="s">
        <v>382</v>
      </c>
      <c r="W223" t="s">
        <v>382</v>
      </c>
      <c r="X223" t="s">
        <v>382</v>
      </c>
      <c r="Y223" t="s">
        <v>382</v>
      </c>
      <c r="Z223" t="s">
        <v>382</v>
      </c>
      <c r="AA223" t="s">
        <v>382</v>
      </c>
      <c r="AB223" t="s">
        <v>382</v>
      </c>
      <c r="AC223">
        <v>5</v>
      </c>
      <c r="AD223">
        <v>2</v>
      </c>
      <c r="AE223">
        <v>1</v>
      </c>
      <c r="AF223" t="s">
        <v>400</v>
      </c>
      <c r="AH223" t="s">
        <v>89</v>
      </c>
      <c r="AI223" t="s">
        <v>97</v>
      </c>
      <c r="AK223">
        <v>2768</v>
      </c>
      <c r="AL223">
        <v>1459</v>
      </c>
    </row>
    <row r="224" spans="1:38">
      <c r="A224" t="s">
        <v>382</v>
      </c>
      <c r="B224" t="s">
        <v>382</v>
      </c>
      <c r="C224" t="s">
        <v>382</v>
      </c>
      <c r="D224" t="s">
        <v>382</v>
      </c>
      <c r="E224" t="s">
        <v>382</v>
      </c>
      <c r="F224" t="s">
        <v>382</v>
      </c>
      <c r="G224" t="s">
        <v>382</v>
      </c>
      <c r="H224" t="s">
        <v>382</v>
      </c>
      <c r="I224" t="s">
        <v>382</v>
      </c>
      <c r="J224" t="s">
        <v>382</v>
      </c>
      <c r="K224" t="s">
        <v>382</v>
      </c>
      <c r="L224" t="s">
        <v>382</v>
      </c>
      <c r="M224" t="s">
        <v>382</v>
      </c>
      <c r="N224" t="s">
        <v>382</v>
      </c>
      <c r="O224" t="s">
        <v>382</v>
      </c>
      <c r="P224" t="s">
        <v>382</v>
      </c>
      <c r="Q224" t="s">
        <v>382</v>
      </c>
      <c r="R224" t="s">
        <v>382</v>
      </c>
      <c r="S224" t="s">
        <v>382</v>
      </c>
      <c r="T224" t="s">
        <v>382</v>
      </c>
      <c r="U224" t="s">
        <v>382</v>
      </c>
      <c r="V224" t="s">
        <v>382</v>
      </c>
      <c r="W224" t="s">
        <v>382</v>
      </c>
      <c r="X224" t="s">
        <v>382</v>
      </c>
      <c r="Y224" t="s">
        <v>382</v>
      </c>
      <c r="Z224" t="s">
        <v>382</v>
      </c>
      <c r="AA224" t="s">
        <v>382</v>
      </c>
      <c r="AB224" t="s">
        <v>382</v>
      </c>
      <c r="AC224">
        <v>5</v>
      </c>
      <c r="AD224">
        <v>3</v>
      </c>
      <c r="AE224">
        <v>1</v>
      </c>
      <c r="AF224" t="s">
        <v>400</v>
      </c>
      <c r="AH224" t="s">
        <v>89</v>
      </c>
      <c r="AI224" t="s">
        <v>97</v>
      </c>
      <c r="AK224">
        <v>2391</v>
      </c>
      <c r="AL224">
        <v>1454</v>
      </c>
    </row>
    <row r="225" spans="1:38">
      <c r="A225" t="s">
        <v>382</v>
      </c>
      <c r="B225" t="s">
        <v>382</v>
      </c>
      <c r="C225" t="s">
        <v>382</v>
      </c>
      <c r="D225" t="s">
        <v>382</v>
      </c>
      <c r="E225" t="s">
        <v>382</v>
      </c>
      <c r="F225" t="s">
        <v>382</v>
      </c>
      <c r="G225" t="s">
        <v>382</v>
      </c>
      <c r="H225" t="s">
        <v>382</v>
      </c>
      <c r="I225" t="s">
        <v>382</v>
      </c>
      <c r="J225" t="s">
        <v>382</v>
      </c>
      <c r="K225" t="s">
        <v>382</v>
      </c>
      <c r="L225" t="s">
        <v>382</v>
      </c>
      <c r="M225" t="s">
        <v>382</v>
      </c>
      <c r="N225" t="s">
        <v>382</v>
      </c>
      <c r="O225" t="s">
        <v>382</v>
      </c>
      <c r="P225" t="s">
        <v>382</v>
      </c>
      <c r="Q225" t="s">
        <v>382</v>
      </c>
      <c r="R225" t="s">
        <v>382</v>
      </c>
      <c r="S225" t="s">
        <v>382</v>
      </c>
      <c r="T225" t="s">
        <v>382</v>
      </c>
      <c r="U225" t="s">
        <v>382</v>
      </c>
      <c r="V225" t="s">
        <v>382</v>
      </c>
      <c r="W225" t="s">
        <v>382</v>
      </c>
      <c r="X225" t="s">
        <v>382</v>
      </c>
      <c r="Y225" t="s">
        <v>382</v>
      </c>
      <c r="Z225" t="s">
        <v>382</v>
      </c>
      <c r="AA225" t="s">
        <v>382</v>
      </c>
      <c r="AB225" t="s">
        <v>382</v>
      </c>
      <c r="AC225">
        <v>5</v>
      </c>
      <c r="AD225">
        <v>4</v>
      </c>
      <c r="AF225" t="s">
        <v>384</v>
      </c>
      <c r="AH225" t="s">
        <v>25</v>
      </c>
      <c r="AI225" t="s">
        <v>106</v>
      </c>
      <c r="AK225">
        <v>2097</v>
      </c>
      <c r="AL225">
        <v>2209</v>
      </c>
    </row>
    <row r="226" spans="1:38">
      <c r="A226" t="s">
        <v>382</v>
      </c>
      <c r="B226" t="s">
        <v>382</v>
      </c>
      <c r="C226" t="s">
        <v>382</v>
      </c>
      <c r="D226" t="s">
        <v>382</v>
      </c>
      <c r="E226" t="s">
        <v>382</v>
      </c>
      <c r="F226" t="s">
        <v>382</v>
      </c>
      <c r="G226" t="s">
        <v>382</v>
      </c>
      <c r="H226" t="s">
        <v>382</v>
      </c>
      <c r="I226" t="s">
        <v>382</v>
      </c>
      <c r="J226" t="s">
        <v>382</v>
      </c>
      <c r="K226" t="s">
        <v>382</v>
      </c>
      <c r="L226" t="s">
        <v>382</v>
      </c>
      <c r="M226" t="s">
        <v>382</v>
      </c>
      <c r="N226" t="s">
        <v>382</v>
      </c>
      <c r="O226" t="s">
        <v>382</v>
      </c>
      <c r="P226" t="s">
        <v>382</v>
      </c>
      <c r="Q226" t="s">
        <v>382</v>
      </c>
      <c r="R226" t="s">
        <v>382</v>
      </c>
      <c r="S226" t="s">
        <v>382</v>
      </c>
      <c r="T226" t="s">
        <v>382</v>
      </c>
      <c r="U226" t="s">
        <v>382</v>
      </c>
      <c r="V226" t="s">
        <v>382</v>
      </c>
      <c r="W226" t="s">
        <v>382</v>
      </c>
      <c r="X226" t="s">
        <v>382</v>
      </c>
      <c r="Y226" t="s">
        <v>382</v>
      </c>
      <c r="Z226" t="s">
        <v>382</v>
      </c>
      <c r="AA226" t="s">
        <v>382</v>
      </c>
      <c r="AB226" t="s">
        <v>382</v>
      </c>
      <c r="AC226">
        <v>5</v>
      </c>
      <c r="AD226">
        <v>5</v>
      </c>
      <c r="AF226" t="s">
        <v>385</v>
      </c>
      <c r="AH226" t="s">
        <v>27</v>
      </c>
      <c r="AI226" t="s">
        <v>109</v>
      </c>
      <c r="AK226">
        <v>1007</v>
      </c>
      <c r="AL226">
        <v>1154</v>
      </c>
    </row>
    <row r="227" spans="1:38">
      <c r="A227" t="s">
        <v>382</v>
      </c>
      <c r="B227" t="s">
        <v>382</v>
      </c>
      <c r="C227" t="s">
        <v>382</v>
      </c>
      <c r="D227" t="s">
        <v>382</v>
      </c>
      <c r="E227" t="s">
        <v>382</v>
      </c>
      <c r="F227" t="s">
        <v>382</v>
      </c>
      <c r="G227" t="s">
        <v>382</v>
      </c>
      <c r="H227" t="s">
        <v>382</v>
      </c>
      <c r="I227" t="s">
        <v>382</v>
      </c>
      <c r="J227" t="s">
        <v>382</v>
      </c>
      <c r="K227" t="s">
        <v>382</v>
      </c>
      <c r="L227" t="s">
        <v>382</v>
      </c>
      <c r="M227" t="s">
        <v>382</v>
      </c>
      <c r="N227" t="s">
        <v>382</v>
      </c>
      <c r="O227" t="s">
        <v>382</v>
      </c>
      <c r="P227" t="s">
        <v>382</v>
      </c>
      <c r="Q227" t="s">
        <v>382</v>
      </c>
      <c r="R227" t="s">
        <v>382</v>
      </c>
      <c r="S227" t="s">
        <v>382</v>
      </c>
      <c r="T227" t="s">
        <v>382</v>
      </c>
      <c r="U227" t="s">
        <v>382</v>
      </c>
      <c r="V227" t="s">
        <v>382</v>
      </c>
      <c r="W227" t="s">
        <v>382</v>
      </c>
      <c r="X227" t="s">
        <v>382</v>
      </c>
      <c r="Y227" t="s">
        <v>382</v>
      </c>
      <c r="Z227" t="s">
        <v>382</v>
      </c>
      <c r="AA227" t="s">
        <v>382</v>
      </c>
      <c r="AB227" t="s">
        <v>382</v>
      </c>
      <c r="AC227">
        <v>5</v>
      </c>
      <c r="AD227">
        <v>1</v>
      </c>
      <c r="AF227" t="s">
        <v>386</v>
      </c>
      <c r="AH227" t="s">
        <v>29</v>
      </c>
      <c r="AI227" t="s">
        <v>103</v>
      </c>
      <c r="AK227">
        <v>2801</v>
      </c>
      <c r="AL227">
        <v>2249</v>
      </c>
    </row>
    <row r="228" spans="1:38">
      <c r="A228" t="s">
        <v>382</v>
      </c>
      <c r="B228" t="s">
        <v>382</v>
      </c>
      <c r="C228" t="s">
        <v>382</v>
      </c>
      <c r="D228" t="s">
        <v>382</v>
      </c>
      <c r="E228" t="s">
        <v>382</v>
      </c>
      <c r="F228" t="s">
        <v>382</v>
      </c>
      <c r="G228" t="s">
        <v>382</v>
      </c>
      <c r="H228" t="s">
        <v>382</v>
      </c>
      <c r="I228" t="s">
        <v>382</v>
      </c>
      <c r="J228" t="s">
        <v>382</v>
      </c>
      <c r="K228" t="s">
        <v>382</v>
      </c>
      <c r="L228" t="s">
        <v>382</v>
      </c>
      <c r="M228" t="s">
        <v>382</v>
      </c>
      <c r="N228" t="s">
        <v>382</v>
      </c>
      <c r="O228" t="s">
        <v>382</v>
      </c>
      <c r="P228" t="s">
        <v>382</v>
      </c>
      <c r="Q228" t="s">
        <v>382</v>
      </c>
      <c r="R228" t="s">
        <v>382</v>
      </c>
      <c r="S228" t="s">
        <v>382</v>
      </c>
      <c r="T228" t="s">
        <v>382</v>
      </c>
      <c r="U228" t="s">
        <v>382</v>
      </c>
      <c r="V228" t="s">
        <v>382</v>
      </c>
      <c r="W228" t="s">
        <v>382</v>
      </c>
      <c r="X228" t="s">
        <v>382</v>
      </c>
      <c r="Y228" t="s">
        <v>382</v>
      </c>
      <c r="Z228" t="s">
        <v>382</v>
      </c>
      <c r="AA228" t="s">
        <v>382</v>
      </c>
      <c r="AB228" t="s">
        <v>382</v>
      </c>
      <c r="AC228">
        <v>5</v>
      </c>
      <c r="AD228">
        <v>2</v>
      </c>
      <c r="AF228" t="s">
        <v>385</v>
      </c>
      <c r="AH228" t="s">
        <v>27</v>
      </c>
      <c r="AI228" t="s">
        <v>109</v>
      </c>
      <c r="AK228">
        <v>657</v>
      </c>
      <c r="AL228">
        <v>1234</v>
      </c>
    </row>
    <row r="229" spans="1:38">
      <c r="A229" t="s">
        <v>382</v>
      </c>
      <c r="B229" t="s">
        <v>382</v>
      </c>
      <c r="C229" t="s">
        <v>382</v>
      </c>
      <c r="D229" t="s">
        <v>382</v>
      </c>
      <c r="E229" t="s">
        <v>382</v>
      </c>
      <c r="F229" t="s">
        <v>382</v>
      </c>
      <c r="G229" t="s">
        <v>382</v>
      </c>
      <c r="H229" t="s">
        <v>382</v>
      </c>
      <c r="I229" t="s">
        <v>382</v>
      </c>
      <c r="J229" t="s">
        <v>382</v>
      </c>
      <c r="K229" t="s">
        <v>382</v>
      </c>
      <c r="L229" t="s">
        <v>382</v>
      </c>
      <c r="M229" t="s">
        <v>382</v>
      </c>
      <c r="N229" t="s">
        <v>382</v>
      </c>
      <c r="O229" t="s">
        <v>382</v>
      </c>
      <c r="P229" t="s">
        <v>382</v>
      </c>
      <c r="Q229" t="s">
        <v>382</v>
      </c>
      <c r="R229" t="s">
        <v>382</v>
      </c>
      <c r="S229" t="s">
        <v>382</v>
      </c>
      <c r="T229" t="s">
        <v>382</v>
      </c>
      <c r="U229" t="s">
        <v>382</v>
      </c>
      <c r="V229" t="s">
        <v>382</v>
      </c>
      <c r="W229" t="s">
        <v>382</v>
      </c>
      <c r="X229" t="s">
        <v>382</v>
      </c>
      <c r="Y229" t="s">
        <v>382</v>
      </c>
      <c r="Z229" t="s">
        <v>382</v>
      </c>
      <c r="AA229" t="s">
        <v>382</v>
      </c>
      <c r="AB229" t="s">
        <v>382</v>
      </c>
      <c r="AC229">
        <v>5</v>
      </c>
      <c r="AD229">
        <v>3</v>
      </c>
      <c r="AF229" t="s">
        <v>385</v>
      </c>
      <c r="AH229" t="s">
        <v>27</v>
      </c>
      <c r="AI229" t="s">
        <v>109</v>
      </c>
      <c r="AK229">
        <v>733</v>
      </c>
      <c r="AL229">
        <v>2258</v>
      </c>
    </row>
    <row r="230" spans="1:38">
      <c r="A230" t="s">
        <v>382</v>
      </c>
      <c r="B230" t="s">
        <v>382</v>
      </c>
      <c r="C230" t="s">
        <v>382</v>
      </c>
      <c r="D230" t="s">
        <v>382</v>
      </c>
      <c r="E230" t="s">
        <v>382</v>
      </c>
      <c r="F230" t="s">
        <v>382</v>
      </c>
      <c r="G230" t="s">
        <v>382</v>
      </c>
      <c r="H230" t="s">
        <v>382</v>
      </c>
      <c r="I230" t="s">
        <v>382</v>
      </c>
      <c r="J230" t="s">
        <v>382</v>
      </c>
      <c r="K230" t="s">
        <v>382</v>
      </c>
      <c r="L230" t="s">
        <v>382</v>
      </c>
      <c r="M230" t="s">
        <v>382</v>
      </c>
      <c r="N230" t="s">
        <v>382</v>
      </c>
      <c r="O230" t="s">
        <v>382</v>
      </c>
      <c r="P230" t="s">
        <v>382</v>
      </c>
      <c r="Q230" t="s">
        <v>382</v>
      </c>
      <c r="R230" t="s">
        <v>382</v>
      </c>
      <c r="S230" t="s">
        <v>382</v>
      </c>
      <c r="T230" t="s">
        <v>382</v>
      </c>
      <c r="U230" t="s">
        <v>382</v>
      </c>
      <c r="V230" t="s">
        <v>382</v>
      </c>
      <c r="W230" t="s">
        <v>382</v>
      </c>
      <c r="X230" t="s">
        <v>382</v>
      </c>
      <c r="Y230" t="s">
        <v>382</v>
      </c>
      <c r="Z230" t="s">
        <v>382</v>
      </c>
      <c r="AA230" t="s">
        <v>382</v>
      </c>
      <c r="AB230" t="s">
        <v>382</v>
      </c>
      <c r="AC230">
        <v>5</v>
      </c>
      <c r="AD230">
        <v>4</v>
      </c>
      <c r="AF230" t="s">
        <v>386</v>
      </c>
      <c r="AH230" t="s">
        <v>29</v>
      </c>
      <c r="AI230" t="s">
        <v>103</v>
      </c>
      <c r="AK230">
        <v>2657</v>
      </c>
      <c r="AL230">
        <v>2167</v>
      </c>
    </row>
    <row r="231" spans="1:38">
      <c r="A231" t="s">
        <v>382</v>
      </c>
      <c r="B231" t="s">
        <v>382</v>
      </c>
      <c r="C231" t="s">
        <v>382</v>
      </c>
      <c r="D231" t="s">
        <v>382</v>
      </c>
      <c r="E231" t="s">
        <v>382</v>
      </c>
      <c r="F231" t="s">
        <v>382</v>
      </c>
      <c r="G231" t="s">
        <v>382</v>
      </c>
      <c r="H231" t="s">
        <v>382</v>
      </c>
      <c r="I231" t="s">
        <v>382</v>
      </c>
      <c r="J231" t="s">
        <v>382</v>
      </c>
      <c r="K231" t="s">
        <v>382</v>
      </c>
      <c r="L231" t="s">
        <v>382</v>
      </c>
      <c r="M231" t="s">
        <v>382</v>
      </c>
      <c r="N231" t="s">
        <v>382</v>
      </c>
      <c r="O231" t="s">
        <v>382</v>
      </c>
      <c r="P231" t="s">
        <v>382</v>
      </c>
      <c r="Q231" t="s">
        <v>382</v>
      </c>
      <c r="R231" t="s">
        <v>382</v>
      </c>
      <c r="S231" t="s">
        <v>382</v>
      </c>
      <c r="T231" t="s">
        <v>382</v>
      </c>
      <c r="U231" t="s">
        <v>382</v>
      </c>
      <c r="V231" t="s">
        <v>382</v>
      </c>
      <c r="W231" t="s">
        <v>382</v>
      </c>
      <c r="X231" t="s">
        <v>382</v>
      </c>
      <c r="Y231" t="s">
        <v>382</v>
      </c>
      <c r="Z231" t="s">
        <v>382</v>
      </c>
      <c r="AA231" t="s">
        <v>382</v>
      </c>
      <c r="AB231" t="s">
        <v>382</v>
      </c>
      <c r="AC231">
        <v>5</v>
      </c>
      <c r="AD231">
        <v>5</v>
      </c>
      <c r="AF231" t="s">
        <v>385</v>
      </c>
      <c r="AH231" t="s">
        <v>27</v>
      </c>
      <c r="AI231" t="s">
        <v>109</v>
      </c>
      <c r="AK231">
        <v>533</v>
      </c>
      <c r="AL231">
        <v>970</v>
      </c>
    </row>
    <row r="232" spans="1:38">
      <c r="A232" t="s">
        <v>382</v>
      </c>
      <c r="B232" t="s">
        <v>382</v>
      </c>
      <c r="C232" t="s">
        <v>382</v>
      </c>
      <c r="D232" t="s">
        <v>382</v>
      </c>
      <c r="E232" t="s">
        <v>382</v>
      </c>
      <c r="F232" t="s">
        <v>382</v>
      </c>
      <c r="G232" t="s">
        <v>382</v>
      </c>
      <c r="H232" t="s">
        <v>382</v>
      </c>
      <c r="I232" t="s">
        <v>382</v>
      </c>
      <c r="J232" t="s">
        <v>382</v>
      </c>
      <c r="K232" t="s">
        <v>382</v>
      </c>
      <c r="L232" t="s">
        <v>382</v>
      </c>
      <c r="M232" t="s">
        <v>382</v>
      </c>
      <c r="N232" t="s">
        <v>382</v>
      </c>
      <c r="O232" t="s">
        <v>382</v>
      </c>
      <c r="P232" t="s">
        <v>382</v>
      </c>
      <c r="Q232" t="s">
        <v>382</v>
      </c>
      <c r="R232" t="s">
        <v>382</v>
      </c>
      <c r="S232" t="s">
        <v>382</v>
      </c>
      <c r="T232" t="s">
        <v>382</v>
      </c>
      <c r="U232" t="s">
        <v>382</v>
      </c>
      <c r="V232" t="s">
        <v>382</v>
      </c>
      <c r="W232" t="s">
        <v>382</v>
      </c>
      <c r="X232" t="s">
        <v>382</v>
      </c>
      <c r="Y232" t="s">
        <v>382</v>
      </c>
      <c r="Z232" t="s">
        <v>382</v>
      </c>
      <c r="AA232" t="s">
        <v>382</v>
      </c>
      <c r="AB232" t="s">
        <v>382</v>
      </c>
      <c r="AC232">
        <v>5</v>
      </c>
      <c r="AD232">
        <v>1</v>
      </c>
      <c r="AF232" t="s">
        <v>386</v>
      </c>
      <c r="AH232" t="s">
        <v>29</v>
      </c>
      <c r="AI232" t="s">
        <v>103</v>
      </c>
      <c r="AK232">
        <v>2870</v>
      </c>
      <c r="AL232">
        <v>1822</v>
      </c>
    </row>
    <row r="233" spans="1:38">
      <c r="A233" t="s">
        <v>382</v>
      </c>
      <c r="B233" t="s">
        <v>382</v>
      </c>
      <c r="C233" t="s">
        <v>382</v>
      </c>
      <c r="D233" t="s">
        <v>382</v>
      </c>
      <c r="E233" t="s">
        <v>382</v>
      </c>
      <c r="F233" t="s">
        <v>382</v>
      </c>
      <c r="G233" t="s">
        <v>382</v>
      </c>
      <c r="H233" t="s">
        <v>382</v>
      </c>
      <c r="I233" t="s">
        <v>382</v>
      </c>
      <c r="J233" t="s">
        <v>382</v>
      </c>
      <c r="K233" t="s">
        <v>382</v>
      </c>
      <c r="L233" t="s">
        <v>382</v>
      </c>
      <c r="M233" t="s">
        <v>382</v>
      </c>
      <c r="N233" t="s">
        <v>382</v>
      </c>
      <c r="O233" t="s">
        <v>382</v>
      </c>
      <c r="P233" t="s">
        <v>382</v>
      </c>
      <c r="Q233" t="s">
        <v>382</v>
      </c>
      <c r="R233" t="s">
        <v>382</v>
      </c>
      <c r="S233" t="s">
        <v>382</v>
      </c>
      <c r="T233" t="s">
        <v>382</v>
      </c>
      <c r="U233" t="s">
        <v>382</v>
      </c>
      <c r="V233" t="s">
        <v>382</v>
      </c>
      <c r="W233" t="s">
        <v>382</v>
      </c>
      <c r="X233" t="s">
        <v>382</v>
      </c>
      <c r="Y233" t="s">
        <v>382</v>
      </c>
      <c r="Z233" t="s">
        <v>382</v>
      </c>
      <c r="AA233" t="s">
        <v>382</v>
      </c>
      <c r="AB233" t="s">
        <v>382</v>
      </c>
      <c r="AC233">
        <v>5</v>
      </c>
      <c r="AD233">
        <v>2</v>
      </c>
      <c r="AF233" t="s">
        <v>385</v>
      </c>
      <c r="AH233" t="s">
        <v>27</v>
      </c>
      <c r="AI233" t="s">
        <v>109</v>
      </c>
      <c r="AK233">
        <v>1061</v>
      </c>
      <c r="AL233">
        <v>1739</v>
      </c>
    </row>
    <row r="234" spans="1:38">
      <c r="A234" t="s">
        <v>382</v>
      </c>
      <c r="B234" t="s">
        <v>382</v>
      </c>
      <c r="C234" t="s">
        <v>382</v>
      </c>
      <c r="D234" t="s">
        <v>382</v>
      </c>
      <c r="E234" t="s">
        <v>382</v>
      </c>
      <c r="F234" t="s">
        <v>382</v>
      </c>
      <c r="G234" t="s">
        <v>382</v>
      </c>
      <c r="H234" t="s">
        <v>382</v>
      </c>
      <c r="I234" t="s">
        <v>382</v>
      </c>
      <c r="J234" t="s">
        <v>382</v>
      </c>
      <c r="K234" t="s">
        <v>382</v>
      </c>
      <c r="L234" t="s">
        <v>382</v>
      </c>
      <c r="M234" t="s">
        <v>382</v>
      </c>
      <c r="N234" t="s">
        <v>382</v>
      </c>
      <c r="O234" t="s">
        <v>382</v>
      </c>
      <c r="P234" t="s">
        <v>382</v>
      </c>
      <c r="Q234" t="s">
        <v>382</v>
      </c>
      <c r="R234" t="s">
        <v>382</v>
      </c>
      <c r="S234" t="s">
        <v>382</v>
      </c>
      <c r="T234" t="s">
        <v>382</v>
      </c>
      <c r="U234" t="s">
        <v>382</v>
      </c>
      <c r="V234" t="s">
        <v>382</v>
      </c>
      <c r="W234" t="s">
        <v>382</v>
      </c>
      <c r="X234" t="s">
        <v>382</v>
      </c>
      <c r="Y234" t="s">
        <v>382</v>
      </c>
      <c r="Z234" t="s">
        <v>382</v>
      </c>
      <c r="AA234" t="s">
        <v>382</v>
      </c>
      <c r="AB234" t="s">
        <v>382</v>
      </c>
      <c r="AC234">
        <v>5</v>
      </c>
      <c r="AD234">
        <v>3</v>
      </c>
      <c r="AF234" t="s">
        <v>385</v>
      </c>
      <c r="AH234" t="s">
        <v>27</v>
      </c>
      <c r="AI234" t="s">
        <v>109</v>
      </c>
      <c r="AK234">
        <v>1080</v>
      </c>
      <c r="AL234">
        <v>1603</v>
      </c>
    </row>
    <row r="235" spans="1:38">
      <c r="A235" t="s">
        <v>382</v>
      </c>
      <c r="B235" t="s">
        <v>382</v>
      </c>
      <c r="C235" t="s">
        <v>382</v>
      </c>
      <c r="D235" t="s">
        <v>382</v>
      </c>
      <c r="E235" t="s">
        <v>382</v>
      </c>
      <c r="F235" t="s">
        <v>382</v>
      </c>
      <c r="G235" t="s">
        <v>382</v>
      </c>
      <c r="H235" t="s">
        <v>382</v>
      </c>
      <c r="I235" t="s">
        <v>382</v>
      </c>
      <c r="J235" t="s">
        <v>382</v>
      </c>
      <c r="K235" t="s">
        <v>382</v>
      </c>
      <c r="L235" t="s">
        <v>382</v>
      </c>
      <c r="M235" t="s">
        <v>382</v>
      </c>
      <c r="N235" t="s">
        <v>382</v>
      </c>
      <c r="O235" t="s">
        <v>382</v>
      </c>
      <c r="P235" t="s">
        <v>382</v>
      </c>
      <c r="Q235" t="s">
        <v>382</v>
      </c>
      <c r="R235" t="s">
        <v>382</v>
      </c>
      <c r="S235" t="s">
        <v>382</v>
      </c>
      <c r="T235" t="s">
        <v>382</v>
      </c>
      <c r="U235" t="s">
        <v>382</v>
      </c>
      <c r="V235" t="s">
        <v>382</v>
      </c>
      <c r="W235" t="s">
        <v>382</v>
      </c>
      <c r="X235" t="s">
        <v>382</v>
      </c>
      <c r="Y235" t="s">
        <v>382</v>
      </c>
      <c r="Z235" t="s">
        <v>382</v>
      </c>
      <c r="AA235" t="s">
        <v>382</v>
      </c>
      <c r="AB235" t="s">
        <v>382</v>
      </c>
      <c r="AC235">
        <v>5</v>
      </c>
      <c r="AD235">
        <v>4</v>
      </c>
      <c r="AF235" t="s">
        <v>385</v>
      </c>
      <c r="AH235" t="s">
        <v>27</v>
      </c>
      <c r="AI235" t="s">
        <v>109</v>
      </c>
      <c r="AK235">
        <v>2363</v>
      </c>
      <c r="AL235">
        <v>2174</v>
      </c>
    </row>
    <row r="236" spans="1:38">
      <c r="A236" t="s">
        <v>382</v>
      </c>
      <c r="B236" t="s">
        <v>382</v>
      </c>
      <c r="C236" t="s">
        <v>382</v>
      </c>
      <c r="D236" t="s">
        <v>382</v>
      </c>
      <c r="E236" t="s">
        <v>382</v>
      </c>
      <c r="F236" t="s">
        <v>382</v>
      </c>
      <c r="G236" t="s">
        <v>382</v>
      </c>
      <c r="H236" t="s">
        <v>382</v>
      </c>
      <c r="I236" t="s">
        <v>382</v>
      </c>
      <c r="J236" t="s">
        <v>382</v>
      </c>
      <c r="K236" t="s">
        <v>382</v>
      </c>
      <c r="L236" t="s">
        <v>382</v>
      </c>
      <c r="M236" t="s">
        <v>382</v>
      </c>
      <c r="N236" t="s">
        <v>382</v>
      </c>
      <c r="O236" t="s">
        <v>382</v>
      </c>
      <c r="P236" t="s">
        <v>382</v>
      </c>
      <c r="Q236" t="s">
        <v>382</v>
      </c>
      <c r="R236" t="s">
        <v>382</v>
      </c>
      <c r="S236" t="s">
        <v>382</v>
      </c>
      <c r="T236" t="s">
        <v>382</v>
      </c>
      <c r="U236" t="s">
        <v>382</v>
      </c>
      <c r="V236" t="s">
        <v>382</v>
      </c>
      <c r="W236" t="s">
        <v>382</v>
      </c>
      <c r="X236" t="s">
        <v>382</v>
      </c>
      <c r="Y236" t="s">
        <v>382</v>
      </c>
      <c r="Z236" t="s">
        <v>382</v>
      </c>
      <c r="AA236" t="s">
        <v>382</v>
      </c>
      <c r="AB236" t="s">
        <v>382</v>
      </c>
      <c r="AC236">
        <v>5</v>
      </c>
      <c r="AD236">
        <v>5</v>
      </c>
      <c r="AF236" t="s">
        <v>384</v>
      </c>
      <c r="AH236" t="s">
        <v>25</v>
      </c>
      <c r="AI236" t="s">
        <v>106</v>
      </c>
      <c r="AK236">
        <v>1742</v>
      </c>
      <c r="AL236">
        <v>1913</v>
      </c>
    </row>
    <row r="237" spans="1:38">
      <c r="A237" t="s">
        <v>382</v>
      </c>
      <c r="B237" t="s">
        <v>382</v>
      </c>
      <c r="C237" t="s">
        <v>382</v>
      </c>
      <c r="D237" t="s">
        <v>382</v>
      </c>
      <c r="E237" t="s">
        <v>382</v>
      </c>
      <c r="F237" t="s">
        <v>382</v>
      </c>
      <c r="G237" t="s">
        <v>382</v>
      </c>
      <c r="H237" t="s">
        <v>382</v>
      </c>
      <c r="I237" t="s">
        <v>382</v>
      </c>
      <c r="J237" t="s">
        <v>382</v>
      </c>
      <c r="K237" t="s">
        <v>382</v>
      </c>
      <c r="L237" t="s">
        <v>382</v>
      </c>
      <c r="M237" t="s">
        <v>382</v>
      </c>
      <c r="N237" t="s">
        <v>382</v>
      </c>
      <c r="O237" t="s">
        <v>382</v>
      </c>
      <c r="P237" t="s">
        <v>382</v>
      </c>
      <c r="Q237" t="s">
        <v>382</v>
      </c>
      <c r="R237" t="s">
        <v>382</v>
      </c>
      <c r="S237" t="s">
        <v>382</v>
      </c>
      <c r="T237" t="s">
        <v>382</v>
      </c>
      <c r="U237" t="s">
        <v>382</v>
      </c>
      <c r="V237" t="s">
        <v>382</v>
      </c>
      <c r="W237" t="s">
        <v>382</v>
      </c>
      <c r="X237" t="s">
        <v>382</v>
      </c>
      <c r="Y237" t="s">
        <v>382</v>
      </c>
      <c r="Z237" t="s">
        <v>382</v>
      </c>
      <c r="AA237" t="s">
        <v>382</v>
      </c>
      <c r="AB237" t="s">
        <v>382</v>
      </c>
      <c r="AC237">
        <v>5</v>
      </c>
      <c r="AD237">
        <v>1</v>
      </c>
      <c r="AE237">
        <v>1</v>
      </c>
      <c r="AF237" t="s">
        <v>398</v>
      </c>
      <c r="AH237" t="s">
        <v>69</v>
      </c>
      <c r="AI237" t="s">
        <v>97</v>
      </c>
      <c r="AK237">
        <v>1314</v>
      </c>
      <c r="AL237">
        <v>749</v>
      </c>
    </row>
    <row r="238" spans="1:38">
      <c r="A238" t="s">
        <v>382</v>
      </c>
      <c r="B238" t="s">
        <v>382</v>
      </c>
      <c r="C238" t="s">
        <v>382</v>
      </c>
      <c r="D238" t="s">
        <v>382</v>
      </c>
      <c r="E238" t="s">
        <v>382</v>
      </c>
      <c r="F238" t="s">
        <v>382</v>
      </c>
      <c r="G238" t="s">
        <v>382</v>
      </c>
      <c r="H238" t="s">
        <v>382</v>
      </c>
      <c r="I238" t="s">
        <v>382</v>
      </c>
      <c r="J238" t="s">
        <v>382</v>
      </c>
      <c r="K238" t="s">
        <v>382</v>
      </c>
      <c r="L238" t="s">
        <v>382</v>
      </c>
      <c r="M238" t="s">
        <v>382</v>
      </c>
      <c r="N238" t="s">
        <v>382</v>
      </c>
      <c r="O238" t="s">
        <v>382</v>
      </c>
      <c r="P238" t="s">
        <v>382</v>
      </c>
      <c r="Q238" t="s">
        <v>382</v>
      </c>
      <c r="R238" t="s">
        <v>382</v>
      </c>
      <c r="S238" t="s">
        <v>382</v>
      </c>
      <c r="T238" t="s">
        <v>382</v>
      </c>
      <c r="U238" t="s">
        <v>382</v>
      </c>
      <c r="V238" t="s">
        <v>382</v>
      </c>
      <c r="W238" t="s">
        <v>382</v>
      </c>
      <c r="X238" t="s">
        <v>382</v>
      </c>
      <c r="Y238" t="s">
        <v>382</v>
      </c>
      <c r="Z238" t="s">
        <v>382</v>
      </c>
      <c r="AA238" t="s">
        <v>382</v>
      </c>
      <c r="AB238" t="s">
        <v>382</v>
      </c>
      <c r="AC238">
        <v>5</v>
      </c>
      <c r="AD238">
        <v>2</v>
      </c>
      <c r="AF238" t="s">
        <v>386</v>
      </c>
      <c r="AH238" t="s">
        <v>29</v>
      </c>
      <c r="AI238" t="s">
        <v>103</v>
      </c>
      <c r="AK238">
        <v>1167</v>
      </c>
      <c r="AL238">
        <v>1506</v>
      </c>
    </row>
    <row r="239" spans="1:38">
      <c r="A239" t="s">
        <v>382</v>
      </c>
      <c r="B239" t="s">
        <v>382</v>
      </c>
      <c r="C239" t="s">
        <v>382</v>
      </c>
      <c r="D239" t="s">
        <v>382</v>
      </c>
      <c r="E239" t="s">
        <v>382</v>
      </c>
      <c r="F239" t="s">
        <v>382</v>
      </c>
      <c r="G239" t="s">
        <v>382</v>
      </c>
      <c r="H239" t="s">
        <v>382</v>
      </c>
      <c r="I239" t="s">
        <v>382</v>
      </c>
      <c r="J239" t="s">
        <v>382</v>
      </c>
      <c r="K239" t="s">
        <v>382</v>
      </c>
      <c r="L239" t="s">
        <v>382</v>
      </c>
      <c r="M239" t="s">
        <v>382</v>
      </c>
      <c r="N239" t="s">
        <v>382</v>
      </c>
      <c r="O239" t="s">
        <v>382</v>
      </c>
      <c r="P239" t="s">
        <v>382</v>
      </c>
      <c r="Q239" t="s">
        <v>382</v>
      </c>
      <c r="R239" t="s">
        <v>382</v>
      </c>
      <c r="S239" t="s">
        <v>382</v>
      </c>
      <c r="T239" t="s">
        <v>382</v>
      </c>
      <c r="U239" t="s">
        <v>382</v>
      </c>
      <c r="V239" t="s">
        <v>382</v>
      </c>
      <c r="W239" t="s">
        <v>382</v>
      </c>
      <c r="X239" t="s">
        <v>382</v>
      </c>
      <c r="Y239" t="s">
        <v>382</v>
      </c>
      <c r="Z239" t="s">
        <v>382</v>
      </c>
      <c r="AA239" t="s">
        <v>382</v>
      </c>
      <c r="AB239" t="s">
        <v>382</v>
      </c>
      <c r="AC239">
        <v>5</v>
      </c>
      <c r="AD239">
        <v>3</v>
      </c>
      <c r="AF239" t="s">
        <v>385</v>
      </c>
      <c r="AH239" t="s">
        <v>27</v>
      </c>
      <c r="AI239" t="s">
        <v>109</v>
      </c>
      <c r="AK239">
        <v>3050</v>
      </c>
      <c r="AL239">
        <v>212</v>
      </c>
    </row>
    <row r="240" spans="1:38">
      <c r="A240" t="s">
        <v>382</v>
      </c>
      <c r="B240" t="s">
        <v>382</v>
      </c>
      <c r="C240" t="s">
        <v>382</v>
      </c>
      <c r="D240" t="s">
        <v>382</v>
      </c>
      <c r="E240" t="s">
        <v>382</v>
      </c>
      <c r="F240" t="s">
        <v>382</v>
      </c>
      <c r="G240" t="s">
        <v>382</v>
      </c>
      <c r="H240" t="s">
        <v>382</v>
      </c>
      <c r="I240" t="s">
        <v>382</v>
      </c>
      <c r="J240" t="s">
        <v>382</v>
      </c>
      <c r="K240" t="s">
        <v>382</v>
      </c>
      <c r="L240" t="s">
        <v>382</v>
      </c>
      <c r="M240" t="s">
        <v>382</v>
      </c>
      <c r="N240" t="s">
        <v>382</v>
      </c>
      <c r="O240" t="s">
        <v>382</v>
      </c>
      <c r="P240" t="s">
        <v>382</v>
      </c>
      <c r="Q240" t="s">
        <v>382</v>
      </c>
      <c r="R240" t="s">
        <v>382</v>
      </c>
      <c r="S240" t="s">
        <v>382</v>
      </c>
      <c r="T240" t="s">
        <v>382</v>
      </c>
      <c r="U240" t="s">
        <v>382</v>
      </c>
      <c r="V240" t="s">
        <v>382</v>
      </c>
      <c r="W240" t="s">
        <v>382</v>
      </c>
      <c r="X240" t="s">
        <v>382</v>
      </c>
      <c r="Y240" t="s">
        <v>382</v>
      </c>
      <c r="Z240" t="s">
        <v>382</v>
      </c>
      <c r="AA240" t="s">
        <v>382</v>
      </c>
      <c r="AB240" t="s">
        <v>382</v>
      </c>
      <c r="AC240">
        <v>5</v>
      </c>
      <c r="AD240">
        <v>4</v>
      </c>
      <c r="AE240">
        <v>1</v>
      </c>
      <c r="AF240" t="s">
        <v>398</v>
      </c>
      <c r="AH240" t="s">
        <v>69</v>
      </c>
      <c r="AI240" t="s">
        <v>97</v>
      </c>
      <c r="AK240">
        <v>1149</v>
      </c>
      <c r="AL240">
        <v>6</v>
      </c>
    </row>
    <row r="241" spans="1:38">
      <c r="A241" t="s">
        <v>382</v>
      </c>
      <c r="B241" t="s">
        <v>382</v>
      </c>
      <c r="C241" t="s">
        <v>382</v>
      </c>
      <c r="D241" t="s">
        <v>382</v>
      </c>
      <c r="E241" t="s">
        <v>382</v>
      </c>
      <c r="F241" t="s">
        <v>382</v>
      </c>
      <c r="G241" t="s">
        <v>382</v>
      </c>
      <c r="H241" t="s">
        <v>382</v>
      </c>
      <c r="I241" t="s">
        <v>382</v>
      </c>
      <c r="J241" t="s">
        <v>382</v>
      </c>
      <c r="K241" t="s">
        <v>382</v>
      </c>
      <c r="L241" t="s">
        <v>382</v>
      </c>
      <c r="M241" t="s">
        <v>382</v>
      </c>
      <c r="N241" t="s">
        <v>382</v>
      </c>
      <c r="O241" t="s">
        <v>382</v>
      </c>
      <c r="P241" t="s">
        <v>382</v>
      </c>
      <c r="Q241" t="s">
        <v>382</v>
      </c>
      <c r="R241" t="s">
        <v>382</v>
      </c>
      <c r="S241" t="s">
        <v>382</v>
      </c>
      <c r="T241" t="s">
        <v>382</v>
      </c>
      <c r="U241" t="s">
        <v>382</v>
      </c>
      <c r="V241" t="s">
        <v>382</v>
      </c>
      <c r="W241" t="s">
        <v>382</v>
      </c>
      <c r="X241" t="s">
        <v>382</v>
      </c>
      <c r="Y241" t="s">
        <v>382</v>
      </c>
      <c r="Z241" t="s">
        <v>382</v>
      </c>
      <c r="AA241" t="s">
        <v>382</v>
      </c>
      <c r="AB241" t="s">
        <v>382</v>
      </c>
      <c r="AC241">
        <v>5</v>
      </c>
      <c r="AD241">
        <v>5</v>
      </c>
      <c r="AF241" t="s">
        <v>386</v>
      </c>
      <c r="AH241" t="s">
        <v>29</v>
      </c>
      <c r="AI241" t="s">
        <v>103</v>
      </c>
      <c r="AK241">
        <v>1951</v>
      </c>
      <c r="AL241">
        <v>1299</v>
      </c>
    </row>
    <row r="242" spans="1:38">
      <c r="A242" t="s">
        <v>382</v>
      </c>
      <c r="B242" t="s">
        <v>382</v>
      </c>
      <c r="C242" t="s">
        <v>382</v>
      </c>
      <c r="D242" t="s">
        <v>382</v>
      </c>
      <c r="E242" t="s">
        <v>382</v>
      </c>
      <c r="F242" t="s">
        <v>382</v>
      </c>
      <c r="G242" t="s">
        <v>382</v>
      </c>
      <c r="H242" t="s">
        <v>382</v>
      </c>
      <c r="I242" t="s">
        <v>382</v>
      </c>
      <c r="J242" t="s">
        <v>382</v>
      </c>
      <c r="K242" t="s">
        <v>382</v>
      </c>
      <c r="L242" t="s">
        <v>382</v>
      </c>
      <c r="M242" t="s">
        <v>382</v>
      </c>
      <c r="N242" t="s">
        <v>382</v>
      </c>
      <c r="O242" t="s">
        <v>382</v>
      </c>
      <c r="P242" t="s">
        <v>382</v>
      </c>
      <c r="Q242" t="s">
        <v>382</v>
      </c>
      <c r="R242" t="s">
        <v>382</v>
      </c>
      <c r="S242" t="s">
        <v>382</v>
      </c>
      <c r="T242" t="s">
        <v>382</v>
      </c>
      <c r="U242" t="s">
        <v>382</v>
      </c>
      <c r="V242" t="s">
        <v>382</v>
      </c>
      <c r="W242" t="s">
        <v>382</v>
      </c>
      <c r="X242" t="s">
        <v>382</v>
      </c>
      <c r="Y242" t="s">
        <v>382</v>
      </c>
      <c r="Z242" t="s">
        <v>382</v>
      </c>
      <c r="AA242" t="s">
        <v>382</v>
      </c>
      <c r="AB242" t="s">
        <v>382</v>
      </c>
      <c r="AC242">
        <v>5</v>
      </c>
      <c r="AD242">
        <v>1</v>
      </c>
      <c r="AE242">
        <v>1</v>
      </c>
      <c r="AF242" t="s">
        <v>383</v>
      </c>
      <c r="AH242" t="s">
        <v>22</v>
      </c>
      <c r="AI242" t="s">
        <v>97</v>
      </c>
      <c r="AK242">
        <v>1679</v>
      </c>
      <c r="AL242">
        <v>637</v>
      </c>
    </row>
    <row r="243" spans="1:38">
      <c r="A243" t="s">
        <v>382</v>
      </c>
      <c r="B243" t="s">
        <v>382</v>
      </c>
      <c r="C243" t="s">
        <v>382</v>
      </c>
      <c r="D243" t="s">
        <v>382</v>
      </c>
      <c r="E243" t="s">
        <v>382</v>
      </c>
      <c r="F243" t="s">
        <v>382</v>
      </c>
      <c r="G243" t="s">
        <v>382</v>
      </c>
      <c r="H243" t="s">
        <v>382</v>
      </c>
      <c r="I243" t="s">
        <v>382</v>
      </c>
      <c r="J243" t="s">
        <v>382</v>
      </c>
      <c r="K243" t="s">
        <v>382</v>
      </c>
      <c r="L243" t="s">
        <v>382</v>
      </c>
      <c r="M243" t="s">
        <v>382</v>
      </c>
      <c r="N243" t="s">
        <v>382</v>
      </c>
      <c r="O243" t="s">
        <v>382</v>
      </c>
      <c r="P243" t="s">
        <v>382</v>
      </c>
      <c r="Q243" t="s">
        <v>382</v>
      </c>
      <c r="R243" t="s">
        <v>382</v>
      </c>
      <c r="S243" t="s">
        <v>382</v>
      </c>
      <c r="T243" t="s">
        <v>382</v>
      </c>
      <c r="U243" t="s">
        <v>382</v>
      </c>
      <c r="V243" t="s">
        <v>382</v>
      </c>
      <c r="W243" t="s">
        <v>382</v>
      </c>
      <c r="X243" t="s">
        <v>382</v>
      </c>
      <c r="Y243" t="s">
        <v>382</v>
      </c>
      <c r="Z243" t="s">
        <v>382</v>
      </c>
      <c r="AA243" t="s">
        <v>382</v>
      </c>
      <c r="AB243" t="s">
        <v>382</v>
      </c>
      <c r="AC243">
        <v>5</v>
      </c>
      <c r="AD243">
        <v>2</v>
      </c>
      <c r="AE243">
        <v>1</v>
      </c>
      <c r="AF243" t="s">
        <v>383</v>
      </c>
      <c r="AH243" t="s">
        <v>22</v>
      </c>
      <c r="AI243" t="s">
        <v>97</v>
      </c>
      <c r="AK243">
        <v>1150</v>
      </c>
      <c r="AL243">
        <v>2139</v>
      </c>
    </row>
    <row r="244" spans="1:38">
      <c r="A244" t="s">
        <v>382</v>
      </c>
      <c r="B244" t="s">
        <v>382</v>
      </c>
      <c r="C244" t="s">
        <v>382</v>
      </c>
      <c r="D244" t="s">
        <v>382</v>
      </c>
      <c r="E244" t="s">
        <v>382</v>
      </c>
      <c r="F244" t="s">
        <v>382</v>
      </c>
      <c r="G244" t="s">
        <v>382</v>
      </c>
      <c r="H244" t="s">
        <v>382</v>
      </c>
      <c r="I244" t="s">
        <v>382</v>
      </c>
      <c r="J244" t="s">
        <v>382</v>
      </c>
      <c r="K244" t="s">
        <v>382</v>
      </c>
      <c r="L244" t="s">
        <v>382</v>
      </c>
      <c r="M244" t="s">
        <v>382</v>
      </c>
      <c r="N244" t="s">
        <v>382</v>
      </c>
      <c r="O244" t="s">
        <v>382</v>
      </c>
      <c r="P244" t="s">
        <v>382</v>
      </c>
      <c r="Q244" t="s">
        <v>382</v>
      </c>
      <c r="R244" t="s">
        <v>382</v>
      </c>
      <c r="S244" t="s">
        <v>382</v>
      </c>
      <c r="T244" t="s">
        <v>382</v>
      </c>
      <c r="U244" t="s">
        <v>382</v>
      </c>
      <c r="V244" t="s">
        <v>382</v>
      </c>
      <c r="W244" t="s">
        <v>382</v>
      </c>
      <c r="X244" t="s">
        <v>382</v>
      </c>
      <c r="Y244" t="s">
        <v>382</v>
      </c>
      <c r="Z244" t="s">
        <v>382</v>
      </c>
      <c r="AA244" t="s">
        <v>382</v>
      </c>
      <c r="AB244" t="s">
        <v>382</v>
      </c>
      <c r="AC244">
        <v>5</v>
      </c>
      <c r="AD244">
        <v>3</v>
      </c>
      <c r="AE244">
        <v>1</v>
      </c>
      <c r="AF244" t="s">
        <v>401</v>
      </c>
      <c r="AH244" t="s">
        <v>95</v>
      </c>
      <c r="AI244" t="s">
        <v>97</v>
      </c>
      <c r="AK244">
        <v>2988</v>
      </c>
      <c r="AL244">
        <v>2239</v>
      </c>
    </row>
    <row r="245" spans="1:38">
      <c r="A245" t="s">
        <v>382</v>
      </c>
      <c r="B245" t="s">
        <v>382</v>
      </c>
      <c r="C245" t="s">
        <v>382</v>
      </c>
      <c r="D245" t="s">
        <v>382</v>
      </c>
      <c r="E245" t="s">
        <v>382</v>
      </c>
      <c r="F245" t="s">
        <v>382</v>
      </c>
      <c r="G245" t="s">
        <v>382</v>
      </c>
      <c r="H245" t="s">
        <v>382</v>
      </c>
      <c r="I245" t="s">
        <v>382</v>
      </c>
      <c r="J245" t="s">
        <v>382</v>
      </c>
      <c r="K245" t="s">
        <v>382</v>
      </c>
      <c r="L245" t="s">
        <v>382</v>
      </c>
      <c r="M245" t="s">
        <v>382</v>
      </c>
      <c r="N245" t="s">
        <v>382</v>
      </c>
      <c r="O245" t="s">
        <v>382</v>
      </c>
      <c r="P245" t="s">
        <v>382</v>
      </c>
      <c r="Q245" t="s">
        <v>382</v>
      </c>
      <c r="R245" t="s">
        <v>382</v>
      </c>
      <c r="S245" t="s">
        <v>382</v>
      </c>
      <c r="T245" t="s">
        <v>382</v>
      </c>
      <c r="U245" t="s">
        <v>382</v>
      </c>
      <c r="V245" t="s">
        <v>382</v>
      </c>
      <c r="W245" t="s">
        <v>382</v>
      </c>
      <c r="X245" t="s">
        <v>382</v>
      </c>
      <c r="Y245" t="s">
        <v>382</v>
      </c>
      <c r="Z245" t="s">
        <v>382</v>
      </c>
      <c r="AA245" t="s">
        <v>382</v>
      </c>
      <c r="AB245" t="s">
        <v>382</v>
      </c>
      <c r="AC245">
        <v>5</v>
      </c>
      <c r="AD245">
        <v>4</v>
      </c>
      <c r="AF245" t="s">
        <v>385</v>
      </c>
      <c r="AH245" t="s">
        <v>27</v>
      </c>
      <c r="AI245" t="s">
        <v>109</v>
      </c>
      <c r="AK245">
        <v>852</v>
      </c>
      <c r="AL245">
        <v>1245</v>
      </c>
    </row>
    <row r="246" spans="1:38">
      <c r="A246" t="s">
        <v>382</v>
      </c>
      <c r="B246" t="s">
        <v>382</v>
      </c>
      <c r="C246" t="s">
        <v>382</v>
      </c>
      <c r="D246" t="s">
        <v>382</v>
      </c>
      <c r="E246" t="s">
        <v>382</v>
      </c>
      <c r="F246" t="s">
        <v>382</v>
      </c>
      <c r="G246" t="s">
        <v>382</v>
      </c>
      <c r="H246" t="s">
        <v>382</v>
      </c>
      <c r="I246" t="s">
        <v>382</v>
      </c>
      <c r="J246" t="s">
        <v>382</v>
      </c>
      <c r="K246" t="s">
        <v>382</v>
      </c>
      <c r="L246" t="s">
        <v>382</v>
      </c>
      <c r="M246" t="s">
        <v>382</v>
      </c>
      <c r="N246" t="s">
        <v>382</v>
      </c>
      <c r="O246" t="s">
        <v>382</v>
      </c>
      <c r="P246" t="s">
        <v>382</v>
      </c>
      <c r="Q246" t="s">
        <v>382</v>
      </c>
      <c r="R246" t="s">
        <v>382</v>
      </c>
      <c r="S246" t="s">
        <v>382</v>
      </c>
      <c r="T246" t="s">
        <v>382</v>
      </c>
      <c r="U246" t="s">
        <v>382</v>
      </c>
      <c r="V246" t="s">
        <v>382</v>
      </c>
      <c r="W246" t="s">
        <v>382</v>
      </c>
      <c r="X246" t="s">
        <v>382</v>
      </c>
      <c r="Y246" t="s">
        <v>382</v>
      </c>
      <c r="Z246" t="s">
        <v>382</v>
      </c>
      <c r="AA246" t="s">
        <v>382</v>
      </c>
      <c r="AB246" t="s">
        <v>382</v>
      </c>
      <c r="AC246">
        <v>5</v>
      </c>
      <c r="AD246">
        <v>5</v>
      </c>
      <c r="AF246" t="s">
        <v>385</v>
      </c>
      <c r="AH246" t="s">
        <v>27</v>
      </c>
      <c r="AI246" t="s">
        <v>109</v>
      </c>
      <c r="AK246">
        <v>1356</v>
      </c>
      <c r="AL246">
        <v>1719</v>
      </c>
    </row>
    <row r="247" spans="1:38">
      <c r="A247" t="s">
        <v>382</v>
      </c>
      <c r="B247" t="s">
        <v>382</v>
      </c>
      <c r="C247" t="s">
        <v>382</v>
      </c>
      <c r="D247" t="s">
        <v>382</v>
      </c>
      <c r="E247" t="s">
        <v>382</v>
      </c>
      <c r="F247" t="s">
        <v>382</v>
      </c>
      <c r="G247" t="s">
        <v>382</v>
      </c>
      <c r="H247" t="s">
        <v>382</v>
      </c>
      <c r="I247" t="s">
        <v>382</v>
      </c>
      <c r="J247" t="s">
        <v>382</v>
      </c>
      <c r="K247" t="s">
        <v>382</v>
      </c>
      <c r="L247" t="s">
        <v>382</v>
      </c>
      <c r="M247" t="s">
        <v>382</v>
      </c>
      <c r="N247" t="s">
        <v>382</v>
      </c>
      <c r="O247" t="s">
        <v>382</v>
      </c>
      <c r="P247" t="s">
        <v>382</v>
      </c>
      <c r="Q247" t="s">
        <v>382</v>
      </c>
      <c r="R247" t="s">
        <v>382</v>
      </c>
      <c r="S247" t="s">
        <v>382</v>
      </c>
      <c r="T247" t="s">
        <v>382</v>
      </c>
      <c r="U247" t="s">
        <v>382</v>
      </c>
      <c r="V247" t="s">
        <v>382</v>
      </c>
      <c r="W247" t="s">
        <v>382</v>
      </c>
      <c r="X247" t="s">
        <v>382</v>
      </c>
      <c r="Y247" t="s">
        <v>382</v>
      </c>
      <c r="Z247" t="s">
        <v>382</v>
      </c>
      <c r="AA247" t="s">
        <v>382</v>
      </c>
      <c r="AB247" t="s">
        <v>382</v>
      </c>
      <c r="AC247">
        <v>5</v>
      </c>
      <c r="AD247">
        <v>1</v>
      </c>
      <c r="AF247" t="s">
        <v>386</v>
      </c>
      <c r="AH247" t="s">
        <v>29</v>
      </c>
      <c r="AI247" t="s">
        <v>103</v>
      </c>
      <c r="AK247">
        <v>1823</v>
      </c>
      <c r="AL247">
        <v>1388</v>
      </c>
    </row>
    <row r="248" spans="1:38">
      <c r="A248" t="s">
        <v>382</v>
      </c>
      <c r="B248" t="s">
        <v>382</v>
      </c>
      <c r="C248" t="s">
        <v>382</v>
      </c>
      <c r="D248" t="s">
        <v>382</v>
      </c>
      <c r="E248" t="s">
        <v>382</v>
      </c>
      <c r="F248" t="s">
        <v>382</v>
      </c>
      <c r="G248" t="s">
        <v>382</v>
      </c>
      <c r="H248" t="s">
        <v>382</v>
      </c>
      <c r="I248" t="s">
        <v>382</v>
      </c>
      <c r="J248" t="s">
        <v>382</v>
      </c>
      <c r="K248" t="s">
        <v>382</v>
      </c>
      <c r="L248" t="s">
        <v>382</v>
      </c>
      <c r="M248" t="s">
        <v>382</v>
      </c>
      <c r="N248" t="s">
        <v>382</v>
      </c>
      <c r="O248" t="s">
        <v>382</v>
      </c>
      <c r="P248" t="s">
        <v>382</v>
      </c>
      <c r="Q248" t="s">
        <v>382</v>
      </c>
      <c r="R248" t="s">
        <v>382</v>
      </c>
      <c r="S248" t="s">
        <v>382</v>
      </c>
      <c r="T248" t="s">
        <v>382</v>
      </c>
      <c r="U248" t="s">
        <v>382</v>
      </c>
      <c r="V248" t="s">
        <v>382</v>
      </c>
      <c r="W248" t="s">
        <v>382</v>
      </c>
      <c r="X248" t="s">
        <v>382</v>
      </c>
      <c r="Y248" t="s">
        <v>382</v>
      </c>
      <c r="Z248" t="s">
        <v>382</v>
      </c>
      <c r="AA248" t="s">
        <v>382</v>
      </c>
      <c r="AB248" t="s">
        <v>382</v>
      </c>
      <c r="AC248">
        <v>5</v>
      </c>
      <c r="AD248">
        <v>2</v>
      </c>
      <c r="AF248" t="s">
        <v>386</v>
      </c>
      <c r="AH248" t="s">
        <v>29</v>
      </c>
      <c r="AI248" t="s">
        <v>103</v>
      </c>
      <c r="AK248">
        <v>2551</v>
      </c>
      <c r="AL248">
        <v>1444</v>
      </c>
    </row>
    <row r="249" spans="1:38">
      <c r="A249" t="s">
        <v>382</v>
      </c>
      <c r="B249" t="s">
        <v>382</v>
      </c>
      <c r="C249" t="s">
        <v>382</v>
      </c>
      <c r="D249" t="s">
        <v>382</v>
      </c>
      <c r="E249" t="s">
        <v>382</v>
      </c>
      <c r="F249" t="s">
        <v>382</v>
      </c>
      <c r="G249" t="s">
        <v>382</v>
      </c>
      <c r="H249" t="s">
        <v>382</v>
      </c>
      <c r="I249" t="s">
        <v>382</v>
      </c>
      <c r="J249" t="s">
        <v>382</v>
      </c>
      <c r="K249" t="s">
        <v>382</v>
      </c>
      <c r="L249" t="s">
        <v>382</v>
      </c>
      <c r="M249" t="s">
        <v>382</v>
      </c>
      <c r="N249" t="s">
        <v>382</v>
      </c>
      <c r="O249" t="s">
        <v>382</v>
      </c>
      <c r="P249" t="s">
        <v>382</v>
      </c>
      <c r="Q249" t="s">
        <v>382</v>
      </c>
      <c r="R249" t="s">
        <v>382</v>
      </c>
      <c r="S249" t="s">
        <v>382</v>
      </c>
      <c r="T249" t="s">
        <v>382</v>
      </c>
      <c r="U249" t="s">
        <v>382</v>
      </c>
      <c r="V249" t="s">
        <v>382</v>
      </c>
      <c r="W249" t="s">
        <v>382</v>
      </c>
      <c r="X249" t="s">
        <v>382</v>
      </c>
      <c r="Y249" t="s">
        <v>382</v>
      </c>
      <c r="Z249" t="s">
        <v>382</v>
      </c>
      <c r="AA249" t="s">
        <v>382</v>
      </c>
      <c r="AB249" t="s">
        <v>382</v>
      </c>
      <c r="AC249">
        <v>5</v>
      </c>
      <c r="AD249">
        <v>3</v>
      </c>
      <c r="AF249" t="s">
        <v>385</v>
      </c>
      <c r="AH249" t="s">
        <v>27</v>
      </c>
      <c r="AI249" t="s">
        <v>109</v>
      </c>
      <c r="AK249">
        <v>1726</v>
      </c>
      <c r="AL249">
        <v>2164</v>
      </c>
    </row>
    <row r="250" spans="1:38">
      <c r="A250" t="s">
        <v>382</v>
      </c>
      <c r="B250" t="s">
        <v>382</v>
      </c>
      <c r="C250" t="s">
        <v>382</v>
      </c>
      <c r="D250" t="s">
        <v>382</v>
      </c>
      <c r="E250" t="s">
        <v>382</v>
      </c>
      <c r="F250" t="s">
        <v>382</v>
      </c>
      <c r="G250" t="s">
        <v>382</v>
      </c>
      <c r="H250" t="s">
        <v>382</v>
      </c>
      <c r="I250" t="s">
        <v>382</v>
      </c>
      <c r="J250" t="s">
        <v>382</v>
      </c>
      <c r="K250" t="s">
        <v>382</v>
      </c>
      <c r="L250" t="s">
        <v>382</v>
      </c>
      <c r="M250" t="s">
        <v>382</v>
      </c>
      <c r="N250" t="s">
        <v>382</v>
      </c>
      <c r="O250" t="s">
        <v>382</v>
      </c>
      <c r="P250" t="s">
        <v>382</v>
      </c>
      <c r="Q250" t="s">
        <v>382</v>
      </c>
      <c r="R250" t="s">
        <v>382</v>
      </c>
      <c r="S250" t="s">
        <v>382</v>
      </c>
      <c r="T250" t="s">
        <v>382</v>
      </c>
      <c r="U250" t="s">
        <v>382</v>
      </c>
      <c r="V250" t="s">
        <v>382</v>
      </c>
      <c r="W250" t="s">
        <v>382</v>
      </c>
      <c r="X250" t="s">
        <v>382</v>
      </c>
      <c r="Y250" t="s">
        <v>382</v>
      </c>
      <c r="Z250" t="s">
        <v>382</v>
      </c>
      <c r="AA250" t="s">
        <v>382</v>
      </c>
      <c r="AB250" t="s">
        <v>382</v>
      </c>
      <c r="AC250">
        <v>5</v>
      </c>
      <c r="AD250">
        <v>4</v>
      </c>
      <c r="AF250" t="s">
        <v>384</v>
      </c>
      <c r="AH250" t="s">
        <v>25</v>
      </c>
      <c r="AI250" t="s">
        <v>106</v>
      </c>
      <c r="AK250">
        <v>3211</v>
      </c>
      <c r="AL250">
        <v>1802</v>
      </c>
    </row>
    <row r="251" spans="1:38">
      <c r="A251" t="s">
        <v>382</v>
      </c>
      <c r="B251" t="s">
        <v>382</v>
      </c>
      <c r="C251" t="s">
        <v>382</v>
      </c>
      <c r="D251" t="s">
        <v>382</v>
      </c>
      <c r="E251" t="s">
        <v>382</v>
      </c>
      <c r="F251" t="s">
        <v>382</v>
      </c>
      <c r="G251" t="s">
        <v>382</v>
      </c>
      <c r="H251" t="s">
        <v>382</v>
      </c>
      <c r="I251" t="s">
        <v>382</v>
      </c>
      <c r="J251" t="s">
        <v>382</v>
      </c>
      <c r="K251" t="s">
        <v>382</v>
      </c>
      <c r="L251" t="s">
        <v>382</v>
      </c>
      <c r="M251" t="s">
        <v>382</v>
      </c>
      <c r="N251" t="s">
        <v>382</v>
      </c>
      <c r="O251" t="s">
        <v>382</v>
      </c>
      <c r="P251" t="s">
        <v>382</v>
      </c>
      <c r="Q251" t="s">
        <v>382</v>
      </c>
      <c r="R251" t="s">
        <v>382</v>
      </c>
      <c r="S251" t="s">
        <v>382</v>
      </c>
      <c r="T251" t="s">
        <v>382</v>
      </c>
      <c r="U251" t="s">
        <v>382</v>
      </c>
      <c r="V251" t="s">
        <v>382</v>
      </c>
      <c r="W251" t="s">
        <v>382</v>
      </c>
      <c r="X251" t="s">
        <v>382</v>
      </c>
      <c r="Y251" t="s">
        <v>382</v>
      </c>
      <c r="Z251" t="s">
        <v>382</v>
      </c>
      <c r="AA251" t="s">
        <v>382</v>
      </c>
      <c r="AB251" t="s">
        <v>382</v>
      </c>
      <c r="AC251">
        <v>5</v>
      </c>
      <c r="AD251">
        <v>5</v>
      </c>
      <c r="AF251" t="s">
        <v>385</v>
      </c>
      <c r="AH251" t="s">
        <v>27</v>
      </c>
      <c r="AI251" t="s">
        <v>109</v>
      </c>
      <c r="AK251">
        <v>925</v>
      </c>
      <c r="AL251">
        <v>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1"/>
  <sheetViews>
    <sheetView topLeftCell="P1" workbookViewId="0">
      <selection activeCell="AC2" sqref="AC2:AD251"/>
    </sheetView>
  </sheetViews>
  <sheetFormatPr baseColWidth="10" defaultColWidth="8.83203125" defaultRowHeight="14" x14ac:dyDescent="0"/>
  <cols>
    <col min="1" max="1" width="9.6640625" bestFit="1" customWidth="1"/>
    <col min="2" max="2" width="12.1640625" bestFit="1" customWidth="1"/>
    <col min="3" max="3" width="6.83203125" bestFit="1" customWidth="1"/>
    <col min="4" max="4" width="7.83203125" bestFit="1" customWidth="1"/>
    <col min="5" max="5" width="7.5" bestFit="1" customWidth="1"/>
    <col min="6" max="6" width="9.33203125" bestFit="1" customWidth="1"/>
    <col min="7" max="7" width="6.1640625" bestFit="1" customWidth="1"/>
    <col min="8" max="8" width="8.6640625" bestFit="1" customWidth="1"/>
    <col min="9" max="9" width="7.6640625" bestFit="1" customWidth="1"/>
    <col min="10" max="10" width="9.1640625" bestFit="1" customWidth="1"/>
    <col min="11" max="11" width="6.83203125" bestFit="1" customWidth="1"/>
    <col min="12" max="12" width="8.1640625" bestFit="1" customWidth="1"/>
    <col min="13" max="13" width="9.5" bestFit="1" customWidth="1"/>
    <col min="14" max="14" width="6.5" bestFit="1" customWidth="1"/>
    <col min="15" max="15" width="8" bestFit="1" customWidth="1"/>
    <col min="16" max="16" width="11.5" bestFit="1" customWidth="1"/>
    <col min="17" max="17" width="14.1640625" bestFit="1" customWidth="1"/>
    <col min="18" max="18" width="6" bestFit="1" customWidth="1"/>
    <col min="19" max="19" width="5.33203125" bestFit="1" customWidth="1"/>
    <col min="20" max="20" width="7.1640625" bestFit="1" customWidth="1"/>
    <col min="21" max="21" width="11" bestFit="1" customWidth="1"/>
    <col min="22" max="22" width="10.33203125" bestFit="1" customWidth="1"/>
    <col min="23" max="23" width="10.5" bestFit="1" customWidth="1"/>
    <col min="24" max="24" width="12.5" bestFit="1" customWidth="1"/>
    <col min="25" max="25" width="7.33203125" bestFit="1" customWidth="1"/>
    <col min="26" max="26" width="4.5" bestFit="1" customWidth="1"/>
    <col min="27" max="27" width="12" bestFit="1" customWidth="1"/>
    <col min="28" max="28" width="12.5" bestFit="1" customWidth="1"/>
    <col min="29" max="29" width="10.83203125" bestFit="1" customWidth="1"/>
    <col min="30" max="30" width="6.6640625" bestFit="1" customWidth="1"/>
    <col min="31" max="31" width="7.33203125" bestFit="1" customWidth="1"/>
    <col min="32" max="32" width="23.83203125" bestFit="1" customWidth="1"/>
    <col min="33" max="33" width="7.33203125" bestFit="1" customWidth="1"/>
    <col min="34" max="34" width="11.1640625" bestFit="1" customWidth="1"/>
    <col min="35" max="35" width="22.1640625" bestFit="1" customWidth="1"/>
    <col min="36" max="36" width="5.6640625" bestFit="1" customWidth="1"/>
    <col min="37" max="38" width="4.83203125" bestFit="1" customWidth="1"/>
  </cols>
  <sheetData>
    <row r="1" spans="1:38">
      <c r="A1" s="1" t="s">
        <v>322</v>
      </c>
      <c r="B1" s="1" t="s">
        <v>367</v>
      </c>
      <c r="C1" s="1" t="s">
        <v>324</v>
      </c>
      <c r="D1" s="1" t="s">
        <v>325</v>
      </c>
      <c r="E1" s="1" t="s">
        <v>326</v>
      </c>
      <c r="F1" s="1" t="s">
        <v>368</v>
      </c>
      <c r="G1" s="1" t="s">
        <v>328</v>
      </c>
      <c r="H1" s="1" t="s">
        <v>329</v>
      </c>
      <c r="I1" s="1" t="s">
        <v>330</v>
      </c>
      <c r="J1" s="1" t="s">
        <v>369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370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371</v>
      </c>
      <c r="V1" s="1" t="s">
        <v>372</v>
      </c>
      <c r="W1" s="1" t="s">
        <v>373</v>
      </c>
      <c r="X1" s="1" t="s">
        <v>345</v>
      </c>
      <c r="Y1" s="1" t="s">
        <v>346</v>
      </c>
      <c r="Z1" s="1" t="s">
        <v>347</v>
      </c>
      <c r="AA1" s="1" t="s">
        <v>374</v>
      </c>
      <c r="AB1" s="1" t="s">
        <v>375</v>
      </c>
      <c r="AC1" s="1" t="s">
        <v>376</v>
      </c>
      <c r="AD1" s="1" t="s">
        <v>377</v>
      </c>
      <c r="AE1" s="1" t="s">
        <v>378</v>
      </c>
      <c r="AF1" s="1" t="s">
        <v>379</v>
      </c>
      <c r="AG1" s="1" t="s">
        <v>380</v>
      </c>
      <c r="AH1" s="1" t="s">
        <v>381</v>
      </c>
      <c r="AI1" s="1" t="s">
        <v>320</v>
      </c>
      <c r="AJ1" s="1" t="s">
        <v>16</v>
      </c>
      <c r="AK1" s="1" t="s">
        <v>1</v>
      </c>
      <c r="AL1" s="1" t="s">
        <v>2</v>
      </c>
    </row>
    <row r="2" spans="1:38">
      <c r="A2" t="s">
        <v>382</v>
      </c>
      <c r="B2" t="s">
        <v>382</v>
      </c>
      <c r="C2" t="s">
        <v>382</v>
      </c>
      <c r="D2" t="s">
        <v>382</v>
      </c>
      <c r="E2" t="s">
        <v>382</v>
      </c>
      <c r="F2" t="s">
        <v>382</v>
      </c>
      <c r="G2" t="s">
        <v>382</v>
      </c>
      <c r="H2" t="s">
        <v>382</v>
      </c>
      <c r="I2" t="s">
        <v>382</v>
      </c>
      <c r="J2" t="s">
        <v>382</v>
      </c>
      <c r="K2" t="s">
        <v>382</v>
      </c>
      <c r="L2" t="s">
        <v>382</v>
      </c>
      <c r="M2" t="s">
        <v>382</v>
      </c>
      <c r="N2" t="s">
        <v>382</v>
      </c>
      <c r="O2" t="s">
        <v>382</v>
      </c>
      <c r="P2" t="s">
        <v>382</v>
      </c>
      <c r="Q2" t="s">
        <v>382</v>
      </c>
      <c r="R2" t="s">
        <v>382</v>
      </c>
      <c r="S2" t="s">
        <v>382</v>
      </c>
      <c r="T2" t="s">
        <v>382</v>
      </c>
      <c r="U2" t="s">
        <v>382</v>
      </c>
      <c r="V2" t="s">
        <v>382</v>
      </c>
      <c r="W2" t="s">
        <v>382</v>
      </c>
      <c r="X2" t="s">
        <v>382</v>
      </c>
      <c r="Y2" t="s">
        <v>382</v>
      </c>
      <c r="Z2" t="s">
        <v>382</v>
      </c>
      <c r="AA2" t="s">
        <v>382</v>
      </c>
      <c r="AB2" t="s">
        <v>382</v>
      </c>
      <c r="AC2">
        <v>5</v>
      </c>
      <c r="AD2">
        <v>1</v>
      </c>
      <c r="AE2">
        <v>1</v>
      </c>
      <c r="AF2" t="s">
        <v>383</v>
      </c>
      <c r="AH2" t="s">
        <v>22</v>
      </c>
      <c r="AI2" t="s">
        <v>97</v>
      </c>
      <c r="AK2">
        <v>2154</v>
      </c>
      <c r="AL2">
        <v>519</v>
      </c>
    </row>
    <row r="3" spans="1:38">
      <c r="A3" t="s">
        <v>382</v>
      </c>
      <c r="B3" t="s">
        <v>382</v>
      </c>
      <c r="C3" t="s">
        <v>382</v>
      </c>
      <c r="D3" t="s">
        <v>382</v>
      </c>
      <c r="E3" t="s">
        <v>382</v>
      </c>
      <c r="F3" t="s">
        <v>382</v>
      </c>
      <c r="G3" t="s">
        <v>382</v>
      </c>
      <c r="H3" t="s">
        <v>382</v>
      </c>
      <c r="I3" t="s">
        <v>382</v>
      </c>
      <c r="J3" t="s">
        <v>382</v>
      </c>
      <c r="K3" t="s">
        <v>382</v>
      </c>
      <c r="L3" t="s">
        <v>382</v>
      </c>
      <c r="M3" t="s">
        <v>382</v>
      </c>
      <c r="N3" t="s">
        <v>382</v>
      </c>
      <c r="O3" t="s">
        <v>382</v>
      </c>
      <c r="P3" t="s">
        <v>382</v>
      </c>
      <c r="Q3" t="s">
        <v>382</v>
      </c>
      <c r="R3" t="s">
        <v>382</v>
      </c>
      <c r="S3" t="s">
        <v>382</v>
      </c>
      <c r="T3" t="s">
        <v>382</v>
      </c>
      <c r="U3" t="s">
        <v>382</v>
      </c>
      <c r="V3" t="s">
        <v>382</v>
      </c>
      <c r="W3" t="s">
        <v>382</v>
      </c>
      <c r="X3" t="s">
        <v>382</v>
      </c>
      <c r="Y3" t="s">
        <v>382</v>
      </c>
      <c r="Z3" t="s">
        <v>382</v>
      </c>
      <c r="AA3" t="s">
        <v>382</v>
      </c>
      <c r="AB3" t="s">
        <v>382</v>
      </c>
      <c r="AC3">
        <v>5</v>
      </c>
      <c r="AD3">
        <v>2</v>
      </c>
      <c r="AE3">
        <v>1</v>
      </c>
      <c r="AF3" t="s">
        <v>383</v>
      </c>
      <c r="AH3" t="s">
        <v>22</v>
      </c>
      <c r="AI3" t="s">
        <v>97</v>
      </c>
      <c r="AK3">
        <v>3275</v>
      </c>
      <c r="AL3">
        <v>208</v>
      </c>
    </row>
    <row r="4" spans="1:38">
      <c r="A4" t="s">
        <v>382</v>
      </c>
      <c r="B4" t="s">
        <v>382</v>
      </c>
      <c r="C4" t="s">
        <v>382</v>
      </c>
      <c r="D4" t="s">
        <v>382</v>
      </c>
      <c r="E4" t="s">
        <v>382</v>
      </c>
      <c r="F4" t="s">
        <v>382</v>
      </c>
      <c r="G4" t="s">
        <v>382</v>
      </c>
      <c r="H4" t="s">
        <v>382</v>
      </c>
      <c r="I4" t="s">
        <v>382</v>
      </c>
      <c r="J4" t="s">
        <v>382</v>
      </c>
      <c r="K4" t="s">
        <v>382</v>
      </c>
      <c r="L4" t="s">
        <v>382</v>
      </c>
      <c r="M4" t="s">
        <v>382</v>
      </c>
      <c r="N4" t="s">
        <v>382</v>
      </c>
      <c r="O4" t="s">
        <v>382</v>
      </c>
      <c r="P4" t="s">
        <v>382</v>
      </c>
      <c r="Q4" t="s">
        <v>382</v>
      </c>
      <c r="R4" t="s">
        <v>382</v>
      </c>
      <c r="S4" t="s">
        <v>382</v>
      </c>
      <c r="T4" t="s">
        <v>382</v>
      </c>
      <c r="U4" t="s">
        <v>382</v>
      </c>
      <c r="V4" t="s">
        <v>382</v>
      </c>
      <c r="W4" t="s">
        <v>382</v>
      </c>
      <c r="X4" t="s">
        <v>382</v>
      </c>
      <c r="Y4" t="s">
        <v>382</v>
      </c>
      <c r="Z4" t="s">
        <v>382</v>
      </c>
      <c r="AA4" t="s">
        <v>382</v>
      </c>
      <c r="AB4" t="s">
        <v>382</v>
      </c>
      <c r="AC4">
        <v>5</v>
      </c>
      <c r="AD4">
        <v>3</v>
      </c>
      <c r="AE4">
        <v>1</v>
      </c>
      <c r="AF4" t="s">
        <v>480</v>
      </c>
      <c r="AH4" t="s">
        <v>155</v>
      </c>
      <c r="AI4" t="s">
        <v>97</v>
      </c>
      <c r="AK4">
        <v>1092</v>
      </c>
      <c r="AL4">
        <v>1037</v>
      </c>
    </row>
    <row r="5" spans="1:38">
      <c r="A5" t="s">
        <v>382</v>
      </c>
      <c r="B5" t="s">
        <v>382</v>
      </c>
      <c r="C5" t="s">
        <v>382</v>
      </c>
      <c r="D5" t="s">
        <v>382</v>
      </c>
      <c r="E5" t="s">
        <v>382</v>
      </c>
      <c r="F5" t="s">
        <v>382</v>
      </c>
      <c r="G5" t="s">
        <v>382</v>
      </c>
      <c r="H5" t="s">
        <v>382</v>
      </c>
      <c r="I5" t="s">
        <v>382</v>
      </c>
      <c r="J5" t="s">
        <v>382</v>
      </c>
      <c r="K5" t="s">
        <v>382</v>
      </c>
      <c r="L5" t="s">
        <v>382</v>
      </c>
      <c r="M5" t="s">
        <v>382</v>
      </c>
      <c r="N5" t="s">
        <v>382</v>
      </c>
      <c r="O5" t="s">
        <v>382</v>
      </c>
      <c r="P5" t="s">
        <v>382</v>
      </c>
      <c r="Q5" t="s">
        <v>382</v>
      </c>
      <c r="R5" t="s">
        <v>382</v>
      </c>
      <c r="S5" t="s">
        <v>382</v>
      </c>
      <c r="T5" t="s">
        <v>382</v>
      </c>
      <c r="U5" t="s">
        <v>382</v>
      </c>
      <c r="V5" t="s">
        <v>382</v>
      </c>
      <c r="W5" t="s">
        <v>382</v>
      </c>
      <c r="X5" t="s">
        <v>382</v>
      </c>
      <c r="Y5" t="s">
        <v>382</v>
      </c>
      <c r="Z5" t="s">
        <v>382</v>
      </c>
      <c r="AA5" t="s">
        <v>382</v>
      </c>
      <c r="AB5" t="s">
        <v>382</v>
      </c>
      <c r="AC5">
        <v>5</v>
      </c>
      <c r="AD5">
        <v>4</v>
      </c>
      <c r="AE5">
        <v>1</v>
      </c>
      <c r="AF5" t="s">
        <v>383</v>
      </c>
      <c r="AH5" t="s">
        <v>22</v>
      </c>
      <c r="AI5" t="s">
        <v>97</v>
      </c>
      <c r="AK5">
        <v>2132</v>
      </c>
      <c r="AL5">
        <v>880</v>
      </c>
    </row>
    <row r="6" spans="1:38">
      <c r="A6" t="s">
        <v>382</v>
      </c>
      <c r="B6" t="s">
        <v>382</v>
      </c>
      <c r="C6" t="s">
        <v>382</v>
      </c>
      <c r="D6" t="s">
        <v>382</v>
      </c>
      <c r="E6" t="s">
        <v>382</v>
      </c>
      <c r="F6" t="s">
        <v>382</v>
      </c>
      <c r="G6" t="s">
        <v>382</v>
      </c>
      <c r="H6" t="s">
        <v>382</v>
      </c>
      <c r="I6" t="s">
        <v>382</v>
      </c>
      <c r="J6" t="s">
        <v>382</v>
      </c>
      <c r="K6" t="s">
        <v>382</v>
      </c>
      <c r="L6" t="s">
        <v>382</v>
      </c>
      <c r="M6" t="s">
        <v>382</v>
      </c>
      <c r="N6" t="s">
        <v>382</v>
      </c>
      <c r="O6" t="s">
        <v>382</v>
      </c>
      <c r="P6" t="s">
        <v>382</v>
      </c>
      <c r="Q6" t="s">
        <v>382</v>
      </c>
      <c r="R6" t="s">
        <v>382</v>
      </c>
      <c r="S6" t="s">
        <v>382</v>
      </c>
      <c r="T6" t="s">
        <v>382</v>
      </c>
      <c r="U6" t="s">
        <v>382</v>
      </c>
      <c r="V6" t="s">
        <v>382</v>
      </c>
      <c r="W6" t="s">
        <v>382</v>
      </c>
      <c r="X6" t="s">
        <v>382</v>
      </c>
      <c r="Y6" t="s">
        <v>382</v>
      </c>
      <c r="Z6" t="s">
        <v>382</v>
      </c>
      <c r="AA6" t="s">
        <v>382</v>
      </c>
      <c r="AB6" t="s">
        <v>382</v>
      </c>
      <c r="AC6">
        <v>5</v>
      </c>
      <c r="AD6">
        <v>5</v>
      </c>
      <c r="AE6">
        <v>1</v>
      </c>
      <c r="AF6" t="s">
        <v>383</v>
      </c>
      <c r="AH6" t="s">
        <v>22</v>
      </c>
      <c r="AI6" t="s">
        <v>97</v>
      </c>
      <c r="AK6">
        <v>1535</v>
      </c>
      <c r="AL6">
        <v>1028</v>
      </c>
    </row>
    <row r="7" spans="1:38">
      <c r="A7" t="s">
        <v>382</v>
      </c>
      <c r="B7" t="s">
        <v>382</v>
      </c>
      <c r="C7" t="s">
        <v>382</v>
      </c>
      <c r="D7" t="s">
        <v>382</v>
      </c>
      <c r="E7" t="s">
        <v>382</v>
      </c>
      <c r="F7" t="s">
        <v>382</v>
      </c>
      <c r="G7" t="s">
        <v>382</v>
      </c>
      <c r="H7" t="s">
        <v>382</v>
      </c>
      <c r="I7" t="s">
        <v>382</v>
      </c>
      <c r="J7" t="s">
        <v>382</v>
      </c>
      <c r="K7" t="s">
        <v>382</v>
      </c>
      <c r="L7" t="s">
        <v>382</v>
      </c>
      <c r="M7" t="s">
        <v>382</v>
      </c>
      <c r="N7" t="s">
        <v>382</v>
      </c>
      <c r="O7" t="s">
        <v>382</v>
      </c>
      <c r="P7" t="s">
        <v>382</v>
      </c>
      <c r="Q7" t="s">
        <v>382</v>
      </c>
      <c r="R7" t="s">
        <v>382</v>
      </c>
      <c r="S7" t="s">
        <v>382</v>
      </c>
      <c r="T7" t="s">
        <v>382</v>
      </c>
      <c r="U7" t="s">
        <v>382</v>
      </c>
      <c r="V7" t="s">
        <v>382</v>
      </c>
      <c r="W7" t="s">
        <v>382</v>
      </c>
      <c r="X7" t="s">
        <v>382</v>
      </c>
      <c r="Y7" t="s">
        <v>382</v>
      </c>
      <c r="Z7" t="s">
        <v>382</v>
      </c>
      <c r="AA7" t="s">
        <v>382</v>
      </c>
      <c r="AB7" t="s">
        <v>382</v>
      </c>
      <c r="AC7">
        <v>5</v>
      </c>
      <c r="AD7">
        <v>1</v>
      </c>
      <c r="AF7" t="s">
        <v>386</v>
      </c>
      <c r="AH7" t="s">
        <v>29</v>
      </c>
      <c r="AI7" t="s">
        <v>103</v>
      </c>
      <c r="AK7">
        <v>997</v>
      </c>
      <c r="AL7">
        <v>505</v>
      </c>
    </row>
    <row r="8" spans="1:38">
      <c r="A8" t="s">
        <v>382</v>
      </c>
      <c r="B8" t="s">
        <v>382</v>
      </c>
      <c r="C8" t="s">
        <v>382</v>
      </c>
      <c r="D8" t="s">
        <v>382</v>
      </c>
      <c r="E8" t="s">
        <v>382</v>
      </c>
      <c r="F8" t="s">
        <v>382</v>
      </c>
      <c r="G8" t="s">
        <v>382</v>
      </c>
      <c r="H8" t="s">
        <v>382</v>
      </c>
      <c r="I8" t="s">
        <v>382</v>
      </c>
      <c r="J8" t="s">
        <v>382</v>
      </c>
      <c r="K8" t="s">
        <v>382</v>
      </c>
      <c r="L8" t="s">
        <v>382</v>
      </c>
      <c r="M8" t="s">
        <v>382</v>
      </c>
      <c r="N8" t="s">
        <v>382</v>
      </c>
      <c r="O8" t="s">
        <v>382</v>
      </c>
      <c r="P8" t="s">
        <v>382</v>
      </c>
      <c r="Q8" t="s">
        <v>382</v>
      </c>
      <c r="R8" t="s">
        <v>382</v>
      </c>
      <c r="S8" t="s">
        <v>382</v>
      </c>
      <c r="T8" t="s">
        <v>382</v>
      </c>
      <c r="U8" t="s">
        <v>382</v>
      </c>
      <c r="V8" t="s">
        <v>382</v>
      </c>
      <c r="W8" t="s">
        <v>382</v>
      </c>
      <c r="X8" t="s">
        <v>382</v>
      </c>
      <c r="Y8" t="s">
        <v>382</v>
      </c>
      <c r="Z8" t="s">
        <v>382</v>
      </c>
      <c r="AA8" t="s">
        <v>382</v>
      </c>
      <c r="AB8" t="s">
        <v>382</v>
      </c>
      <c r="AC8">
        <v>5</v>
      </c>
      <c r="AD8">
        <v>2</v>
      </c>
      <c r="AE8">
        <v>1</v>
      </c>
      <c r="AF8" t="s">
        <v>398</v>
      </c>
      <c r="AH8" t="s">
        <v>69</v>
      </c>
      <c r="AI8" t="s">
        <v>97</v>
      </c>
      <c r="AK8">
        <v>2114</v>
      </c>
      <c r="AL8">
        <v>1710</v>
      </c>
    </row>
    <row r="9" spans="1:38">
      <c r="A9" t="s">
        <v>382</v>
      </c>
      <c r="B9" t="s">
        <v>382</v>
      </c>
      <c r="C9" t="s">
        <v>382</v>
      </c>
      <c r="D9" t="s">
        <v>382</v>
      </c>
      <c r="E9" t="s">
        <v>382</v>
      </c>
      <c r="F9" t="s">
        <v>382</v>
      </c>
      <c r="G9" t="s">
        <v>382</v>
      </c>
      <c r="H9" t="s">
        <v>382</v>
      </c>
      <c r="I9" t="s">
        <v>382</v>
      </c>
      <c r="J9" t="s">
        <v>382</v>
      </c>
      <c r="K9" t="s">
        <v>382</v>
      </c>
      <c r="L9" t="s">
        <v>382</v>
      </c>
      <c r="M9" t="s">
        <v>382</v>
      </c>
      <c r="N9" t="s">
        <v>382</v>
      </c>
      <c r="O9" t="s">
        <v>382</v>
      </c>
      <c r="P9" t="s">
        <v>382</v>
      </c>
      <c r="Q9" t="s">
        <v>382</v>
      </c>
      <c r="R9" t="s">
        <v>382</v>
      </c>
      <c r="S9" t="s">
        <v>382</v>
      </c>
      <c r="T9" t="s">
        <v>382</v>
      </c>
      <c r="U9" t="s">
        <v>382</v>
      </c>
      <c r="V9" t="s">
        <v>382</v>
      </c>
      <c r="W9" t="s">
        <v>382</v>
      </c>
      <c r="X9" t="s">
        <v>382</v>
      </c>
      <c r="Y9" t="s">
        <v>382</v>
      </c>
      <c r="Z9" t="s">
        <v>382</v>
      </c>
      <c r="AA9" t="s">
        <v>382</v>
      </c>
      <c r="AB9" t="s">
        <v>382</v>
      </c>
      <c r="AC9">
        <v>5</v>
      </c>
      <c r="AD9">
        <v>3</v>
      </c>
      <c r="AF9" t="s">
        <v>385</v>
      </c>
      <c r="AH9" t="s">
        <v>27</v>
      </c>
      <c r="AI9" t="s">
        <v>109</v>
      </c>
      <c r="AK9">
        <v>2145</v>
      </c>
      <c r="AL9">
        <v>554</v>
      </c>
    </row>
    <row r="10" spans="1:38">
      <c r="A10" t="s">
        <v>382</v>
      </c>
      <c r="B10" t="s">
        <v>382</v>
      </c>
      <c r="C10" t="s">
        <v>382</v>
      </c>
      <c r="D10" t="s">
        <v>382</v>
      </c>
      <c r="E10" t="s">
        <v>382</v>
      </c>
      <c r="F10" t="s">
        <v>382</v>
      </c>
      <c r="G10" t="s">
        <v>382</v>
      </c>
      <c r="H10" t="s">
        <v>382</v>
      </c>
      <c r="I10" t="s">
        <v>382</v>
      </c>
      <c r="J10" t="s">
        <v>382</v>
      </c>
      <c r="K10" t="s">
        <v>382</v>
      </c>
      <c r="L10" t="s">
        <v>382</v>
      </c>
      <c r="M10" t="s">
        <v>382</v>
      </c>
      <c r="N10" t="s">
        <v>382</v>
      </c>
      <c r="O10" t="s">
        <v>382</v>
      </c>
      <c r="P10" t="s">
        <v>382</v>
      </c>
      <c r="Q10" t="s">
        <v>382</v>
      </c>
      <c r="R10" t="s">
        <v>382</v>
      </c>
      <c r="S10" t="s">
        <v>382</v>
      </c>
      <c r="T10" t="s">
        <v>382</v>
      </c>
      <c r="U10" t="s">
        <v>382</v>
      </c>
      <c r="V10" t="s">
        <v>382</v>
      </c>
      <c r="W10" t="s">
        <v>382</v>
      </c>
      <c r="X10" t="s">
        <v>382</v>
      </c>
      <c r="Y10" t="s">
        <v>382</v>
      </c>
      <c r="Z10" t="s">
        <v>382</v>
      </c>
      <c r="AA10" t="s">
        <v>382</v>
      </c>
      <c r="AB10" t="s">
        <v>382</v>
      </c>
      <c r="AC10">
        <v>5</v>
      </c>
      <c r="AD10">
        <v>4</v>
      </c>
      <c r="AF10" t="s">
        <v>386</v>
      </c>
      <c r="AH10" t="s">
        <v>29</v>
      </c>
      <c r="AI10" t="s">
        <v>103</v>
      </c>
      <c r="AK10">
        <v>1754</v>
      </c>
      <c r="AL10">
        <v>1056</v>
      </c>
    </row>
    <row r="11" spans="1:38">
      <c r="A11" t="s">
        <v>382</v>
      </c>
      <c r="B11" t="s">
        <v>382</v>
      </c>
      <c r="C11" t="s">
        <v>382</v>
      </c>
      <c r="D11" t="s">
        <v>382</v>
      </c>
      <c r="E11" t="s">
        <v>382</v>
      </c>
      <c r="F11" t="s">
        <v>382</v>
      </c>
      <c r="G11" t="s">
        <v>382</v>
      </c>
      <c r="H11" t="s">
        <v>382</v>
      </c>
      <c r="I11" t="s">
        <v>382</v>
      </c>
      <c r="J11" t="s">
        <v>382</v>
      </c>
      <c r="K11" t="s">
        <v>382</v>
      </c>
      <c r="L11" t="s">
        <v>382</v>
      </c>
      <c r="M11" t="s">
        <v>382</v>
      </c>
      <c r="N11" t="s">
        <v>382</v>
      </c>
      <c r="O11" t="s">
        <v>382</v>
      </c>
      <c r="P11" t="s">
        <v>382</v>
      </c>
      <c r="Q11" t="s">
        <v>382</v>
      </c>
      <c r="R11" t="s">
        <v>382</v>
      </c>
      <c r="S11" t="s">
        <v>382</v>
      </c>
      <c r="T11" t="s">
        <v>382</v>
      </c>
      <c r="U11" t="s">
        <v>382</v>
      </c>
      <c r="V11" t="s">
        <v>382</v>
      </c>
      <c r="W11" t="s">
        <v>382</v>
      </c>
      <c r="X11" t="s">
        <v>382</v>
      </c>
      <c r="Y11" t="s">
        <v>382</v>
      </c>
      <c r="Z11" t="s">
        <v>382</v>
      </c>
      <c r="AA11" t="s">
        <v>382</v>
      </c>
      <c r="AB11" t="s">
        <v>382</v>
      </c>
      <c r="AC11">
        <v>5</v>
      </c>
      <c r="AD11">
        <v>5</v>
      </c>
      <c r="AF11" t="s">
        <v>386</v>
      </c>
      <c r="AH11" t="s">
        <v>29</v>
      </c>
      <c r="AI11" t="s">
        <v>103</v>
      </c>
      <c r="AK11">
        <v>2955</v>
      </c>
      <c r="AL11">
        <v>2182</v>
      </c>
    </row>
    <row r="12" spans="1:38">
      <c r="A12" t="s">
        <v>382</v>
      </c>
      <c r="B12" t="s">
        <v>382</v>
      </c>
      <c r="C12" t="s">
        <v>382</v>
      </c>
      <c r="D12" t="s">
        <v>382</v>
      </c>
      <c r="E12" t="s">
        <v>382</v>
      </c>
      <c r="F12" t="s">
        <v>382</v>
      </c>
      <c r="G12" t="s">
        <v>382</v>
      </c>
      <c r="H12" t="s">
        <v>382</v>
      </c>
      <c r="I12" t="s">
        <v>382</v>
      </c>
      <c r="J12" t="s">
        <v>382</v>
      </c>
      <c r="K12" t="s">
        <v>382</v>
      </c>
      <c r="L12" t="s">
        <v>382</v>
      </c>
      <c r="M12" t="s">
        <v>382</v>
      </c>
      <c r="N12" t="s">
        <v>382</v>
      </c>
      <c r="O12" t="s">
        <v>382</v>
      </c>
      <c r="P12" t="s">
        <v>382</v>
      </c>
      <c r="Q12" t="s">
        <v>382</v>
      </c>
      <c r="R12" t="s">
        <v>382</v>
      </c>
      <c r="S12" t="s">
        <v>382</v>
      </c>
      <c r="T12" t="s">
        <v>382</v>
      </c>
      <c r="U12" t="s">
        <v>382</v>
      </c>
      <c r="V12" t="s">
        <v>382</v>
      </c>
      <c r="W12" t="s">
        <v>382</v>
      </c>
      <c r="X12" t="s">
        <v>382</v>
      </c>
      <c r="Y12" t="s">
        <v>382</v>
      </c>
      <c r="Z12" t="s">
        <v>382</v>
      </c>
      <c r="AA12" t="s">
        <v>382</v>
      </c>
      <c r="AB12" t="s">
        <v>382</v>
      </c>
      <c r="AC12">
        <v>5</v>
      </c>
      <c r="AD12">
        <v>1</v>
      </c>
      <c r="AE12">
        <v>1</v>
      </c>
      <c r="AF12" t="s">
        <v>396</v>
      </c>
      <c r="AH12" t="s">
        <v>64</v>
      </c>
      <c r="AI12" t="s">
        <v>97</v>
      </c>
      <c r="AK12">
        <v>1970</v>
      </c>
      <c r="AL12">
        <v>394</v>
      </c>
    </row>
    <row r="13" spans="1:38">
      <c r="A13" t="s">
        <v>382</v>
      </c>
      <c r="B13" t="s">
        <v>382</v>
      </c>
      <c r="C13" t="s">
        <v>382</v>
      </c>
      <c r="D13" t="s">
        <v>382</v>
      </c>
      <c r="E13" t="s">
        <v>382</v>
      </c>
      <c r="F13" t="s">
        <v>382</v>
      </c>
      <c r="G13" t="s">
        <v>382</v>
      </c>
      <c r="H13" t="s">
        <v>382</v>
      </c>
      <c r="I13" t="s">
        <v>382</v>
      </c>
      <c r="J13" t="s">
        <v>382</v>
      </c>
      <c r="K13" t="s">
        <v>382</v>
      </c>
      <c r="L13" t="s">
        <v>382</v>
      </c>
      <c r="M13" t="s">
        <v>382</v>
      </c>
      <c r="N13" t="s">
        <v>382</v>
      </c>
      <c r="O13" t="s">
        <v>382</v>
      </c>
      <c r="P13" t="s">
        <v>382</v>
      </c>
      <c r="Q13" t="s">
        <v>382</v>
      </c>
      <c r="R13" t="s">
        <v>382</v>
      </c>
      <c r="S13" t="s">
        <v>382</v>
      </c>
      <c r="T13" t="s">
        <v>382</v>
      </c>
      <c r="U13" t="s">
        <v>382</v>
      </c>
      <c r="V13" t="s">
        <v>382</v>
      </c>
      <c r="W13" t="s">
        <v>382</v>
      </c>
      <c r="X13" t="s">
        <v>382</v>
      </c>
      <c r="Y13" t="s">
        <v>382</v>
      </c>
      <c r="Z13" t="s">
        <v>382</v>
      </c>
      <c r="AA13" t="s">
        <v>382</v>
      </c>
      <c r="AB13" t="s">
        <v>382</v>
      </c>
      <c r="AC13">
        <v>5</v>
      </c>
      <c r="AD13">
        <v>2</v>
      </c>
      <c r="AF13" t="s">
        <v>386</v>
      </c>
      <c r="AH13" t="s">
        <v>29</v>
      </c>
      <c r="AI13" t="s">
        <v>103</v>
      </c>
      <c r="AK13">
        <v>3279</v>
      </c>
      <c r="AL13">
        <v>942</v>
      </c>
    </row>
    <row r="14" spans="1:38">
      <c r="A14" t="s">
        <v>382</v>
      </c>
      <c r="B14" t="s">
        <v>382</v>
      </c>
      <c r="C14" t="s">
        <v>382</v>
      </c>
      <c r="D14" t="s">
        <v>382</v>
      </c>
      <c r="E14" t="s">
        <v>382</v>
      </c>
      <c r="F14" t="s">
        <v>382</v>
      </c>
      <c r="G14" t="s">
        <v>382</v>
      </c>
      <c r="H14" t="s">
        <v>382</v>
      </c>
      <c r="I14" t="s">
        <v>382</v>
      </c>
      <c r="J14" t="s">
        <v>382</v>
      </c>
      <c r="K14" t="s">
        <v>382</v>
      </c>
      <c r="L14" t="s">
        <v>382</v>
      </c>
      <c r="M14" t="s">
        <v>382</v>
      </c>
      <c r="N14" t="s">
        <v>382</v>
      </c>
      <c r="O14" t="s">
        <v>382</v>
      </c>
      <c r="P14" t="s">
        <v>382</v>
      </c>
      <c r="Q14" t="s">
        <v>382</v>
      </c>
      <c r="R14" t="s">
        <v>382</v>
      </c>
      <c r="S14" t="s">
        <v>382</v>
      </c>
      <c r="T14" t="s">
        <v>382</v>
      </c>
      <c r="U14" t="s">
        <v>382</v>
      </c>
      <c r="V14" t="s">
        <v>382</v>
      </c>
      <c r="W14" t="s">
        <v>382</v>
      </c>
      <c r="X14" t="s">
        <v>382</v>
      </c>
      <c r="Y14" t="s">
        <v>382</v>
      </c>
      <c r="Z14" t="s">
        <v>382</v>
      </c>
      <c r="AA14" t="s">
        <v>382</v>
      </c>
      <c r="AB14" t="s">
        <v>382</v>
      </c>
      <c r="AC14">
        <v>5</v>
      </c>
      <c r="AD14">
        <v>3</v>
      </c>
      <c r="AF14" t="s">
        <v>392</v>
      </c>
      <c r="AH14" t="s">
        <v>41</v>
      </c>
      <c r="AI14" t="s">
        <v>102</v>
      </c>
      <c r="AK14">
        <v>2192</v>
      </c>
      <c r="AL14">
        <v>1648</v>
      </c>
    </row>
    <row r="15" spans="1:38">
      <c r="A15" t="s">
        <v>382</v>
      </c>
      <c r="B15" t="s">
        <v>382</v>
      </c>
      <c r="C15" t="s">
        <v>382</v>
      </c>
      <c r="D15" t="s">
        <v>382</v>
      </c>
      <c r="E15" t="s">
        <v>382</v>
      </c>
      <c r="F15" t="s">
        <v>382</v>
      </c>
      <c r="G15" t="s">
        <v>382</v>
      </c>
      <c r="H15" t="s">
        <v>382</v>
      </c>
      <c r="I15" t="s">
        <v>382</v>
      </c>
      <c r="J15" t="s">
        <v>382</v>
      </c>
      <c r="K15" t="s">
        <v>382</v>
      </c>
      <c r="L15" t="s">
        <v>382</v>
      </c>
      <c r="M15" t="s">
        <v>382</v>
      </c>
      <c r="N15" t="s">
        <v>382</v>
      </c>
      <c r="O15" t="s">
        <v>382</v>
      </c>
      <c r="P15" t="s">
        <v>382</v>
      </c>
      <c r="Q15" t="s">
        <v>382</v>
      </c>
      <c r="R15" t="s">
        <v>382</v>
      </c>
      <c r="S15" t="s">
        <v>382</v>
      </c>
      <c r="T15" t="s">
        <v>382</v>
      </c>
      <c r="U15" t="s">
        <v>382</v>
      </c>
      <c r="V15" t="s">
        <v>382</v>
      </c>
      <c r="W15" t="s">
        <v>382</v>
      </c>
      <c r="X15" t="s">
        <v>382</v>
      </c>
      <c r="Y15" t="s">
        <v>382</v>
      </c>
      <c r="Z15" t="s">
        <v>382</v>
      </c>
      <c r="AA15" t="s">
        <v>382</v>
      </c>
      <c r="AB15" t="s">
        <v>382</v>
      </c>
      <c r="AC15">
        <v>5</v>
      </c>
      <c r="AD15">
        <v>4</v>
      </c>
      <c r="AE15">
        <v>1</v>
      </c>
      <c r="AF15" t="s">
        <v>396</v>
      </c>
      <c r="AH15" t="s">
        <v>64</v>
      </c>
      <c r="AI15" t="s">
        <v>97</v>
      </c>
      <c r="AK15">
        <v>2478</v>
      </c>
      <c r="AL15">
        <v>2219</v>
      </c>
    </row>
    <row r="16" spans="1:38">
      <c r="A16" t="s">
        <v>382</v>
      </c>
      <c r="B16" t="s">
        <v>382</v>
      </c>
      <c r="C16" t="s">
        <v>382</v>
      </c>
      <c r="D16" t="s">
        <v>382</v>
      </c>
      <c r="E16" t="s">
        <v>382</v>
      </c>
      <c r="F16" t="s">
        <v>382</v>
      </c>
      <c r="G16" t="s">
        <v>382</v>
      </c>
      <c r="H16" t="s">
        <v>382</v>
      </c>
      <c r="I16" t="s">
        <v>382</v>
      </c>
      <c r="J16" t="s">
        <v>382</v>
      </c>
      <c r="K16" t="s">
        <v>382</v>
      </c>
      <c r="L16" t="s">
        <v>382</v>
      </c>
      <c r="M16" t="s">
        <v>382</v>
      </c>
      <c r="N16" t="s">
        <v>382</v>
      </c>
      <c r="O16" t="s">
        <v>382</v>
      </c>
      <c r="P16" t="s">
        <v>382</v>
      </c>
      <c r="Q16" t="s">
        <v>382</v>
      </c>
      <c r="R16" t="s">
        <v>382</v>
      </c>
      <c r="S16" t="s">
        <v>382</v>
      </c>
      <c r="T16" t="s">
        <v>382</v>
      </c>
      <c r="U16" t="s">
        <v>382</v>
      </c>
      <c r="V16" t="s">
        <v>382</v>
      </c>
      <c r="W16" t="s">
        <v>382</v>
      </c>
      <c r="X16" t="s">
        <v>382</v>
      </c>
      <c r="Y16" t="s">
        <v>382</v>
      </c>
      <c r="Z16" t="s">
        <v>382</v>
      </c>
      <c r="AA16" t="s">
        <v>382</v>
      </c>
      <c r="AB16" t="s">
        <v>382</v>
      </c>
      <c r="AC16">
        <v>5</v>
      </c>
      <c r="AD16">
        <v>5</v>
      </c>
      <c r="AF16" t="s">
        <v>386</v>
      </c>
      <c r="AH16" t="s">
        <v>29</v>
      </c>
      <c r="AI16" t="s">
        <v>103</v>
      </c>
      <c r="AK16">
        <v>3174</v>
      </c>
      <c r="AL16">
        <v>490</v>
      </c>
    </row>
    <row r="17" spans="1:38">
      <c r="A17" t="s">
        <v>382</v>
      </c>
      <c r="B17" t="s">
        <v>382</v>
      </c>
      <c r="C17" t="s">
        <v>382</v>
      </c>
      <c r="D17" t="s">
        <v>382</v>
      </c>
      <c r="E17" t="s">
        <v>382</v>
      </c>
      <c r="F17" t="s">
        <v>382</v>
      </c>
      <c r="G17" t="s">
        <v>382</v>
      </c>
      <c r="H17" t="s">
        <v>382</v>
      </c>
      <c r="I17" t="s">
        <v>382</v>
      </c>
      <c r="J17" t="s">
        <v>382</v>
      </c>
      <c r="K17" t="s">
        <v>382</v>
      </c>
      <c r="L17" t="s">
        <v>382</v>
      </c>
      <c r="M17" t="s">
        <v>382</v>
      </c>
      <c r="N17" t="s">
        <v>382</v>
      </c>
      <c r="O17" t="s">
        <v>382</v>
      </c>
      <c r="P17" t="s">
        <v>382</v>
      </c>
      <c r="Q17" t="s">
        <v>382</v>
      </c>
      <c r="R17" t="s">
        <v>382</v>
      </c>
      <c r="S17" t="s">
        <v>382</v>
      </c>
      <c r="T17" t="s">
        <v>382</v>
      </c>
      <c r="U17" t="s">
        <v>382</v>
      </c>
      <c r="V17" t="s">
        <v>382</v>
      </c>
      <c r="W17" t="s">
        <v>382</v>
      </c>
      <c r="X17" t="s">
        <v>382</v>
      </c>
      <c r="Y17" t="s">
        <v>382</v>
      </c>
      <c r="Z17" t="s">
        <v>382</v>
      </c>
      <c r="AA17" t="s">
        <v>382</v>
      </c>
      <c r="AB17" t="s">
        <v>382</v>
      </c>
      <c r="AC17">
        <v>5</v>
      </c>
      <c r="AD17">
        <v>1</v>
      </c>
      <c r="AF17" t="s">
        <v>384</v>
      </c>
      <c r="AH17" t="s">
        <v>25</v>
      </c>
      <c r="AI17" t="s">
        <v>106</v>
      </c>
      <c r="AK17">
        <v>1153</v>
      </c>
      <c r="AL17">
        <v>2256</v>
      </c>
    </row>
    <row r="18" spans="1:38">
      <c r="A18" t="s">
        <v>382</v>
      </c>
      <c r="B18" t="s">
        <v>382</v>
      </c>
      <c r="C18" t="s">
        <v>382</v>
      </c>
      <c r="D18" t="s">
        <v>382</v>
      </c>
      <c r="E18" t="s">
        <v>382</v>
      </c>
      <c r="F18" t="s">
        <v>382</v>
      </c>
      <c r="G18" t="s">
        <v>382</v>
      </c>
      <c r="H18" t="s">
        <v>382</v>
      </c>
      <c r="I18" t="s">
        <v>382</v>
      </c>
      <c r="J18" t="s">
        <v>382</v>
      </c>
      <c r="K18" t="s">
        <v>382</v>
      </c>
      <c r="L18" t="s">
        <v>382</v>
      </c>
      <c r="M18" t="s">
        <v>382</v>
      </c>
      <c r="N18" t="s">
        <v>382</v>
      </c>
      <c r="O18" t="s">
        <v>382</v>
      </c>
      <c r="P18" t="s">
        <v>382</v>
      </c>
      <c r="Q18" t="s">
        <v>382</v>
      </c>
      <c r="R18" t="s">
        <v>382</v>
      </c>
      <c r="S18" t="s">
        <v>382</v>
      </c>
      <c r="T18" t="s">
        <v>382</v>
      </c>
      <c r="U18" t="s">
        <v>382</v>
      </c>
      <c r="V18" t="s">
        <v>382</v>
      </c>
      <c r="W18" t="s">
        <v>382</v>
      </c>
      <c r="X18" t="s">
        <v>382</v>
      </c>
      <c r="Y18" t="s">
        <v>382</v>
      </c>
      <c r="Z18" t="s">
        <v>382</v>
      </c>
      <c r="AA18" t="s">
        <v>382</v>
      </c>
      <c r="AB18" t="s">
        <v>382</v>
      </c>
      <c r="AC18">
        <v>5</v>
      </c>
      <c r="AD18">
        <v>2</v>
      </c>
      <c r="AE18">
        <v>1</v>
      </c>
      <c r="AF18" t="s">
        <v>383</v>
      </c>
      <c r="AH18" t="s">
        <v>22</v>
      </c>
      <c r="AI18" t="s">
        <v>97</v>
      </c>
      <c r="AK18">
        <v>2051</v>
      </c>
      <c r="AL18">
        <v>1368</v>
      </c>
    </row>
    <row r="19" spans="1:38">
      <c r="A19" t="s">
        <v>382</v>
      </c>
      <c r="B19" t="s">
        <v>382</v>
      </c>
      <c r="C19" t="s">
        <v>382</v>
      </c>
      <c r="D19" t="s">
        <v>382</v>
      </c>
      <c r="E19" t="s">
        <v>382</v>
      </c>
      <c r="F19" t="s">
        <v>382</v>
      </c>
      <c r="G19" t="s">
        <v>382</v>
      </c>
      <c r="H19" t="s">
        <v>382</v>
      </c>
      <c r="I19" t="s">
        <v>382</v>
      </c>
      <c r="J19" t="s">
        <v>382</v>
      </c>
      <c r="K19" t="s">
        <v>382</v>
      </c>
      <c r="L19" t="s">
        <v>382</v>
      </c>
      <c r="M19" t="s">
        <v>382</v>
      </c>
      <c r="N19" t="s">
        <v>382</v>
      </c>
      <c r="O19" t="s">
        <v>382</v>
      </c>
      <c r="P19" t="s">
        <v>382</v>
      </c>
      <c r="Q19" t="s">
        <v>382</v>
      </c>
      <c r="R19" t="s">
        <v>382</v>
      </c>
      <c r="S19" t="s">
        <v>382</v>
      </c>
      <c r="T19" t="s">
        <v>382</v>
      </c>
      <c r="U19" t="s">
        <v>382</v>
      </c>
      <c r="V19" t="s">
        <v>382</v>
      </c>
      <c r="W19" t="s">
        <v>382</v>
      </c>
      <c r="X19" t="s">
        <v>382</v>
      </c>
      <c r="Y19" t="s">
        <v>382</v>
      </c>
      <c r="Z19" t="s">
        <v>382</v>
      </c>
      <c r="AA19" t="s">
        <v>382</v>
      </c>
      <c r="AB19" t="s">
        <v>382</v>
      </c>
      <c r="AC19">
        <v>5</v>
      </c>
      <c r="AD19">
        <v>3</v>
      </c>
      <c r="AE19">
        <v>1</v>
      </c>
      <c r="AF19" t="s">
        <v>383</v>
      </c>
      <c r="AH19" t="s">
        <v>22</v>
      </c>
      <c r="AI19" t="s">
        <v>97</v>
      </c>
      <c r="AK19">
        <v>2146</v>
      </c>
      <c r="AL19">
        <v>830</v>
      </c>
    </row>
    <row r="20" spans="1:38">
      <c r="A20" t="s">
        <v>382</v>
      </c>
      <c r="B20" t="s">
        <v>382</v>
      </c>
      <c r="C20" t="s">
        <v>382</v>
      </c>
      <c r="D20" t="s">
        <v>382</v>
      </c>
      <c r="E20" t="s">
        <v>382</v>
      </c>
      <c r="F20" t="s">
        <v>382</v>
      </c>
      <c r="G20" t="s">
        <v>382</v>
      </c>
      <c r="H20" t="s">
        <v>382</v>
      </c>
      <c r="I20" t="s">
        <v>382</v>
      </c>
      <c r="J20" t="s">
        <v>382</v>
      </c>
      <c r="K20" t="s">
        <v>382</v>
      </c>
      <c r="L20" t="s">
        <v>382</v>
      </c>
      <c r="M20" t="s">
        <v>382</v>
      </c>
      <c r="N20" t="s">
        <v>382</v>
      </c>
      <c r="O20" t="s">
        <v>382</v>
      </c>
      <c r="P20" t="s">
        <v>382</v>
      </c>
      <c r="Q20" t="s">
        <v>382</v>
      </c>
      <c r="R20" t="s">
        <v>382</v>
      </c>
      <c r="S20" t="s">
        <v>382</v>
      </c>
      <c r="T20" t="s">
        <v>382</v>
      </c>
      <c r="U20" t="s">
        <v>382</v>
      </c>
      <c r="V20" t="s">
        <v>382</v>
      </c>
      <c r="W20" t="s">
        <v>382</v>
      </c>
      <c r="X20" t="s">
        <v>382</v>
      </c>
      <c r="Y20" t="s">
        <v>382</v>
      </c>
      <c r="Z20" t="s">
        <v>382</v>
      </c>
      <c r="AA20" t="s">
        <v>382</v>
      </c>
      <c r="AB20" t="s">
        <v>382</v>
      </c>
      <c r="AC20">
        <v>5</v>
      </c>
      <c r="AD20">
        <v>4</v>
      </c>
      <c r="AE20">
        <v>1</v>
      </c>
      <c r="AF20" t="s">
        <v>395</v>
      </c>
      <c r="AH20" t="s">
        <v>59</v>
      </c>
      <c r="AI20" t="s">
        <v>97</v>
      </c>
      <c r="AK20">
        <v>1221</v>
      </c>
      <c r="AL20">
        <v>2127</v>
      </c>
    </row>
    <row r="21" spans="1:38">
      <c r="A21" t="s">
        <v>382</v>
      </c>
      <c r="B21" t="s">
        <v>382</v>
      </c>
      <c r="C21" t="s">
        <v>382</v>
      </c>
      <c r="D21" t="s">
        <v>382</v>
      </c>
      <c r="E21" t="s">
        <v>382</v>
      </c>
      <c r="F21" t="s">
        <v>382</v>
      </c>
      <c r="G21" t="s">
        <v>382</v>
      </c>
      <c r="H21" t="s">
        <v>382</v>
      </c>
      <c r="I21" t="s">
        <v>382</v>
      </c>
      <c r="J21" t="s">
        <v>382</v>
      </c>
      <c r="K21" t="s">
        <v>382</v>
      </c>
      <c r="L21" t="s">
        <v>382</v>
      </c>
      <c r="M21" t="s">
        <v>382</v>
      </c>
      <c r="N21" t="s">
        <v>382</v>
      </c>
      <c r="O21" t="s">
        <v>382</v>
      </c>
      <c r="P21" t="s">
        <v>382</v>
      </c>
      <c r="Q21" t="s">
        <v>382</v>
      </c>
      <c r="R21" t="s">
        <v>382</v>
      </c>
      <c r="S21" t="s">
        <v>382</v>
      </c>
      <c r="T21" t="s">
        <v>382</v>
      </c>
      <c r="U21" t="s">
        <v>382</v>
      </c>
      <c r="V21" t="s">
        <v>382</v>
      </c>
      <c r="W21" t="s">
        <v>382</v>
      </c>
      <c r="X21" t="s">
        <v>382</v>
      </c>
      <c r="Y21" t="s">
        <v>382</v>
      </c>
      <c r="Z21" t="s">
        <v>382</v>
      </c>
      <c r="AA21" t="s">
        <v>382</v>
      </c>
      <c r="AB21" t="s">
        <v>382</v>
      </c>
      <c r="AC21">
        <v>5</v>
      </c>
      <c r="AD21">
        <v>5</v>
      </c>
      <c r="AE21">
        <v>1</v>
      </c>
      <c r="AF21" t="s">
        <v>383</v>
      </c>
      <c r="AH21" t="s">
        <v>22</v>
      </c>
      <c r="AI21" t="s">
        <v>97</v>
      </c>
      <c r="AK21">
        <v>2708</v>
      </c>
      <c r="AL21">
        <v>947</v>
      </c>
    </row>
    <row r="22" spans="1:38">
      <c r="A22" t="s">
        <v>382</v>
      </c>
      <c r="B22" t="s">
        <v>382</v>
      </c>
      <c r="C22" t="s">
        <v>382</v>
      </c>
      <c r="D22" t="s">
        <v>382</v>
      </c>
      <c r="E22" t="s">
        <v>382</v>
      </c>
      <c r="F22" t="s">
        <v>382</v>
      </c>
      <c r="G22" t="s">
        <v>382</v>
      </c>
      <c r="H22" t="s">
        <v>382</v>
      </c>
      <c r="I22" t="s">
        <v>382</v>
      </c>
      <c r="J22" t="s">
        <v>382</v>
      </c>
      <c r="K22" t="s">
        <v>382</v>
      </c>
      <c r="L22" t="s">
        <v>382</v>
      </c>
      <c r="M22" t="s">
        <v>382</v>
      </c>
      <c r="N22" t="s">
        <v>382</v>
      </c>
      <c r="O22" t="s">
        <v>382</v>
      </c>
      <c r="P22" t="s">
        <v>382</v>
      </c>
      <c r="Q22" t="s">
        <v>382</v>
      </c>
      <c r="R22" t="s">
        <v>382</v>
      </c>
      <c r="S22" t="s">
        <v>382</v>
      </c>
      <c r="T22" t="s">
        <v>382</v>
      </c>
      <c r="U22" t="s">
        <v>382</v>
      </c>
      <c r="V22" t="s">
        <v>382</v>
      </c>
      <c r="W22" t="s">
        <v>382</v>
      </c>
      <c r="X22" t="s">
        <v>382</v>
      </c>
      <c r="Y22" t="s">
        <v>382</v>
      </c>
      <c r="Z22" t="s">
        <v>382</v>
      </c>
      <c r="AA22" t="s">
        <v>382</v>
      </c>
      <c r="AB22" t="s">
        <v>382</v>
      </c>
      <c r="AC22">
        <v>5</v>
      </c>
      <c r="AD22">
        <v>1</v>
      </c>
      <c r="AF22" t="s">
        <v>384</v>
      </c>
      <c r="AH22" t="s">
        <v>25</v>
      </c>
      <c r="AI22" t="s">
        <v>106</v>
      </c>
      <c r="AK22">
        <v>1959</v>
      </c>
      <c r="AL22">
        <v>64</v>
      </c>
    </row>
    <row r="23" spans="1:38">
      <c r="A23" t="s">
        <v>382</v>
      </c>
      <c r="B23" t="s">
        <v>382</v>
      </c>
      <c r="C23" t="s">
        <v>382</v>
      </c>
      <c r="D23" t="s">
        <v>382</v>
      </c>
      <c r="E23" t="s">
        <v>382</v>
      </c>
      <c r="F23" t="s">
        <v>382</v>
      </c>
      <c r="G23" t="s">
        <v>382</v>
      </c>
      <c r="H23" t="s">
        <v>382</v>
      </c>
      <c r="I23" t="s">
        <v>382</v>
      </c>
      <c r="J23" t="s">
        <v>382</v>
      </c>
      <c r="K23" t="s">
        <v>382</v>
      </c>
      <c r="L23" t="s">
        <v>382</v>
      </c>
      <c r="M23" t="s">
        <v>382</v>
      </c>
      <c r="N23" t="s">
        <v>382</v>
      </c>
      <c r="O23" t="s">
        <v>382</v>
      </c>
      <c r="P23" t="s">
        <v>382</v>
      </c>
      <c r="Q23" t="s">
        <v>382</v>
      </c>
      <c r="R23" t="s">
        <v>382</v>
      </c>
      <c r="S23" t="s">
        <v>382</v>
      </c>
      <c r="T23" t="s">
        <v>382</v>
      </c>
      <c r="U23" t="s">
        <v>382</v>
      </c>
      <c r="V23" t="s">
        <v>382</v>
      </c>
      <c r="W23" t="s">
        <v>382</v>
      </c>
      <c r="X23" t="s">
        <v>382</v>
      </c>
      <c r="Y23" t="s">
        <v>382</v>
      </c>
      <c r="Z23" t="s">
        <v>382</v>
      </c>
      <c r="AA23" t="s">
        <v>382</v>
      </c>
      <c r="AB23" t="s">
        <v>382</v>
      </c>
      <c r="AC23">
        <v>5</v>
      </c>
      <c r="AD23">
        <v>2</v>
      </c>
      <c r="AE23">
        <v>1</v>
      </c>
      <c r="AF23" t="s">
        <v>398</v>
      </c>
      <c r="AH23" t="s">
        <v>69</v>
      </c>
      <c r="AI23" t="s">
        <v>97</v>
      </c>
      <c r="AK23">
        <v>1237</v>
      </c>
      <c r="AL23">
        <v>937</v>
      </c>
    </row>
    <row r="24" spans="1:38">
      <c r="A24" t="s">
        <v>382</v>
      </c>
      <c r="B24" t="s">
        <v>382</v>
      </c>
      <c r="C24" t="s">
        <v>382</v>
      </c>
      <c r="D24" t="s">
        <v>382</v>
      </c>
      <c r="E24" t="s">
        <v>382</v>
      </c>
      <c r="F24" t="s">
        <v>382</v>
      </c>
      <c r="G24" t="s">
        <v>382</v>
      </c>
      <c r="H24" t="s">
        <v>382</v>
      </c>
      <c r="I24" t="s">
        <v>382</v>
      </c>
      <c r="J24" t="s">
        <v>382</v>
      </c>
      <c r="K24" t="s">
        <v>382</v>
      </c>
      <c r="L24" t="s">
        <v>382</v>
      </c>
      <c r="M24" t="s">
        <v>382</v>
      </c>
      <c r="N24" t="s">
        <v>382</v>
      </c>
      <c r="O24" t="s">
        <v>382</v>
      </c>
      <c r="P24" t="s">
        <v>382</v>
      </c>
      <c r="Q24" t="s">
        <v>382</v>
      </c>
      <c r="R24" t="s">
        <v>382</v>
      </c>
      <c r="S24" t="s">
        <v>382</v>
      </c>
      <c r="T24" t="s">
        <v>382</v>
      </c>
      <c r="U24" t="s">
        <v>382</v>
      </c>
      <c r="V24" t="s">
        <v>382</v>
      </c>
      <c r="W24" t="s">
        <v>382</v>
      </c>
      <c r="X24" t="s">
        <v>382</v>
      </c>
      <c r="Y24" t="s">
        <v>382</v>
      </c>
      <c r="Z24" t="s">
        <v>382</v>
      </c>
      <c r="AA24" t="s">
        <v>382</v>
      </c>
      <c r="AB24" t="s">
        <v>382</v>
      </c>
      <c r="AC24">
        <v>5</v>
      </c>
      <c r="AD24">
        <v>3</v>
      </c>
      <c r="AF24" t="s">
        <v>392</v>
      </c>
      <c r="AH24" t="s">
        <v>41</v>
      </c>
      <c r="AI24" t="s">
        <v>102</v>
      </c>
      <c r="AK24">
        <v>1596</v>
      </c>
      <c r="AL24">
        <v>1428</v>
      </c>
    </row>
    <row r="25" spans="1:38">
      <c r="A25" t="s">
        <v>382</v>
      </c>
      <c r="B25" t="s">
        <v>382</v>
      </c>
      <c r="C25" t="s">
        <v>382</v>
      </c>
      <c r="D25" t="s">
        <v>382</v>
      </c>
      <c r="E25" t="s">
        <v>382</v>
      </c>
      <c r="F25" t="s">
        <v>382</v>
      </c>
      <c r="G25" t="s">
        <v>382</v>
      </c>
      <c r="H25" t="s">
        <v>382</v>
      </c>
      <c r="I25" t="s">
        <v>382</v>
      </c>
      <c r="J25" t="s">
        <v>382</v>
      </c>
      <c r="K25" t="s">
        <v>382</v>
      </c>
      <c r="L25" t="s">
        <v>382</v>
      </c>
      <c r="M25" t="s">
        <v>382</v>
      </c>
      <c r="N25" t="s">
        <v>382</v>
      </c>
      <c r="O25" t="s">
        <v>382</v>
      </c>
      <c r="P25" t="s">
        <v>382</v>
      </c>
      <c r="Q25" t="s">
        <v>382</v>
      </c>
      <c r="R25" t="s">
        <v>382</v>
      </c>
      <c r="S25" t="s">
        <v>382</v>
      </c>
      <c r="T25" t="s">
        <v>382</v>
      </c>
      <c r="U25" t="s">
        <v>382</v>
      </c>
      <c r="V25" t="s">
        <v>382</v>
      </c>
      <c r="W25" t="s">
        <v>382</v>
      </c>
      <c r="X25" t="s">
        <v>382</v>
      </c>
      <c r="Y25" t="s">
        <v>382</v>
      </c>
      <c r="Z25" t="s">
        <v>382</v>
      </c>
      <c r="AA25" t="s">
        <v>382</v>
      </c>
      <c r="AB25" t="s">
        <v>382</v>
      </c>
      <c r="AC25">
        <v>5</v>
      </c>
      <c r="AD25">
        <v>4</v>
      </c>
      <c r="AE25">
        <v>1</v>
      </c>
      <c r="AF25" t="s">
        <v>398</v>
      </c>
      <c r="AH25" t="s">
        <v>69</v>
      </c>
      <c r="AI25" t="s">
        <v>97</v>
      </c>
      <c r="AK25">
        <v>1338</v>
      </c>
      <c r="AL25">
        <v>1231</v>
      </c>
    </row>
    <row r="26" spans="1:38">
      <c r="A26" t="s">
        <v>382</v>
      </c>
      <c r="B26" t="s">
        <v>382</v>
      </c>
      <c r="C26" t="s">
        <v>382</v>
      </c>
      <c r="D26" t="s">
        <v>382</v>
      </c>
      <c r="E26" t="s">
        <v>382</v>
      </c>
      <c r="F26" t="s">
        <v>382</v>
      </c>
      <c r="G26" t="s">
        <v>382</v>
      </c>
      <c r="H26" t="s">
        <v>382</v>
      </c>
      <c r="I26" t="s">
        <v>382</v>
      </c>
      <c r="J26" t="s">
        <v>382</v>
      </c>
      <c r="K26" t="s">
        <v>382</v>
      </c>
      <c r="L26" t="s">
        <v>382</v>
      </c>
      <c r="M26" t="s">
        <v>382</v>
      </c>
      <c r="N26" t="s">
        <v>382</v>
      </c>
      <c r="O26" t="s">
        <v>382</v>
      </c>
      <c r="P26" t="s">
        <v>382</v>
      </c>
      <c r="Q26" t="s">
        <v>382</v>
      </c>
      <c r="R26" t="s">
        <v>382</v>
      </c>
      <c r="S26" t="s">
        <v>382</v>
      </c>
      <c r="T26" t="s">
        <v>382</v>
      </c>
      <c r="U26" t="s">
        <v>382</v>
      </c>
      <c r="V26" t="s">
        <v>382</v>
      </c>
      <c r="W26" t="s">
        <v>382</v>
      </c>
      <c r="X26" t="s">
        <v>382</v>
      </c>
      <c r="Y26" t="s">
        <v>382</v>
      </c>
      <c r="Z26" t="s">
        <v>382</v>
      </c>
      <c r="AA26" t="s">
        <v>382</v>
      </c>
      <c r="AB26" t="s">
        <v>382</v>
      </c>
      <c r="AC26">
        <v>5</v>
      </c>
      <c r="AD26">
        <v>5</v>
      </c>
      <c r="AE26">
        <v>1</v>
      </c>
      <c r="AF26" t="s">
        <v>481</v>
      </c>
      <c r="AH26" t="s">
        <v>139</v>
      </c>
      <c r="AI26" t="s">
        <v>97</v>
      </c>
      <c r="AK26">
        <v>2117</v>
      </c>
      <c r="AL26">
        <v>1384</v>
      </c>
    </row>
    <row r="27" spans="1:38">
      <c r="A27" t="s">
        <v>382</v>
      </c>
      <c r="B27" t="s">
        <v>382</v>
      </c>
      <c r="C27" t="s">
        <v>382</v>
      </c>
      <c r="D27" t="s">
        <v>382</v>
      </c>
      <c r="E27" t="s">
        <v>382</v>
      </c>
      <c r="F27" t="s">
        <v>382</v>
      </c>
      <c r="G27" t="s">
        <v>382</v>
      </c>
      <c r="H27" t="s">
        <v>382</v>
      </c>
      <c r="I27" t="s">
        <v>382</v>
      </c>
      <c r="J27" t="s">
        <v>382</v>
      </c>
      <c r="K27" t="s">
        <v>382</v>
      </c>
      <c r="L27" t="s">
        <v>382</v>
      </c>
      <c r="M27" t="s">
        <v>382</v>
      </c>
      <c r="N27" t="s">
        <v>382</v>
      </c>
      <c r="O27" t="s">
        <v>382</v>
      </c>
      <c r="P27" t="s">
        <v>382</v>
      </c>
      <c r="Q27" t="s">
        <v>382</v>
      </c>
      <c r="R27" t="s">
        <v>382</v>
      </c>
      <c r="S27" t="s">
        <v>382</v>
      </c>
      <c r="T27" t="s">
        <v>382</v>
      </c>
      <c r="U27" t="s">
        <v>382</v>
      </c>
      <c r="V27" t="s">
        <v>382</v>
      </c>
      <c r="W27" t="s">
        <v>382</v>
      </c>
      <c r="X27" t="s">
        <v>382</v>
      </c>
      <c r="Y27" t="s">
        <v>382</v>
      </c>
      <c r="Z27" t="s">
        <v>382</v>
      </c>
      <c r="AA27" t="s">
        <v>382</v>
      </c>
      <c r="AB27" t="s">
        <v>382</v>
      </c>
      <c r="AC27">
        <v>5</v>
      </c>
      <c r="AD27">
        <v>1</v>
      </c>
      <c r="AF27" t="s">
        <v>386</v>
      </c>
      <c r="AH27" t="s">
        <v>29</v>
      </c>
      <c r="AI27" t="s">
        <v>103</v>
      </c>
      <c r="AK27">
        <v>3063</v>
      </c>
      <c r="AL27">
        <v>422</v>
      </c>
    </row>
    <row r="28" spans="1:38">
      <c r="A28" t="s">
        <v>382</v>
      </c>
      <c r="B28" t="s">
        <v>382</v>
      </c>
      <c r="C28" t="s">
        <v>382</v>
      </c>
      <c r="D28" t="s">
        <v>382</v>
      </c>
      <c r="E28" t="s">
        <v>382</v>
      </c>
      <c r="F28" t="s">
        <v>382</v>
      </c>
      <c r="G28" t="s">
        <v>382</v>
      </c>
      <c r="H28" t="s">
        <v>382</v>
      </c>
      <c r="I28" t="s">
        <v>382</v>
      </c>
      <c r="J28" t="s">
        <v>382</v>
      </c>
      <c r="K28" t="s">
        <v>382</v>
      </c>
      <c r="L28" t="s">
        <v>382</v>
      </c>
      <c r="M28" t="s">
        <v>382</v>
      </c>
      <c r="N28" t="s">
        <v>382</v>
      </c>
      <c r="O28" t="s">
        <v>382</v>
      </c>
      <c r="P28" t="s">
        <v>382</v>
      </c>
      <c r="Q28" t="s">
        <v>382</v>
      </c>
      <c r="R28" t="s">
        <v>382</v>
      </c>
      <c r="S28" t="s">
        <v>382</v>
      </c>
      <c r="T28" t="s">
        <v>382</v>
      </c>
      <c r="U28" t="s">
        <v>382</v>
      </c>
      <c r="V28" t="s">
        <v>382</v>
      </c>
      <c r="W28" t="s">
        <v>382</v>
      </c>
      <c r="X28" t="s">
        <v>382</v>
      </c>
      <c r="Y28" t="s">
        <v>382</v>
      </c>
      <c r="Z28" t="s">
        <v>382</v>
      </c>
      <c r="AA28" t="s">
        <v>382</v>
      </c>
      <c r="AB28" t="s">
        <v>382</v>
      </c>
      <c r="AC28">
        <v>5</v>
      </c>
      <c r="AD28">
        <v>2</v>
      </c>
      <c r="AE28">
        <v>1</v>
      </c>
      <c r="AF28" t="s">
        <v>398</v>
      </c>
      <c r="AH28" t="s">
        <v>69</v>
      </c>
      <c r="AI28" t="s">
        <v>97</v>
      </c>
      <c r="AK28">
        <v>859</v>
      </c>
      <c r="AL28">
        <v>780</v>
      </c>
    </row>
    <row r="29" spans="1:38">
      <c r="A29" t="s">
        <v>382</v>
      </c>
      <c r="B29" t="s">
        <v>382</v>
      </c>
      <c r="C29" t="s">
        <v>382</v>
      </c>
      <c r="D29" t="s">
        <v>382</v>
      </c>
      <c r="E29" t="s">
        <v>382</v>
      </c>
      <c r="F29" t="s">
        <v>382</v>
      </c>
      <c r="G29" t="s">
        <v>382</v>
      </c>
      <c r="H29" t="s">
        <v>382</v>
      </c>
      <c r="I29" t="s">
        <v>382</v>
      </c>
      <c r="J29" t="s">
        <v>382</v>
      </c>
      <c r="K29" t="s">
        <v>382</v>
      </c>
      <c r="L29" t="s">
        <v>382</v>
      </c>
      <c r="M29" t="s">
        <v>382</v>
      </c>
      <c r="N29" t="s">
        <v>382</v>
      </c>
      <c r="O29" t="s">
        <v>382</v>
      </c>
      <c r="P29" t="s">
        <v>382</v>
      </c>
      <c r="Q29" t="s">
        <v>382</v>
      </c>
      <c r="R29" t="s">
        <v>382</v>
      </c>
      <c r="S29" t="s">
        <v>382</v>
      </c>
      <c r="T29" t="s">
        <v>382</v>
      </c>
      <c r="U29" t="s">
        <v>382</v>
      </c>
      <c r="V29" t="s">
        <v>382</v>
      </c>
      <c r="W29" t="s">
        <v>382</v>
      </c>
      <c r="X29" t="s">
        <v>382</v>
      </c>
      <c r="Y29" t="s">
        <v>382</v>
      </c>
      <c r="Z29" t="s">
        <v>382</v>
      </c>
      <c r="AA29" t="s">
        <v>382</v>
      </c>
      <c r="AB29" t="s">
        <v>382</v>
      </c>
      <c r="AC29">
        <v>5</v>
      </c>
      <c r="AD29">
        <v>3</v>
      </c>
      <c r="AE29">
        <v>1</v>
      </c>
      <c r="AF29" t="s">
        <v>398</v>
      </c>
      <c r="AH29" t="s">
        <v>69</v>
      </c>
      <c r="AI29" t="s">
        <v>97</v>
      </c>
      <c r="AK29">
        <v>1265</v>
      </c>
      <c r="AL29">
        <v>699</v>
      </c>
    </row>
    <row r="30" spans="1:38">
      <c r="A30" t="s">
        <v>382</v>
      </c>
      <c r="B30" t="s">
        <v>382</v>
      </c>
      <c r="C30" t="s">
        <v>382</v>
      </c>
      <c r="D30" t="s">
        <v>382</v>
      </c>
      <c r="E30" t="s">
        <v>382</v>
      </c>
      <c r="F30" t="s">
        <v>382</v>
      </c>
      <c r="G30" t="s">
        <v>382</v>
      </c>
      <c r="H30" t="s">
        <v>382</v>
      </c>
      <c r="I30" t="s">
        <v>382</v>
      </c>
      <c r="J30" t="s">
        <v>382</v>
      </c>
      <c r="K30" t="s">
        <v>382</v>
      </c>
      <c r="L30" t="s">
        <v>382</v>
      </c>
      <c r="M30" t="s">
        <v>382</v>
      </c>
      <c r="N30" t="s">
        <v>382</v>
      </c>
      <c r="O30" t="s">
        <v>382</v>
      </c>
      <c r="P30" t="s">
        <v>382</v>
      </c>
      <c r="Q30" t="s">
        <v>382</v>
      </c>
      <c r="R30" t="s">
        <v>382</v>
      </c>
      <c r="S30" t="s">
        <v>382</v>
      </c>
      <c r="T30" t="s">
        <v>382</v>
      </c>
      <c r="U30" t="s">
        <v>382</v>
      </c>
      <c r="V30" t="s">
        <v>382</v>
      </c>
      <c r="W30" t="s">
        <v>382</v>
      </c>
      <c r="X30" t="s">
        <v>382</v>
      </c>
      <c r="Y30" t="s">
        <v>382</v>
      </c>
      <c r="Z30" t="s">
        <v>382</v>
      </c>
      <c r="AA30" t="s">
        <v>382</v>
      </c>
      <c r="AB30" t="s">
        <v>382</v>
      </c>
      <c r="AC30">
        <v>5</v>
      </c>
      <c r="AD30">
        <v>4</v>
      </c>
      <c r="AE30">
        <v>1</v>
      </c>
      <c r="AF30" t="s">
        <v>395</v>
      </c>
      <c r="AH30" t="s">
        <v>59</v>
      </c>
      <c r="AI30" t="s">
        <v>97</v>
      </c>
      <c r="AK30">
        <v>2228</v>
      </c>
      <c r="AL30">
        <v>2051</v>
      </c>
    </row>
    <row r="31" spans="1:38">
      <c r="A31" t="s">
        <v>382</v>
      </c>
      <c r="B31" t="s">
        <v>382</v>
      </c>
      <c r="C31" t="s">
        <v>382</v>
      </c>
      <c r="D31" t="s">
        <v>382</v>
      </c>
      <c r="E31" t="s">
        <v>382</v>
      </c>
      <c r="F31" t="s">
        <v>382</v>
      </c>
      <c r="G31" t="s">
        <v>382</v>
      </c>
      <c r="H31" t="s">
        <v>382</v>
      </c>
      <c r="I31" t="s">
        <v>382</v>
      </c>
      <c r="J31" t="s">
        <v>382</v>
      </c>
      <c r="K31" t="s">
        <v>382</v>
      </c>
      <c r="L31" t="s">
        <v>382</v>
      </c>
      <c r="M31" t="s">
        <v>382</v>
      </c>
      <c r="N31" t="s">
        <v>382</v>
      </c>
      <c r="O31" t="s">
        <v>382</v>
      </c>
      <c r="P31" t="s">
        <v>382</v>
      </c>
      <c r="Q31" t="s">
        <v>382</v>
      </c>
      <c r="R31" t="s">
        <v>382</v>
      </c>
      <c r="S31" t="s">
        <v>382</v>
      </c>
      <c r="T31" t="s">
        <v>382</v>
      </c>
      <c r="U31" t="s">
        <v>382</v>
      </c>
      <c r="V31" t="s">
        <v>382</v>
      </c>
      <c r="W31" t="s">
        <v>382</v>
      </c>
      <c r="X31" t="s">
        <v>382</v>
      </c>
      <c r="Y31" t="s">
        <v>382</v>
      </c>
      <c r="Z31" t="s">
        <v>382</v>
      </c>
      <c r="AA31" t="s">
        <v>382</v>
      </c>
      <c r="AB31" t="s">
        <v>382</v>
      </c>
      <c r="AC31">
        <v>5</v>
      </c>
      <c r="AD31">
        <v>5</v>
      </c>
      <c r="AF31" t="s">
        <v>385</v>
      </c>
      <c r="AH31" t="s">
        <v>27</v>
      </c>
      <c r="AI31" t="s">
        <v>109</v>
      </c>
      <c r="AK31">
        <v>3324</v>
      </c>
      <c r="AL31">
        <v>2464</v>
      </c>
    </row>
    <row r="32" spans="1:38">
      <c r="A32" t="s">
        <v>382</v>
      </c>
      <c r="B32" t="s">
        <v>382</v>
      </c>
      <c r="C32" t="s">
        <v>382</v>
      </c>
      <c r="D32" t="s">
        <v>382</v>
      </c>
      <c r="E32" t="s">
        <v>382</v>
      </c>
      <c r="F32" t="s">
        <v>382</v>
      </c>
      <c r="G32" t="s">
        <v>382</v>
      </c>
      <c r="H32" t="s">
        <v>382</v>
      </c>
      <c r="I32" t="s">
        <v>382</v>
      </c>
      <c r="J32" t="s">
        <v>382</v>
      </c>
      <c r="K32" t="s">
        <v>382</v>
      </c>
      <c r="L32" t="s">
        <v>382</v>
      </c>
      <c r="M32" t="s">
        <v>382</v>
      </c>
      <c r="N32" t="s">
        <v>382</v>
      </c>
      <c r="O32" t="s">
        <v>382</v>
      </c>
      <c r="P32" t="s">
        <v>382</v>
      </c>
      <c r="Q32" t="s">
        <v>382</v>
      </c>
      <c r="R32" t="s">
        <v>382</v>
      </c>
      <c r="S32" t="s">
        <v>382</v>
      </c>
      <c r="T32" t="s">
        <v>382</v>
      </c>
      <c r="U32" t="s">
        <v>382</v>
      </c>
      <c r="V32" t="s">
        <v>382</v>
      </c>
      <c r="W32" t="s">
        <v>382</v>
      </c>
      <c r="X32" t="s">
        <v>382</v>
      </c>
      <c r="Y32" t="s">
        <v>382</v>
      </c>
      <c r="Z32" t="s">
        <v>382</v>
      </c>
      <c r="AA32" t="s">
        <v>382</v>
      </c>
      <c r="AB32" t="s">
        <v>382</v>
      </c>
      <c r="AC32">
        <v>5</v>
      </c>
      <c r="AD32">
        <v>1</v>
      </c>
      <c r="AF32" t="s">
        <v>386</v>
      </c>
      <c r="AH32" t="s">
        <v>29</v>
      </c>
      <c r="AI32" t="s">
        <v>103</v>
      </c>
      <c r="AK32">
        <v>2868</v>
      </c>
      <c r="AL32">
        <v>1083</v>
      </c>
    </row>
    <row r="33" spans="1:38">
      <c r="A33" t="s">
        <v>382</v>
      </c>
      <c r="B33" t="s">
        <v>382</v>
      </c>
      <c r="C33" t="s">
        <v>382</v>
      </c>
      <c r="D33" t="s">
        <v>382</v>
      </c>
      <c r="E33" t="s">
        <v>382</v>
      </c>
      <c r="F33" t="s">
        <v>382</v>
      </c>
      <c r="G33" t="s">
        <v>382</v>
      </c>
      <c r="H33" t="s">
        <v>382</v>
      </c>
      <c r="I33" t="s">
        <v>382</v>
      </c>
      <c r="J33" t="s">
        <v>382</v>
      </c>
      <c r="K33" t="s">
        <v>382</v>
      </c>
      <c r="L33" t="s">
        <v>382</v>
      </c>
      <c r="M33" t="s">
        <v>382</v>
      </c>
      <c r="N33" t="s">
        <v>382</v>
      </c>
      <c r="O33" t="s">
        <v>382</v>
      </c>
      <c r="P33" t="s">
        <v>382</v>
      </c>
      <c r="Q33" t="s">
        <v>382</v>
      </c>
      <c r="R33" t="s">
        <v>382</v>
      </c>
      <c r="S33" t="s">
        <v>382</v>
      </c>
      <c r="T33" t="s">
        <v>382</v>
      </c>
      <c r="U33" t="s">
        <v>382</v>
      </c>
      <c r="V33" t="s">
        <v>382</v>
      </c>
      <c r="W33" t="s">
        <v>382</v>
      </c>
      <c r="X33" t="s">
        <v>382</v>
      </c>
      <c r="Y33" t="s">
        <v>382</v>
      </c>
      <c r="Z33" t="s">
        <v>382</v>
      </c>
      <c r="AA33" t="s">
        <v>382</v>
      </c>
      <c r="AB33" t="s">
        <v>382</v>
      </c>
      <c r="AC33">
        <v>5</v>
      </c>
      <c r="AD33">
        <v>2</v>
      </c>
      <c r="AF33" t="s">
        <v>386</v>
      </c>
      <c r="AH33" t="s">
        <v>29</v>
      </c>
      <c r="AI33" t="s">
        <v>103</v>
      </c>
      <c r="AK33">
        <v>2860</v>
      </c>
      <c r="AL33">
        <v>1146</v>
      </c>
    </row>
    <row r="34" spans="1:38">
      <c r="A34" t="s">
        <v>382</v>
      </c>
      <c r="B34" t="s">
        <v>382</v>
      </c>
      <c r="C34" t="s">
        <v>382</v>
      </c>
      <c r="D34" t="s">
        <v>382</v>
      </c>
      <c r="E34" t="s">
        <v>382</v>
      </c>
      <c r="F34" t="s">
        <v>382</v>
      </c>
      <c r="G34" t="s">
        <v>382</v>
      </c>
      <c r="H34" t="s">
        <v>382</v>
      </c>
      <c r="I34" t="s">
        <v>382</v>
      </c>
      <c r="J34" t="s">
        <v>382</v>
      </c>
      <c r="K34" t="s">
        <v>382</v>
      </c>
      <c r="L34" t="s">
        <v>382</v>
      </c>
      <c r="M34" t="s">
        <v>382</v>
      </c>
      <c r="N34" t="s">
        <v>382</v>
      </c>
      <c r="O34" t="s">
        <v>382</v>
      </c>
      <c r="P34" t="s">
        <v>382</v>
      </c>
      <c r="Q34" t="s">
        <v>382</v>
      </c>
      <c r="R34" t="s">
        <v>382</v>
      </c>
      <c r="S34" t="s">
        <v>382</v>
      </c>
      <c r="T34" t="s">
        <v>382</v>
      </c>
      <c r="U34" t="s">
        <v>382</v>
      </c>
      <c r="V34" t="s">
        <v>382</v>
      </c>
      <c r="W34" t="s">
        <v>382</v>
      </c>
      <c r="X34" t="s">
        <v>382</v>
      </c>
      <c r="Y34" t="s">
        <v>382</v>
      </c>
      <c r="Z34" t="s">
        <v>382</v>
      </c>
      <c r="AA34" t="s">
        <v>382</v>
      </c>
      <c r="AB34" t="s">
        <v>382</v>
      </c>
      <c r="AC34">
        <v>5</v>
      </c>
      <c r="AD34">
        <v>3</v>
      </c>
      <c r="AF34" t="s">
        <v>384</v>
      </c>
      <c r="AH34" t="s">
        <v>25</v>
      </c>
      <c r="AI34" t="s">
        <v>106</v>
      </c>
      <c r="AK34">
        <v>1429</v>
      </c>
      <c r="AL34">
        <v>1158</v>
      </c>
    </row>
    <row r="35" spans="1:38">
      <c r="A35" t="s">
        <v>382</v>
      </c>
      <c r="B35" t="s">
        <v>382</v>
      </c>
      <c r="C35" t="s">
        <v>382</v>
      </c>
      <c r="D35" t="s">
        <v>382</v>
      </c>
      <c r="E35" t="s">
        <v>382</v>
      </c>
      <c r="F35" t="s">
        <v>382</v>
      </c>
      <c r="G35" t="s">
        <v>382</v>
      </c>
      <c r="H35" t="s">
        <v>382</v>
      </c>
      <c r="I35" t="s">
        <v>382</v>
      </c>
      <c r="J35" t="s">
        <v>382</v>
      </c>
      <c r="K35" t="s">
        <v>382</v>
      </c>
      <c r="L35" t="s">
        <v>382</v>
      </c>
      <c r="M35" t="s">
        <v>382</v>
      </c>
      <c r="N35" t="s">
        <v>382</v>
      </c>
      <c r="O35" t="s">
        <v>382</v>
      </c>
      <c r="P35" t="s">
        <v>382</v>
      </c>
      <c r="Q35" t="s">
        <v>382</v>
      </c>
      <c r="R35" t="s">
        <v>382</v>
      </c>
      <c r="S35" t="s">
        <v>382</v>
      </c>
      <c r="T35" t="s">
        <v>382</v>
      </c>
      <c r="U35" t="s">
        <v>382</v>
      </c>
      <c r="V35" t="s">
        <v>382</v>
      </c>
      <c r="W35" t="s">
        <v>382</v>
      </c>
      <c r="X35" t="s">
        <v>382</v>
      </c>
      <c r="Y35" t="s">
        <v>382</v>
      </c>
      <c r="Z35" t="s">
        <v>382</v>
      </c>
      <c r="AA35" t="s">
        <v>382</v>
      </c>
      <c r="AB35" t="s">
        <v>382</v>
      </c>
      <c r="AC35">
        <v>5</v>
      </c>
      <c r="AD35">
        <v>4</v>
      </c>
      <c r="AF35" t="s">
        <v>384</v>
      </c>
      <c r="AH35" t="s">
        <v>25</v>
      </c>
      <c r="AI35" t="s">
        <v>106</v>
      </c>
      <c r="AK35">
        <v>3095</v>
      </c>
      <c r="AL35">
        <v>1029</v>
      </c>
    </row>
    <row r="36" spans="1:38">
      <c r="A36" t="s">
        <v>382</v>
      </c>
      <c r="B36" t="s">
        <v>382</v>
      </c>
      <c r="C36" t="s">
        <v>382</v>
      </c>
      <c r="D36" t="s">
        <v>382</v>
      </c>
      <c r="E36" t="s">
        <v>382</v>
      </c>
      <c r="F36" t="s">
        <v>382</v>
      </c>
      <c r="G36" t="s">
        <v>382</v>
      </c>
      <c r="H36" t="s">
        <v>382</v>
      </c>
      <c r="I36" t="s">
        <v>382</v>
      </c>
      <c r="J36" t="s">
        <v>382</v>
      </c>
      <c r="K36" t="s">
        <v>382</v>
      </c>
      <c r="L36" t="s">
        <v>382</v>
      </c>
      <c r="M36" t="s">
        <v>382</v>
      </c>
      <c r="N36" t="s">
        <v>382</v>
      </c>
      <c r="O36" t="s">
        <v>382</v>
      </c>
      <c r="P36" t="s">
        <v>382</v>
      </c>
      <c r="Q36" t="s">
        <v>382</v>
      </c>
      <c r="R36" t="s">
        <v>382</v>
      </c>
      <c r="S36" t="s">
        <v>382</v>
      </c>
      <c r="T36" t="s">
        <v>382</v>
      </c>
      <c r="U36" t="s">
        <v>382</v>
      </c>
      <c r="V36" t="s">
        <v>382</v>
      </c>
      <c r="W36" t="s">
        <v>382</v>
      </c>
      <c r="X36" t="s">
        <v>382</v>
      </c>
      <c r="Y36" t="s">
        <v>382</v>
      </c>
      <c r="Z36" t="s">
        <v>382</v>
      </c>
      <c r="AA36" t="s">
        <v>382</v>
      </c>
      <c r="AB36" t="s">
        <v>382</v>
      </c>
      <c r="AC36">
        <v>5</v>
      </c>
      <c r="AD36">
        <v>5</v>
      </c>
      <c r="AF36" t="s">
        <v>386</v>
      </c>
      <c r="AH36" t="s">
        <v>29</v>
      </c>
      <c r="AI36" t="s">
        <v>103</v>
      </c>
      <c r="AK36">
        <v>2463</v>
      </c>
      <c r="AL36">
        <v>1901</v>
      </c>
    </row>
    <row r="37" spans="1:38">
      <c r="A37" t="s">
        <v>382</v>
      </c>
      <c r="B37" t="s">
        <v>382</v>
      </c>
      <c r="C37" t="s">
        <v>382</v>
      </c>
      <c r="D37" t="s">
        <v>382</v>
      </c>
      <c r="E37" t="s">
        <v>382</v>
      </c>
      <c r="F37" t="s">
        <v>382</v>
      </c>
      <c r="G37" t="s">
        <v>382</v>
      </c>
      <c r="H37" t="s">
        <v>382</v>
      </c>
      <c r="I37" t="s">
        <v>382</v>
      </c>
      <c r="J37" t="s">
        <v>382</v>
      </c>
      <c r="K37" t="s">
        <v>382</v>
      </c>
      <c r="L37" t="s">
        <v>382</v>
      </c>
      <c r="M37" t="s">
        <v>382</v>
      </c>
      <c r="N37" t="s">
        <v>382</v>
      </c>
      <c r="O37" t="s">
        <v>382</v>
      </c>
      <c r="P37" t="s">
        <v>382</v>
      </c>
      <c r="Q37" t="s">
        <v>382</v>
      </c>
      <c r="R37" t="s">
        <v>382</v>
      </c>
      <c r="S37" t="s">
        <v>382</v>
      </c>
      <c r="T37" t="s">
        <v>382</v>
      </c>
      <c r="U37" t="s">
        <v>382</v>
      </c>
      <c r="V37" t="s">
        <v>382</v>
      </c>
      <c r="W37" t="s">
        <v>382</v>
      </c>
      <c r="X37" t="s">
        <v>382</v>
      </c>
      <c r="Y37" t="s">
        <v>382</v>
      </c>
      <c r="Z37" t="s">
        <v>382</v>
      </c>
      <c r="AA37" t="s">
        <v>382</v>
      </c>
      <c r="AB37" t="s">
        <v>382</v>
      </c>
      <c r="AC37">
        <v>5</v>
      </c>
      <c r="AD37">
        <v>1</v>
      </c>
      <c r="AF37" t="s">
        <v>386</v>
      </c>
      <c r="AH37" t="s">
        <v>29</v>
      </c>
      <c r="AI37" t="s">
        <v>103</v>
      </c>
      <c r="AK37">
        <v>2291</v>
      </c>
      <c r="AL37">
        <v>1882</v>
      </c>
    </row>
    <row r="38" spans="1:38">
      <c r="A38" t="s">
        <v>382</v>
      </c>
      <c r="B38" t="s">
        <v>382</v>
      </c>
      <c r="C38" t="s">
        <v>382</v>
      </c>
      <c r="D38" t="s">
        <v>382</v>
      </c>
      <c r="E38" t="s">
        <v>382</v>
      </c>
      <c r="F38" t="s">
        <v>382</v>
      </c>
      <c r="G38" t="s">
        <v>382</v>
      </c>
      <c r="H38" t="s">
        <v>382</v>
      </c>
      <c r="I38" t="s">
        <v>382</v>
      </c>
      <c r="J38" t="s">
        <v>382</v>
      </c>
      <c r="K38" t="s">
        <v>382</v>
      </c>
      <c r="L38" t="s">
        <v>382</v>
      </c>
      <c r="M38" t="s">
        <v>382</v>
      </c>
      <c r="N38" t="s">
        <v>382</v>
      </c>
      <c r="O38" t="s">
        <v>382</v>
      </c>
      <c r="P38" t="s">
        <v>382</v>
      </c>
      <c r="Q38" t="s">
        <v>382</v>
      </c>
      <c r="R38" t="s">
        <v>382</v>
      </c>
      <c r="S38" t="s">
        <v>382</v>
      </c>
      <c r="T38" t="s">
        <v>382</v>
      </c>
      <c r="U38" t="s">
        <v>382</v>
      </c>
      <c r="V38" t="s">
        <v>382</v>
      </c>
      <c r="W38" t="s">
        <v>382</v>
      </c>
      <c r="X38" t="s">
        <v>382</v>
      </c>
      <c r="Y38" t="s">
        <v>382</v>
      </c>
      <c r="Z38" t="s">
        <v>382</v>
      </c>
      <c r="AA38" t="s">
        <v>382</v>
      </c>
      <c r="AB38" t="s">
        <v>382</v>
      </c>
      <c r="AC38">
        <v>5</v>
      </c>
      <c r="AD38">
        <v>2</v>
      </c>
      <c r="AE38">
        <v>1</v>
      </c>
      <c r="AF38" t="s">
        <v>396</v>
      </c>
      <c r="AH38" t="s">
        <v>64</v>
      </c>
      <c r="AI38" t="s">
        <v>97</v>
      </c>
      <c r="AK38">
        <v>1857</v>
      </c>
      <c r="AL38">
        <v>602</v>
      </c>
    </row>
    <row r="39" spans="1:38">
      <c r="A39" t="s">
        <v>382</v>
      </c>
      <c r="B39" t="s">
        <v>382</v>
      </c>
      <c r="C39" t="s">
        <v>382</v>
      </c>
      <c r="D39" t="s">
        <v>382</v>
      </c>
      <c r="E39" t="s">
        <v>382</v>
      </c>
      <c r="F39" t="s">
        <v>382</v>
      </c>
      <c r="G39" t="s">
        <v>382</v>
      </c>
      <c r="H39" t="s">
        <v>382</v>
      </c>
      <c r="I39" t="s">
        <v>382</v>
      </c>
      <c r="J39" t="s">
        <v>382</v>
      </c>
      <c r="K39" t="s">
        <v>382</v>
      </c>
      <c r="L39" t="s">
        <v>382</v>
      </c>
      <c r="M39" t="s">
        <v>382</v>
      </c>
      <c r="N39" t="s">
        <v>382</v>
      </c>
      <c r="O39" t="s">
        <v>382</v>
      </c>
      <c r="P39" t="s">
        <v>382</v>
      </c>
      <c r="Q39" t="s">
        <v>382</v>
      </c>
      <c r="R39" t="s">
        <v>382</v>
      </c>
      <c r="S39" t="s">
        <v>382</v>
      </c>
      <c r="T39" t="s">
        <v>382</v>
      </c>
      <c r="U39" t="s">
        <v>382</v>
      </c>
      <c r="V39" t="s">
        <v>382</v>
      </c>
      <c r="W39" t="s">
        <v>382</v>
      </c>
      <c r="X39" t="s">
        <v>382</v>
      </c>
      <c r="Y39" t="s">
        <v>382</v>
      </c>
      <c r="Z39" t="s">
        <v>382</v>
      </c>
      <c r="AA39" t="s">
        <v>382</v>
      </c>
      <c r="AB39" t="s">
        <v>382</v>
      </c>
      <c r="AC39">
        <v>5</v>
      </c>
      <c r="AD39">
        <v>3</v>
      </c>
      <c r="AE39">
        <v>1</v>
      </c>
      <c r="AF39" t="s">
        <v>398</v>
      </c>
      <c r="AH39" t="s">
        <v>69</v>
      </c>
      <c r="AI39" t="s">
        <v>97</v>
      </c>
      <c r="AK39">
        <v>2666</v>
      </c>
      <c r="AL39">
        <v>76</v>
      </c>
    </row>
    <row r="40" spans="1:38">
      <c r="A40" t="s">
        <v>382</v>
      </c>
      <c r="B40" t="s">
        <v>382</v>
      </c>
      <c r="C40" t="s">
        <v>382</v>
      </c>
      <c r="D40" t="s">
        <v>382</v>
      </c>
      <c r="E40" t="s">
        <v>382</v>
      </c>
      <c r="F40" t="s">
        <v>382</v>
      </c>
      <c r="G40" t="s">
        <v>382</v>
      </c>
      <c r="H40" t="s">
        <v>382</v>
      </c>
      <c r="I40" t="s">
        <v>382</v>
      </c>
      <c r="J40" t="s">
        <v>382</v>
      </c>
      <c r="K40" t="s">
        <v>382</v>
      </c>
      <c r="L40" t="s">
        <v>382</v>
      </c>
      <c r="M40" t="s">
        <v>382</v>
      </c>
      <c r="N40" t="s">
        <v>382</v>
      </c>
      <c r="O40" t="s">
        <v>382</v>
      </c>
      <c r="P40" t="s">
        <v>382</v>
      </c>
      <c r="Q40" t="s">
        <v>382</v>
      </c>
      <c r="R40" t="s">
        <v>382</v>
      </c>
      <c r="S40" t="s">
        <v>382</v>
      </c>
      <c r="T40" t="s">
        <v>382</v>
      </c>
      <c r="U40" t="s">
        <v>382</v>
      </c>
      <c r="V40" t="s">
        <v>382</v>
      </c>
      <c r="W40" t="s">
        <v>382</v>
      </c>
      <c r="X40" t="s">
        <v>382</v>
      </c>
      <c r="Y40" t="s">
        <v>382</v>
      </c>
      <c r="Z40" t="s">
        <v>382</v>
      </c>
      <c r="AA40" t="s">
        <v>382</v>
      </c>
      <c r="AB40" t="s">
        <v>382</v>
      </c>
      <c r="AC40">
        <v>5</v>
      </c>
      <c r="AD40">
        <v>4</v>
      </c>
      <c r="AE40">
        <v>1</v>
      </c>
      <c r="AF40" t="s">
        <v>396</v>
      </c>
      <c r="AH40" t="s">
        <v>64</v>
      </c>
      <c r="AI40" t="s">
        <v>97</v>
      </c>
      <c r="AK40">
        <v>1686</v>
      </c>
      <c r="AL40">
        <v>359</v>
      </c>
    </row>
    <row r="41" spans="1:38">
      <c r="A41" t="s">
        <v>382</v>
      </c>
      <c r="B41" t="s">
        <v>382</v>
      </c>
      <c r="C41" t="s">
        <v>382</v>
      </c>
      <c r="D41" t="s">
        <v>382</v>
      </c>
      <c r="E41" t="s">
        <v>382</v>
      </c>
      <c r="F41" t="s">
        <v>382</v>
      </c>
      <c r="G41" t="s">
        <v>382</v>
      </c>
      <c r="H41" t="s">
        <v>382</v>
      </c>
      <c r="I41" t="s">
        <v>382</v>
      </c>
      <c r="J41" t="s">
        <v>382</v>
      </c>
      <c r="K41" t="s">
        <v>382</v>
      </c>
      <c r="L41" t="s">
        <v>382</v>
      </c>
      <c r="M41" t="s">
        <v>382</v>
      </c>
      <c r="N41" t="s">
        <v>382</v>
      </c>
      <c r="O41" t="s">
        <v>382</v>
      </c>
      <c r="P41" t="s">
        <v>382</v>
      </c>
      <c r="Q41" t="s">
        <v>382</v>
      </c>
      <c r="R41" t="s">
        <v>382</v>
      </c>
      <c r="S41" t="s">
        <v>382</v>
      </c>
      <c r="T41" t="s">
        <v>382</v>
      </c>
      <c r="U41" t="s">
        <v>382</v>
      </c>
      <c r="V41" t="s">
        <v>382</v>
      </c>
      <c r="W41" t="s">
        <v>382</v>
      </c>
      <c r="X41" t="s">
        <v>382</v>
      </c>
      <c r="Y41" t="s">
        <v>382</v>
      </c>
      <c r="Z41" t="s">
        <v>382</v>
      </c>
      <c r="AA41" t="s">
        <v>382</v>
      </c>
      <c r="AB41" t="s">
        <v>382</v>
      </c>
      <c r="AC41">
        <v>5</v>
      </c>
      <c r="AD41">
        <v>5</v>
      </c>
      <c r="AF41" t="s">
        <v>386</v>
      </c>
      <c r="AH41" t="s">
        <v>29</v>
      </c>
      <c r="AI41" t="s">
        <v>103</v>
      </c>
      <c r="AK41">
        <v>2621</v>
      </c>
      <c r="AL41">
        <v>1645</v>
      </c>
    </row>
    <row r="42" spans="1:38">
      <c r="A42" t="s">
        <v>382</v>
      </c>
      <c r="B42" t="s">
        <v>382</v>
      </c>
      <c r="C42" t="s">
        <v>382</v>
      </c>
      <c r="D42" t="s">
        <v>382</v>
      </c>
      <c r="E42" t="s">
        <v>382</v>
      </c>
      <c r="F42" t="s">
        <v>382</v>
      </c>
      <c r="G42" t="s">
        <v>382</v>
      </c>
      <c r="H42" t="s">
        <v>382</v>
      </c>
      <c r="I42" t="s">
        <v>382</v>
      </c>
      <c r="J42" t="s">
        <v>382</v>
      </c>
      <c r="K42" t="s">
        <v>382</v>
      </c>
      <c r="L42" t="s">
        <v>382</v>
      </c>
      <c r="M42" t="s">
        <v>382</v>
      </c>
      <c r="N42" t="s">
        <v>382</v>
      </c>
      <c r="O42" t="s">
        <v>382</v>
      </c>
      <c r="P42" t="s">
        <v>382</v>
      </c>
      <c r="Q42" t="s">
        <v>382</v>
      </c>
      <c r="R42" t="s">
        <v>382</v>
      </c>
      <c r="S42" t="s">
        <v>382</v>
      </c>
      <c r="T42" t="s">
        <v>382</v>
      </c>
      <c r="U42" t="s">
        <v>382</v>
      </c>
      <c r="V42" t="s">
        <v>382</v>
      </c>
      <c r="W42" t="s">
        <v>382</v>
      </c>
      <c r="X42" t="s">
        <v>382</v>
      </c>
      <c r="Y42" t="s">
        <v>382</v>
      </c>
      <c r="Z42" t="s">
        <v>382</v>
      </c>
      <c r="AA42" t="s">
        <v>382</v>
      </c>
      <c r="AB42" t="s">
        <v>382</v>
      </c>
      <c r="AC42">
        <v>5</v>
      </c>
      <c r="AD42">
        <v>1</v>
      </c>
      <c r="AF42" t="s">
        <v>385</v>
      </c>
      <c r="AH42" t="s">
        <v>27</v>
      </c>
      <c r="AI42" t="s">
        <v>109</v>
      </c>
      <c r="AK42">
        <v>834</v>
      </c>
      <c r="AL42">
        <v>427</v>
      </c>
    </row>
    <row r="43" spans="1:38">
      <c r="A43" t="s">
        <v>382</v>
      </c>
      <c r="B43" t="s">
        <v>382</v>
      </c>
      <c r="C43" t="s">
        <v>382</v>
      </c>
      <c r="D43" t="s">
        <v>382</v>
      </c>
      <c r="E43" t="s">
        <v>382</v>
      </c>
      <c r="F43" t="s">
        <v>382</v>
      </c>
      <c r="G43" t="s">
        <v>382</v>
      </c>
      <c r="H43" t="s">
        <v>382</v>
      </c>
      <c r="I43" t="s">
        <v>382</v>
      </c>
      <c r="J43" t="s">
        <v>382</v>
      </c>
      <c r="K43" t="s">
        <v>382</v>
      </c>
      <c r="L43" t="s">
        <v>382</v>
      </c>
      <c r="M43" t="s">
        <v>382</v>
      </c>
      <c r="N43" t="s">
        <v>382</v>
      </c>
      <c r="O43" t="s">
        <v>382</v>
      </c>
      <c r="P43" t="s">
        <v>382</v>
      </c>
      <c r="Q43" t="s">
        <v>382</v>
      </c>
      <c r="R43" t="s">
        <v>382</v>
      </c>
      <c r="S43" t="s">
        <v>382</v>
      </c>
      <c r="T43" t="s">
        <v>382</v>
      </c>
      <c r="U43" t="s">
        <v>382</v>
      </c>
      <c r="V43" t="s">
        <v>382</v>
      </c>
      <c r="W43" t="s">
        <v>382</v>
      </c>
      <c r="X43" t="s">
        <v>382</v>
      </c>
      <c r="Y43" t="s">
        <v>382</v>
      </c>
      <c r="Z43" t="s">
        <v>382</v>
      </c>
      <c r="AA43" t="s">
        <v>382</v>
      </c>
      <c r="AB43" t="s">
        <v>382</v>
      </c>
      <c r="AC43">
        <v>5</v>
      </c>
      <c r="AD43">
        <v>2</v>
      </c>
      <c r="AE43">
        <v>1</v>
      </c>
      <c r="AF43" t="s">
        <v>383</v>
      </c>
      <c r="AH43" t="s">
        <v>22</v>
      </c>
      <c r="AI43" t="s">
        <v>97</v>
      </c>
      <c r="AK43">
        <v>2205</v>
      </c>
      <c r="AL43">
        <v>2165</v>
      </c>
    </row>
    <row r="44" spans="1:38">
      <c r="A44" t="s">
        <v>382</v>
      </c>
      <c r="B44" t="s">
        <v>382</v>
      </c>
      <c r="C44" t="s">
        <v>382</v>
      </c>
      <c r="D44" t="s">
        <v>382</v>
      </c>
      <c r="E44" t="s">
        <v>382</v>
      </c>
      <c r="F44" t="s">
        <v>382</v>
      </c>
      <c r="G44" t="s">
        <v>382</v>
      </c>
      <c r="H44" t="s">
        <v>382</v>
      </c>
      <c r="I44" t="s">
        <v>382</v>
      </c>
      <c r="J44" t="s">
        <v>382</v>
      </c>
      <c r="K44" t="s">
        <v>382</v>
      </c>
      <c r="L44" t="s">
        <v>382</v>
      </c>
      <c r="M44" t="s">
        <v>382</v>
      </c>
      <c r="N44" t="s">
        <v>382</v>
      </c>
      <c r="O44" t="s">
        <v>382</v>
      </c>
      <c r="P44" t="s">
        <v>382</v>
      </c>
      <c r="Q44" t="s">
        <v>382</v>
      </c>
      <c r="R44" t="s">
        <v>382</v>
      </c>
      <c r="S44" t="s">
        <v>382</v>
      </c>
      <c r="T44" t="s">
        <v>382</v>
      </c>
      <c r="U44" t="s">
        <v>382</v>
      </c>
      <c r="V44" t="s">
        <v>382</v>
      </c>
      <c r="W44" t="s">
        <v>382</v>
      </c>
      <c r="X44" t="s">
        <v>382</v>
      </c>
      <c r="Y44" t="s">
        <v>382</v>
      </c>
      <c r="Z44" t="s">
        <v>382</v>
      </c>
      <c r="AA44" t="s">
        <v>382</v>
      </c>
      <c r="AB44" t="s">
        <v>382</v>
      </c>
      <c r="AC44">
        <v>5</v>
      </c>
      <c r="AD44">
        <v>3</v>
      </c>
      <c r="AE44">
        <v>1</v>
      </c>
      <c r="AF44" t="s">
        <v>383</v>
      </c>
      <c r="AH44" t="s">
        <v>22</v>
      </c>
      <c r="AI44" t="s">
        <v>97</v>
      </c>
      <c r="AK44">
        <v>786</v>
      </c>
      <c r="AL44">
        <v>1715</v>
      </c>
    </row>
    <row r="45" spans="1:38">
      <c r="A45" t="s">
        <v>382</v>
      </c>
      <c r="B45" t="s">
        <v>382</v>
      </c>
      <c r="C45" t="s">
        <v>382</v>
      </c>
      <c r="D45" t="s">
        <v>382</v>
      </c>
      <c r="E45" t="s">
        <v>382</v>
      </c>
      <c r="F45" t="s">
        <v>382</v>
      </c>
      <c r="G45" t="s">
        <v>382</v>
      </c>
      <c r="H45" t="s">
        <v>382</v>
      </c>
      <c r="I45" t="s">
        <v>382</v>
      </c>
      <c r="J45" t="s">
        <v>382</v>
      </c>
      <c r="K45" t="s">
        <v>382</v>
      </c>
      <c r="L45" t="s">
        <v>382</v>
      </c>
      <c r="M45" t="s">
        <v>382</v>
      </c>
      <c r="N45" t="s">
        <v>382</v>
      </c>
      <c r="O45" t="s">
        <v>382</v>
      </c>
      <c r="P45" t="s">
        <v>382</v>
      </c>
      <c r="Q45" t="s">
        <v>382</v>
      </c>
      <c r="R45" t="s">
        <v>382</v>
      </c>
      <c r="S45" t="s">
        <v>382</v>
      </c>
      <c r="T45" t="s">
        <v>382</v>
      </c>
      <c r="U45" t="s">
        <v>382</v>
      </c>
      <c r="V45" t="s">
        <v>382</v>
      </c>
      <c r="W45" t="s">
        <v>382</v>
      </c>
      <c r="X45" t="s">
        <v>382</v>
      </c>
      <c r="Y45" t="s">
        <v>382</v>
      </c>
      <c r="Z45" t="s">
        <v>382</v>
      </c>
      <c r="AA45" t="s">
        <v>382</v>
      </c>
      <c r="AB45" t="s">
        <v>382</v>
      </c>
      <c r="AC45">
        <v>5</v>
      </c>
      <c r="AD45">
        <v>4</v>
      </c>
      <c r="AE45">
        <v>1</v>
      </c>
      <c r="AF45" t="s">
        <v>383</v>
      </c>
      <c r="AH45" t="s">
        <v>22</v>
      </c>
      <c r="AI45" t="s">
        <v>97</v>
      </c>
      <c r="AK45">
        <v>2705</v>
      </c>
      <c r="AL45">
        <v>2503</v>
      </c>
    </row>
    <row r="46" spans="1:38">
      <c r="A46" t="s">
        <v>382</v>
      </c>
      <c r="B46" t="s">
        <v>382</v>
      </c>
      <c r="C46" t="s">
        <v>382</v>
      </c>
      <c r="D46" t="s">
        <v>382</v>
      </c>
      <c r="E46" t="s">
        <v>382</v>
      </c>
      <c r="F46" t="s">
        <v>382</v>
      </c>
      <c r="G46" t="s">
        <v>382</v>
      </c>
      <c r="H46" t="s">
        <v>382</v>
      </c>
      <c r="I46" t="s">
        <v>382</v>
      </c>
      <c r="J46" t="s">
        <v>382</v>
      </c>
      <c r="K46" t="s">
        <v>382</v>
      </c>
      <c r="L46" t="s">
        <v>382</v>
      </c>
      <c r="M46" t="s">
        <v>382</v>
      </c>
      <c r="N46" t="s">
        <v>382</v>
      </c>
      <c r="O46" t="s">
        <v>382</v>
      </c>
      <c r="P46" t="s">
        <v>382</v>
      </c>
      <c r="Q46" t="s">
        <v>382</v>
      </c>
      <c r="R46" t="s">
        <v>382</v>
      </c>
      <c r="S46" t="s">
        <v>382</v>
      </c>
      <c r="T46" t="s">
        <v>382</v>
      </c>
      <c r="U46" t="s">
        <v>382</v>
      </c>
      <c r="V46" t="s">
        <v>382</v>
      </c>
      <c r="W46" t="s">
        <v>382</v>
      </c>
      <c r="X46" t="s">
        <v>382</v>
      </c>
      <c r="Y46" t="s">
        <v>382</v>
      </c>
      <c r="Z46" t="s">
        <v>382</v>
      </c>
      <c r="AA46" t="s">
        <v>382</v>
      </c>
      <c r="AB46" t="s">
        <v>382</v>
      </c>
      <c r="AC46">
        <v>5</v>
      </c>
      <c r="AD46">
        <v>5</v>
      </c>
      <c r="AF46" t="s">
        <v>386</v>
      </c>
      <c r="AH46" t="s">
        <v>29</v>
      </c>
      <c r="AI46" t="s">
        <v>103</v>
      </c>
      <c r="AK46">
        <v>1506</v>
      </c>
      <c r="AL46">
        <v>1279</v>
      </c>
    </row>
    <row r="47" spans="1:38">
      <c r="A47" t="s">
        <v>382</v>
      </c>
      <c r="B47" t="s">
        <v>382</v>
      </c>
      <c r="C47" t="s">
        <v>382</v>
      </c>
      <c r="D47" t="s">
        <v>382</v>
      </c>
      <c r="E47" t="s">
        <v>382</v>
      </c>
      <c r="F47" t="s">
        <v>382</v>
      </c>
      <c r="G47" t="s">
        <v>382</v>
      </c>
      <c r="H47" t="s">
        <v>382</v>
      </c>
      <c r="I47" t="s">
        <v>382</v>
      </c>
      <c r="J47" t="s">
        <v>382</v>
      </c>
      <c r="K47" t="s">
        <v>382</v>
      </c>
      <c r="L47" t="s">
        <v>382</v>
      </c>
      <c r="M47" t="s">
        <v>382</v>
      </c>
      <c r="N47" t="s">
        <v>382</v>
      </c>
      <c r="O47" t="s">
        <v>382</v>
      </c>
      <c r="P47" t="s">
        <v>382</v>
      </c>
      <c r="Q47" t="s">
        <v>382</v>
      </c>
      <c r="R47" t="s">
        <v>382</v>
      </c>
      <c r="S47" t="s">
        <v>382</v>
      </c>
      <c r="T47" t="s">
        <v>382</v>
      </c>
      <c r="U47" t="s">
        <v>382</v>
      </c>
      <c r="V47" t="s">
        <v>382</v>
      </c>
      <c r="W47" t="s">
        <v>382</v>
      </c>
      <c r="X47" t="s">
        <v>382</v>
      </c>
      <c r="Y47" t="s">
        <v>382</v>
      </c>
      <c r="Z47" t="s">
        <v>382</v>
      </c>
      <c r="AA47" t="s">
        <v>382</v>
      </c>
      <c r="AB47" t="s">
        <v>382</v>
      </c>
      <c r="AC47">
        <v>5</v>
      </c>
      <c r="AD47">
        <v>1</v>
      </c>
      <c r="AE47">
        <v>1</v>
      </c>
      <c r="AF47" t="s">
        <v>389</v>
      </c>
      <c r="AH47" t="s">
        <v>35</v>
      </c>
      <c r="AI47" t="s">
        <v>97</v>
      </c>
      <c r="AK47">
        <v>1780</v>
      </c>
      <c r="AL47">
        <v>1980</v>
      </c>
    </row>
    <row r="48" spans="1:38">
      <c r="A48" t="s">
        <v>382</v>
      </c>
      <c r="B48" t="s">
        <v>382</v>
      </c>
      <c r="C48" t="s">
        <v>382</v>
      </c>
      <c r="D48" t="s">
        <v>382</v>
      </c>
      <c r="E48" t="s">
        <v>382</v>
      </c>
      <c r="F48" t="s">
        <v>382</v>
      </c>
      <c r="G48" t="s">
        <v>382</v>
      </c>
      <c r="H48" t="s">
        <v>382</v>
      </c>
      <c r="I48" t="s">
        <v>382</v>
      </c>
      <c r="J48" t="s">
        <v>382</v>
      </c>
      <c r="K48" t="s">
        <v>382</v>
      </c>
      <c r="L48" t="s">
        <v>382</v>
      </c>
      <c r="M48" t="s">
        <v>382</v>
      </c>
      <c r="N48" t="s">
        <v>382</v>
      </c>
      <c r="O48" t="s">
        <v>382</v>
      </c>
      <c r="P48" t="s">
        <v>382</v>
      </c>
      <c r="Q48" t="s">
        <v>382</v>
      </c>
      <c r="R48" t="s">
        <v>382</v>
      </c>
      <c r="S48" t="s">
        <v>382</v>
      </c>
      <c r="T48" t="s">
        <v>382</v>
      </c>
      <c r="U48" t="s">
        <v>382</v>
      </c>
      <c r="V48" t="s">
        <v>382</v>
      </c>
      <c r="W48" t="s">
        <v>382</v>
      </c>
      <c r="X48" t="s">
        <v>382</v>
      </c>
      <c r="Y48" t="s">
        <v>382</v>
      </c>
      <c r="Z48" t="s">
        <v>382</v>
      </c>
      <c r="AA48" t="s">
        <v>382</v>
      </c>
      <c r="AB48" t="s">
        <v>382</v>
      </c>
      <c r="AC48">
        <v>5</v>
      </c>
      <c r="AD48">
        <v>2</v>
      </c>
      <c r="AF48" t="s">
        <v>385</v>
      </c>
      <c r="AH48" t="s">
        <v>27</v>
      </c>
      <c r="AI48" t="s">
        <v>109</v>
      </c>
      <c r="AK48">
        <v>2859</v>
      </c>
      <c r="AL48">
        <v>115</v>
      </c>
    </row>
    <row r="49" spans="1:38">
      <c r="A49" t="s">
        <v>382</v>
      </c>
      <c r="B49" t="s">
        <v>382</v>
      </c>
      <c r="C49" t="s">
        <v>382</v>
      </c>
      <c r="D49" t="s">
        <v>382</v>
      </c>
      <c r="E49" t="s">
        <v>382</v>
      </c>
      <c r="F49" t="s">
        <v>382</v>
      </c>
      <c r="G49" t="s">
        <v>382</v>
      </c>
      <c r="H49" t="s">
        <v>382</v>
      </c>
      <c r="I49" t="s">
        <v>382</v>
      </c>
      <c r="J49" t="s">
        <v>382</v>
      </c>
      <c r="K49" t="s">
        <v>382</v>
      </c>
      <c r="L49" t="s">
        <v>382</v>
      </c>
      <c r="M49" t="s">
        <v>382</v>
      </c>
      <c r="N49" t="s">
        <v>382</v>
      </c>
      <c r="O49" t="s">
        <v>382</v>
      </c>
      <c r="P49" t="s">
        <v>382</v>
      </c>
      <c r="Q49" t="s">
        <v>382</v>
      </c>
      <c r="R49" t="s">
        <v>382</v>
      </c>
      <c r="S49" t="s">
        <v>382</v>
      </c>
      <c r="T49" t="s">
        <v>382</v>
      </c>
      <c r="U49" t="s">
        <v>382</v>
      </c>
      <c r="V49" t="s">
        <v>382</v>
      </c>
      <c r="W49" t="s">
        <v>382</v>
      </c>
      <c r="X49" t="s">
        <v>382</v>
      </c>
      <c r="Y49" t="s">
        <v>382</v>
      </c>
      <c r="Z49" t="s">
        <v>382</v>
      </c>
      <c r="AA49" t="s">
        <v>382</v>
      </c>
      <c r="AB49" t="s">
        <v>382</v>
      </c>
      <c r="AC49">
        <v>5</v>
      </c>
      <c r="AD49">
        <v>3</v>
      </c>
      <c r="AE49">
        <v>1</v>
      </c>
      <c r="AF49" t="s">
        <v>389</v>
      </c>
      <c r="AH49" t="s">
        <v>35</v>
      </c>
      <c r="AI49" t="s">
        <v>97</v>
      </c>
      <c r="AK49">
        <v>802</v>
      </c>
      <c r="AL49">
        <v>554</v>
      </c>
    </row>
    <row r="50" spans="1:38">
      <c r="A50" t="s">
        <v>382</v>
      </c>
      <c r="B50" t="s">
        <v>382</v>
      </c>
      <c r="C50" t="s">
        <v>382</v>
      </c>
      <c r="D50" t="s">
        <v>382</v>
      </c>
      <c r="E50" t="s">
        <v>382</v>
      </c>
      <c r="F50" t="s">
        <v>382</v>
      </c>
      <c r="G50" t="s">
        <v>382</v>
      </c>
      <c r="H50" t="s">
        <v>382</v>
      </c>
      <c r="I50" t="s">
        <v>382</v>
      </c>
      <c r="J50" t="s">
        <v>382</v>
      </c>
      <c r="K50" t="s">
        <v>382</v>
      </c>
      <c r="L50" t="s">
        <v>382</v>
      </c>
      <c r="M50" t="s">
        <v>382</v>
      </c>
      <c r="N50" t="s">
        <v>382</v>
      </c>
      <c r="O50" t="s">
        <v>382</v>
      </c>
      <c r="P50" t="s">
        <v>382</v>
      </c>
      <c r="Q50" t="s">
        <v>382</v>
      </c>
      <c r="R50" t="s">
        <v>382</v>
      </c>
      <c r="S50" t="s">
        <v>382</v>
      </c>
      <c r="T50" t="s">
        <v>382</v>
      </c>
      <c r="U50" t="s">
        <v>382</v>
      </c>
      <c r="V50" t="s">
        <v>382</v>
      </c>
      <c r="W50" t="s">
        <v>382</v>
      </c>
      <c r="X50" t="s">
        <v>382</v>
      </c>
      <c r="Y50" t="s">
        <v>382</v>
      </c>
      <c r="Z50" t="s">
        <v>382</v>
      </c>
      <c r="AA50" t="s">
        <v>382</v>
      </c>
      <c r="AB50" t="s">
        <v>382</v>
      </c>
      <c r="AC50">
        <v>5</v>
      </c>
      <c r="AD50">
        <v>4</v>
      </c>
      <c r="AE50">
        <v>1</v>
      </c>
      <c r="AF50" t="s">
        <v>389</v>
      </c>
      <c r="AH50" t="s">
        <v>35</v>
      </c>
      <c r="AI50" t="s">
        <v>97</v>
      </c>
      <c r="AK50">
        <v>544</v>
      </c>
      <c r="AL50">
        <v>1383</v>
      </c>
    </row>
    <row r="51" spans="1:38">
      <c r="A51" t="s">
        <v>382</v>
      </c>
      <c r="B51" t="s">
        <v>382</v>
      </c>
      <c r="C51" t="s">
        <v>382</v>
      </c>
      <c r="D51" t="s">
        <v>382</v>
      </c>
      <c r="E51" t="s">
        <v>382</v>
      </c>
      <c r="F51" t="s">
        <v>382</v>
      </c>
      <c r="G51" t="s">
        <v>382</v>
      </c>
      <c r="H51" t="s">
        <v>382</v>
      </c>
      <c r="I51" t="s">
        <v>382</v>
      </c>
      <c r="J51" t="s">
        <v>382</v>
      </c>
      <c r="K51" t="s">
        <v>382</v>
      </c>
      <c r="L51" t="s">
        <v>382</v>
      </c>
      <c r="M51" t="s">
        <v>382</v>
      </c>
      <c r="N51" t="s">
        <v>382</v>
      </c>
      <c r="O51" t="s">
        <v>382</v>
      </c>
      <c r="P51" t="s">
        <v>382</v>
      </c>
      <c r="Q51" t="s">
        <v>382</v>
      </c>
      <c r="R51" t="s">
        <v>382</v>
      </c>
      <c r="S51" t="s">
        <v>382</v>
      </c>
      <c r="T51" t="s">
        <v>382</v>
      </c>
      <c r="U51" t="s">
        <v>382</v>
      </c>
      <c r="V51" t="s">
        <v>382</v>
      </c>
      <c r="W51" t="s">
        <v>382</v>
      </c>
      <c r="X51" t="s">
        <v>382</v>
      </c>
      <c r="Y51" t="s">
        <v>382</v>
      </c>
      <c r="Z51" t="s">
        <v>382</v>
      </c>
      <c r="AA51" t="s">
        <v>382</v>
      </c>
      <c r="AB51" t="s">
        <v>382</v>
      </c>
      <c r="AC51">
        <v>5</v>
      </c>
      <c r="AD51">
        <v>5</v>
      </c>
      <c r="AF51" t="s">
        <v>386</v>
      </c>
      <c r="AH51" t="s">
        <v>29</v>
      </c>
      <c r="AI51" t="s">
        <v>103</v>
      </c>
      <c r="AK51">
        <v>1567</v>
      </c>
      <c r="AL51">
        <v>1176</v>
      </c>
    </row>
    <row r="52" spans="1:38">
      <c r="A52" t="s">
        <v>382</v>
      </c>
      <c r="B52" t="s">
        <v>382</v>
      </c>
      <c r="C52" t="s">
        <v>382</v>
      </c>
      <c r="D52" t="s">
        <v>382</v>
      </c>
      <c r="E52" t="s">
        <v>382</v>
      </c>
      <c r="F52" t="s">
        <v>382</v>
      </c>
      <c r="G52" t="s">
        <v>382</v>
      </c>
      <c r="H52" t="s">
        <v>382</v>
      </c>
      <c r="I52" t="s">
        <v>382</v>
      </c>
      <c r="J52" t="s">
        <v>382</v>
      </c>
      <c r="K52" t="s">
        <v>382</v>
      </c>
      <c r="L52" t="s">
        <v>382</v>
      </c>
      <c r="M52" t="s">
        <v>382</v>
      </c>
      <c r="N52" t="s">
        <v>382</v>
      </c>
      <c r="O52" t="s">
        <v>382</v>
      </c>
      <c r="P52" t="s">
        <v>382</v>
      </c>
      <c r="Q52" t="s">
        <v>382</v>
      </c>
      <c r="R52" t="s">
        <v>382</v>
      </c>
      <c r="S52" t="s">
        <v>382</v>
      </c>
      <c r="T52" t="s">
        <v>382</v>
      </c>
      <c r="U52" t="s">
        <v>382</v>
      </c>
      <c r="V52" t="s">
        <v>382</v>
      </c>
      <c r="W52" t="s">
        <v>382</v>
      </c>
      <c r="X52" t="s">
        <v>382</v>
      </c>
      <c r="Y52" t="s">
        <v>382</v>
      </c>
      <c r="Z52" t="s">
        <v>382</v>
      </c>
      <c r="AA52" t="s">
        <v>382</v>
      </c>
      <c r="AB52" t="s">
        <v>382</v>
      </c>
      <c r="AC52">
        <v>5</v>
      </c>
      <c r="AD52">
        <v>1</v>
      </c>
      <c r="AE52">
        <v>1</v>
      </c>
      <c r="AF52" t="s">
        <v>393</v>
      </c>
      <c r="AH52" t="s">
        <v>51</v>
      </c>
      <c r="AI52" t="s">
        <v>97</v>
      </c>
      <c r="AK52">
        <v>2482</v>
      </c>
      <c r="AL52">
        <v>2546</v>
      </c>
    </row>
    <row r="53" spans="1:38">
      <c r="A53" t="s">
        <v>382</v>
      </c>
      <c r="B53" t="s">
        <v>382</v>
      </c>
      <c r="C53" t="s">
        <v>382</v>
      </c>
      <c r="D53" t="s">
        <v>382</v>
      </c>
      <c r="E53" t="s">
        <v>382</v>
      </c>
      <c r="F53" t="s">
        <v>382</v>
      </c>
      <c r="G53" t="s">
        <v>382</v>
      </c>
      <c r="H53" t="s">
        <v>382</v>
      </c>
      <c r="I53" t="s">
        <v>382</v>
      </c>
      <c r="J53" t="s">
        <v>382</v>
      </c>
      <c r="K53" t="s">
        <v>382</v>
      </c>
      <c r="L53" t="s">
        <v>382</v>
      </c>
      <c r="M53" t="s">
        <v>382</v>
      </c>
      <c r="N53" t="s">
        <v>382</v>
      </c>
      <c r="O53" t="s">
        <v>382</v>
      </c>
      <c r="P53" t="s">
        <v>382</v>
      </c>
      <c r="Q53" t="s">
        <v>382</v>
      </c>
      <c r="R53" t="s">
        <v>382</v>
      </c>
      <c r="S53" t="s">
        <v>382</v>
      </c>
      <c r="T53" t="s">
        <v>382</v>
      </c>
      <c r="U53" t="s">
        <v>382</v>
      </c>
      <c r="V53" t="s">
        <v>382</v>
      </c>
      <c r="W53" t="s">
        <v>382</v>
      </c>
      <c r="X53" t="s">
        <v>382</v>
      </c>
      <c r="Y53" t="s">
        <v>382</v>
      </c>
      <c r="Z53" t="s">
        <v>382</v>
      </c>
      <c r="AA53" t="s">
        <v>382</v>
      </c>
      <c r="AB53" t="s">
        <v>382</v>
      </c>
      <c r="AC53">
        <v>5</v>
      </c>
      <c r="AD53">
        <v>2</v>
      </c>
      <c r="AE53">
        <v>1</v>
      </c>
      <c r="AF53" t="s">
        <v>395</v>
      </c>
      <c r="AH53" t="s">
        <v>59</v>
      </c>
      <c r="AI53" t="s">
        <v>97</v>
      </c>
      <c r="AK53">
        <v>2790</v>
      </c>
      <c r="AL53">
        <v>938</v>
      </c>
    </row>
    <row r="54" spans="1:38">
      <c r="A54" t="s">
        <v>382</v>
      </c>
      <c r="B54" t="s">
        <v>382</v>
      </c>
      <c r="C54" t="s">
        <v>382</v>
      </c>
      <c r="D54" t="s">
        <v>382</v>
      </c>
      <c r="E54" t="s">
        <v>382</v>
      </c>
      <c r="F54" t="s">
        <v>382</v>
      </c>
      <c r="G54" t="s">
        <v>382</v>
      </c>
      <c r="H54" t="s">
        <v>382</v>
      </c>
      <c r="I54" t="s">
        <v>382</v>
      </c>
      <c r="J54" t="s">
        <v>382</v>
      </c>
      <c r="K54" t="s">
        <v>382</v>
      </c>
      <c r="L54" t="s">
        <v>382</v>
      </c>
      <c r="M54" t="s">
        <v>382</v>
      </c>
      <c r="N54" t="s">
        <v>382</v>
      </c>
      <c r="O54" t="s">
        <v>382</v>
      </c>
      <c r="P54" t="s">
        <v>382</v>
      </c>
      <c r="Q54" t="s">
        <v>382</v>
      </c>
      <c r="R54" t="s">
        <v>382</v>
      </c>
      <c r="S54" t="s">
        <v>382</v>
      </c>
      <c r="T54" t="s">
        <v>382</v>
      </c>
      <c r="U54" t="s">
        <v>382</v>
      </c>
      <c r="V54" t="s">
        <v>382</v>
      </c>
      <c r="W54" t="s">
        <v>382</v>
      </c>
      <c r="X54" t="s">
        <v>382</v>
      </c>
      <c r="Y54" t="s">
        <v>382</v>
      </c>
      <c r="Z54" t="s">
        <v>382</v>
      </c>
      <c r="AA54" t="s">
        <v>382</v>
      </c>
      <c r="AB54" t="s">
        <v>382</v>
      </c>
      <c r="AC54">
        <v>5</v>
      </c>
      <c r="AD54">
        <v>3</v>
      </c>
      <c r="AE54">
        <v>1</v>
      </c>
      <c r="AF54" t="s">
        <v>482</v>
      </c>
      <c r="AH54" t="s">
        <v>193</v>
      </c>
      <c r="AI54" t="s">
        <v>97</v>
      </c>
      <c r="AK54">
        <v>1032</v>
      </c>
      <c r="AL54">
        <v>1144</v>
      </c>
    </row>
    <row r="55" spans="1:38">
      <c r="A55" t="s">
        <v>382</v>
      </c>
      <c r="B55" t="s">
        <v>382</v>
      </c>
      <c r="C55" t="s">
        <v>382</v>
      </c>
      <c r="D55" t="s">
        <v>382</v>
      </c>
      <c r="E55" t="s">
        <v>382</v>
      </c>
      <c r="F55" t="s">
        <v>382</v>
      </c>
      <c r="G55" t="s">
        <v>382</v>
      </c>
      <c r="H55" t="s">
        <v>382</v>
      </c>
      <c r="I55" t="s">
        <v>382</v>
      </c>
      <c r="J55" t="s">
        <v>382</v>
      </c>
      <c r="K55" t="s">
        <v>382</v>
      </c>
      <c r="L55" t="s">
        <v>382</v>
      </c>
      <c r="M55" t="s">
        <v>382</v>
      </c>
      <c r="N55" t="s">
        <v>382</v>
      </c>
      <c r="O55" t="s">
        <v>382</v>
      </c>
      <c r="P55" t="s">
        <v>382</v>
      </c>
      <c r="Q55" t="s">
        <v>382</v>
      </c>
      <c r="R55" t="s">
        <v>382</v>
      </c>
      <c r="S55" t="s">
        <v>382</v>
      </c>
      <c r="T55" t="s">
        <v>382</v>
      </c>
      <c r="U55" t="s">
        <v>382</v>
      </c>
      <c r="V55" t="s">
        <v>382</v>
      </c>
      <c r="W55" t="s">
        <v>382</v>
      </c>
      <c r="X55" t="s">
        <v>382</v>
      </c>
      <c r="Y55" t="s">
        <v>382</v>
      </c>
      <c r="Z55" t="s">
        <v>382</v>
      </c>
      <c r="AA55" t="s">
        <v>382</v>
      </c>
      <c r="AB55" t="s">
        <v>382</v>
      </c>
      <c r="AC55">
        <v>5</v>
      </c>
      <c r="AD55">
        <v>4</v>
      </c>
      <c r="AE55">
        <v>1</v>
      </c>
      <c r="AF55" t="s">
        <v>483</v>
      </c>
      <c r="AH55" t="s">
        <v>157</v>
      </c>
      <c r="AI55" t="s">
        <v>97</v>
      </c>
      <c r="AK55">
        <v>1706</v>
      </c>
      <c r="AL55">
        <v>1622</v>
      </c>
    </row>
    <row r="56" spans="1:38">
      <c r="A56" t="s">
        <v>382</v>
      </c>
      <c r="B56" t="s">
        <v>382</v>
      </c>
      <c r="C56" t="s">
        <v>382</v>
      </c>
      <c r="D56" t="s">
        <v>382</v>
      </c>
      <c r="E56" t="s">
        <v>382</v>
      </c>
      <c r="F56" t="s">
        <v>382</v>
      </c>
      <c r="G56" t="s">
        <v>382</v>
      </c>
      <c r="H56" t="s">
        <v>382</v>
      </c>
      <c r="I56" t="s">
        <v>382</v>
      </c>
      <c r="J56" t="s">
        <v>382</v>
      </c>
      <c r="K56" t="s">
        <v>382</v>
      </c>
      <c r="L56" t="s">
        <v>382</v>
      </c>
      <c r="M56" t="s">
        <v>382</v>
      </c>
      <c r="N56" t="s">
        <v>382</v>
      </c>
      <c r="O56" t="s">
        <v>382</v>
      </c>
      <c r="P56" t="s">
        <v>382</v>
      </c>
      <c r="Q56" t="s">
        <v>382</v>
      </c>
      <c r="R56" t="s">
        <v>382</v>
      </c>
      <c r="S56" t="s">
        <v>382</v>
      </c>
      <c r="T56" t="s">
        <v>382</v>
      </c>
      <c r="U56" t="s">
        <v>382</v>
      </c>
      <c r="V56" t="s">
        <v>382</v>
      </c>
      <c r="W56" t="s">
        <v>382</v>
      </c>
      <c r="X56" t="s">
        <v>382</v>
      </c>
      <c r="Y56" t="s">
        <v>382</v>
      </c>
      <c r="Z56" t="s">
        <v>382</v>
      </c>
      <c r="AA56" t="s">
        <v>382</v>
      </c>
      <c r="AB56" t="s">
        <v>382</v>
      </c>
      <c r="AC56">
        <v>5</v>
      </c>
      <c r="AD56">
        <v>5</v>
      </c>
      <c r="AE56">
        <v>1</v>
      </c>
      <c r="AF56" t="s">
        <v>483</v>
      </c>
      <c r="AH56" t="s">
        <v>157</v>
      </c>
      <c r="AI56" t="s">
        <v>97</v>
      </c>
      <c r="AK56">
        <v>1188</v>
      </c>
      <c r="AL56">
        <v>2138</v>
      </c>
    </row>
    <row r="57" spans="1:38">
      <c r="A57" t="s">
        <v>382</v>
      </c>
      <c r="B57" t="s">
        <v>382</v>
      </c>
      <c r="C57" t="s">
        <v>382</v>
      </c>
      <c r="D57" t="s">
        <v>382</v>
      </c>
      <c r="E57" t="s">
        <v>382</v>
      </c>
      <c r="F57" t="s">
        <v>382</v>
      </c>
      <c r="G57" t="s">
        <v>382</v>
      </c>
      <c r="H57" t="s">
        <v>382</v>
      </c>
      <c r="I57" t="s">
        <v>382</v>
      </c>
      <c r="J57" t="s">
        <v>382</v>
      </c>
      <c r="K57" t="s">
        <v>382</v>
      </c>
      <c r="L57" t="s">
        <v>382</v>
      </c>
      <c r="M57" t="s">
        <v>382</v>
      </c>
      <c r="N57" t="s">
        <v>382</v>
      </c>
      <c r="O57" t="s">
        <v>382</v>
      </c>
      <c r="P57" t="s">
        <v>382</v>
      </c>
      <c r="Q57" t="s">
        <v>382</v>
      </c>
      <c r="R57" t="s">
        <v>382</v>
      </c>
      <c r="S57" t="s">
        <v>382</v>
      </c>
      <c r="T57" t="s">
        <v>382</v>
      </c>
      <c r="U57" t="s">
        <v>382</v>
      </c>
      <c r="V57" t="s">
        <v>382</v>
      </c>
      <c r="W57" t="s">
        <v>382</v>
      </c>
      <c r="X57" t="s">
        <v>382</v>
      </c>
      <c r="Y57" t="s">
        <v>382</v>
      </c>
      <c r="Z57" t="s">
        <v>382</v>
      </c>
      <c r="AA57" t="s">
        <v>382</v>
      </c>
      <c r="AB57" t="s">
        <v>382</v>
      </c>
      <c r="AC57">
        <v>5</v>
      </c>
      <c r="AD57">
        <v>1</v>
      </c>
      <c r="AE57">
        <v>1</v>
      </c>
      <c r="AF57" t="s">
        <v>387</v>
      </c>
      <c r="AH57" t="s">
        <v>31</v>
      </c>
      <c r="AI57" t="s">
        <v>97</v>
      </c>
      <c r="AK57">
        <v>2934</v>
      </c>
      <c r="AL57">
        <v>333</v>
      </c>
    </row>
    <row r="58" spans="1:38">
      <c r="A58" t="s">
        <v>382</v>
      </c>
      <c r="B58" t="s">
        <v>382</v>
      </c>
      <c r="C58" t="s">
        <v>382</v>
      </c>
      <c r="D58" t="s">
        <v>382</v>
      </c>
      <c r="E58" t="s">
        <v>382</v>
      </c>
      <c r="F58" t="s">
        <v>382</v>
      </c>
      <c r="G58" t="s">
        <v>382</v>
      </c>
      <c r="H58" t="s">
        <v>382</v>
      </c>
      <c r="I58" t="s">
        <v>382</v>
      </c>
      <c r="J58" t="s">
        <v>382</v>
      </c>
      <c r="K58" t="s">
        <v>382</v>
      </c>
      <c r="L58" t="s">
        <v>382</v>
      </c>
      <c r="M58" t="s">
        <v>382</v>
      </c>
      <c r="N58" t="s">
        <v>382</v>
      </c>
      <c r="O58" t="s">
        <v>382</v>
      </c>
      <c r="P58" t="s">
        <v>382</v>
      </c>
      <c r="Q58" t="s">
        <v>382</v>
      </c>
      <c r="R58" t="s">
        <v>382</v>
      </c>
      <c r="S58" t="s">
        <v>382</v>
      </c>
      <c r="T58" t="s">
        <v>382</v>
      </c>
      <c r="U58" t="s">
        <v>382</v>
      </c>
      <c r="V58" t="s">
        <v>382</v>
      </c>
      <c r="W58" t="s">
        <v>382</v>
      </c>
      <c r="X58" t="s">
        <v>382</v>
      </c>
      <c r="Y58" t="s">
        <v>382</v>
      </c>
      <c r="Z58" t="s">
        <v>382</v>
      </c>
      <c r="AA58" t="s">
        <v>382</v>
      </c>
      <c r="AB58" t="s">
        <v>382</v>
      </c>
      <c r="AC58">
        <v>5</v>
      </c>
      <c r="AD58">
        <v>2</v>
      </c>
      <c r="AE58">
        <v>1</v>
      </c>
      <c r="AF58" t="s">
        <v>383</v>
      </c>
      <c r="AH58" t="s">
        <v>22</v>
      </c>
      <c r="AI58" t="s">
        <v>97</v>
      </c>
      <c r="AK58">
        <v>1463</v>
      </c>
      <c r="AL58">
        <v>1962</v>
      </c>
    </row>
    <row r="59" spans="1:38">
      <c r="A59" t="s">
        <v>382</v>
      </c>
      <c r="B59" t="s">
        <v>382</v>
      </c>
      <c r="C59" t="s">
        <v>382</v>
      </c>
      <c r="D59" t="s">
        <v>382</v>
      </c>
      <c r="E59" t="s">
        <v>382</v>
      </c>
      <c r="F59" t="s">
        <v>382</v>
      </c>
      <c r="G59" t="s">
        <v>382</v>
      </c>
      <c r="H59" t="s">
        <v>382</v>
      </c>
      <c r="I59" t="s">
        <v>382</v>
      </c>
      <c r="J59" t="s">
        <v>382</v>
      </c>
      <c r="K59" t="s">
        <v>382</v>
      </c>
      <c r="L59" t="s">
        <v>382</v>
      </c>
      <c r="M59" t="s">
        <v>382</v>
      </c>
      <c r="N59" t="s">
        <v>382</v>
      </c>
      <c r="O59" t="s">
        <v>382</v>
      </c>
      <c r="P59" t="s">
        <v>382</v>
      </c>
      <c r="Q59" t="s">
        <v>382</v>
      </c>
      <c r="R59" t="s">
        <v>382</v>
      </c>
      <c r="S59" t="s">
        <v>382</v>
      </c>
      <c r="T59" t="s">
        <v>382</v>
      </c>
      <c r="U59" t="s">
        <v>382</v>
      </c>
      <c r="V59" t="s">
        <v>382</v>
      </c>
      <c r="W59" t="s">
        <v>382</v>
      </c>
      <c r="X59" t="s">
        <v>382</v>
      </c>
      <c r="Y59" t="s">
        <v>382</v>
      </c>
      <c r="Z59" t="s">
        <v>382</v>
      </c>
      <c r="AA59" t="s">
        <v>382</v>
      </c>
      <c r="AB59" t="s">
        <v>382</v>
      </c>
      <c r="AC59">
        <v>5</v>
      </c>
      <c r="AD59">
        <v>3</v>
      </c>
      <c r="AE59">
        <v>1</v>
      </c>
      <c r="AF59" t="s">
        <v>383</v>
      </c>
      <c r="AH59" t="s">
        <v>22</v>
      </c>
      <c r="AI59" t="s">
        <v>97</v>
      </c>
      <c r="AK59">
        <v>2348</v>
      </c>
      <c r="AL59">
        <v>1015</v>
      </c>
    </row>
    <row r="60" spans="1:38">
      <c r="A60" t="s">
        <v>382</v>
      </c>
      <c r="B60" t="s">
        <v>382</v>
      </c>
      <c r="C60" t="s">
        <v>382</v>
      </c>
      <c r="D60" t="s">
        <v>382</v>
      </c>
      <c r="E60" t="s">
        <v>382</v>
      </c>
      <c r="F60" t="s">
        <v>382</v>
      </c>
      <c r="G60" t="s">
        <v>382</v>
      </c>
      <c r="H60" t="s">
        <v>382</v>
      </c>
      <c r="I60" t="s">
        <v>382</v>
      </c>
      <c r="J60" t="s">
        <v>382</v>
      </c>
      <c r="K60" t="s">
        <v>382</v>
      </c>
      <c r="L60" t="s">
        <v>382</v>
      </c>
      <c r="M60" t="s">
        <v>382</v>
      </c>
      <c r="N60" t="s">
        <v>382</v>
      </c>
      <c r="O60" t="s">
        <v>382</v>
      </c>
      <c r="P60" t="s">
        <v>382</v>
      </c>
      <c r="Q60" t="s">
        <v>382</v>
      </c>
      <c r="R60" t="s">
        <v>382</v>
      </c>
      <c r="S60" t="s">
        <v>382</v>
      </c>
      <c r="T60" t="s">
        <v>382</v>
      </c>
      <c r="U60" t="s">
        <v>382</v>
      </c>
      <c r="V60" t="s">
        <v>382</v>
      </c>
      <c r="W60" t="s">
        <v>382</v>
      </c>
      <c r="X60" t="s">
        <v>382</v>
      </c>
      <c r="Y60" t="s">
        <v>382</v>
      </c>
      <c r="Z60" t="s">
        <v>382</v>
      </c>
      <c r="AA60" t="s">
        <v>382</v>
      </c>
      <c r="AB60" t="s">
        <v>382</v>
      </c>
      <c r="AC60">
        <v>5</v>
      </c>
      <c r="AD60">
        <v>4</v>
      </c>
      <c r="AE60">
        <v>1</v>
      </c>
      <c r="AF60" t="s">
        <v>383</v>
      </c>
      <c r="AH60" t="s">
        <v>22</v>
      </c>
      <c r="AI60" t="s">
        <v>97</v>
      </c>
      <c r="AK60">
        <v>798</v>
      </c>
      <c r="AL60">
        <v>1293</v>
      </c>
    </row>
    <row r="61" spans="1:38">
      <c r="A61" t="s">
        <v>382</v>
      </c>
      <c r="B61" t="s">
        <v>382</v>
      </c>
      <c r="C61" t="s">
        <v>382</v>
      </c>
      <c r="D61" t="s">
        <v>382</v>
      </c>
      <c r="E61" t="s">
        <v>382</v>
      </c>
      <c r="F61" t="s">
        <v>382</v>
      </c>
      <c r="G61" t="s">
        <v>382</v>
      </c>
      <c r="H61" t="s">
        <v>382</v>
      </c>
      <c r="I61" t="s">
        <v>382</v>
      </c>
      <c r="J61" t="s">
        <v>382</v>
      </c>
      <c r="K61" t="s">
        <v>382</v>
      </c>
      <c r="L61" t="s">
        <v>382</v>
      </c>
      <c r="M61" t="s">
        <v>382</v>
      </c>
      <c r="N61" t="s">
        <v>382</v>
      </c>
      <c r="O61" t="s">
        <v>382</v>
      </c>
      <c r="P61" t="s">
        <v>382</v>
      </c>
      <c r="Q61" t="s">
        <v>382</v>
      </c>
      <c r="R61" t="s">
        <v>382</v>
      </c>
      <c r="S61" t="s">
        <v>382</v>
      </c>
      <c r="T61" t="s">
        <v>382</v>
      </c>
      <c r="U61" t="s">
        <v>382</v>
      </c>
      <c r="V61" t="s">
        <v>382</v>
      </c>
      <c r="W61" t="s">
        <v>382</v>
      </c>
      <c r="X61" t="s">
        <v>382</v>
      </c>
      <c r="Y61" t="s">
        <v>382</v>
      </c>
      <c r="Z61" t="s">
        <v>382</v>
      </c>
      <c r="AA61" t="s">
        <v>382</v>
      </c>
      <c r="AB61" t="s">
        <v>382</v>
      </c>
      <c r="AC61">
        <v>5</v>
      </c>
      <c r="AD61">
        <v>5</v>
      </c>
      <c r="AE61">
        <v>1</v>
      </c>
      <c r="AF61" t="s">
        <v>383</v>
      </c>
      <c r="AH61" t="s">
        <v>22</v>
      </c>
      <c r="AI61" t="s">
        <v>97</v>
      </c>
      <c r="AK61">
        <v>3098</v>
      </c>
      <c r="AL61">
        <v>1333</v>
      </c>
    </row>
    <row r="62" spans="1:38">
      <c r="A62" t="s">
        <v>382</v>
      </c>
      <c r="B62" t="s">
        <v>382</v>
      </c>
      <c r="C62" t="s">
        <v>382</v>
      </c>
      <c r="D62" t="s">
        <v>382</v>
      </c>
      <c r="E62" t="s">
        <v>382</v>
      </c>
      <c r="F62" t="s">
        <v>382</v>
      </c>
      <c r="G62" t="s">
        <v>382</v>
      </c>
      <c r="H62" t="s">
        <v>382</v>
      </c>
      <c r="I62" t="s">
        <v>382</v>
      </c>
      <c r="J62" t="s">
        <v>382</v>
      </c>
      <c r="K62" t="s">
        <v>382</v>
      </c>
      <c r="L62" t="s">
        <v>382</v>
      </c>
      <c r="M62" t="s">
        <v>382</v>
      </c>
      <c r="N62" t="s">
        <v>382</v>
      </c>
      <c r="O62" t="s">
        <v>382</v>
      </c>
      <c r="P62" t="s">
        <v>382</v>
      </c>
      <c r="Q62" t="s">
        <v>382</v>
      </c>
      <c r="R62" t="s">
        <v>382</v>
      </c>
      <c r="S62" t="s">
        <v>382</v>
      </c>
      <c r="T62" t="s">
        <v>382</v>
      </c>
      <c r="U62" t="s">
        <v>382</v>
      </c>
      <c r="V62" t="s">
        <v>382</v>
      </c>
      <c r="W62" t="s">
        <v>382</v>
      </c>
      <c r="X62" t="s">
        <v>382</v>
      </c>
      <c r="Y62" t="s">
        <v>382</v>
      </c>
      <c r="Z62" t="s">
        <v>382</v>
      </c>
      <c r="AA62" t="s">
        <v>382</v>
      </c>
      <c r="AB62" t="s">
        <v>382</v>
      </c>
      <c r="AC62">
        <v>5</v>
      </c>
      <c r="AD62">
        <v>1</v>
      </c>
      <c r="AF62" t="s">
        <v>386</v>
      </c>
      <c r="AH62" t="s">
        <v>29</v>
      </c>
      <c r="AI62" t="s">
        <v>103</v>
      </c>
      <c r="AK62">
        <v>824</v>
      </c>
      <c r="AL62">
        <v>399</v>
      </c>
    </row>
    <row r="63" spans="1:38">
      <c r="A63" t="s">
        <v>382</v>
      </c>
      <c r="B63" t="s">
        <v>382</v>
      </c>
      <c r="C63" t="s">
        <v>382</v>
      </c>
      <c r="D63" t="s">
        <v>382</v>
      </c>
      <c r="E63" t="s">
        <v>382</v>
      </c>
      <c r="F63" t="s">
        <v>382</v>
      </c>
      <c r="G63" t="s">
        <v>382</v>
      </c>
      <c r="H63" t="s">
        <v>382</v>
      </c>
      <c r="I63" t="s">
        <v>382</v>
      </c>
      <c r="J63" t="s">
        <v>382</v>
      </c>
      <c r="K63" t="s">
        <v>382</v>
      </c>
      <c r="L63" t="s">
        <v>382</v>
      </c>
      <c r="M63" t="s">
        <v>382</v>
      </c>
      <c r="N63" t="s">
        <v>382</v>
      </c>
      <c r="O63" t="s">
        <v>382</v>
      </c>
      <c r="P63" t="s">
        <v>382</v>
      </c>
      <c r="Q63" t="s">
        <v>382</v>
      </c>
      <c r="R63" t="s">
        <v>382</v>
      </c>
      <c r="S63" t="s">
        <v>382</v>
      </c>
      <c r="T63" t="s">
        <v>382</v>
      </c>
      <c r="U63" t="s">
        <v>382</v>
      </c>
      <c r="V63" t="s">
        <v>382</v>
      </c>
      <c r="W63" t="s">
        <v>382</v>
      </c>
      <c r="X63" t="s">
        <v>382</v>
      </c>
      <c r="Y63" t="s">
        <v>382</v>
      </c>
      <c r="Z63" t="s">
        <v>382</v>
      </c>
      <c r="AA63" t="s">
        <v>382</v>
      </c>
      <c r="AB63" t="s">
        <v>382</v>
      </c>
      <c r="AC63">
        <v>5</v>
      </c>
      <c r="AD63">
        <v>2</v>
      </c>
      <c r="AF63" t="s">
        <v>386</v>
      </c>
      <c r="AH63" t="s">
        <v>29</v>
      </c>
      <c r="AI63" t="s">
        <v>103</v>
      </c>
      <c r="AK63">
        <v>838</v>
      </c>
      <c r="AL63">
        <v>164</v>
      </c>
    </row>
    <row r="64" spans="1:38">
      <c r="A64" t="s">
        <v>382</v>
      </c>
      <c r="B64" t="s">
        <v>382</v>
      </c>
      <c r="C64" t="s">
        <v>382</v>
      </c>
      <c r="D64" t="s">
        <v>382</v>
      </c>
      <c r="E64" t="s">
        <v>382</v>
      </c>
      <c r="F64" t="s">
        <v>382</v>
      </c>
      <c r="G64" t="s">
        <v>382</v>
      </c>
      <c r="H64" t="s">
        <v>382</v>
      </c>
      <c r="I64" t="s">
        <v>382</v>
      </c>
      <c r="J64" t="s">
        <v>382</v>
      </c>
      <c r="K64" t="s">
        <v>382</v>
      </c>
      <c r="L64" t="s">
        <v>382</v>
      </c>
      <c r="M64" t="s">
        <v>382</v>
      </c>
      <c r="N64" t="s">
        <v>382</v>
      </c>
      <c r="O64" t="s">
        <v>382</v>
      </c>
      <c r="P64" t="s">
        <v>382</v>
      </c>
      <c r="Q64" t="s">
        <v>382</v>
      </c>
      <c r="R64" t="s">
        <v>382</v>
      </c>
      <c r="S64" t="s">
        <v>382</v>
      </c>
      <c r="T64" t="s">
        <v>382</v>
      </c>
      <c r="U64" t="s">
        <v>382</v>
      </c>
      <c r="V64" t="s">
        <v>382</v>
      </c>
      <c r="W64" t="s">
        <v>382</v>
      </c>
      <c r="X64" t="s">
        <v>382</v>
      </c>
      <c r="Y64" t="s">
        <v>382</v>
      </c>
      <c r="Z64" t="s">
        <v>382</v>
      </c>
      <c r="AA64" t="s">
        <v>382</v>
      </c>
      <c r="AB64" t="s">
        <v>382</v>
      </c>
      <c r="AC64">
        <v>5</v>
      </c>
      <c r="AD64">
        <v>3</v>
      </c>
      <c r="AE64">
        <v>1</v>
      </c>
      <c r="AF64" t="s">
        <v>383</v>
      </c>
      <c r="AH64" t="s">
        <v>22</v>
      </c>
      <c r="AI64" t="s">
        <v>97</v>
      </c>
      <c r="AK64">
        <v>2681</v>
      </c>
      <c r="AL64">
        <v>19</v>
      </c>
    </row>
    <row r="65" spans="1:38">
      <c r="A65" t="s">
        <v>382</v>
      </c>
      <c r="B65" t="s">
        <v>382</v>
      </c>
      <c r="C65" t="s">
        <v>382</v>
      </c>
      <c r="D65" t="s">
        <v>382</v>
      </c>
      <c r="E65" t="s">
        <v>382</v>
      </c>
      <c r="F65" t="s">
        <v>382</v>
      </c>
      <c r="G65" t="s">
        <v>382</v>
      </c>
      <c r="H65" t="s">
        <v>382</v>
      </c>
      <c r="I65" t="s">
        <v>382</v>
      </c>
      <c r="J65" t="s">
        <v>382</v>
      </c>
      <c r="K65" t="s">
        <v>382</v>
      </c>
      <c r="L65" t="s">
        <v>382</v>
      </c>
      <c r="M65" t="s">
        <v>382</v>
      </c>
      <c r="N65" t="s">
        <v>382</v>
      </c>
      <c r="O65" t="s">
        <v>382</v>
      </c>
      <c r="P65" t="s">
        <v>382</v>
      </c>
      <c r="Q65" t="s">
        <v>382</v>
      </c>
      <c r="R65" t="s">
        <v>382</v>
      </c>
      <c r="S65" t="s">
        <v>382</v>
      </c>
      <c r="T65" t="s">
        <v>382</v>
      </c>
      <c r="U65" t="s">
        <v>382</v>
      </c>
      <c r="V65" t="s">
        <v>382</v>
      </c>
      <c r="W65" t="s">
        <v>382</v>
      </c>
      <c r="X65" t="s">
        <v>382</v>
      </c>
      <c r="Y65" t="s">
        <v>382</v>
      </c>
      <c r="Z65" t="s">
        <v>382</v>
      </c>
      <c r="AA65" t="s">
        <v>382</v>
      </c>
      <c r="AB65" t="s">
        <v>382</v>
      </c>
      <c r="AC65">
        <v>5</v>
      </c>
      <c r="AD65">
        <v>4</v>
      </c>
      <c r="AF65" t="s">
        <v>385</v>
      </c>
      <c r="AH65" t="s">
        <v>27</v>
      </c>
      <c r="AI65" t="s">
        <v>109</v>
      </c>
      <c r="AK65">
        <v>905</v>
      </c>
      <c r="AL65">
        <v>1117</v>
      </c>
    </row>
    <row r="66" spans="1:38">
      <c r="A66" t="s">
        <v>382</v>
      </c>
      <c r="B66" t="s">
        <v>382</v>
      </c>
      <c r="C66" t="s">
        <v>382</v>
      </c>
      <c r="D66" t="s">
        <v>382</v>
      </c>
      <c r="E66" t="s">
        <v>382</v>
      </c>
      <c r="F66" t="s">
        <v>382</v>
      </c>
      <c r="G66" t="s">
        <v>382</v>
      </c>
      <c r="H66" t="s">
        <v>382</v>
      </c>
      <c r="I66" t="s">
        <v>382</v>
      </c>
      <c r="J66" t="s">
        <v>382</v>
      </c>
      <c r="K66" t="s">
        <v>382</v>
      </c>
      <c r="L66" t="s">
        <v>382</v>
      </c>
      <c r="M66" t="s">
        <v>382</v>
      </c>
      <c r="N66" t="s">
        <v>382</v>
      </c>
      <c r="O66" t="s">
        <v>382</v>
      </c>
      <c r="P66" t="s">
        <v>382</v>
      </c>
      <c r="Q66" t="s">
        <v>382</v>
      </c>
      <c r="R66" t="s">
        <v>382</v>
      </c>
      <c r="S66" t="s">
        <v>382</v>
      </c>
      <c r="T66" t="s">
        <v>382</v>
      </c>
      <c r="U66" t="s">
        <v>382</v>
      </c>
      <c r="V66" t="s">
        <v>382</v>
      </c>
      <c r="W66" t="s">
        <v>382</v>
      </c>
      <c r="X66" t="s">
        <v>382</v>
      </c>
      <c r="Y66" t="s">
        <v>382</v>
      </c>
      <c r="Z66" t="s">
        <v>382</v>
      </c>
      <c r="AA66" t="s">
        <v>382</v>
      </c>
      <c r="AB66" t="s">
        <v>382</v>
      </c>
      <c r="AC66">
        <v>5</v>
      </c>
      <c r="AD66">
        <v>5</v>
      </c>
      <c r="AE66">
        <v>1</v>
      </c>
      <c r="AF66" t="s">
        <v>383</v>
      </c>
      <c r="AH66" t="s">
        <v>22</v>
      </c>
      <c r="AI66" t="s">
        <v>97</v>
      </c>
      <c r="AK66">
        <v>2397</v>
      </c>
      <c r="AL66">
        <v>2037</v>
      </c>
    </row>
    <row r="67" spans="1:38">
      <c r="A67" t="s">
        <v>382</v>
      </c>
      <c r="B67" t="s">
        <v>382</v>
      </c>
      <c r="C67" t="s">
        <v>382</v>
      </c>
      <c r="D67" t="s">
        <v>382</v>
      </c>
      <c r="E67" t="s">
        <v>382</v>
      </c>
      <c r="F67" t="s">
        <v>382</v>
      </c>
      <c r="G67" t="s">
        <v>382</v>
      </c>
      <c r="H67" t="s">
        <v>382</v>
      </c>
      <c r="I67" t="s">
        <v>382</v>
      </c>
      <c r="J67" t="s">
        <v>382</v>
      </c>
      <c r="K67" t="s">
        <v>382</v>
      </c>
      <c r="L67" t="s">
        <v>382</v>
      </c>
      <c r="M67" t="s">
        <v>382</v>
      </c>
      <c r="N67" t="s">
        <v>382</v>
      </c>
      <c r="O67" t="s">
        <v>382</v>
      </c>
      <c r="P67" t="s">
        <v>382</v>
      </c>
      <c r="Q67" t="s">
        <v>382</v>
      </c>
      <c r="R67" t="s">
        <v>382</v>
      </c>
      <c r="S67" t="s">
        <v>382</v>
      </c>
      <c r="T67" t="s">
        <v>382</v>
      </c>
      <c r="U67" t="s">
        <v>382</v>
      </c>
      <c r="V67" t="s">
        <v>382</v>
      </c>
      <c r="W67" t="s">
        <v>382</v>
      </c>
      <c r="X67" t="s">
        <v>382</v>
      </c>
      <c r="Y67" t="s">
        <v>382</v>
      </c>
      <c r="Z67" t="s">
        <v>382</v>
      </c>
      <c r="AA67" t="s">
        <v>382</v>
      </c>
      <c r="AB67" t="s">
        <v>382</v>
      </c>
      <c r="AC67">
        <v>5</v>
      </c>
      <c r="AD67">
        <v>1</v>
      </c>
      <c r="AF67" t="s">
        <v>386</v>
      </c>
      <c r="AH67" t="s">
        <v>29</v>
      </c>
      <c r="AI67" t="s">
        <v>103</v>
      </c>
      <c r="AK67">
        <v>3101</v>
      </c>
      <c r="AL67">
        <v>1974</v>
      </c>
    </row>
    <row r="68" spans="1:38">
      <c r="A68" t="s">
        <v>382</v>
      </c>
      <c r="B68" t="s">
        <v>382</v>
      </c>
      <c r="C68" t="s">
        <v>382</v>
      </c>
      <c r="D68" t="s">
        <v>382</v>
      </c>
      <c r="E68" t="s">
        <v>382</v>
      </c>
      <c r="F68" t="s">
        <v>382</v>
      </c>
      <c r="G68" t="s">
        <v>382</v>
      </c>
      <c r="H68" t="s">
        <v>382</v>
      </c>
      <c r="I68" t="s">
        <v>382</v>
      </c>
      <c r="J68" t="s">
        <v>382</v>
      </c>
      <c r="K68" t="s">
        <v>382</v>
      </c>
      <c r="L68" t="s">
        <v>382</v>
      </c>
      <c r="M68" t="s">
        <v>382</v>
      </c>
      <c r="N68" t="s">
        <v>382</v>
      </c>
      <c r="O68" t="s">
        <v>382</v>
      </c>
      <c r="P68" t="s">
        <v>382</v>
      </c>
      <c r="Q68" t="s">
        <v>382</v>
      </c>
      <c r="R68" t="s">
        <v>382</v>
      </c>
      <c r="S68" t="s">
        <v>382</v>
      </c>
      <c r="T68" t="s">
        <v>382</v>
      </c>
      <c r="U68" t="s">
        <v>382</v>
      </c>
      <c r="V68" t="s">
        <v>382</v>
      </c>
      <c r="W68" t="s">
        <v>382</v>
      </c>
      <c r="X68" t="s">
        <v>382</v>
      </c>
      <c r="Y68" t="s">
        <v>382</v>
      </c>
      <c r="Z68" t="s">
        <v>382</v>
      </c>
      <c r="AA68" t="s">
        <v>382</v>
      </c>
      <c r="AB68" t="s">
        <v>382</v>
      </c>
      <c r="AC68">
        <v>5</v>
      </c>
      <c r="AD68">
        <v>2</v>
      </c>
      <c r="AE68">
        <v>1</v>
      </c>
      <c r="AF68" t="s">
        <v>383</v>
      </c>
      <c r="AH68" t="s">
        <v>22</v>
      </c>
      <c r="AI68" t="s">
        <v>97</v>
      </c>
      <c r="AK68">
        <v>1373</v>
      </c>
      <c r="AL68">
        <v>2433</v>
      </c>
    </row>
    <row r="69" spans="1:38">
      <c r="A69" t="s">
        <v>382</v>
      </c>
      <c r="B69" t="s">
        <v>382</v>
      </c>
      <c r="C69" t="s">
        <v>382</v>
      </c>
      <c r="D69" t="s">
        <v>382</v>
      </c>
      <c r="E69" t="s">
        <v>382</v>
      </c>
      <c r="F69" t="s">
        <v>382</v>
      </c>
      <c r="G69" t="s">
        <v>382</v>
      </c>
      <c r="H69" t="s">
        <v>382</v>
      </c>
      <c r="I69" t="s">
        <v>382</v>
      </c>
      <c r="J69" t="s">
        <v>382</v>
      </c>
      <c r="K69" t="s">
        <v>382</v>
      </c>
      <c r="L69" t="s">
        <v>382</v>
      </c>
      <c r="M69" t="s">
        <v>382</v>
      </c>
      <c r="N69" t="s">
        <v>382</v>
      </c>
      <c r="O69" t="s">
        <v>382</v>
      </c>
      <c r="P69" t="s">
        <v>382</v>
      </c>
      <c r="Q69" t="s">
        <v>382</v>
      </c>
      <c r="R69" t="s">
        <v>382</v>
      </c>
      <c r="S69" t="s">
        <v>382</v>
      </c>
      <c r="T69" t="s">
        <v>382</v>
      </c>
      <c r="U69" t="s">
        <v>382</v>
      </c>
      <c r="V69" t="s">
        <v>382</v>
      </c>
      <c r="W69" t="s">
        <v>382</v>
      </c>
      <c r="X69" t="s">
        <v>382</v>
      </c>
      <c r="Y69" t="s">
        <v>382</v>
      </c>
      <c r="Z69" t="s">
        <v>382</v>
      </c>
      <c r="AA69" t="s">
        <v>382</v>
      </c>
      <c r="AB69" t="s">
        <v>382</v>
      </c>
      <c r="AC69">
        <v>5</v>
      </c>
      <c r="AD69">
        <v>3</v>
      </c>
      <c r="AE69">
        <v>1</v>
      </c>
      <c r="AF69" t="s">
        <v>383</v>
      </c>
      <c r="AH69" t="s">
        <v>22</v>
      </c>
      <c r="AI69" t="s">
        <v>97</v>
      </c>
      <c r="AK69">
        <v>2418</v>
      </c>
      <c r="AL69">
        <v>2174</v>
      </c>
    </row>
    <row r="70" spans="1:38">
      <c r="A70" t="s">
        <v>382</v>
      </c>
      <c r="B70" t="s">
        <v>382</v>
      </c>
      <c r="C70" t="s">
        <v>382</v>
      </c>
      <c r="D70" t="s">
        <v>382</v>
      </c>
      <c r="E70" t="s">
        <v>382</v>
      </c>
      <c r="F70" t="s">
        <v>382</v>
      </c>
      <c r="G70" t="s">
        <v>382</v>
      </c>
      <c r="H70" t="s">
        <v>382</v>
      </c>
      <c r="I70" t="s">
        <v>382</v>
      </c>
      <c r="J70" t="s">
        <v>382</v>
      </c>
      <c r="K70" t="s">
        <v>382</v>
      </c>
      <c r="L70" t="s">
        <v>382</v>
      </c>
      <c r="M70" t="s">
        <v>382</v>
      </c>
      <c r="N70" t="s">
        <v>382</v>
      </c>
      <c r="O70" t="s">
        <v>382</v>
      </c>
      <c r="P70" t="s">
        <v>382</v>
      </c>
      <c r="Q70" t="s">
        <v>382</v>
      </c>
      <c r="R70" t="s">
        <v>382</v>
      </c>
      <c r="S70" t="s">
        <v>382</v>
      </c>
      <c r="T70" t="s">
        <v>382</v>
      </c>
      <c r="U70" t="s">
        <v>382</v>
      </c>
      <c r="V70" t="s">
        <v>382</v>
      </c>
      <c r="W70" t="s">
        <v>382</v>
      </c>
      <c r="X70" t="s">
        <v>382</v>
      </c>
      <c r="Y70" t="s">
        <v>382</v>
      </c>
      <c r="Z70" t="s">
        <v>382</v>
      </c>
      <c r="AA70" t="s">
        <v>382</v>
      </c>
      <c r="AB70" t="s">
        <v>382</v>
      </c>
      <c r="AC70">
        <v>5</v>
      </c>
      <c r="AD70">
        <v>4</v>
      </c>
      <c r="AE70">
        <v>1</v>
      </c>
      <c r="AF70" t="s">
        <v>383</v>
      </c>
      <c r="AH70" t="s">
        <v>22</v>
      </c>
      <c r="AI70" t="s">
        <v>97</v>
      </c>
      <c r="AK70">
        <v>1737</v>
      </c>
      <c r="AL70">
        <v>1497</v>
      </c>
    </row>
    <row r="71" spans="1:38">
      <c r="A71" t="s">
        <v>382</v>
      </c>
      <c r="B71" t="s">
        <v>382</v>
      </c>
      <c r="C71" t="s">
        <v>382</v>
      </c>
      <c r="D71" t="s">
        <v>382</v>
      </c>
      <c r="E71" t="s">
        <v>382</v>
      </c>
      <c r="F71" t="s">
        <v>382</v>
      </c>
      <c r="G71" t="s">
        <v>382</v>
      </c>
      <c r="H71" t="s">
        <v>382</v>
      </c>
      <c r="I71" t="s">
        <v>382</v>
      </c>
      <c r="J71" t="s">
        <v>382</v>
      </c>
      <c r="K71" t="s">
        <v>382</v>
      </c>
      <c r="L71" t="s">
        <v>382</v>
      </c>
      <c r="M71" t="s">
        <v>382</v>
      </c>
      <c r="N71" t="s">
        <v>382</v>
      </c>
      <c r="O71" t="s">
        <v>382</v>
      </c>
      <c r="P71" t="s">
        <v>382</v>
      </c>
      <c r="Q71" t="s">
        <v>382</v>
      </c>
      <c r="R71" t="s">
        <v>382</v>
      </c>
      <c r="S71" t="s">
        <v>382</v>
      </c>
      <c r="T71" t="s">
        <v>382</v>
      </c>
      <c r="U71" t="s">
        <v>382</v>
      </c>
      <c r="V71" t="s">
        <v>382</v>
      </c>
      <c r="W71" t="s">
        <v>382</v>
      </c>
      <c r="X71" t="s">
        <v>382</v>
      </c>
      <c r="Y71" t="s">
        <v>382</v>
      </c>
      <c r="Z71" t="s">
        <v>382</v>
      </c>
      <c r="AA71" t="s">
        <v>382</v>
      </c>
      <c r="AB71" t="s">
        <v>382</v>
      </c>
      <c r="AC71">
        <v>5</v>
      </c>
      <c r="AD71">
        <v>5</v>
      </c>
      <c r="AE71">
        <v>1</v>
      </c>
      <c r="AF71" t="s">
        <v>383</v>
      </c>
      <c r="AH71" t="s">
        <v>22</v>
      </c>
      <c r="AI71" t="s">
        <v>97</v>
      </c>
      <c r="AK71">
        <v>2417</v>
      </c>
      <c r="AL71">
        <v>1240</v>
      </c>
    </row>
    <row r="72" spans="1:38">
      <c r="A72" t="s">
        <v>382</v>
      </c>
      <c r="B72" t="s">
        <v>382</v>
      </c>
      <c r="C72" t="s">
        <v>382</v>
      </c>
      <c r="D72" t="s">
        <v>382</v>
      </c>
      <c r="E72" t="s">
        <v>382</v>
      </c>
      <c r="F72" t="s">
        <v>382</v>
      </c>
      <c r="G72" t="s">
        <v>382</v>
      </c>
      <c r="H72" t="s">
        <v>382</v>
      </c>
      <c r="I72" t="s">
        <v>382</v>
      </c>
      <c r="J72" t="s">
        <v>382</v>
      </c>
      <c r="K72" t="s">
        <v>382</v>
      </c>
      <c r="L72" t="s">
        <v>382</v>
      </c>
      <c r="M72" t="s">
        <v>382</v>
      </c>
      <c r="N72" t="s">
        <v>382</v>
      </c>
      <c r="O72" t="s">
        <v>382</v>
      </c>
      <c r="P72" t="s">
        <v>382</v>
      </c>
      <c r="Q72" t="s">
        <v>382</v>
      </c>
      <c r="R72" t="s">
        <v>382</v>
      </c>
      <c r="S72" t="s">
        <v>382</v>
      </c>
      <c r="T72" t="s">
        <v>382</v>
      </c>
      <c r="U72" t="s">
        <v>382</v>
      </c>
      <c r="V72" t="s">
        <v>382</v>
      </c>
      <c r="W72" t="s">
        <v>382</v>
      </c>
      <c r="X72" t="s">
        <v>382</v>
      </c>
      <c r="Y72" t="s">
        <v>382</v>
      </c>
      <c r="Z72" t="s">
        <v>382</v>
      </c>
      <c r="AA72" t="s">
        <v>382</v>
      </c>
      <c r="AB72" t="s">
        <v>382</v>
      </c>
      <c r="AC72">
        <v>5</v>
      </c>
      <c r="AD72">
        <v>1</v>
      </c>
      <c r="AF72" t="s">
        <v>385</v>
      </c>
      <c r="AH72" t="s">
        <v>27</v>
      </c>
      <c r="AI72" t="s">
        <v>109</v>
      </c>
      <c r="AK72">
        <v>1648</v>
      </c>
      <c r="AL72">
        <v>934</v>
      </c>
    </row>
    <row r="73" spans="1:38">
      <c r="A73" t="s">
        <v>382</v>
      </c>
      <c r="B73" t="s">
        <v>382</v>
      </c>
      <c r="C73" t="s">
        <v>382</v>
      </c>
      <c r="D73" t="s">
        <v>382</v>
      </c>
      <c r="E73" t="s">
        <v>382</v>
      </c>
      <c r="F73" t="s">
        <v>382</v>
      </c>
      <c r="G73" t="s">
        <v>382</v>
      </c>
      <c r="H73" t="s">
        <v>382</v>
      </c>
      <c r="I73" t="s">
        <v>382</v>
      </c>
      <c r="J73" t="s">
        <v>382</v>
      </c>
      <c r="K73" t="s">
        <v>382</v>
      </c>
      <c r="L73" t="s">
        <v>382</v>
      </c>
      <c r="M73" t="s">
        <v>382</v>
      </c>
      <c r="N73" t="s">
        <v>382</v>
      </c>
      <c r="O73" t="s">
        <v>382</v>
      </c>
      <c r="P73" t="s">
        <v>382</v>
      </c>
      <c r="Q73" t="s">
        <v>382</v>
      </c>
      <c r="R73" t="s">
        <v>382</v>
      </c>
      <c r="S73" t="s">
        <v>382</v>
      </c>
      <c r="T73" t="s">
        <v>382</v>
      </c>
      <c r="U73" t="s">
        <v>382</v>
      </c>
      <c r="V73" t="s">
        <v>382</v>
      </c>
      <c r="W73" t="s">
        <v>382</v>
      </c>
      <c r="X73" t="s">
        <v>382</v>
      </c>
      <c r="Y73" t="s">
        <v>382</v>
      </c>
      <c r="Z73" t="s">
        <v>382</v>
      </c>
      <c r="AA73" t="s">
        <v>382</v>
      </c>
      <c r="AB73" t="s">
        <v>382</v>
      </c>
      <c r="AC73">
        <v>5</v>
      </c>
      <c r="AD73">
        <v>2</v>
      </c>
      <c r="AF73" t="s">
        <v>384</v>
      </c>
      <c r="AH73" t="s">
        <v>25</v>
      </c>
      <c r="AI73" t="s">
        <v>106</v>
      </c>
      <c r="AK73">
        <v>1079</v>
      </c>
      <c r="AL73">
        <v>1887</v>
      </c>
    </row>
    <row r="74" spans="1:38">
      <c r="A74" t="s">
        <v>382</v>
      </c>
      <c r="B74" t="s">
        <v>382</v>
      </c>
      <c r="C74" t="s">
        <v>382</v>
      </c>
      <c r="D74" t="s">
        <v>382</v>
      </c>
      <c r="E74" t="s">
        <v>382</v>
      </c>
      <c r="F74" t="s">
        <v>382</v>
      </c>
      <c r="G74" t="s">
        <v>382</v>
      </c>
      <c r="H74" t="s">
        <v>382</v>
      </c>
      <c r="I74" t="s">
        <v>382</v>
      </c>
      <c r="J74" t="s">
        <v>382</v>
      </c>
      <c r="K74" t="s">
        <v>382</v>
      </c>
      <c r="L74" t="s">
        <v>382</v>
      </c>
      <c r="M74" t="s">
        <v>382</v>
      </c>
      <c r="N74" t="s">
        <v>382</v>
      </c>
      <c r="O74" t="s">
        <v>382</v>
      </c>
      <c r="P74" t="s">
        <v>382</v>
      </c>
      <c r="Q74" t="s">
        <v>382</v>
      </c>
      <c r="R74" t="s">
        <v>382</v>
      </c>
      <c r="S74" t="s">
        <v>382</v>
      </c>
      <c r="T74" t="s">
        <v>382</v>
      </c>
      <c r="U74" t="s">
        <v>382</v>
      </c>
      <c r="V74" t="s">
        <v>382</v>
      </c>
      <c r="W74" t="s">
        <v>382</v>
      </c>
      <c r="X74" t="s">
        <v>382</v>
      </c>
      <c r="Y74" t="s">
        <v>382</v>
      </c>
      <c r="Z74" t="s">
        <v>382</v>
      </c>
      <c r="AA74" t="s">
        <v>382</v>
      </c>
      <c r="AB74" t="s">
        <v>382</v>
      </c>
      <c r="AC74">
        <v>5</v>
      </c>
      <c r="AD74">
        <v>3</v>
      </c>
      <c r="AF74" t="s">
        <v>384</v>
      </c>
      <c r="AH74" t="s">
        <v>25</v>
      </c>
      <c r="AI74" t="s">
        <v>106</v>
      </c>
      <c r="AK74">
        <v>2822</v>
      </c>
      <c r="AL74">
        <v>939</v>
      </c>
    </row>
    <row r="75" spans="1:38">
      <c r="A75" t="s">
        <v>382</v>
      </c>
      <c r="B75" t="s">
        <v>382</v>
      </c>
      <c r="C75" t="s">
        <v>382</v>
      </c>
      <c r="D75" t="s">
        <v>382</v>
      </c>
      <c r="E75" t="s">
        <v>382</v>
      </c>
      <c r="F75" t="s">
        <v>382</v>
      </c>
      <c r="G75" t="s">
        <v>382</v>
      </c>
      <c r="H75" t="s">
        <v>382</v>
      </c>
      <c r="I75" t="s">
        <v>382</v>
      </c>
      <c r="J75" t="s">
        <v>382</v>
      </c>
      <c r="K75" t="s">
        <v>382</v>
      </c>
      <c r="L75" t="s">
        <v>382</v>
      </c>
      <c r="M75" t="s">
        <v>382</v>
      </c>
      <c r="N75" t="s">
        <v>382</v>
      </c>
      <c r="O75" t="s">
        <v>382</v>
      </c>
      <c r="P75" t="s">
        <v>382</v>
      </c>
      <c r="Q75" t="s">
        <v>382</v>
      </c>
      <c r="R75" t="s">
        <v>382</v>
      </c>
      <c r="S75" t="s">
        <v>382</v>
      </c>
      <c r="T75" t="s">
        <v>382</v>
      </c>
      <c r="U75" t="s">
        <v>382</v>
      </c>
      <c r="V75" t="s">
        <v>382</v>
      </c>
      <c r="W75" t="s">
        <v>382</v>
      </c>
      <c r="X75" t="s">
        <v>382</v>
      </c>
      <c r="Y75" t="s">
        <v>382</v>
      </c>
      <c r="Z75" t="s">
        <v>382</v>
      </c>
      <c r="AA75" t="s">
        <v>382</v>
      </c>
      <c r="AB75" t="s">
        <v>382</v>
      </c>
      <c r="AC75">
        <v>5</v>
      </c>
      <c r="AD75">
        <v>4</v>
      </c>
      <c r="AF75" t="s">
        <v>386</v>
      </c>
      <c r="AH75" t="s">
        <v>29</v>
      </c>
      <c r="AI75" t="s">
        <v>103</v>
      </c>
      <c r="AK75">
        <v>925</v>
      </c>
      <c r="AL75">
        <v>2210</v>
      </c>
    </row>
    <row r="76" spans="1:38">
      <c r="A76" t="s">
        <v>382</v>
      </c>
      <c r="B76" t="s">
        <v>382</v>
      </c>
      <c r="C76" t="s">
        <v>382</v>
      </c>
      <c r="D76" t="s">
        <v>382</v>
      </c>
      <c r="E76" t="s">
        <v>382</v>
      </c>
      <c r="F76" t="s">
        <v>382</v>
      </c>
      <c r="G76" t="s">
        <v>382</v>
      </c>
      <c r="H76" t="s">
        <v>382</v>
      </c>
      <c r="I76" t="s">
        <v>382</v>
      </c>
      <c r="J76" t="s">
        <v>382</v>
      </c>
      <c r="K76" t="s">
        <v>382</v>
      </c>
      <c r="L76" t="s">
        <v>382</v>
      </c>
      <c r="M76" t="s">
        <v>382</v>
      </c>
      <c r="N76" t="s">
        <v>382</v>
      </c>
      <c r="O76" t="s">
        <v>382</v>
      </c>
      <c r="P76" t="s">
        <v>382</v>
      </c>
      <c r="Q76" t="s">
        <v>382</v>
      </c>
      <c r="R76" t="s">
        <v>382</v>
      </c>
      <c r="S76" t="s">
        <v>382</v>
      </c>
      <c r="T76" t="s">
        <v>382</v>
      </c>
      <c r="U76" t="s">
        <v>382</v>
      </c>
      <c r="V76" t="s">
        <v>382</v>
      </c>
      <c r="W76" t="s">
        <v>382</v>
      </c>
      <c r="X76" t="s">
        <v>382</v>
      </c>
      <c r="Y76" t="s">
        <v>382</v>
      </c>
      <c r="Z76" t="s">
        <v>382</v>
      </c>
      <c r="AA76" t="s">
        <v>382</v>
      </c>
      <c r="AB76" t="s">
        <v>382</v>
      </c>
      <c r="AC76">
        <v>5</v>
      </c>
      <c r="AD76">
        <v>5</v>
      </c>
      <c r="AF76" t="s">
        <v>386</v>
      </c>
      <c r="AH76" t="s">
        <v>29</v>
      </c>
      <c r="AI76" t="s">
        <v>103</v>
      </c>
      <c r="AK76">
        <v>2360</v>
      </c>
      <c r="AL76">
        <v>522</v>
      </c>
    </row>
    <row r="77" spans="1:38">
      <c r="A77" t="s">
        <v>382</v>
      </c>
      <c r="B77" t="s">
        <v>382</v>
      </c>
      <c r="C77" t="s">
        <v>382</v>
      </c>
      <c r="D77" t="s">
        <v>382</v>
      </c>
      <c r="E77" t="s">
        <v>382</v>
      </c>
      <c r="F77" t="s">
        <v>382</v>
      </c>
      <c r="G77" t="s">
        <v>382</v>
      </c>
      <c r="H77" t="s">
        <v>382</v>
      </c>
      <c r="I77" t="s">
        <v>382</v>
      </c>
      <c r="J77" t="s">
        <v>382</v>
      </c>
      <c r="K77" t="s">
        <v>382</v>
      </c>
      <c r="L77" t="s">
        <v>382</v>
      </c>
      <c r="M77" t="s">
        <v>382</v>
      </c>
      <c r="N77" t="s">
        <v>382</v>
      </c>
      <c r="O77" t="s">
        <v>382</v>
      </c>
      <c r="P77" t="s">
        <v>382</v>
      </c>
      <c r="Q77" t="s">
        <v>382</v>
      </c>
      <c r="R77" t="s">
        <v>382</v>
      </c>
      <c r="S77" t="s">
        <v>382</v>
      </c>
      <c r="T77" t="s">
        <v>382</v>
      </c>
      <c r="U77" t="s">
        <v>382</v>
      </c>
      <c r="V77" t="s">
        <v>382</v>
      </c>
      <c r="W77" t="s">
        <v>382</v>
      </c>
      <c r="X77" t="s">
        <v>382</v>
      </c>
      <c r="Y77" t="s">
        <v>382</v>
      </c>
      <c r="Z77" t="s">
        <v>382</v>
      </c>
      <c r="AA77" t="s">
        <v>382</v>
      </c>
      <c r="AB77" t="s">
        <v>382</v>
      </c>
      <c r="AC77">
        <v>5</v>
      </c>
      <c r="AD77">
        <v>1</v>
      </c>
      <c r="AE77">
        <v>1</v>
      </c>
      <c r="AF77" t="s">
        <v>383</v>
      </c>
      <c r="AH77" t="s">
        <v>22</v>
      </c>
      <c r="AI77" t="s">
        <v>97</v>
      </c>
      <c r="AK77">
        <v>2327</v>
      </c>
      <c r="AL77">
        <v>1522</v>
      </c>
    </row>
    <row r="78" spans="1:38">
      <c r="A78" t="s">
        <v>382</v>
      </c>
      <c r="B78" t="s">
        <v>382</v>
      </c>
      <c r="C78" t="s">
        <v>382</v>
      </c>
      <c r="D78" t="s">
        <v>382</v>
      </c>
      <c r="E78" t="s">
        <v>382</v>
      </c>
      <c r="F78" t="s">
        <v>382</v>
      </c>
      <c r="G78" t="s">
        <v>382</v>
      </c>
      <c r="H78" t="s">
        <v>382</v>
      </c>
      <c r="I78" t="s">
        <v>382</v>
      </c>
      <c r="J78" t="s">
        <v>382</v>
      </c>
      <c r="K78" t="s">
        <v>382</v>
      </c>
      <c r="L78" t="s">
        <v>382</v>
      </c>
      <c r="M78" t="s">
        <v>382</v>
      </c>
      <c r="N78" t="s">
        <v>382</v>
      </c>
      <c r="O78" t="s">
        <v>382</v>
      </c>
      <c r="P78" t="s">
        <v>382</v>
      </c>
      <c r="Q78" t="s">
        <v>382</v>
      </c>
      <c r="R78" t="s">
        <v>382</v>
      </c>
      <c r="S78" t="s">
        <v>382</v>
      </c>
      <c r="T78" t="s">
        <v>382</v>
      </c>
      <c r="U78" t="s">
        <v>382</v>
      </c>
      <c r="V78" t="s">
        <v>382</v>
      </c>
      <c r="W78" t="s">
        <v>382</v>
      </c>
      <c r="X78" t="s">
        <v>382</v>
      </c>
      <c r="Y78" t="s">
        <v>382</v>
      </c>
      <c r="Z78" t="s">
        <v>382</v>
      </c>
      <c r="AA78" t="s">
        <v>382</v>
      </c>
      <c r="AB78" t="s">
        <v>382</v>
      </c>
      <c r="AC78">
        <v>5</v>
      </c>
      <c r="AD78">
        <v>2</v>
      </c>
      <c r="AE78">
        <v>1</v>
      </c>
      <c r="AF78" t="s">
        <v>484</v>
      </c>
      <c r="AH78" t="s">
        <v>168</v>
      </c>
      <c r="AI78" t="s">
        <v>97</v>
      </c>
      <c r="AK78">
        <v>795</v>
      </c>
      <c r="AL78">
        <v>1944</v>
      </c>
    </row>
    <row r="79" spans="1:38">
      <c r="A79" t="s">
        <v>382</v>
      </c>
      <c r="B79" t="s">
        <v>382</v>
      </c>
      <c r="C79" t="s">
        <v>382</v>
      </c>
      <c r="D79" t="s">
        <v>382</v>
      </c>
      <c r="E79" t="s">
        <v>382</v>
      </c>
      <c r="F79" t="s">
        <v>382</v>
      </c>
      <c r="G79" t="s">
        <v>382</v>
      </c>
      <c r="H79" t="s">
        <v>382</v>
      </c>
      <c r="I79" t="s">
        <v>382</v>
      </c>
      <c r="J79" t="s">
        <v>382</v>
      </c>
      <c r="K79" t="s">
        <v>382</v>
      </c>
      <c r="L79" t="s">
        <v>382</v>
      </c>
      <c r="M79" t="s">
        <v>382</v>
      </c>
      <c r="N79" t="s">
        <v>382</v>
      </c>
      <c r="O79" t="s">
        <v>382</v>
      </c>
      <c r="P79" t="s">
        <v>382</v>
      </c>
      <c r="Q79" t="s">
        <v>382</v>
      </c>
      <c r="R79" t="s">
        <v>382</v>
      </c>
      <c r="S79" t="s">
        <v>382</v>
      </c>
      <c r="T79" t="s">
        <v>382</v>
      </c>
      <c r="U79" t="s">
        <v>382</v>
      </c>
      <c r="V79" t="s">
        <v>382</v>
      </c>
      <c r="W79" t="s">
        <v>382</v>
      </c>
      <c r="X79" t="s">
        <v>382</v>
      </c>
      <c r="Y79" t="s">
        <v>382</v>
      </c>
      <c r="Z79" t="s">
        <v>382</v>
      </c>
      <c r="AA79" t="s">
        <v>382</v>
      </c>
      <c r="AB79" t="s">
        <v>382</v>
      </c>
      <c r="AC79">
        <v>5</v>
      </c>
      <c r="AD79">
        <v>3</v>
      </c>
      <c r="AE79">
        <v>1</v>
      </c>
      <c r="AF79" t="s">
        <v>383</v>
      </c>
      <c r="AH79" t="s">
        <v>22</v>
      </c>
      <c r="AI79" t="s">
        <v>97</v>
      </c>
      <c r="AK79">
        <v>2139</v>
      </c>
      <c r="AL79">
        <v>1583</v>
      </c>
    </row>
    <row r="80" spans="1:38">
      <c r="A80" t="s">
        <v>382</v>
      </c>
      <c r="B80" t="s">
        <v>382</v>
      </c>
      <c r="C80" t="s">
        <v>382</v>
      </c>
      <c r="D80" t="s">
        <v>382</v>
      </c>
      <c r="E80" t="s">
        <v>382</v>
      </c>
      <c r="F80" t="s">
        <v>382</v>
      </c>
      <c r="G80" t="s">
        <v>382</v>
      </c>
      <c r="H80" t="s">
        <v>382</v>
      </c>
      <c r="I80" t="s">
        <v>382</v>
      </c>
      <c r="J80" t="s">
        <v>382</v>
      </c>
      <c r="K80" t="s">
        <v>382</v>
      </c>
      <c r="L80" t="s">
        <v>382</v>
      </c>
      <c r="M80" t="s">
        <v>382</v>
      </c>
      <c r="N80" t="s">
        <v>382</v>
      </c>
      <c r="O80" t="s">
        <v>382</v>
      </c>
      <c r="P80" t="s">
        <v>382</v>
      </c>
      <c r="Q80" t="s">
        <v>382</v>
      </c>
      <c r="R80" t="s">
        <v>382</v>
      </c>
      <c r="S80" t="s">
        <v>382</v>
      </c>
      <c r="T80" t="s">
        <v>382</v>
      </c>
      <c r="U80" t="s">
        <v>382</v>
      </c>
      <c r="V80" t="s">
        <v>382</v>
      </c>
      <c r="W80" t="s">
        <v>382</v>
      </c>
      <c r="X80" t="s">
        <v>382</v>
      </c>
      <c r="Y80" t="s">
        <v>382</v>
      </c>
      <c r="Z80" t="s">
        <v>382</v>
      </c>
      <c r="AA80" t="s">
        <v>382</v>
      </c>
      <c r="AB80" t="s">
        <v>382</v>
      </c>
      <c r="AC80">
        <v>5</v>
      </c>
      <c r="AD80">
        <v>4</v>
      </c>
      <c r="AF80" t="s">
        <v>386</v>
      </c>
      <c r="AH80" t="s">
        <v>29</v>
      </c>
      <c r="AI80" t="s">
        <v>103</v>
      </c>
      <c r="AK80">
        <v>2387</v>
      </c>
      <c r="AL80">
        <v>2061</v>
      </c>
    </row>
    <row r="81" spans="1:38">
      <c r="A81" t="s">
        <v>382</v>
      </c>
      <c r="B81" t="s">
        <v>382</v>
      </c>
      <c r="C81" t="s">
        <v>382</v>
      </c>
      <c r="D81" t="s">
        <v>382</v>
      </c>
      <c r="E81" t="s">
        <v>382</v>
      </c>
      <c r="F81" t="s">
        <v>382</v>
      </c>
      <c r="G81" t="s">
        <v>382</v>
      </c>
      <c r="H81" t="s">
        <v>382</v>
      </c>
      <c r="I81" t="s">
        <v>382</v>
      </c>
      <c r="J81" t="s">
        <v>382</v>
      </c>
      <c r="K81" t="s">
        <v>382</v>
      </c>
      <c r="L81" t="s">
        <v>382</v>
      </c>
      <c r="M81" t="s">
        <v>382</v>
      </c>
      <c r="N81" t="s">
        <v>382</v>
      </c>
      <c r="O81" t="s">
        <v>382</v>
      </c>
      <c r="P81" t="s">
        <v>382</v>
      </c>
      <c r="Q81" t="s">
        <v>382</v>
      </c>
      <c r="R81" t="s">
        <v>382</v>
      </c>
      <c r="S81" t="s">
        <v>382</v>
      </c>
      <c r="T81" t="s">
        <v>382</v>
      </c>
      <c r="U81" t="s">
        <v>382</v>
      </c>
      <c r="V81" t="s">
        <v>382</v>
      </c>
      <c r="W81" t="s">
        <v>382</v>
      </c>
      <c r="X81" t="s">
        <v>382</v>
      </c>
      <c r="Y81" t="s">
        <v>382</v>
      </c>
      <c r="Z81" t="s">
        <v>382</v>
      </c>
      <c r="AA81" t="s">
        <v>382</v>
      </c>
      <c r="AB81" t="s">
        <v>382</v>
      </c>
      <c r="AC81">
        <v>5</v>
      </c>
      <c r="AD81">
        <v>5</v>
      </c>
      <c r="AF81" t="s">
        <v>384</v>
      </c>
      <c r="AH81" t="s">
        <v>25</v>
      </c>
      <c r="AI81" t="s">
        <v>106</v>
      </c>
      <c r="AK81">
        <v>631</v>
      </c>
      <c r="AL81">
        <v>1446</v>
      </c>
    </row>
    <row r="82" spans="1:38">
      <c r="A82" t="s">
        <v>382</v>
      </c>
      <c r="B82" t="s">
        <v>382</v>
      </c>
      <c r="C82" t="s">
        <v>382</v>
      </c>
      <c r="D82" t="s">
        <v>382</v>
      </c>
      <c r="E82" t="s">
        <v>382</v>
      </c>
      <c r="F82" t="s">
        <v>382</v>
      </c>
      <c r="G82" t="s">
        <v>382</v>
      </c>
      <c r="H82" t="s">
        <v>382</v>
      </c>
      <c r="I82" t="s">
        <v>382</v>
      </c>
      <c r="J82" t="s">
        <v>382</v>
      </c>
      <c r="K82" t="s">
        <v>382</v>
      </c>
      <c r="L82" t="s">
        <v>382</v>
      </c>
      <c r="M82" t="s">
        <v>382</v>
      </c>
      <c r="N82" t="s">
        <v>382</v>
      </c>
      <c r="O82" t="s">
        <v>382</v>
      </c>
      <c r="P82" t="s">
        <v>382</v>
      </c>
      <c r="Q82" t="s">
        <v>382</v>
      </c>
      <c r="R82" t="s">
        <v>382</v>
      </c>
      <c r="S82" t="s">
        <v>382</v>
      </c>
      <c r="T82" t="s">
        <v>382</v>
      </c>
      <c r="U82" t="s">
        <v>382</v>
      </c>
      <c r="V82" t="s">
        <v>382</v>
      </c>
      <c r="W82" t="s">
        <v>382</v>
      </c>
      <c r="X82" t="s">
        <v>382</v>
      </c>
      <c r="Y82" t="s">
        <v>382</v>
      </c>
      <c r="Z82" t="s">
        <v>382</v>
      </c>
      <c r="AA82" t="s">
        <v>382</v>
      </c>
      <c r="AB82" t="s">
        <v>382</v>
      </c>
      <c r="AC82">
        <v>5</v>
      </c>
      <c r="AD82">
        <v>1</v>
      </c>
      <c r="AE82">
        <v>1</v>
      </c>
      <c r="AF82" t="s">
        <v>393</v>
      </c>
      <c r="AH82" t="s">
        <v>51</v>
      </c>
      <c r="AI82" t="s">
        <v>97</v>
      </c>
      <c r="AK82">
        <v>1729</v>
      </c>
      <c r="AL82">
        <v>1147</v>
      </c>
    </row>
    <row r="83" spans="1:38">
      <c r="A83" t="s">
        <v>382</v>
      </c>
      <c r="B83" t="s">
        <v>382</v>
      </c>
      <c r="C83" t="s">
        <v>382</v>
      </c>
      <c r="D83" t="s">
        <v>382</v>
      </c>
      <c r="E83" t="s">
        <v>382</v>
      </c>
      <c r="F83" t="s">
        <v>382</v>
      </c>
      <c r="G83" t="s">
        <v>382</v>
      </c>
      <c r="H83" t="s">
        <v>382</v>
      </c>
      <c r="I83" t="s">
        <v>382</v>
      </c>
      <c r="J83" t="s">
        <v>382</v>
      </c>
      <c r="K83" t="s">
        <v>382</v>
      </c>
      <c r="L83" t="s">
        <v>382</v>
      </c>
      <c r="M83" t="s">
        <v>382</v>
      </c>
      <c r="N83" t="s">
        <v>382</v>
      </c>
      <c r="O83" t="s">
        <v>382</v>
      </c>
      <c r="P83" t="s">
        <v>382</v>
      </c>
      <c r="Q83" t="s">
        <v>382</v>
      </c>
      <c r="R83" t="s">
        <v>382</v>
      </c>
      <c r="S83" t="s">
        <v>382</v>
      </c>
      <c r="T83" t="s">
        <v>382</v>
      </c>
      <c r="U83" t="s">
        <v>382</v>
      </c>
      <c r="V83" t="s">
        <v>382</v>
      </c>
      <c r="W83" t="s">
        <v>382</v>
      </c>
      <c r="X83" t="s">
        <v>382</v>
      </c>
      <c r="Y83" t="s">
        <v>382</v>
      </c>
      <c r="Z83" t="s">
        <v>382</v>
      </c>
      <c r="AA83" t="s">
        <v>382</v>
      </c>
      <c r="AB83" t="s">
        <v>382</v>
      </c>
      <c r="AC83">
        <v>5</v>
      </c>
      <c r="AD83">
        <v>2</v>
      </c>
      <c r="AF83" t="s">
        <v>385</v>
      </c>
      <c r="AH83" t="s">
        <v>27</v>
      </c>
      <c r="AI83" t="s">
        <v>109</v>
      </c>
      <c r="AK83">
        <v>1383</v>
      </c>
      <c r="AL83">
        <v>1433</v>
      </c>
    </row>
    <row r="84" spans="1:38">
      <c r="A84" t="s">
        <v>382</v>
      </c>
      <c r="B84" t="s">
        <v>382</v>
      </c>
      <c r="C84" t="s">
        <v>382</v>
      </c>
      <c r="D84" t="s">
        <v>382</v>
      </c>
      <c r="E84" t="s">
        <v>382</v>
      </c>
      <c r="F84" t="s">
        <v>382</v>
      </c>
      <c r="G84" t="s">
        <v>382</v>
      </c>
      <c r="H84" t="s">
        <v>382</v>
      </c>
      <c r="I84" t="s">
        <v>382</v>
      </c>
      <c r="J84" t="s">
        <v>382</v>
      </c>
      <c r="K84" t="s">
        <v>382</v>
      </c>
      <c r="L84" t="s">
        <v>382</v>
      </c>
      <c r="M84" t="s">
        <v>382</v>
      </c>
      <c r="N84" t="s">
        <v>382</v>
      </c>
      <c r="O84" t="s">
        <v>382</v>
      </c>
      <c r="P84" t="s">
        <v>382</v>
      </c>
      <c r="Q84" t="s">
        <v>382</v>
      </c>
      <c r="R84" t="s">
        <v>382</v>
      </c>
      <c r="S84" t="s">
        <v>382</v>
      </c>
      <c r="T84" t="s">
        <v>382</v>
      </c>
      <c r="U84" t="s">
        <v>382</v>
      </c>
      <c r="V84" t="s">
        <v>382</v>
      </c>
      <c r="W84" t="s">
        <v>382</v>
      </c>
      <c r="X84" t="s">
        <v>382</v>
      </c>
      <c r="Y84" t="s">
        <v>382</v>
      </c>
      <c r="Z84" t="s">
        <v>382</v>
      </c>
      <c r="AA84" t="s">
        <v>382</v>
      </c>
      <c r="AB84" t="s">
        <v>382</v>
      </c>
      <c r="AC84">
        <v>5</v>
      </c>
      <c r="AD84">
        <v>3</v>
      </c>
      <c r="AF84" t="s">
        <v>386</v>
      </c>
      <c r="AH84" t="s">
        <v>29</v>
      </c>
      <c r="AI84" t="s">
        <v>103</v>
      </c>
      <c r="AK84">
        <v>2068</v>
      </c>
      <c r="AL84">
        <v>421</v>
      </c>
    </row>
    <row r="85" spans="1:38">
      <c r="A85" t="s">
        <v>382</v>
      </c>
      <c r="B85" t="s">
        <v>382</v>
      </c>
      <c r="C85" t="s">
        <v>382</v>
      </c>
      <c r="D85" t="s">
        <v>382</v>
      </c>
      <c r="E85" t="s">
        <v>382</v>
      </c>
      <c r="F85" t="s">
        <v>382</v>
      </c>
      <c r="G85" t="s">
        <v>382</v>
      </c>
      <c r="H85" t="s">
        <v>382</v>
      </c>
      <c r="I85" t="s">
        <v>382</v>
      </c>
      <c r="J85" t="s">
        <v>382</v>
      </c>
      <c r="K85" t="s">
        <v>382</v>
      </c>
      <c r="L85" t="s">
        <v>382</v>
      </c>
      <c r="M85" t="s">
        <v>382</v>
      </c>
      <c r="N85" t="s">
        <v>382</v>
      </c>
      <c r="O85" t="s">
        <v>382</v>
      </c>
      <c r="P85" t="s">
        <v>382</v>
      </c>
      <c r="Q85" t="s">
        <v>382</v>
      </c>
      <c r="R85" t="s">
        <v>382</v>
      </c>
      <c r="S85" t="s">
        <v>382</v>
      </c>
      <c r="T85" t="s">
        <v>382</v>
      </c>
      <c r="U85" t="s">
        <v>382</v>
      </c>
      <c r="V85" t="s">
        <v>382</v>
      </c>
      <c r="W85" t="s">
        <v>382</v>
      </c>
      <c r="X85" t="s">
        <v>382</v>
      </c>
      <c r="Y85" t="s">
        <v>382</v>
      </c>
      <c r="Z85" t="s">
        <v>382</v>
      </c>
      <c r="AA85" t="s">
        <v>382</v>
      </c>
      <c r="AB85" t="s">
        <v>382</v>
      </c>
      <c r="AC85">
        <v>5</v>
      </c>
      <c r="AD85">
        <v>4</v>
      </c>
      <c r="AF85" t="s">
        <v>384</v>
      </c>
      <c r="AH85" t="s">
        <v>25</v>
      </c>
      <c r="AI85" t="s">
        <v>106</v>
      </c>
      <c r="AK85">
        <v>2328</v>
      </c>
      <c r="AL85">
        <v>1346</v>
      </c>
    </row>
    <row r="86" spans="1:38">
      <c r="A86" t="s">
        <v>382</v>
      </c>
      <c r="B86" t="s">
        <v>382</v>
      </c>
      <c r="C86" t="s">
        <v>382</v>
      </c>
      <c r="D86" t="s">
        <v>382</v>
      </c>
      <c r="E86" t="s">
        <v>382</v>
      </c>
      <c r="F86" t="s">
        <v>382</v>
      </c>
      <c r="G86" t="s">
        <v>382</v>
      </c>
      <c r="H86" t="s">
        <v>382</v>
      </c>
      <c r="I86" t="s">
        <v>382</v>
      </c>
      <c r="J86" t="s">
        <v>382</v>
      </c>
      <c r="K86" t="s">
        <v>382</v>
      </c>
      <c r="L86" t="s">
        <v>382</v>
      </c>
      <c r="M86" t="s">
        <v>382</v>
      </c>
      <c r="N86" t="s">
        <v>382</v>
      </c>
      <c r="O86" t="s">
        <v>382</v>
      </c>
      <c r="P86" t="s">
        <v>382</v>
      </c>
      <c r="Q86" t="s">
        <v>382</v>
      </c>
      <c r="R86" t="s">
        <v>382</v>
      </c>
      <c r="S86" t="s">
        <v>382</v>
      </c>
      <c r="T86" t="s">
        <v>382</v>
      </c>
      <c r="U86" t="s">
        <v>382</v>
      </c>
      <c r="V86" t="s">
        <v>382</v>
      </c>
      <c r="W86" t="s">
        <v>382</v>
      </c>
      <c r="X86" t="s">
        <v>382</v>
      </c>
      <c r="Y86" t="s">
        <v>382</v>
      </c>
      <c r="Z86" t="s">
        <v>382</v>
      </c>
      <c r="AA86" t="s">
        <v>382</v>
      </c>
      <c r="AB86" t="s">
        <v>382</v>
      </c>
      <c r="AC86">
        <v>5</v>
      </c>
      <c r="AD86">
        <v>5</v>
      </c>
      <c r="AE86">
        <v>1</v>
      </c>
      <c r="AF86" t="s">
        <v>389</v>
      </c>
      <c r="AH86" t="s">
        <v>35</v>
      </c>
      <c r="AI86" t="s">
        <v>97</v>
      </c>
      <c r="AK86">
        <v>756</v>
      </c>
      <c r="AL86">
        <v>1120</v>
      </c>
    </row>
    <row r="87" spans="1:38">
      <c r="A87" t="s">
        <v>382</v>
      </c>
      <c r="B87" t="s">
        <v>382</v>
      </c>
      <c r="C87" t="s">
        <v>382</v>
      </c>
      <c r="D87" t="s">
        <v>382</v>
      </c>
      <c r="E87" t="s">
        <v>382</v>
      </c>
      <c r="F87" t="s">
        <v>382</v>
      </c>
      <c r="G87" t="s">
        <v>382</v>
      </c>
      <c r="H87" t="s">
        <v>382</v>
      </c>
      <c r="I87" t="s">
        <v>382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>
        <v>5</v>
      </c>
      <c r="AD87">
        <v>1</v>
      </c>
      <c r="AF87" t="s">
        <v>386</v>
      </c>
      <c r="AH87" t="s">
        <v>29</v>
      </c>
      <c r="AI87" t="s">
        <v>103</v>
      </c>
      <c r="AK87">
        <v>2121</v>
      </c>
      <c r="AL87">
        <v>1241</v>
      </c>
    </row>
    <row r="88" spans="1:38">
      <c r="A88" t="s">
        <v>382</v>
      </c>
      <c r="B88" t="s">
        <v>382</v>
      </c>
      <c r="C88" t="s">
        <v>382</v>
      </c>
      <c r="D88" t="s">
        <v>382</v>
      </c>
      <c r="E88" t="s">
        <v>382</v>
      </c>
      <c r="F88" t="s">
        <v>382</v>
      </c>
      <c r="G88" t="s">
        <v>382</v>
      </c>
      <c r="H88" t="s">
        <v>382</v>
      </c>
      <c r="I88" t="s">
        <v>382</v>
      </c>
      <c r="J88" t="s">
        <v>382</v>
      </c>
      <c r="K88" t="s">
        <v>382</v>
      </c>
      <c r="L88" t="s">
        <v>382</v>
      </c>
      <c r="M88" t="s">
        <v>382</v>
      </c>
      <c r="N88" t="s">
        <v>382</v>
      </c>
      <c r="O88" t="s">
        <v>382</v>
      </c>
      <c r="P88" t="s">
        <v>382</v>
      </c>
      <c r="Q88" t="s">
        <v>382</v>
      </c>
      <c r="R88" t="s">
        <v>382</v>
      </c>
      <c r="S88" t="s">
        <v>382</v>
      </c>
      <c r="T88" t="s">
        <v>382</v>
      </c>
      <c r="U88" t="s">
        <v>382</v>
      </c>
      <c r="V88" t="s">
        <v>382</v>
      </c>
      <c r="W88" t="s">
        <v>382</v>
      </c>
      <c r="X88" t="s">
        <v>382</v>
      </c>
      <c r="Y88" t="s">
        <v>382</v>
      </c>
      <c r="Z88" t="s">
        <v>382</v>
      </c>
      <c r="AA88" t="s">
        <v>382</v>
      </c>
      <c r="AB88" t="s">
        <v>382</v>
      </c>
      <c r="AC88">
        <v>5</v>
      </c>
      <c r="AD88">
        <v>2</v>
      </c>
      <c r="AE88">
        <v>1</v>
      </c>
      <c r="AF88" t="s">
        <v>383</v>
      </c>
      <c r="AH88" t="s">
        <v>22</v>
      </c>
      <c r="AI88" t="s">
        <v>97</v>
      </c>
      <c r="AK88">
        <v>2785</v>
      </c>
      <c r="AL88">
        <v>823</v>
      </c>
    </row>
    <row r="89" spans="1:38">
      <c r="A89" t="s">
        <v>382</v>
      </c>
      <c r="B89" t="s">
        <v>382</v>
      </c>
      <c r="C89" t="s">
        <v>382</v>
      </c>
      <c r="D89" t="s">
        <v>382</v>
      </c>
      <c r="E89" t="s">
        <v>382</v>
      </c>
      <c r="F89" t="s">
        <v>382</v>
      </c>
      <c r="G89" t="s">
        <v>382</v>
      </c>
      <c r="H89" t="s">
        <v>382</v>
      </c>
      <c r="I89" t="s">
        <v>382</v>
      </c>
      <c r="J89" t="s">
        <v>382</v>
      </c>
      <c r="K89" t="s">
        <v>382</v>
      </c>
      <c r="L89" t="s">
        <v>382</v>
      </c>
      <c r="M89" t="s">
        <v>382</v>
      </c>
      <c r="N89" t="s">
        <v>382</v>
      </c>
      <c r="O89" t="s">
        <v>382</v>
      </c>
      <c r="P89" t="s">
        <v>382</v>
      </c>
      <c r="Q89" t="s">
        <v>382</v>
      </c>
      <c r="R89" t="s">
        <v>382</v>
      </c>
      <c r="S89" t="s">
        <v>382</v>
      </c>
      <c r="T89" t="s">
        <v>382</v>
      </c>
      <c r="U89" t="s">
        <v>382</v>
      </c>
      <c r="V89" t="s">
        <v>382</v>
      </c>
      <c r="W89" t="s">
        <v>382</v>
      </c>
      <c r="X89" t="s">
        <v>382</v>
      </c>
      <c r="Y89" t="s">
        <v>382</v>
      </c>
      <c r="Z89" t="s">
        <v>382</v>
      </c>
      <c r="AA89" t="s">
        <v>382</v>
      </c>
      <c r="AB89" t="s">
        <v>382</v>
      </c>
      <c r="AC89">
        <v>5</v>
      </c>
      <c r="AD89">
        <v>3</v>
      </c>
      <c r="AE89">
        <v>1</v>
      </c>
      <c r="AF89" t="s">
        <v>398</v>
      </c>
      <c r="AH89" t="s">
        <v>69</v>
      </c>
      <c r="AI89" t="s">
        <v>97</v>
      </c>
      <c r="AK89">
        <v>892</v>
      </c>
      <c r="AL89">
        <v>2421</v>
      </c>
    </row>
    <row r="90" spans="1:38">
      <c r="A90" t="s">
        <v>382</v>
      </c>
      <c r="B90" t="s">
        <v>382</v>
      </c>
      <c r="C90" t="s">
        <v>382</v>
      </c>
      <c r="D90" t="s">
        <v>382</v>
      </c>
      <c r="E90" t="s">
        <v>382</v>
      </c>
      <c r="F90" t="s">
        <v>382</v>
      </c>
      <c r="G90" t="s">
        <v>382</v>
      </c>
      <c r="H90" t="s">
        <v>382</v>
      </c>
      <c r="I90" t="s">
        <v>382</v>
      </c>
      <c r="J90" t="s">
        <v>382</v>
      </c>
      <c r="K90" t="s">
        <v>382</v>
      </c>
      <c r="L90" t="s">
        <v>382</v>
      </c>
      <c r="M90" t="s">
        <v>382</v>
      </c>
      <c r="N90" t="s">
        <v>382</v>
      </c>
      <c r="O90" t="s">
        <v>382</v>
      </c>
      <c r="P90" t="s">
        <v>382</v>
      </c>
      <c r="Q90" t="s">
        <v>382</v>
      </c>
      <c r="R90" t="s">
        <v>382</v>
      </c>
      <c r="S90" t="s">
        <v>382</v>
      </c>
      <c r="T90" t="s">
        <v>382</v>
      </c>
      <c r="U90" t="s">
        <v>382</v>
      </c>
      <c r="V90" t="s">
        <v>382</v>
      </c>
      <c r="W90" t="s">
        <v>382</v>
      </c>
      <c r="X90" t="s">
        <v>382</v>
      </c>
      <c r="Y90" t="s">
        <v>382</v>
      </c>
      <c r="Z90" t="s">
        <v>382</v>
      </c>
      <c r="AA90" t="s">
        <v>382</v>
      </c>
      <c r="AB90" t="s">
        <v>382</v>
      </c>
      <c r="AC90">
        <v>5</v>
      </c>
      <c r="AD90">
        <v>4</v>
      </c>
      <c r="AE90">
        <v>1</v>
      </c>
      <c r="AF90" t="s">
        <v>383</v>
      </c>
      <c r="AH90" t="s">
        <v>22</v>
      </c>
      <c r="AI90" t="s">
        <v>97</v>
      </c>
      <c r="AK90">
        <v>2740</v>
      </c>
      <c r="AL90">
        <v>389</v>
      </c>
    </row>
    <row r="91" spans="1:38">
      <c r="A91" t="s">
        <v>382</v>
      </c>
      <c r="B91" t="s">
        <v>382</v>
      </c>
      <c r="C91" t="s">
        <v>382</v>
      </c>
      <c r="D91" t="s">
        <v>382</v>
      </c>
      <c r="E91" t="s">
        <v>382</v>
      </c>
      <c r="F91" t="s">
        <v>382</v>
      </c>
      <c r="G91" t="s">
        <v>382</v>
      </c>
      <c r="H91" t="s">
        <v>382</v>
      </c>
      <c r="I91" t="s">
        <v>382</v>
      </c>
      <c r="J91" t="s">
        <v>382</v>
      </c>
      <c r="K91" t="s">
        <v>382</v>
      </c>
      <c r="L91" t="s">
        <v>382</v>
      </c>
      <c r="M91" t="s">
        <v>382</v>
      </c>
      <c r="N91" t="s">
        <v>382</v>
      </c>
      <c r="O91" t="s">
        <v>382</v>
      </c>
      <c r="P91" t="s">
        <v>382</v>
      </c>
      <c r="Q91" t="s">
        <v>382</v>
      </c>
      <c r="R91" t="s">
        <v>382</v>
      </c>
      <c r="S91" t="s">
        <v>382</v>
      </c>
      <c r="T91" t="s">
        <v>382</v>
      </c>
      <c r="U91" t="s">
        <v>382</v>
      </c>
      <c r="V91" t="s">
        <v>382</v>
      </c>
      <c r="W91" t="s">
        <v>382</v>
      </c>
      <c r="X91" t="s">
        <v>382</v>
      </c>
      <c r="Y91" t="s">
        <v>382</v>
      </c>
      <c r="Z91" t="s">
        <v>382</v>
      </c>
      <c r="AA91" t="s">
        <v>382</v>
      </c>
      <c r="AB91" t="s">
        <v>382</v>
      </c>
      <c r="AC91">
        <v>5</v>
      </c>
      <c r="AD91">
        <v>5</v>
      </c>
      <c r="AE91">
        <v>1</v>
      </c>
      <c r="AF91" t="s">
        <v>400</v>
      </c>
      <c r="AH91" t="s">
        <v>89</v>
      </c>
      <c r="AI91" t="s">
        <v>97</v>
      </c>
      <c r="AK91">
        <v>673</v>
      </c>
      <c r="AL91">
        <v>200</v>
      </c>
    </row>
    <row r="92" spans="1:38">
      <c r="A92" t="s">
        <v>382</v>
      </c>
      <c r="B92" t="s">
        <v>382</v>
      </c>
      <c r="C92" t="s">
        <v>382</v>
      </c>
      <c r="D92" t="s">
        <v>382</v>
      </c>
      <c r="E92" t="s">
        <v>382</v>
      </c>
      <c r="F92" t="s">
        <v>382</v>
      </c>
      <c r="G92" t="s">
        <v>382</v>
      </c>
      <c r="H92" t="s">
        <v>382</v>
      </c>
      <c r="I92" t="s">
        <v>382</v>
      </c>
      <c r="J92" t="s">
        <v>382</v>
      </c>
      <c r="K92" t="s">
        <v>382</v>
      </c>
      <c r="L92" t="s">
        <v>382</v>
      </c>
      <c r="M92" t="s">
        <v>382</v>
      </c>
      <c r="N92" t="s">
        <v>382</v>
      </c>
      <c r="O92" t="s">
        <v>382</v>
      </c>
      <c r="P92" t="s">
        <v>382</v>
      </c>
      <c r="Q92" t="s">
        <v>382</v>
      </c>
      <c r="R92" t="s">
        <v>382</v>
      </c>
      <c r="S92" t="s">
        <v>382</v>
      </c>
      <c r="T92" t="s">
        <v>382</v>
      </c>
      <c r="U92" t="s">
        <v>382</v>
      </c>
      <c r="V92" t="s">
        <v>382</v>
      </c>
      <c r="W92" t="s">
        <v>382</v>
      </c>
      <c r="X92" t="s">
        <v>382</v>
      </c>
      <c r="Y92" t="s">
        <v>382</v>
      </c>
      <c r="Z92" t="s">
        <v>382</v>
      </c>
      <c r="AA92" t="s">
        <v>382</v>
      </c>
      <c r="AB92" t="s">
        <v>382</v>
      </c>
      <c r="AC92">
        <v>5</v>
      </c>
      <c r="AD92">
        <v>1</v>
      </c>
      <c r="AE92">
        <v>1</v>
      </c>
      <c r="AF92" t="s">
        <v>398</v>
      </c>
      <c r="AH92" t="s">
        <v>69</v>
      </c>
      <c r="AI92" t="s">
        <v>97</v>
      </c>
      <c r="AK92">
        <v>990</v>
      </c>
      <c r="AL92">
        <v>2081</v>
      </c>
    </row>
    <row r="93" spans="1:38">
      <c r="A93" t="s">
        <v>382</v>
      </c>
      <c r="B93" t="s">
        <v>382</v>
      </c>
      <c r="C93" t="s">
        <v>382</v>
      </c>
      <c r="D93" t="s">
        <v>382</v>
      </c>
      <c r="E93" t="s">
        <v>382</v>
      </c>
      <c r="F93" t="s">
        <v>382</v>
      </c>
      <c r="G93" t="s">
        <v>382</v>
      </c>
      <c r="H93" t="s">
        <v>382</v>
      </c>
      <c r="I93" t="s">
        <v>382</v>
      </c>
      <c r="J93" t="s">
        <v>382</v>
      </c>
      <c r="K93" t="s">
        <v>382</v>
      </c>
      <c r="L93" t="s">
        <v>382</v>
      </c>
      <c r="M93" t="s">
        <v>382</v>
      </c>
      <c r="N93" t="s">
        <v>382</v>
      </c>
      <c r="O93" t="s">
        <v>382</v>
      </c>
      <c r="P93" t="s">
        <v>382</v>
      </c>
      <c r="Q93" t="s">
        <v>382</v>
      </c>
      <c r="R93" t="s">
        <v>382</v>
      </c>
      <c r="S93" t="s">
        <v>382</v>
      </c>
      <c r="T93" t="s">
        <v>382</v>
      </c>
      <c r="U93" t="s">
        <v>382</v>
      </c>
      <c r="V93" t="s">
        <v>382</v>
      </c>
      <c r="W93" t="s">
        <v>382</v>
      </c>
      <c r="X93" t="s">
        <v>382</v>
      </c>
      <c r="Y93" t="s">
        <v>382</v>
      </c>
      <c r="Z93" t="s">
        <v>382</v>
      </c>
      <c r="AA93" t="s">
        <v>382</v>
      </c>
      <c r="AB93" t="s">
        <v>382</v>
      </c>
      <c r="AC93">
        <v>5</v>
      </c>
      <c r="AD93">
        <v>2</v>
      </c>
      <c r="AE93">
        <v>1</v>
      </c>
      <c r="AF93" t="s">
        <v>485</v>
      </c>
      <c r="AH93" t="s">
        <v>122</v>
      </c>
      <c r="AI93" t="s">
        <v>97</v>
      </c>
      <c r="AK93">
        <v>1709</v>
      </c>
      <c r="AL93">
        <v>1988</v>
      </c>
    </row>
    <row r="94" spans="1:38">
      <c r="A94" t="s">
        <v>382</v>
      </c>
      <c r="B94" t="s">
        <v>382</v>
      </c>
      <c r="C94" t="s">
        <v>382</v>
      </c>
      <c r="D94" t="s">
        <v>382</v>
      </c>
      <c r="E94" t="s">
        <v>382</v>
      </c>
      <c r="F94" t="s">
        <v>382</v>
      </c>
      <c r="G94" t="s">
        <v>382</v>
      </c>
      <c r="H94" t="s">
        <v>382</v>
      </c>
      <c r="I94" t="s">
        <v>382</v>
      </c>
      <c r="J94" t="s">
        <v>382</v>
      </c>
      <c r="K94" t="s">
        <v>382</v>
      </c>
      <c r="L94" t="s">
        <v>382</v>
      </c>
      <c r="M94" t="s">
        <v>382</v>
      </c>
      <c r="N94" t="s">
        <v>382</v>
      </c>
      <c r="O94" t="s">
        <v>382</v>
      </c>
      <c r="P94" t="s">
        <v>382</v>
      </c>
      <c r="Q94" t="s">
        <v>382</v>
      </c>
      <c r="R94" t="s">
        <v>382</v>
      </c>
      <c r="S94" t="s">
        <v>382</v>
      </c>
      <c r="T94" t="s">
        <v>382</v>
      </c>
      <c r="U94" t="s">
        <v>382</v>
      </c>
      <c r="V94" t="s">
        <v>382</v>
      </c>
      <c r="W94" t="s">
        <v>382</v>
      </c>
      <c r="X94" t="s">
        <v>382</v>
      </c>
      <c r="Y94" t="s">
        <v>382</v>
      </c>
      <c r="Z94" t="s">
        <v>382</v>
      </c>
      <c r="AA94" t="s">
        <v>382</v>
      </c>
      <c r="AB94" t="s">
        <v>382</v>
      </c>
      <c r="AC94">
        <v>5</v>
      </c>
      <c r="AD94">
        <v>3</v>
      </c>
      <c r="AF94" t="s">
        <v>386</v>
      </c>
      <c r="AH94" t="s">
        <v>29</v>
      </c>
      <c r="AI94" t="s">
        <v>103</v>
      </c>
      <c r="AK94">
        <v>1073</v>
      </c>
      <c r="AL94">
        <v>108</v>
      </c>
    </row>
    <row r="95" spans="1:38">
      <c r="A95" t="s">
        <v>382</v>
      </c>
      <c r="B95" t="s">
        <v>382</v>
      </c>
      <c r="C95" t="s">
        <v>382</v>
      </c>
      <c r="D95" t="s">
        <v>382</v>
      </c>
      <c r="E95" t="s">
        <v>382</v>
      </c>
      <c r="F95" t="s">
        <v>382</v>
      </c>
      <c r="G95" t="s">
        <v>382</v>
      </c>
      <c r="H95" t="s">
        <v>382</v>
      </c>
      <c r="I95" t="s">
        <v>382</v>
      </c>
      <c r="J95" t="s">
        <v>382</v>
      </c>
      <c r="K95" t="s">
        <v>382</v>
      </c>
      <c r="L95" t="s">
        <v>382</v>
      </c>
      <c r="M95" t="s">
        <v>382</v>
      </c>
      <c r="N95" t="s">
        <v>382</v>
      </c>
      <c r="O95" t="s">
        <v>382</v>
      </c>
      <c r="P95" t="s">
        <v>382</v>
      </c>
      <c r="Q95" t="s">
        <v>382</v>
      </c>
      <c r="R95" t="s">
        <v>382</v>
      </c>
      <c r="S95" t="s">
        <v>382</v>
      </c>
      <c r="T95" t="s">
        <v>382</v>
      </c>
      <c r="U95" t="s">
        <v>382</v>
      </c>
      <c r="V95" t="s">
        <v>382</v>
      </c>
      <c r="W95" t="s">
        <v>382</v>
      </c>
      <c r="X95" t="s">
        <v>382</v>
      </c>
      <c r="Y95" t="s">
        <v>382</v>
      </c>
      <c r="Z95" t="s">
        <v>382</v>
      </c>
      <c r="AA95" t="s">
        <v>382</v>
      </c>
      <c r="AB95" t="s">
        <v>382</v>
      </c>
      <c r="AC95">
        <v>5</v>
      </c>
      <c r="AD95">
        <v>4</v>
      </c>
      <c r="AF95" t="s">
        <v>386</v>
      </c>
      <c r="AH95" t="s">
        <v>29</v>
      </c>
      <c r="AI95" t="s">
        <v>103</v>
      </c>
      <c r="AK95">
        <v>660</v>
      </c>
      <c r="AL95">
        <v>1213</v>
      </c>
    </row>
    <row r="96" spans="1:38">
      <c r="A96" t="s">
        <v>382</v>
      </c>
      <c r="B96" t="s">
        <v>382</v>
      </c>
      <c r="C96" t="s">
        <v>382</v>
      </c>
      <c r="D96" t="s">
        <v>382</v>
      </c>
      <c r="E96" t="s">
        <v>382</v>
      </c>
      <c r="F96" t="s">
        <v>382</v>
      </c>
      <c r="G96" t="s">
        <v>382</v>
      </c>
      <c r="H96" t="s">
        <v>382</v>
      </c>
      <c r="I96" t="s">
        <v>382</v>
      </c>
      <c r="J96" t="s">
        <v>382</v>
      </c>
      <c r="K96" t="s">
        <v>382</v>
      </c>
      <c r="L96" t="s">
        <v>382</v>
      </c>
      <c r="M96" t="s">
        <v>382</v>
      </c>
      <c r="N96" t="s">
        <v>382</v>
      </c>
      <c r="O96" t="s">
        <v>382</v>
      </c>
      <c r="P96" t="s">
        <v>382</v>
      </c>
      <c r="Q96" t="s">
        <v>382</v>
      </c>
      <c r="R96" t="s">
        <v>382</v>
      </c>
      <c r="S96" t="s">
        <v>382</v>
      </c>
      <c r="T96" t="s">
        <v>382</v>
      </c>
      <c r="U96" t="s">
        <v>382</v>
      </c>
      <c r="V96" t="s">
        <v>382</v>
      </c>
      <c r="W96" t="s">
        <v>382</v>
      </c>
      <c r="X96" t="s">
        <v>382</v>
      </c>
      <c r="Y96" t="s">
        <v>382</v>
      </c>
      <c r="Z96" t="s">
        <v>382</v>
      </c>
      <c r="AA96" t="s">
        <v>382</v>
      </c>
      <c r="AB96" t="s">
        <v>382</v>
      </c>
      <c r="AC96">
        <v>5</v>
      </c>
      <c r="AD96">
        <v>5</v>
      </c>
      <c r="AF96" t="s">
        <v>385</v>
      </c>
      <c r="AH96" t="s">
        <v>27</v>
      </c>
      <c r="AI96" t="s">
        <v>109</v>
      </c>
      <c r="AK96">
        <v>1483</v>
      </c>
      <c r="AL96">
        <v>313</v>
      </c>
    </row>
    <row r="97" spans="1:38">
      <c r="A97" t="s">
        <v>382</v>
      </c>
      <c r="B97" t="s">
        <v>382</v>
      </c>
      <c r="C97" t="s">
        <v>382</v>
      </c>
      <c r="D97" t="s">
        <v>382</v>
      </c>
      <c r="E97" t="s">
        <v>382</v>
      </c>
      <c r="F97" t="s">
        <v>382</v>
      </c>
      <c r="G97" t="s">
        <v>382</v>
      </c>
      <c r="H97" t="s">
        <v>382</v>
      </c>
      <c r="I97" t="s">
        <v>382</v>
      </c>
      <c r="J97" t="s">
        <v>382</v>
      </c>
      <c r="K97" t="s">
        <v>382</v>
      </c>
      <c r="L97" t="s">
        <v>382</v>
      </c>
      <c r="M97" t="s">
        <v>382</v>
      </c>
      <c r="N97" t="s">
        <v>382</v>
      </c>
      <c r="O97" t="s">
        <v>382</v>
      </c>
      <c r="P97" t="s">
        <v>382</v>
      </c>
      <c r="Q97" t="s">
        <v>382</v>
      </c>
      <c r="R97" t="s">
        <v>382</v>
      </c>
      <c r="S97" t="s">
        <v>382</v>
      </c>
      <c r="T97" t="s">
        <v>382</v>
      </c>
      <c r="U97" t="s">
        <v>382</v>
      </c>
      <c r="V97" t="s">
        <v>382</v>
      </c>
      <c r="W97" t="s">
        <v>382</v>
      </c>
      <c r="X97" t="s">
        <v>382</v>
      </c>
      <c r="Y97" t="s">
        <v>382</v>
      </c>
      <c r="Z97" t="s">
        <v>382</v>
      </c>
      <c r="AA97" t="s">
        <v>382</v>
      </c>
      <c r="AB97" t="s">
        <v>382</v>
      </c>
      <c r="AC97">
        <v>5</v>
      </c>
      <c r="AD97">
        <v>1</v>
      </c>
      <c r="AE97">
        <v>1</v>
      </c>
      <c r="AF97" t="s">
        <v>389</v>
      </c>
      <c r="AH97" t="s">
        <v>35</v>
      </c>
      <c r="AI97" t="s">
        <v>97</v>
      </c>
      <c r="AK97">
        <v>3074</v>
      </c>
      <c r="AL97">
        <v>902</v>
      </c>
    </row>
    <row r="98" spans="1:38">
      <c r="A98" t="s">
        <v>382</v>
      </c>
      <c r="B98" t="s">
        <v>382</v>
      </c>
      <c r="C98" t="s">
        <v>382</v>
      </c>
      <c r="D98" t="s">
        <v>382</v>
      </c>
      <c r="E98" t="s">
        <v>382</v>
      </c>
      <c r="F98" t="s">
        <v>382</v>
      </c>
      <c r="G98" t="s">
        <v>382</v>
      </c>
      <c r="H98" t="s">
        <v>382</v>
      </c>
      <c r="I98" t="s">
        <v>382</v>
      </c>
      <c r="J98" t="s">
        <v>382</v>
      </c>
      <c r="K98" t="s">
        <v>382</v>
      </c>
      <c r="L98" t="s">
        <v>382</v>
      </c>
      <c r="M98" t="s">
        <v>382</v>
      </c>
      <c r="N98" t="s">
        <v>382</v>
      </c>
      <c r="O98" t="s">
        <v>382</v>
      </c>
      <c r="P98" t="s">
        <v>382</v>
      </c>
      <c r="Q98" t="s">
        <v>382</v>
      </c>
      <c r="R98" t="s">
        <v>382</v>
      </c>
      <c r="S98" t="s">
        <v>382</v>
      </c>
      <c r="T98" t="s">
        <v>382</v>
      </c>
      <c r="U98" t="s">
        <v>382</v>
      </c>
      <c r="V98" t="s">
        <v>382</v>
      </c>
      <c r="W98" t="s">
        <v>382</v>
      </c>
      <c r="X98" t="s">
        <v>382</v>
      </c>
      <c r="Y98" t="s">
        <v>382</v>
      </c>
      <c r="Z98" t="s">
        <v>382</v>
      </c>
      <c r="AA98" t="s">
        <v>382</v>
      </c>
      <c r="AB98" t="s">
        <v>382</v>
      </c>
      <c r="AC98">
        <v>5</v>
      </c>
      <c r="AD98">
        <v>2</v>
      </c>
      <c r="AE98">
        <v>1</v>
      </c>
      <c r="AF98" t="s">
        <v>389</v>
      </c>
      <c r="AH98" t="s">
        <v>35</v>
      </c>
      <c r="AI98" t="s">
        <v>97</v>
      </c>
      <c r="AK98">
        <v>2038</v>
      </c>
      <c r="AL98">
        <v>165</v>
      </c>
    </row>
    <row r="99" spans="1:38">
      <c r="A99" t="s">
        <v>382</v>
      </c>
      <c r="B99" t="s">
        <v>382</v>
      </c>
      <c r="C99" t="s">
        <v>382</v>
      </c>
      <c r="D99" t="s">
        <v>382</v>
      </c>
      <c r="E99" t="s">
        <v>382</v>
      </c>
      <c r="F99" t="s">
        <v>382</v>
      </c>
      <c r="G99" t="s">
        <v>382</v>
      </c>
      <c r="H99" t="s">
        <v>382</v>
      </c>
      <c r="I99" t="s">
        <v>382</v>
      </c>
      <c r="J99" t="s">
        <v>382</v>
      </c>
      <c r="K99" t="s">
        <v>382</v>
      </c>
      <c r="L99" t="s">
        <v>382</v>
      </c>
      <c r="M99" t="s">
        <v>382</v>
      </c>
      <c r="N99" t="s">
        <v>382</v>
      </c>
      <c r="O99" t="s">
        <v>382</v>
      </c>
      <c r="P99" t="s">
        <v>382</v>
      </c>
      <c r="Q99" t="s">
        <v>382</v>
      </c>
      <c r="R99" t="s">
        <v>382</v>
      </c>
      <c r="S99" t="s">
        <v>382</v>
      </c>
      <c r="T99" t="s">
        <v>382</v>
      </c>
      <c r="U99" t="s">
        <v>382</v>
      </c>
      <c r="V99" t="s">
        <v>382</v>
      </c>
      <c r="W99" t="s">
        <v>382</v>
      </c>
      <c r="X99" t="s">
        <v>382</v>
      </c>
      <c r="Y99" t="s">
        <v>382</v>
      </c>
      <c r="Z99" t="s">
        <v>382</v>
      </c>
      <c r="AA99" t="s">
        <v>382</v>
      </c>
      <c r="AB99" t="s">
        <v>382</v>
      </c>
      <c r="AC99">
        <v>5</v>
      </c>
      <c r="AD99">
        <v>3</v>
      </c>
      <c r="AE99">
        <v>1</v>
      </c>
      <c r="AF99" t="s">
        <v>398</v>
      </c>
      <c r="AH99" t="s">
        <v>69</v>
      </c>
      <c r="AI99" t="s">
        <v>97</v>
      </c>
      <c r="AK99">
        <v>1539</v>
      </c>
      <c r="AL99">
        <v>151</v>
      </c>
    </row>
    <row r="100" spans="1:38">
      <c r="A100" t="s">
        <v>382</v>
      </c>
      <c r="B100" t="s">
        <v>382</v>
      </c>
      <c r="C100" t="s">
        <v>382</v>
      </c>
      <c r="D100" t="s">
        <v>382</v>
      </c>
      <c r="E100" t="s">
        <v>382</v>
      </c>
      <c r="F100" t="s">
        <v>382</v>
      </c>
      <c r="G100" t="s">
        <v>382</v>
      </c>
      <c r="H100" t="s">
        <v>382</v>
      </c>
      <c r="I100" t="s">
        <v>382</v>
      </c>
      <c r="J100" t="s">
        <v>382</v>
      </c>
      <c r="K100" t="s">
        <v>382</v>
      </c>
      <c r="L100" t="s">
        <v>382</v>
      </c>
      <c r="M100" t="s">
        <v>382</v>
      </c>
      <c r="N100" t="s">
        <v>382</v>
      </c>
      <c r="O100" t="s">
        <v>382</v>
      </c>
      <c r="P100" t="s">
        <v>382</v>
      </c>
      <c r="Q100" t="s">
        <v>382</v>
      </c>
      <c r="R100" t="s">
        <v>382</v>
      </c>
      <c r="S100" t="s">
        <v>382</v>
      </c>
      <c r="T100" t="s">
        <v>382</v>
      </c>
      <c r="U100" t="s">
        <v>382</v>
      </c>
      <c r="V100" t="s">
        <v>382</v>
      </c>
      <c r="W100" t="s">
        <v>382</v>
      </c>
      <c r="X100" t="s">
        <v>382</v>
      </c>
      <c r="Y100" t="s">
        <v>382</v>
      </c>
      <c r="Z100" t="s">
        <v>382</v>
      </c>
      <c r="AA100" t="s">
        <v>382</v>
      </c>
      <c r="AB100" t="s">
        <v>382</v>
      </c>
      <c r="AC100">
        <v>5</v>
      </c>
      <c r="AD100">
        <v>4</v>
      </c>
      <c r="AE100">
        <v>1</v>
      </c>
      <c r="AF100" t="s">
        <v>398</v>
      </c>
      <c r="AH100" t="s">
        <v>69</v>
      </c>
      <c r="AI100" t="s">
        <v>97</v>
      </c>
      <c r="AK100">
        <v>1571</v>
      </c>
      <c r="AL100">
        <v>186</v>
      </c>
    </row>
    <row r="101" spans="1:38">
      <c r="A101" t="s">
        <v>382</v>
      </c>
      <c r="B101" t="s">
        <v>382</v>
      </c>
      <c r="C101" t="s">
        <v>382</v>
      </c>
      <c r="D101" t="s">
        <v>382</v>
      </c>
      <c r="E101" t="s">
        <v>382</v>
      </c>
      <c r="F101" t="s">
        <v>382</v>
      </c>
      <c r="G101" t="s">
        <v>382</v>
      </c>
      <c r="H101" t="s">
        <v>382</v>
      </c>
      <c r="I101" t="s">
        <v>382</v>
      </c>
      <c r="J101" t="s">
        <v>382</v>
      </c>
      <c r="K101" t="s">
        <v>382</v>
      </c>
      <c r="L101" t="s">
        <v>382</v>
      </c>
      <c r="M101" t="s">
        <v>382</v>
      </c>
      <c r="N101" t="s">
        <v>382</v>
      </c>
      <c r="O101" t="s">
        <v>382</v>
      </c>
      <c r="P101" t="s">
        <v>382</v>
      </c>
      <c r="Q101" t="s">
        <v>382</v>
      </c>
      <c r="R101" t="s">
        <v>382</v>
      </c>
      <c r="S101" t="s">
        <v>382</v>
      </c>
      <c r="T101" t="s">
        <v>382</v>
      </c>
      <c r="U101" t="s">
        <v>382</v>
      </c>
      <c r="V101" t="s">
        <v>382</v>
      </c>
      <c r="W101" t="s">
        <v>382</v>
      </c>
      <c r="X101" t="s">
        <v>382</v>
      </c>
      <c r="Y101" t="s">
        <v>382</v>
      </c>
      <c r="Z101" t="s">
        <v>382</v>
      </c>
      <c r="AA101" t="s">
        <v>382</v>
      </c>
      <c r="AB101" t="s">
        <v>382</v>
      </c>
      <c r="AC101">
        <v>5</v>
      </c>
      <c r="AD101">
        <v>5</v>
      </c>
      <c r="AF101" t="s">
        <v>386</v>
      </c>
      <c r="AH101" t="s">
        <v>29</v>
      </c>
      <c r="AI101" t="s">
        <v>103</v>
      </c>
      <c r="AK101">
        <v>914</v>
      </c>
      <c r="AL101">
        <v>2329</v>
      </c>
    </row>
    <row r="102" spans="1:38">
      <c r="A102" t="s">
        <v>382</v>
      </c>
      <c r="B102" t="s">
        <v>382</v>
      </c>
      <c r="C102" t="s">
        <v>382</v>
      </c>
      <c r="D102" t="s">
        <v>382</v>
      </c>
      <c r="E102" t="s">
        <v>382</v>
      </c>
      <c r="F102" t="s">
        <v>382</v>
      </c>
      <c r="G102" t="s">
        <v>382</v>
      </c>
      <c r="H102" t="s">
        <v>382</v>
      </c>
      <c r="I102" t="s">
        <v>382</v>
      </c>
      <c r="J102" t="s">
        <v>382</v>
      </c>
      <c r="K102" t="s">
        <v>382</v>
      </c>
      <c r="L102" t="s">
        <v>382</v>
      </c>
      <c r="M102" t="s">
        <v>382</v>
      </c>
      <c r="N102" t="s">
        <v>382</v>
      </c>
      <c r="O102" t="s">
        <v>382</v>
      </c>
      <c r="P102" t="s">
        <v>382</v>
      </c>
      <c r="Q102" t="s">
        <v>382</v>
      </c>
      <c r="R102" t="s">
        <v>382</v>
      </c>
      <c r="S102" t="s">
        <v>382</v>
      </c>
      <c r="T102" t="s">
        <v>382</v>
      </c>
      <c r="U102" t="s">
        <v>382</v>
      </c>
      <c r="V102" t="s">
        <v>382</v>
      </c>
      <c r="W102" t="s">
        <v>382</v>
      </c>
      <c r="X102" t="s">
        <v>382</v>
      </c>
      <c r="Y102" t="s">
        <v>382</v>
      </c>
      <c r="Z102" t="s">
        <v>382</v>
      </c>
      <c r="AA102" t="s">
        <v>382</v>
      </c>
      <c r="AB102" t="s">
        <v>382</v>
      </c>
      <c r="AC102">
        <v>5</v>
      </c>
      <c r="AD102">
        <v>1</v>
      </c>
      <c r="AE102">
        <v>1</v>
      </c>
      <c r="AF102" t="s">
        <v>389</v>
      </c>
      <c r="AH102" t="s">
        <v>35</v>
      </c>
      <c r="AI102" t="s">
        <v>97</v>
      </c>
      <c r="AK102">
        <v>2742</v>
      </c>
      <c r="AL102">
        <v>2109</v>
      </c>
    </row>
    <row r="103" spans="1:38">
      <c r="A103" t="s">
        <v>382</v>
      </c>
      <c r="B103" t="s">
        <v>382</v>
      </c>
      <c r="C103" t="s">
        <v>382</v>
      </c>
      <c r="D103" t="s">
        <v>382</v>
      </c>
      <c r="E103" t="s">
        <v>382</v>
      </c>
      <c r="F103" t="s">
        <v>382</v>
      </c>
      <c r="G103" t="s">
        <v>382</v>
      </c>
      <c r="H103" t="s">
        <v>382</v>
      </c>
      <c r="I103" t="s">
        <v>382</v>
      </c>
      <c r="J103" t="s">
        <v>382</v>
      </c>
      <c r="K103" t="s">
        <v>382</v>
      </c>
      <c r="L103" t="s">
        <v>382</v>
      </c>
      <c r="M103" t="s">
        <v>382</v>
      </c>
      <c r="N103" t="s">
        <v>382</v>
      </c>
      <c r="O103" t="s">
        <v>382</v>
      </c>
      <c r="P103" t="s">
        <v>382</v>
      </c>
      <c r="Q103" t="s">
        <v>382</v>
      </c>
      <c r="R103" t="s">
        <v>382</v>
      </c>
      <c r="S103" t="s">
        <v>382</v>
      </c>
      <c r="T103" t="s">
        <v>382</v>
      </c>
      <c r="U103" t="s">
        <v>382</v>
      </c>
      <c r="V103" t="s">
        <v>382</v>
      </c>
      <c r="W103" t="s">
        <v>382</v>
      </c>
      <c r="X103" t="s">
        <v>382</v>
      </c>
      <c r="Y103" t="s">
        <v>382</v>
      </c>
      <c r="Z103" t="s">
        <v>382</v>
      </c>
      <c r="AA103" t="s">
        <v>382</v>
      </c>
      <c r="AB103" t="s">
        <v>382</v>
      </c>
      <c r="AC103">
        <v>5</v>
      </c>
      <c r="AD103">
        <v>2</v>
      </c>
      <c r="AF103" t="s">
        <v>386</v>
      </c>
      <c r="AH103" t="s">
        <v>29</v>
      </c>
      <c r="AI103" t="s">
        <v>103</v>
      </c>
      <c r="AK103">
        <v>622</v>
      </c>
      <c r="AL103">
        <v>657</v>
      </c>
    </row>
    <row r="104" spans="1:38">
      <c r="A104" t="s">
        <v>382</v>
      </c>
      <c r="B104" t="s">
        <v>382</v>
      </c>
      <c r="C104" t="s">
        <v>382</v>
      </c>
      <c r="D104" t="s">
        <v>382</v>
      </c>
      <c r="E104" t="s">
        <v>382</v>
      </c>
      <c r="F104" t="s">
        <v>382</v>
      </c>
      <c r="G104" t="s">
        <v>382</v>
      </c>
      <c r="H104" t="s">
        <v>382</v>
      </c>
      <c r="I104" t="s">
        <v>382</v>
      </c>
      <c r="J104" t="s">
        <v>382</v>
      </c>
      <c r="K104" t="s">
        <v>382</v>
      </c>
      <c r="L104" t="s">
        <v>382</v>
      </c>
      <c r="M104" t="s">
        <v>382</v>
      </c>
      <c r="N104" t="s">
        <v>382</v>
      </c>
      <c r="O104" t="s">
        <v>382</v>
      </c>
      <c r="P104" t="s">
        <v>382</v>
      </c>
      <c r="Q104" t="s">
        <v>382</v>
      </c>
      <c r="R104" t="s">
        <v>382</v>
      </c>
      <c r="S104" t="s">
        <v>382</v>
      </c>
      <c r="T104" t="s">
        <v>382</v>
      </c>
      <c r="U104" t="s">
        <v>382</v>
      </c>
      <c r="V104" t="s">
        <v>382</v>
      </c>
      <c r="W104" t="s">
        <v>382</v>
      </c>
      <c r="X104" t="s">
        <v>382</v>
      </c>
      <c r="Y104" t="s">
        <v>382</v>
      </c>
      <c r="Z104" t="s">
        <v>382</v>
      </c>
      <c r="AA104" t="s">
        <v>382</v>
      </c>
      <c r="AB104" t="s">
        <v>382</v>
      </c>
      <c r="AC104">
        <v>5</v>
      </c>
      <c r="AD104">
        <v>3</v>
      </c>
      <c r="AE104">
        <v>1</v>
      </c>
      <c r="AF104" t="s">
        <v>389</v>
      </c>
      <c r="AH104" t="s">
        <v>35</v>
      </c>
      <c r="AI104" t="s">
        <v>97</v>
      </c>
      <c r="AK104">
        <v>987</v>
      </c>
      <c r="AL104">
        <v>902</v>
      </c>
    </row>
    <row r="105" spans="1:38">
      <c r="A105" t="s">
        <v>382</v>
      </c>
      <c r="B105" t="s">
        <v>382</v>
      </c>
      <c r="C105" t="s">
        <v>382</v>
      </c>
      <c r="D105" t="s">
        <v>382</v>
      </c>
      <c r="E105" t="s">
        <v>382</v>
      </c>
      <c r="F105" t="s">
        <v>382</v>
      </c>
      <c r="G105" t="s">
        <v>382</v>
      </c>
      <c r="H105" t="s">
        <v>382</v>
      </c>
      <c r="I105" t="s">
        <v>382</v>
      </c>
      <c r="J105" t="s">
        <v>382</v>
      </c>
      <c r="K105" t="s">
        <v>382</v>
      </c>
      <c r="L105" t="s">
        <v>382</v>
      </c>
      <c r="M105" t="s">
        <v>382</v>
      </c>
      <c r="N105" t="s">
        <v>382</v>
      </c>
      <c r="O105" t="s">
        <v>382</v>
      </c>
      <c r="P105" t="s">
        <v>382</v>
      </c>
      <c r="Q105" t="s">
        <v>382</v>
      </c>
      <c r="R105" t="s">
        <v>382</v>
      </c>
      <c r="S105" t="s">
        <v>382</v>
      </c>
      <c r="T105" t="s">
        <v>382</v>
      </c>
      <c r="U105" t="s">
        <v>382</v>
      </c>
      <c r="V105" t="s">
        <v>382</v>
      </c>
      <c r="W105" t="s">
        <v>382</v>
      </c>
      <c r="X105" t="s">
        <v>382</v>
      </c>
      <c r="Y105" t="s">
        <v>382</v>
      </c>
      <c r="Z105" t="s">
        <v>382</v>
      </c>
      <c r="AA105" t="s">
        <v>382</v>
      </c>
      <c r="AB105" t="s">
        <v>382</v>
      </c>
      <c r="AC105">
        <v>5</v>
      </c>
      <c r="AD105">
        <v>4</v>
      </c>
      <c r="AE105">
        <v>1</v>
      </c>
      <c r="AF105" t="s">
        <v>389</v>
      </c>
      <c r="AH105" t="s">
        <v>35</v>
      </c>
      <c r="AI105" t="s">
        <v>97</v>
      </c>
      <c r="AK105">
        <v>1482</v>
      </c>
      <c r="AL105">
        <v>1223</v>
      </c>
    </row>
    <row r="106" spans="1:38">
      <c r="A106" t="s">
        <v>382</v>
      </c>
      <c r="B106" t="s">
        <v>382</v>
      </c>
      <c r="C106" t="s">
        <v>382</v>
      </c>
      <c r="D106" t="s">
        <v>382</v>
      </c>
      <c r="E106" t="s">
        <v>382</v>
      </c>
      <c r="F106" t="s">
        <v>382</v>
      </c>
      <c r="G106" t="s">
        <v>382</v>
      </c>
      <c r="H106" t="s">
        <v>382</v>
      </c>
      <c r="I106" t="s">
        <v>382</v>
      </c>
      <c r="J106" t="s">
        <v>382</v>
      </c>
      <c r="K106" t="s">
        <v>382</v>
      </c>
      <c r="L106" t="s">
        <v>382</v>
      </c>
      <c r="M106" t="s">
        <v>382</v>
      </c>
      <c r="N106" t="s">
        <v>382</v>
      </c>
      <c r="O106" t="s">
        <v>382</v>
      </c>
      <c r="P106" t="s">
        <v>382</v>
      </c>
      <c r="Q106" t="s">
        <v>382</v>
      </c>
      <c r="R106" t="s">
        <v>382</v>
      </c>
      <c r="S106" t="s">
        <v>382</v>
      </c>
      <c r="T106" t="s">
        <v>382</v>
      </c>
      <c r="U106" t="s">
        <v>382</v>
      </c>
      <c r="V106" t="s">
        <v>382</v>
      </c>
      <c r="W106" t="s">
        <v>382</v>
      </c>
      <c r="X106" t="s">
        <v>382</v>
      </c>
      <c r="Y106" t="s">
        <v>382</v>
      </c>
      <c r="Z106" t="s">
        <v>382</v>
      </c>
      <c r="AA106" t="s">
        <v>382</v>
      </c>
      <c r="AB106" t="s">
        <v>382</v>
      </c>
      <c r="AC106">
        <v>5</v>
      </c>
      <c r="AD106">
        <v>5</v>
      </c>
      <c r="AE106">
        <v>1</v>
      </c>
      <c r="AF106" t="s">
        <v>389</v>
      </c>
      <c r="AH106" t="s">
        <v>35</v>
      </c>
      <c r="AI106" t="s">
        <v>97</v>
      </c>
      <c r="AK106">
        <v>2417</v>
      </c>
      <c r="AL106">
        <v>1048</v>
      </c>
    </row>
    <row r="107" spans="1:38">
      <c r="A107" t="s">
        <v>382</v>
      </c>
      <c r="B107" t="s">
        <v>382</v>
      </c>
      <c r="C107" t="s">
        <v>382</v>
      </c>
      <c r="D107" t="s">
        <v>382</v>
      </c>
      <c r="E107" t="s">
        <v>382</v>
      </c>
      <c r="F107" t="s">
        <v>382</v>
      </c>
      <c r="G107" t="s">
        <v>382</v>
      </c>
      <c r="H107" t="s">
        <v>382</v>
      </c>
      <c r="I107" t="s">
        <v>382</v>
      </c>
      <c r="J107" t="s">
        <v>382</v>
      </c>
      <c r="K107" t="s">
        <v>382</v>
      </c>
      <c r="L107" t="s">
        <v>382</v>
      </c>
      <c r="M107" t="s">
        <v>382</v>
      </c>
      <c r="N107" t="s">
        <v>382</v>
      </c>
      <c r="O107" t="s">
        <v>382</v>
      </c>
      <c r="P107" t="s">
        <v>382</v>
      </c>
      <c r="Q107" t="s">
        <v>382</v>
      </c>
      <c r="R107" t="s">
        <v>382</v>
      </c>
      <c r="S107" t="s">
        <v>382</v>
      </c>
      <c r="T107" t="s">
        <v>382</v>
      </c>
      <c r="U107" t="s">
        <v>382</v>
      </c>
      <c r="V107" t="s">
        <v>382</v>
      </c>
      <c r="W107" t="s">
        <v>382</v>
      </c>
      <c r="X107" t="s">
        <v>382</v>
      </c>
      <c r="Y107" t="s">
        <v>382</v>
      </c>
      <c r="Z107" t="s">
        <v>382</v>
      </c>
      <c r="AA107" t="s">
        <v>382</v>
      </c>
      <c r="AB107" t="s">
        <v>382</v>
      </c>
      <c r="AC107">
        <v>5</v>
      </c>
      <c r="AD107">
        <v>1</v>
      </c>
      <c r="AF107" t="s">
        <v>384</v>
      </c>
      <c r="AH107" t="s">
        <v>25</v>
      </c>
      <c r="AI107" t="s">
        <v>106</v>
      </c>
      <c r="AK107">
        <v>1088</v>
      </c>
      <c r="AL107">
        <v>835</v>
      </c>
    </row>
    <row r="108" spans="1:38">
      <c r="A108" t="s">
        <v>382</v>
      </c>
      <c r="B108" t="s">
        <v>382</v>
      </c>
      <c r="C108" t="s">
        <v>382</v>
      </c>
      <c r="D108" t="s">
        <v>382</v>
      </c>
      <c r="E108" t="s">
        <v>382</v>
      </c>
      <c r="F108" t="s">
        <v>382</v>
      </c>
      <c r="G108" t="s">
        <v>382</v>
      </c>
      <c r="H108" t="s">
        <v>382</v>
      </c>
      <c r="I108" t="s">
        <v>382</v>
      </c>
      <c r="J108" t="s">
        <v>382</v>
      </c>
      <c r="K108" t="s">
        <v>382</v>
      </c>
      <c r="L108" t="s">
        <v>382</v>
      </c>
      <c r="M108" t="s">
        <v>382</v>
      </c>
      <c r="N108" t="s">
        <v>382</v>
      </c>
      <c r="O108" t="s">
        <v>382</v>
      </c>
      <c r="P108" t="s">
        <v>382</v>
      </c>
      <c r="Q108" t="s">
        <v>382</v>
      </c>
      <c r="R108" t="s">
        <v>382</v>
      </c>
      <c r="S108" t="s">
        <v>382</v>
      </c>
      <c r="T108" t="s">
        <v>382</v>
      </c>
      <c r="U108" t="s">
        <v>382</v>
      </c>
      <c r="V108" t="s">
        <v>382</v>
      </c>
      <c r="W108" t="s">
        <v>382</v>
      </c>
      <c r="X108" t="s">
        <v>382</v>
      </c>
      <c r="Y108" t="s">
        <v>382</v>
      </c>
      <c r="Z108" t="s">
        <v>382</v>
      </c>
      <c r="AA108" t="s">
        <v>382</v>
      </c>
      <c r="AB108" t="s">
        <v>382</v>
      </c>
      <c r="AC108">
        <v>5</v>
      </c>
      <c r="AD108">
        <v>2</v>
      </c>
      <c r="AE108">
        <v>1</v>
      </c>
      <c r="AF108" t="s">
        <v>389</v>
      </c>
      <c r="AH108" t="s">
        <v>35</v>
      </c>
      <c r="AI108" t="s">
        <v>97</v>
      </c>
      <c r="AK108">
        <v>992</v>
      </c>
      <c r="AL108">
        <v>2550</v>
      </c>
    </row>
    <row r="109" spans="1:38">
      <c r="A109" t="s">
        <v>382</v>
      </c>
      <c r="B109" t="s">
        <v>382</v>
      </c>
      <c r="C109" t="s">
        <v>382</v>
      </c>
      <c r="D109" t="s">
        <v>382</v>
      </c>
      <c r="E109" t="s">
        <v>382</v>
      </c>
      <c r="F109" t="s">
        <v>382</v>
      </c>
      <c r="G109" t="s">
        <v>382</v>
      </c>
      <c r="H109" t="s">
        <v>382</v>
      </c>
      <c r="I109" t="s">
        <v>382</v>
      </c>
      <c r="J109" t="s">
        <v>382</v>
      </c>
      <c r="K109" t="s">
        <v>382</v>
      </c>
      <c r="L109" t="s">
        <v>382</v>
      </c>
      <c r="M109" t="s">
        <v>382</v>
      </c>
      <c r="N109" t="s">
        <v>382</v>
      </c>
      <c r="O109" t="s">
        <v>382</v>
      </c>
      <c r="P109" t="s">
        <v>382</v>
      </c>
      <c r="Q109" t="s">
        <v>382</v>
      </c>
      <c r="R109" t="s">
        <v>382</v>
      </c>
      <c r="S109" t="s">
        <v>382</v>
      </c>
      <c r="T109" t="s">
        <v>382</v>
      </c>
      <c r="U109" t="s">
        <v>382</v>
      </c>
      <c r="V109" t="s">
        <v>382</v>
      </c>
      <c r="W109" t="s">
        <v>382</v>
      </c>
      <c r="X109" t="s">
        <v>382</v>
      </c>
      <c r="Y109" t="s">
        <v>382</v>
      </c>
      <c r="Z109" t="s">
        <v>382</v>
      </c>
      <c r="AA109" t="s">
        <v>382</v>
      </c>
      <c r="AB109" t="s">
        <v>382</v>
      </c>
      <c r="AC109">
        <v>5</v>
      </c>
      <c r="AD109">
        <v>3</v>
      </c>
      <c r="AE109">
        <v>1</v>
      </c>
      <c r="AF109" t="s">
        <v>393</v>
      </c>
      <c r="AH109" t="s">
        <v>51</v>
      </c>
      <c r="AI109" t="s">
        <v>97</v>
      </c>
      <c r="AK109">
        <v>2308</v>
      </c>
      <c r="AL109">
        <v>2035</v>
      </c>
    </row>
    <row r="110" spans="1:38">
      <c r="A110" t="s">
        <v>382</v>
      </c>
      <c r="B110" t="s">
        <v>382</v>
      </c>
      <c r="C110" t="s">
        <v>382</v>
      </c>
      <c r="D110" t="s">
        <v>382</v>
      </c>
      <c r="E110" t="s">
        <v>382</v>
      </c>
      <c r="F110" t="s">
        <v>382</v>
      </c>
      <c r="G110" t="s">
        <v>382</v>
      </c>
      <c r="H110" t="s">
        <v>382</v>
      </c>
      <c r="I110" t="s">
        <v>382</v>
      </c>
      <c r="J110" t="s">
        <v>382</v>
      </c>
      <c r="K110" t="s">
        <v>382</v>
      </c>
      <c r="L110" t="s">
        <v>382</v>
      </c>
      <c r="M110" t="s">
        <v>382</v>
      </c>
      <c r="N110" t="s">
        <v>382</v>
      </c>
      <c r="O110" t="s">
        <v>382</v>
      </c>
      <c r="P110" t="s">
        <v>382</v>
      </c>
      <c r="Q110" t="s">
        <v>382</v>
      </c>
      <c r="R110" t="s">
        <v>382</v>
      </c>
      <c r="S110" t="s">
        <v>382</v>
      </c>
      <c r="T110" t="s">
        <v>382</v>
      </c>
      <c r="U110" t="s">
        <v>382</v>
      </c>
      <c r="V110" t="s">
        <v>382</v>
      </c>
      <c r="W110" t="s">
        <v>382</v>
      </c>
      <c r="X110" t="s">
        <v>382</v>
      </c>
      <c r="Y110" t="s">
        <v>382</v>
      </c>
      <c r="Z110" t="s">
        <v>382</v>
      </c>
      <c r="AA110" t="s">
        <v>382</v>
      </c>
      <c r="AB110" t="s">
        <v>382</v>
      </c>
      <c r="AC110">
        <v>5</v>
      </c>
      <c r="AD110">
        <v>4</v>
      </c>
      <c r="AF110" t="s">
        <v>386</v>
      </c>
      <c r="AH110" t="s">
        <v>29</v>
      </c>
      <c r="AI110" t="s">
        <v>103</v>
      </c>
      <c r="AK110">
        <v>2745</v>
      </c>
      <c r="AL110">
        <v>1386</v>
      </c>
    </row>
    <row r="111" spans="1:38">
      <c r="A111" t="s">
        <v>382</v>
      </c>
      <c r="B111" t="s">
        <v>382</v>
      </c>
      <c r="C111" t="s">
        <v>382</v>
      </c>
      <c r="D111" t="s">
        <v>382</v>
      </c>
      <c r="E111" t="s">
        <v>382</v>
      </c>
      <c r="F111" t="s">
        <v>382</v>
      </c>
      <c r="G111" t="s">
        <v>382</v>
      </c>
      <c r="H111" t="s">
        <v>382</v>
      </c>
      <c r="I111" t="s">
        <v>382</v>
      </c>
      <c r="J111" t="s">
        <v>382</v>
      </c>
      <c r="K111" t="s">
        <v>382</v>
      </c>
      <c r="L111" t="s">
        <v>382</v>
      </c>
      <c r="M111" t="s">
        <v>382</v>
      </c>
      <c r="N111" t="s">
        <v>382</v>
      </c>
      <c r="O111" t="s">
        <v>382</v>
      </c>
      <c r="P111" t="s">
        <v>382</v>
      </c>
      <c r="Q111" t="s">
        <v>382</v>
      </c>
      <c r="R111" t="s">
        <v>382</v>
      </c>
      <c r="S111" t="s">
        <v>382</v>
      </c>
      <c r="T111" t="s">
        <v>382</v>
      </c>
      <c r="U111" t="s">
        <v>382</v>
      </c>
      <c r="V111" t="s">
        <v>382</v>
      </c>
      <c r="W111" t="s">
        <v>382</v>
      </c>
      <c r="X111" t="s">
        <v>382</v>
      </c>
      <c r="Y111" t="s">
        <v>382</v>
      </c>
      <c r="Z111" t="s">
        <v>382</v>
      </c>
      <c r="AA111" t="s">
        <v>382</v>
      </c>
      <c r="AB111" t="s">
        <v>382</v>
      </c>
      <c r="AC111">
        <v>5</v>
      </c>
      <c r="AD111">
        <v>5</v>
      </c>
      <c r="AE111">
        <v>1</v>
      </c>
      <c r="AF111" t="s">
        <v>396</v>
      </c>
      <c r="AH111" t="s">
        <v>64</v>
      </c>
      <c r="AI111" t="s">
        <v>97</v>
      </c>
      <c r="AK111">
        <v>622</v>
      </c>
      <c r="AL111">
        <v>1001</v>
      </c>
    </row>
    <row r="112" spans="1:38">
      <c r="A112" t="s">
        <v>382</v>
      </c>
      <c r="B112" t="s">
        <v>382</v>
      </c>
      <c r="C112" t="s">
        <v>382</v>
      </c>
      <c r="D112" t="s">
        <v>382</v>
      </c>
      <c r="E112" t="s">
        <v>382</v>
      </c>
      <c r="F112" t="s">
        <v>382</v>
      </c>
      <c r="G112" t="s">
        <v>382</v>
      </c>
      <c r="H112" t="s">
        <v>382</v>
      </c>
      <c r="I112" t="s">
        <v>382</v>
      </c>
      <c r="J112" t="s">
        <v>382</v>
      </c>
      <c r="K112" t="s">
        <v>382</v>
      </c>
      <c r="L112" t="s">
        <v>382</v>
      </c>
      <c r="M112" t="s">
        <v>382</v>
      </c>
      <c r="N112" t="s">
        <v>382</v>
      </c>
      <c r="O112" t="s">
        <v>382</v>
      </c>
      <c r="P112" t="s">
        <v>382</v>
      </c>
      <c r="Q112" t="s">
        <v>382</v>
      </c>
      <c r="R112" t="s">
        <v>382</v>
      </c>
      <c r="S112" t="s">
        <v>382</v>
      </c>
      <c r="T112" t="s">
        <v>382</v>
      </c>
      <c r="U112" t="s">
        <v>382</v>
      </c>
      <c r="V112" t="s">
        <v>382</v>
      </c>
      <c r="W112" t="s">
        <v>382</v>
      </c>
      <c r="X112" t="s">
        <v>382</v>
      </c>
      <c r="Y112" t="s">
        <v>382</v>
      </c>
      <c r="Z112" t="s">
        <v>382</v>
      </c>
      <c r="AA112" t="s">
        <v>382</v>
      </c>
      <c r="AB112" t="s">
        <v>382</v>
      </c>
      <c r="AC112">
        <v>5</v>
      </c>
      <c r="AD112">
        <v>1</v>
      </c>
      <c r="AE112">
        <v>1</v>
      </c>
      <c r="AF112" t="s">
        <v>400</v>
      </c>
      <c r="AH112" t="s">
        <v>89</v>
      </c>
      <c r="AI112" t="s">
        <v>97</v>
      </c>
      <c r="AK112">
        <v>1198</v>
      </c>
      <c r="AL112">
        <v>384</v>
      </c>
    </row>
    <row r="113" spans="1:38">
      <c r="A113" t="s">
        <v>382</v>
      </c>
      <c r="B113" t="s">
        <v>382</v>
      </c>
      <c r="C113" t="s">
        <v>382</v>
      </c>
      <c r="D113" t="s">
        <v>382</v>
      </c>
      <c r="E113" t="s">
        <v>382</v>
      </c>
      <c r="F113" t="s">
        <v>382</v>
      </c>
      <c r="G113" t="s">
        <v>382</v>
      </c>
      <c r="H113" t="s">
        <v>382</v>
      </c>
      <c r="I113" t="s">
        <v>382</v>
      </c>
      <c r="J113" t="s">
        <v>382</v>
      </c>
      <c r="K113" t="s">
        <v>382</v>
      </c>
      <c r="L113" t="s">
        <v>382</v>
      </c>
      <c r="M113" t="s">
        <v>382</v>
      </c>
      <c r="N113" t="s">
        <v>382</v>
      </c>
      <c r="O113" t="s">
        <v>382</v>
      </c>
      <c r="P113" t="s">
        <v>382</v>
      </c>
      <c r="Q113" t="s">
        <v>382</v>
      </c>
      <c r="R113" t="s">
        <v>382</v>
      </c>
      <c r="S113" t="s">
        <v>382</v>
      </c>
      <c r="T113" t="s">
        <v>382</v>
      </c>
      <c r="U113" t="s">
        <v>382</v>
      </c>
      <c r="V113" t="s">
        <v>382</v>
      </c>
      <c r="W113" t="s">
        <v>382</v>
      </c>
      <c r="X113" t="s">
        <v>382</v>
      </c>
      <c r="Y113" t="s">
        <v>382</v>
      </c>
      <c r="Z113" t="s">
        <v>382</v>
      </c>
      <c r="AA113" t="s">
        <v>382</v>
      </c>
      <c r="AB113" t="s">
        <v>382</v>
      </c>
      <c r="AC113">
        <v>5</v>
      </c>
      <c r="AD113">
        <v>2</v>
      </c>
      <c r="AE113">
        <v>1</v>
      </c>
      <c r="AF113" t="s">
        <v>389</v>
      </c>
      <c r="AH113" t="s">
        <v>35</v>
      </c>
      <c r="AI113" t="s">
        <v>97</v>
      </c>
      <c r="AK113">
        <v>2684</v>
      </c>
      <c r="AL113">
        <v>615</v>
      </c>
    </row>
    <row r="114" spans="1:38">
      <c r="A114" t="s">
        <v>382</v>
      </c>
      <c r="B114" t="s">
        <v>382</v>
      </c>
      <c r="C114" t="s">
        <v>382</v>
      </c>
      <c r="D114" t="s">
        <v>382</v>
      </c>
      <c r="E114" t="s">
        <v>382</v>
      </c>
      <c r="F114" t="s">
        <v>382</v>
      </c>
      <c r="G114" t="s">
        <v>382</v>
      </c>
      <c r="H114" t="s">
        <v>382</v>
      </c>
      <c r="I114" t="s">
        <v>382</v>
      </c>
      <c r="J114" t="s">
        <v>382</v>
      </c>
      <c r="K114" t="s">
        <v>382</v>
      </c>
      <c r="L114" t="s">
        <v>382</v>
      </c>
      <c r="M114" t="s">
        <v>382</v>
      </c>
      <c r="N114" t="s">
        <v>382</v>
      </c>
      <c r="O114" t="s">
        <v>382</v>
      </c>
      <c r="P114" t="s">
        <v>382</v>
      </c>
      <c r="Q114" t="s">
        <v>382</v>
      </c>
      <c r="R114" t="s">
        <v>382</v>
      </c>
      <c r="S114" t="s">
        <v>382</v>
      </c>
      <c r="T114" t="s">
        <v>382</v>
      </c>
      <c r="U114" t="s">
        <v>382</v>
      </c>
      <c r="V114" t="s">
        <v>382</v>
      </c>
      <c r="W114" t="s">
        <v>382</v>
      </c>
      <c r="X114" t="s">
        <v>382</v>
      </c>
      <c r="Y114" t="s">
        <v>382</v>
      </c>
      <c r="Z114" t="s">
        <v>382</v>
      </c>
      <c r="AA114" t="s">
        <v>382</v>
      </c>
      <c r="AB114" t="s">
        <v>382</v>
      </c>
      <c r="AC114">
        <v>5</v>
      </c>
      <c r="AD114">
        <v>3</v>
      </c>
      <c r="AE114">
        <v>1</v>
      </c>
      <c r="AF114" t="s">
        <v>389</v>
      </c>
      <c r="AH114" t="s">
        <v>35</v>
      </c>
      <c r="AI114" t="s">
        <v>97</v>
      </c>
      <c r="AK114">
        <v>2027</v>
      </c>
      <c r="AL114">
        <v>936</v>
      </c>
    </row>
    <row r="115" spans="1:38">
      <c r="A115" t="s">
        <v>382</v>
      </c>
      <c r="B115" t="s">
        <v>382</v>
      </c>
      <c r="C115" t="s">
        <v>382</v>
      </c>
      <c r="D115" t="s">
        <v>382</v>
      </c>
      <c r="E115" t="s">
        <v>382</v>
      </c>
      <c r="F115" t="s">
        <v>382</v>
      </c>
      <c r="G115" t="s">
        <v>382</v>
      </c>
      <c r="H115" t="s">
        <v>382</v>
      </c>
      <c r="I115" t="s">
        <v>382</v>
      </c>
      <c r="J115" t="s">
        <v>382</v>
      </c>
      <c r="K115" t="s">
        <v>382</v>
      </c>
      <c r="L115" t="s">
        <v>382</v>
      </c>
      <c r="M115" t="s">
        <v>382</v>
      </c>
      <c r="N115" t="s">
        <v>382</v>
      </c>
      <c r="O115" t="s">
        <v>382</v>
      </c>
      <c r="P115" t="s">
        <v>382</v>
      </c>
      <c r="Q115" t="s">
        <v>382</v>
      </c>
      <c r="R115" t="s">
        <v>382</v>
      </c>
      <c r="S115" t="s">
        <v>382</v>
      </c>
      <c r="T115" t="s">
        <v>382</v>
      </c>
      <c r="U115" t="s">
        <v>382</v>
      </c>
      <c r="V115" t="s">
        <v>382</v>
      </c>
      <c r="W115" t="s">
        <v>382</v>
      </c>
      <c r="X115" t="s">
        <v>382</v>
      </c>
      <c r="Y115" t="s">
        <v>382</v>
      </c>
      <c r="Z115" t="s">
        <v>382</v>
      </c>
      <c r="AA115" t="s">
        <v>382</v>
      </c>
      <c r="AB115" t="s">
        <v>382</v>
      </c>
      <c r="AC115">
        <v>5</v>
      </c>
      <c r="AD115">
        <v>4</v>
      </c>
      <c r="AE115">
        <v>1</v>
      </c>
      <c r="AF115" t="s">
        <v>389</v>
      </c>
      <c r="AH115" t="s">
        <v>35</v>
      </c>
      <c r="AI115" t="s">
        <v>97</v>
      </c>
      <c r="AK115">
        <v>2158</v>
      </c>
      <c r="AL115">
        <v>896</v>
      </c>
    </row>
    <row r="116" spans="1:38">
      <c r="A116" t="s">
        <v>382</v>
      </c>
      <c r="B116" t="s">
        <v>382</v>
      </c>
      <c r="C116" t="s">
        <v>382</v>
      </c>
      <c r="D116" t="s">
        <v>382</v>
      </c>
      <c r="E116" t="s">
        <v>382</v>
      </c>
      <c r="F116" t="s">
        <v>382</v>
      </c>
      <c r="G116" t="s">
        <v>382</v>
      </c>
      <c r="H116" t="s">
        <v>382</v>
      </c>
      <c r="I116" t="s">
        <v>382</v>
      </c>
      <c r="J116" t="s">
        <v>382</v>
      </c>
      <c r="K116" t="s">
        <v>382</v>
      </c>
      <c r="L116" t="s">
        <v>382</v>
      </c>
      <c r="M116" t="s">
        <v>382</v>
      </c>
      <c r="N116" t="s">
        <v>382</v>
      </c>
      <c r="O116" t="s">
        <v>382</v>
      </c>
      <c r="P116" t="s">
        <v>382</v>
      </c>
      <c r="Q116" t="s">
        <v>382</v>
      </c>
      <c r="R116" t="s">
        <v>382</v>
      </c>
      <c r="S116" t="s">
        <v>382</v>
      </c>
      <c r="T116" t="s">
        <v>382</v>
      </c>
      <c r="U116" t="s">
        <v>382</v>
      </c>
      <c r="V116" t="s">
        <v>382</v>
      </c>
      <c r="W116" t="s">
        <v>382</v>
      </c>
      <c r="X116" t="s">
        <v>382</v>
      </c>
      <c r="Y116" t="s">
        <v>382</v>
      </c>
      <c r="Z116" t="s">
        <v>382</v>
      </c>
      <c r="AA116" t="s">
        <v>382</v>
      </c>
      <c r="AB116" t="s">
        <v>382</v>
      </c>
      <c r="AC116">
        <v>5</v>
      </c>
      <c r="AD116">
        <v>5</v>
      </c>
      <c r="AE116">
        <v>1</v>
      </c>
      <c r="AF116" t="s">
        <v>389</v>
      </c>
      <c r="AH116" t="s">
        <v>35</v>
      </c>
      <c r="AI116" t="s">
        <v>97</v>
      </c>
      <c r="AK116">
        <v>1447</v>
      </c>
      <c r="AL116">
        <v>832</v>
      </c>
    </row>
    <row r="117" spans="1:38">
      <c r="A117" t="s">
        <v>382</v>
      </c>
      <c r="B117" t="s">
        <v>382</v>
      </c>
      <c r="C117" t="s">
        <v>382</v>
      </c>
      <c r="D117" t="s">
        <v>382</v>
      </c>
      <c r="E117" t="s">
        <v>382</v>
      </c>
      <c r="F117" t="s">
        <v>382</v>
      </c>
      <c r="G117" t="s">
        <v>382</v>
      </c>
      <c r="H117" t="s">
        <v>382</v>
      </c>
      <c r="I117" t="s">
        <v>382</v>
      </c>
      <c r="J117" t="s">
        <v>382</v>
      </c>
      <c r="K117" t="s">
        <v>382</v>
      </c>
      <c r="L117" t="s">
        <v>382</v>
      </c>
      <c r="M117" t="s">
        <v>382</v>
      </c>
      <c r="N117" t="s">
        <v>382</v>
      </c>
      <c r="O117" t="s">
        <v>382</v>
      </c>
      <c r="P117" t="s">
        <v>382</v>
      </c>
      <c r="Q117" t="s">
        <v>382</v>
      </c>
      <c r="R117" t="s">
        <v>382</v>
      </c>
      <c r="S117" t="s">
        <v>382</v>
      </c>
      <c r="T117" t="s">
        <v>382</v>
      </c>
      <c r="U117" t="s">
        <v>382</v>
      </c>
      <c r="V117" t="s">
        <v>382</v>
      </c>
      <c r="W117" t="s">
        <v>382</v>
      </c>
      <c r="X117" t="s">
        <v>382</v>
      </c>
      <c r="Y117" t="s">
        <v>382</v>
      </c>
      <c r="Z117" t="s">
        <v>382</v>
      </c>
      <c r="AA117" t="s">
        <v>382</v>
      </c>
      <c r="AB117" t="s">
        <v>382</v>
      </c>
      <c r="AC117">
        <v>5</v>
      </c>
      <c r="AD117">
        <v>1</v>
      </c>
      <c r="AE117">
        <v>1</v>
      </c>
      <c r="AF117" t="s">
        <v>389</v>
      </c>
      <c r="AH117" t="s">
        <v>35</v>
      </c>
      <c r="AI117" t="s">
        <v>97</v>
      </c>
      <c r="AK117">
        <v>1164</v>
      </c>
      <c r="AL117">
        <v>2274</v>
      </c>
    </row>
    <row r="118" spans="1:38">
      <c r="A118" t="s">
        <v>382</v>
      </c>
      <c r="B118" t="s">
        <v>382</v>
      </c>
      <c r="C118" t="s">
        <v>382</v>
      </c>
      <c r="D118" t="s">
        <v>382</v>
      </c>
      <c r="E118" t="s">
        <v>382</v>
      </c>
      <c r="F118" t="s">
        <v>382</v>
      </c>
      <c r="G118" t="s">
        <v>382</v>
      </c>
      <c r="H118" t="s">
        <v>382</v>
      </c>
      <c r="I118" t="s">
        <v>382</v>
      </c>
      <c r="J118" t="s">
        <v>382</v>
      </c>
      <c r="K118" t="s">
        <v>382</v>
      </c>
      <c r="L118" t="s">
        <v>382</v>
      </c>
      <c r="M118" t="s">
        <v>382</v>
      </c>
      <c r="N118" t="s">
        <v>382</v>
      </c>
      <c r="O118" t="s">
        <v>382</v>
      </c>
      <c r="P118" t="s">
        <v>382</v>
      </c>
      <c r="Q118" t="s">
        <v>382</v>
      </c>
      <c r="R118" t="s">
        <v>382</v>
      </c>
      <c r="S118" t="s">
        <v>382</v>
      </c>
      <c r="T118" t="s">
        <v>382</v>
      </c>
      <c r="U118" t="s">
        <v>382</v>
      </c>
      <c r="V118" t="s">
        <v>382</v>
      </c>
      <c r="W118" t="s">
        <v>382</v>
      </c>
      <c r="X118" t="s">
        <v>382</v>
      </c>
      <c r="Y118" t="s">
        <v>382</v>
      </c>
      <c r="Z118" t="s">
        <v>382</v>
      </c>
      <c r="AA118" t="s">
        <v>382</v>
      </c>
      <c r="AB118" t="s">
        <v>382</v>
      </c>
      <c r="AC118">
        <v>5</v>
      </c>
      <c r="AD118">
        <v>2</v>
      </c>
      <c r="AE118">
        <v>1</v>
      </c>
      <c r="AF118" t="s">
        <v>486</v>
      </c>
      <c r="AH118" t="s">
        <v>189</v>
      </c>
      <c r="AI118" t="s">
        <v>97</v>
      </c>
      <c r="AK118">
        <v>1411</v>
      </c>
      <c r="AL118">
        <v>1268</v>
      </c>
    </row>
    <row r="119" spans="1:38">
      <c r="A119" t="s">
        <v>382</v>
      </c>
      <c r="B119" t="s">
        <v>382</v>
      </c>
      <c r="C119" t="s">
        <v>382</v>
      </c>
      <c r="D119" t="s">
        <v>382</v>
      </c>
      <c r="E119" t="s">
        <v>382</v>
      </c>
      <c r="F119" t="s">
        <v>382</v>
      </c>
      <c r="G119" t="s">
        <v>382</v>
      </c>
      <c r="H119" t="s">
        <v>382</v>
      </c>
      <c r="I119" t="s">
        <v>382</v>
      </c>
      <c r="J119" t="s">
        <v>382</v>
      </c>
      <c r="K119" t="s">
        <v>382</v>
      </c>
      <c r="L119" t="s">
        <v>382</v>
      </c>
      <c r="M119" t="s">
        <v>382</v>
      </c>
      <c r="N119" t="s">
        <v>382</v>
      </c>
      <c r="O119" t="s">
        <v>382</v>
      </c>
      <c r="P119" t="s">
        <v>382</v>
      </c>
      <c r="Q119" t="s">
        <v>382</v>
      </c>
      <c r="R119" t="s">
        <v>382</v>
      </c>
      <c r="S119" t="s">
        <v>382</v>
      </c>
      <c r="T119" t="s">
        <v>382</v>
      </c>
      <c r="U119" t="s">
        <v>382</v>
      </c>
      <c r="V119" t="s">
        <v>382</v>
      </c>
      <c r="W119" t="s">
        <v>382</v>
      </c>
      <c r="X119" t="s">
        <v>382</v>
      </c>
      <c r="Y119" t="s">
        <v>382</v>
      </c>
      <c r="Z119" t="s">
        <v>382</v>
      </c>
      <c r="AA119" t="s">
        <v>382</v>
      </c>
      <c r="AB119" t="s">
        <v>382</v>
      </c>
      <c r="AC119">
        <v>5</v>
      </c>
      <c r="AD119">
        <v>3</v>
      </c>
      <c r="AE119">
        <v>1</v>
      </c>
      <c r="AF119" t="s">
        <v>400</v>
      </c>
      <c r="AH119" t="s">
        <v>89</v>
      </c>
      <c r="AI119" t="s">
        <v>97</v>
      </c>
      <c r="AK119">
        <v>2691</v>
      </c>
      <c r="AL119">
        <v>2532</v>
      </c>
    </row>
    <row r="120" spans="1:38">
      <c r="A120" t="s">
        <v>382</v>
      </c>
      <c r="B120" t="s">
        <v>382</v>
      </c>
      <c r="C120" t="s">
        <v>382</v>
      </c>
      <c r="D120" t="s">
        <v>382</v>
      </c>
      <c r="E120" t="s">
        <v>382</v>
      </c>
      <c r="F120" t="s">
        <v>382</v>
      </c>
      <c r="G120" t="s">
        <v>382</v>
      </c>
      <c r="H120" t="s">
        <v>382</v>
      </c>
      <c r="I120" t="s">
        <v>382</v>
      </c>
      <c r="J120" t="s">
        <v>382</v>
      </c>
      <c r="K120" t="s">
        <v>382</v>
      </c>
      <c r="L120" t="s">
        <v>382</v>
      </c>
      <c r="M120" t="s">
        <v>382</v>
      </c>
      <c r="N120" t="s">
        <v>382</v>
      </c>
      <c r="O120" t="s">
        <v>382</v>
      </c>
      <c r="P120" t="s">
        <v>382</v>
      </c>
      <c r="Q120" t="s">
        <v>382</v>
      </c>
      <c r="R120" t="s">
        <v>382</v>
      </c>
      <c r="S120" t="s">
        <v>382</v>
      </c>
      <c r="T120" t="s">
        <v>382</v>
      </c>
      <c r="U120" t="s">
        <v>382</v>
      </c>
      <c r="V120" t="s">
        <v>382</v>
      </c>
      <c r="W120" t="s">
        <v>382</v>
      </c>
      <c r="X120" t="s">
        <v>382</v>
      </c>
      <c r="Y120" t="s">
        <v>382</v>
      </c>
      <c r="Z120" t="s">
        <v>382</v>
      </c>
      <c r="AA120" t="s">
        <v>382</v>
      </c>
      <c r="AB120" t="s">
        <v>382</v>
      </c>
      <c r="AC120">
        <v>5</v>
      </c>
      <c r="AD120">
        <v>4</v>
      </c>
      <c r="AE120">
        <v>1</v>
      </c>
      <c r="AF120" t="s">
        <v>389</v>
      </c>
      <c r="AH120" t="s">
        <v>35</v>
      </c>
      <c r="AI120" t="s">
        <v>97</v>
      </c>
      <c r="AK120">
        <v>879</v>
      </c>
      <c r="AL120">
        <v>2202</v>
      </c>
    </row>
    <row r="121" spans="1:38">
      <c r="A121" t="s">
        <v>382</v>
      </c>
      <c r="B121" t="s">
        <v>382</v>
      </c>
      <c r="C121" t="s">
        <v>382</v>
      </c>
      <c r="D121" t="s">
        <v>382</v>
      </c>
      <c r="E121" t="s">
        <v>382</v>
      </c>
      <c r="F121" t="s">
        <v>382</v>
      </c>
      <c r="G121" t="s">
        <v>382</v>
      </c>
      <c r="H121" t="s">
        <v>382</v>
      </c>
      <c r="I121" t="s">
        <v>382</v>
      </c>
      <c r="J121" t="s">
        <v>382</v>
      </c>
      <c r="K121" t="s">
        <v>382</v>
      </c>
      <c r="L121" t="s">
        <v>382</v>
      </c>
      <c r="M121" t="s">
        <v>382</v>
      </c>
      <c r="N121" t="s">
        <v>382</v>
      </c>
      <c r="O121" t="s">
        <v>382</v>
      </c>
      <c r="P121" t="s">
        <v>382</v>
      </c>
      <c r="Q121" t="s">
        <v>382</v>
      </c>
      <c r="R121" t="s">
        <v>382</v>
      </c>
      <c r="S121" t="s">
        <v>382</v>
      </c>
      <c r="T121" t="s">
        <v>382</v>
      </c>
      <c r="U121" t="s">
        <v>382</v>
      </c>
      <c r="V121" t="s">
        <v>382</v>
      </c>
      <c r="W121" t="s">
        <v>382</v>
      </c>
      <c r="X121" t="s">
        <v>382</v>
      </c>
      <c r="Y121" t="s">
        <v>382</v>
      </c>
      <c r="Z121" t="s">
        <v>382</v>
      </c>
      <c r="AA121" t="s">
        <v>382</v>
      </c>
      <c r="AB121" t="s">
        <v>382</v>
      </c>
      <c r="AC121">
        <v>5</v>
      </c>
      <c r="AD121">
        <v>5</v>
      </c>
      <c r="AE121">
        <v>1</v>
      </c>
      <c r="AF121" t="s">
        <v>389</v>
      </c>
      <c r="AH121" t="s">
        <v>35</v>
      </c>
      <c r="AI121" t="s">
        <v>97</v>
      </c>
      <c r="AK121">
        <v>837</v>
      </c>
      <c r="AL121">
        <v>1705</v>
      </c>
    </row>
    <row r="122" spans="1:38">
      <c r="A122" t="s">
        <v>382</v>
      </c>
      <c r="B122" t="s">
        <v>382</v>
      </c>
      <c r="C122" t="s">
        <v>382</v>
      </c>
      <c r="D122" t="s">
        <v>382</v>
      </c>
      <c r="E122" t="s">
        <v>382</v>
      </c>
      <c r="F122" t="s">
        <v>382</v>
      </c>
      <c r="G122" t="s">
        <v>382</v>
      </c>
      <c r="H122" t="s">
        <v>382</v>
      </c>
      <c r="I122" t="s">
        <v>382</v>
      </c>
      <c r="J122" t="s">
        <v>382</v>
      </c>
      <c r="K122" t="s">
        <v>382</v>
      </c>
      <c r="L122" t="s">
        <v>382</v>
      </c>
      <c r="M122" t="s">
        <v>382</v>
      </c>
      <c r="N122" t="s">
        <v>382</v>
      </c>
      <c r="O122" t="s">
        <v>382</v>
      </c>
      <c r="P122" t="s">
        <v>382</v>
      </c>
      <c r="Q122" t="s">
        <v>382</v>
      </c>
      <c r="R122" t="s">
        <v>382</v>
      </c>
      <c r="S122" t="s">
        <v>382</v>
      </c>
      <c r="T122" t="s">
        <v>382</v>
      </c>
      <c r="U122" t="s">
        <v>382</v>
      </c>
      <c r="V122" t="s">
        <v>382</v>
      </c>
      <c r="W122" t="s">
        <v>382</v>
      </c>
      <c r="X122" t="s">
        <v>382</v>
      </c>
      <c r="Y122" t="s">
        <v>382</v>
      </c>
      <c r="Z122" t="s">
        <v>382</v>
      </c>
      <c r="AA122" t="s">
        <v>382</v>
      </c>
      <c r="AB122" t="s">
        <v>382</v>
      </c>
      <c r="AC122">
        <v>5</v>
      </c>
      <c r="AD122">
        <v>1</v>
      </c>
      <c r="AF122" t="s">
        <v>386</v>
      </c>
      <c r="AH122" t="s">
        <v>29</v>
      </c>
      <c r="AI122" t="s">
        <v>103</v>
      </c>
      <c r="AK122">
        <v>1855</v>
      </c>
      <c r="AL122">
        <v>545</v>
      </c>
    </row>
    <row r="123" spans="1:38">
      <c r="A123" t="s">
        <v>382</v>
      </c>
      <c r="B123" t="s">
        <v>382</v>
      </c>
      <c r="C123" t="s">
        <v>382</v>
      </c>
      <c r="D123" t="s">
        <v>382</v>
      </c>
      <c r="E123" t="s">
        <v>382</v>
      </c>
      <c r="F123" t="s">
        <v>382</v>
      </c>
      <c r="G123" t="s">
        <v>382</v>
      </c>
      <c r="H123" t="s">
        <v>382</v>
      </c>
      <c r="I123" t="s">
        <v>382</v>
      </c>
      <c r="J123" t="s">
        <v>382</v>
      </c>
      <c r="K123" t="s">
        <v>382</v>
      </c>
      <c r="L123" t="s">
        <v>382</v>
      </c>
      <c r="M123" t="s">
        <v>382</v>
      </c>
      <c r="N123" t="s">
        <v>382</v>
      </c>
      <c r="O123" t="s">
        <v>382</v>
      </c>
      <c r="P123" t="s">
        <v>382</v>
      </c>
      <c r="Q123" t="s">
        <v>382</v>
      </c>
      <c r="R123" t="s">
        <v>382</v>
      </c>
      <c r="S123" t="s">
        <v>382</v>
      </c>
      <c r="T123" t="s">
        <v>382</v>
      </c>
      <c r="U123" t="s">
        <v>382</v>
      </c>
      <c r="V123" t="s">
        <v>382</v>
      </c>
      <c r="W123" t="s">
        <v>382</v>
      </c>
      <c r="X123" t="s">
        <v>382</v>
      </c>
      <c r="Y123" t="s">
        <v>382</v>
      </c>
      <c r="Z123" t="s">
        <v>382</v>
      </c>
      <c r="AA123" t="s">
        <v>382</v>
      </c>
      <c r="AB123" t="s">
        <v>382</v>
      </c>
      <c r="AC123">
        <v>5</v>
      </c>
      <c r="AD123">
        <v>2</v>
      </c>
      <c r="AF123" t="s">
        <v>386</v>
      </c>
      <c r="AH123" t="s">
        <v>29</v>
      </c>
      <c r="AI123" t="s">
        <v>103</v>
      </c>
      <c r="AK123">
        <v>1574</v>
      </c>
      <c r="AL123">
        <v>2146</v>
      </c>
    </row>
    <row r="124" spans="1:38">
      <c r="A124" t="s">
        <v>382</v>
      </c>
      <c r="B124" t="s">
        <v>382</v>
      </c>
      <c r="C124" t="s">
        <v>382</v>
      </c>
      <c r="D124" t="s">
        <v>382</v>
      </c>
      <c r="E124" t="s">
        <v>382</v>
      </c>
      <c r="F124" t="s">
        <v>382</v>
      </c>
      <c r="G124" t="s">
        <v>382</v>
      </c>
      <c r="H124" t="s">
        <v>382</v>
      </c>
      <c r="I124" t="s">
        <v>382</v>
      </c>
      <c r="J124" t="s">
        <v>382</v>
      </c>
      <c r="K124" t="s">
        <v>382</v>
      </c>
      <c r="L124" t="s">
        <v>382</v>
      </c>
      <c r="M124" t="s">
        <v>382</v>
      </c>
      <c r="N124" t="s">
        <v>382</v>
      </c>
      <c r="O124" t="s">
        <v>382</v>
      </c>
      <c r="P124" t="s">
        <v>382</v>
      </c>
      <c r="Q124" t="s">
        <v>382</v>
      </c>
      <c r="R124" t="s">
        <v>382</v>
      </c>
      <c r="S124" t="s">
        <v>382</v>
      </c>
      <c r="T124" t="s">
        <v>382</v>
      </c>
      <c r="U124" t="s">
        <v>382</v>
      </c>
      <c r="V124" t="s">
        <v>382</v>
      </c>
      <c r="W124" t="s">
        <v>382</v>
      </c>
      <c r="X124" t="s">
        <v>382</v>
      </c>
      <c r="Y124" t="s">
        <v>382</v>
      </c>
      <c r="Z124" t="s">
        <v>382</v>
      </c>
      <c r="AA124" t="s">
        <v>382</v>
      </c>
      <c r="AB124" t="s">
        <v>382</v>
      </c>
      <c r="AC124">
        <v>5</v>
      </c>
      <c r="AD124">
        <v>3</v>
      </c>
      <c r="AF124" t="s">
        <v>386</v>
      </c>
      <c r="AH124" t="s">
        <v>29</v>
      </c>
      <c r="AI124" t="s">
        <v>103</v>
      </c>
      <c r="AK124">
        <v>625</v>
      </c>
      <c r="AL124">
        <v>1871</v>
      </c>
    </row>
    <row r="125" spans="1:38">
      <c r="A125" t="s">
        <v>382</v>
      </c>
      <c r="B125" t="s">
        <v>382</v>
      </c>
      <c r="C125" t="s">
        <v>382</v>
      </c>
      <c r="D125" t="s">
        <v>382</v>
      </c>
      <c r="E125" t="s">
        <v>382</v>
      </c>
      <c r="F125" t="s">
        <v>382</v>
      </c>
      <c r="G125" t="s">
        <v>382</v>
      </c>
      <c r="H125" t="s">
        <v>382</v>
      </c>
      <c r="I125" t="s">
        <v>382</v>
      </c>
      <c r="J125" t="s">
        <v>382</v>
      </c>
      <c r="K125" t="s">
        <v>382</v>
      </c>
      <c r="L125" t="s">
        <v>382</v>
      </c>
      <c r="M125" t="s">
        <v>382</v>
      </c>
      <c r="N125" t="s">
        <v>382</v>
      </c>
      <c r="O125" t="s">
        <v>382</v>
      </c>
      <c r="P125" t="s">
        <v>382</v>
      </c>
      <c r="Q125" t="s">
        <v>382</v>
      </c>
      <c r="R125" t="s">
        <v>382</v>
      </c>
      <c r="S125" t="s">
        <v>382</v>
      </c>
      <c r="T125" t="s">
        <v>382</v>
      </c>
      <c r="U125" t="s">
        <v>382</v>
      </c>
      <c r="V125" t="s">
        <v>382</v>
      </c>
      <c r="W125" t="s">
        <v>382</v>
      </c>
      <c r="X125" t="s">
        <v>382</v>
      </c>
      <c r="Y125" t="s">
        <v>382</v>
      </c>
      <c r="Z125" t="s">
        <v>382</v>
      </c>
      <c r="AA125" t="s">
        <v>382</v>
      </c>
      <c r="AB125" t="s">
        <v>382</v>
      </c>
      <c r="AC125">
        <v>5</v>
      </c>
      <c r="AD125">
        <v>4</v>
      </c>
      <c r="AE125">
        <v>1</v>
      </c>
      <c r="AF125" t="s">
        <v>389</v>
      </c>
      <c r="AH125" t="s">
        <v>35</v>
      </c>
      <c r="AI125" t="s">
        <v>97</v>
      </c>
      <c r="AK125">
        <v>858</v>
      </c>
      <c r="AL125">
        <v>1930</v>
      </c>
    </row>
    <row r="126" spans="1:38">
      <c r="A126" t="s">
        <v>382</v>
      </c>
      <c r="B126" t="s">
        <v>382</v>
      </c>
      <c r="C126" t="s">
        <v>382</v>
      </c>
      <c r="D126" t="s">
        <v>382</v>
      </c>
      <c r="E126" t="s">
        <v>382</v>
      </c>
      <c r="F126" t="s">
        <v>382</v>
      </c>
      <c r="G126" t="s">
        <v>382</v>
      </c>
      <c r="H126" t="s">
        <v>382</v>
      </c>
      <c r="I126" t="s">
        <v>382</v>
      </c>
      <c r="J126" t="s">
        <v>382</v>
      </c>
      <c r="K126" t="s">
        <v>382</v>
      </c>
      <c r="L126" t="s">
        <v>382</v>
      </c>
      <c r="M126" t="s">
        <v>382</v>
      </c>
      <c r="N126" t="s">
        <v>382</v>
      </c>
      <c r="O126" t="s">
        <v>382</v>
      </c>
      <c r="P126" t="s">
        <v>382</v>
      </c>
      <c r="Q126" t="s">
        <v>382</v>
      </c>
      <c r="R126" t="s">
        <v>382</v>
      </c>
      <c r="S126" t="s">
        <v>382</v>
      </c>
      <c r="T126" t="s">
        <v>382</v>
      </c>
      <c r="U126" t="s">
        <v>382</v>
      </c>
      <c r="V126" t="s">
        <v>382</v>
      </c>
      <c r="W126" t="s">
        <v>382</v>
      </c>
      <c r="X126" t="s">
        <v>382</v>
      </c>
      <c r="Y126" t="s">
        <v>382</v>
      </c>
      <c r="Z126" t="s">
        <v>382</v>
      </c>
      <c r="AA126" t="s">
        <v>382</v>
      </c>
      <c r="AB126" t="s">
        <v>382</v>
      </c>
      <c r="AC126">
        <v>5</v>
      </c>
      <c r="AD126">
        <v>5</v>
      </c>
      <c r="AE126">
        <v>1</v>
      </c>
      <c r="AF126" t="s">
        <v>383</v>
      </c>
      <c r="AH126" t="s">
        <v>22</v>
      </c>
      <c r="AI126" t="s">
        <v>97</v>
      </c>
      <c r="AK126">
        <v>2855</v>
      </c>
      <c r="AL126">
        <v>1410</v>
      </c>
    </row>
    <row r="127" spans="1:38">
      <c r="A127" t="s">
        <v>382</v>
      </c>
      <c r="B127" t="s">
        <v>382</v>
      </c>
      <c r="C127" t="s">
        <v>382</v>
      </c>
      <c r="D127" t="s">
        <v>382</v>
      </c>
      <c r="E127" t="s">
        <v>382</v>
      </c>
      <c r="F127" t="s">
        <v>382</v>
      </c>
      <c r="G127" t="s">
        <v>382</v>
      </c>
      <c r="H127" t="s">
        <v>382</v>
      </c>
      <c r="I127" t="s">
        <v>382</v>
      </c>
      <c r="J127" t="s">
        <v>382</v>
      </c>
      <c r="K127" t="s">
        <v>382</v>
      </c>
      <c r="L127" t="s">
        <v>382</v>
      </c>
      <c r="M127" t="s">
        <v>382</v>
      </c>
      <c r="N127" t="s">
        <v>382</v>
      </c>
      <c r="O127" t="s">
        <v>382</v>
      </c>
      <c r="P127" t="s">
        <v>382</v>
      </c>
      <c r="Q127" t="s">
        <v>382</v>
      </c>
      <c r="R127" t="s">
        <v>382</v>
      </c>
      <c r="S127" t="s">
        <v>382</v>
      </c>
      <c r="T127" t="s">
        <v>382</v>
      </c>
      <c r="U127" t="s">
        <v>382</v>
      </c>
      <c r="V127" t="s">
        <v>382</v>
      </c>
      <c r="W127" t="s">
        <v>382</v>
      </c>
      <c r="X127" t="s">
        <v>382</v>
      </c>
      <c r="Y127" t="s">
        <v>382</v>
      </c>
      <c r="Z127" t="s">
        <v>382</v>
      </c>
      <c r="AA127" t="s">
        <v>382</v>
      </c>
      <c r="AB127" t="s">
        <v>382</v>
      </c>
      <c r="AC127">
        <v>5</v>
      </c>
      <c r="AD127">
        <v>1</v>
      </c>
      <c r="AE127">
        <v>1</v>
      </c>
      <c r="AF127" t="s">
        <v>396</v>
      </c>
      <c r="AH127" t="s">
        <v>64</v>
      </c>
      <c r="AI127" t="s">
        <v>97</v>
      </c>
      <c r="AK127">
        <v>1275</v>
      </c>
      <c r="AL127">
        <v>639</v>
      </c>
    </row>
    <row r="128" spans="1:38">
      <c r="A128" t="s">
        <v>382</v>
      </c>
      <c r="B128" t="s">
        <v>382</v>
      </c>
      <c r="C128" t="s">
        <v>382</v>
      </c>
      <c r="D128" t="s">
        <v>382</v>
      </c>
      <c r="E128" t="s">
        <v>382</v>
      </c>
      <c r="F128" t="s">
        <v>382</v>
      </c>
      <c r="G128" t="s">
        <v>382</v>
      </c>
      <c r="H128" t="s">
        <v>382</v>
      </c>
      <c r="I128" t="s">
        <v>382</v>
      </c>
      <c r="J128" t="s">
        <v>382</v>
      </c>
      <c r="K128" t="s">
        <v>382</v>
      </c>
      <c r="L128" t="s">
        <v>382</v>
      </c>
      <c r="M128" t="s">
        <v>382</v>
      </c>
      <c r="N128" t="s">
        <v>382</v>
      </c>
      <c r="O128" t="s">
        <v>382</v>
      </c>
      <c r="P128" t="s">
        <v>382</v>
      </c>
      <c r="Q128" t="s">
        <v>382</v>
      </c>
      <c r="R128" t="s">
        <v>382</v>
      </c>
      <c r="S128" t="s">
        <v>382</v>
      </c>
      <c r="T128" t="s">
        <v>382</v>
      </c>
      <c r="U128" t="s">
        <v>382</v>
      </c>
      <c r="V128" t="s">
        <v>382</v>
      </c>
      <c r="W128" t="s">
        <v>382</v>
      </c>
      <c r="X128" t="s">
        <v>382</v>
      </c>
      <c r="Y128" t="s">
        <v>382</v>
      </c>
      <c r="Z128" t="s">
        <v>382</v>
      </c>
      <c r="AA128" t="s">
        <v>382</v>
      </c>
      <c r="AB128" t="s">
        <v>382</v>
      </c>
      <c r="AC128">
        <v>5</v>
      </c>
      <c r="AD128">
        <v>2</v>
      </c>
      <c r="AF128" t="s">
        <v>386</v>
      </c>
      <c r="AH128" t="s">
        <v>29</v>
      </c>
      <c r="AI128" t="s">
        <v>103</v>
      </c>
      <c r="AK128">
        <v>1656</v>
      </c>
      <c r="AL128">
        <v>847</v>
      </c>
    </row>
    <row r="129" spans="1:38">
      <c r="A129" t="s">
        <v>382</v>
      </c>
      <c r="B129" t="s">
        <v>382</v>
      </c>
      <c r="C129" t="s">
        <v>382</v>
      </c>
      <c r="D129" t="s">
        <v>382</v>
      </c>
      <c r="E129" t="s">
        <v>382</v>
      </c>
      <c r="F129" t="s">
        <v>382</v>
      </c>
      <c r="G129" t="s">
        <v>382</v>
      </c>
      <c r="H129" t="s">
        <v>382</v>
      </c>
      <c r="I129" t="s">
        <v>382</v>
      </c>
      <c r="J129" t="s">
        <v>382</v>
      </c>
      <c r="K129" t="s">
        <v>382</v>
      </c>
      <c r="L129" t="s">
        <v>382</v>
      </c>
      <c r="M129" t="s">
        <v>382</v>
      </c>
      <c r="N129" t="s">
        <v>382</v>
      </c>
      <c r="O129" t="s">
        <v>382</v>
      </c>
      <c r="P129" t="s">
        <v>382</v>
      </c>
      <c r="Q129" t="s">
        <v>382</v>
      </c>
      <c r="R129" t="s">
        <v>382</v>
      </c>
      <c r="S129" t="s">
        <v>382</v>
      </c>
      <c r="T129" t="s">
        <v>382</v>
      </c>
      <c r="U129" t="s">
        <v>382</v>
      </c>
      <c r="V129" t="s">
        <v>382</v>
      </c>
      <c r="W129" t="s">
        <v>382</v>
      </c>
      <c r="X129" t="s">
        <v>382</v>
      </c>
      <c r="Y129" t="s">
        <v>382</v>
      </c>
      <c r="Z129" t="s">
        <v>382</v>
      </c>
      <c r="AA129" t="s">
        <v>382</v>
      </c>
      <c r="AB129" t="s">
        <v>382</v>
      </c>
      <c r="AC129">
        <v>5</v>
      </c>
      <c r="AD129">
        <v>3</v>
      </c>
      <c r="AF129" t="s">
        <v>386</v>
      </c>
      <c r="AH129" t="s">
        <v>29</v>
      </c>
      <c r="AI129" t="s">
        <v>103</v>
      </c>
      <c r="AK129">
        <v>2069</v>
      </c>
      <c r="AL129">
        <v>1897</v>
      </c>
    </row>
    <row r="130" spans="1:38">
      <c r="A130" t="s">
        <v>382</v>
      </c>
      <c r="B130" t="s">
        <v>382</v>
      </c>
      <c r="C130" t="s">
        <v>382</v>
      </c>
      <c r="D130" t="s">
        <v>382</v>
      </c>
      <c r="E130" t="s">
        <v>382</v>
      </c>
      <c r="F130" t="s">
        <v>382</v>
      </c>
      <c r="G130" t="s">
        <v>382</v>
      </c>
      <c r="H130" t="s">
        <v>382</v>
      </c>
      <c r="I130" t="s">
        <v>382</v>
      </c>
      <c r="J130" t="s">
        <v>382</v>
      </c>
      <c r="K130" t="s">
        <v>382</v>
      </c>
      <c r="L130" t="s">
        <v>382</v>
      </c>
      <c r="M130" t="s">
        <v>382</v>
      </c>
      <c r="N130" t="s">
        <v>382</v>
      </c>
      <c r="O130" t="s">
        <v>382</v>
      </c>
      <c r="P130" t="s">
        <v>382</v>
      </c>
      <c r="Q130" t="s">
        <v>382</v>
      </c>
      <c r="R130" t="s">
        <v>382</v>
      </c>
      <c r="S130" t="s">
        <v>382</v>
      </c>
      <c r="T130" t="s">
        <v>382</v>
      </c>
      <c r="U130" t="s">
        <v>382</v>
      </c>
      <c r="V130" t="s">
        <v>382</v>
      </c>
      <c r="W130" t="s">
        <v>382</v>
      </c>
      <c r="X130" t="s">
        <v>382</v>
      </c>
      <c r="Y130" t="s">
        <v>382</v>
      </c>
      <c r="Z130" t="s">
        <v>382</v>
      </c>
      <c r="AA130" t="s">
        <v>382</v>
      </c>
      <c r="AB130" t="s">
        <v>382</v>
      </c>
      <c r="AC130">
        <v>5</v>
      </c>
      <c r="AD130">
        <v>4</v>
      </c>
      <c r="AF130" t="s">
        <v>386</v>
      </c>
      <c r="AH130" t="s">
        <v>29</v>
      </c>
      <c r="AI130" t="s">
        <v>103</v>
      </c>
      <c r="AK130">
        <v>1491</v>
      </c>
      <c r="AL130">
        <v>2368</v>
      </c>
    </row>
    <row r="131" spans="1:38">
      <c r="A131" t="s">
        <v>382</v>
      </c>
      <c r="B131" t="s">
        <v>382</v>
      </c>
      <c r="C131" t="s">
        <v>382</v>
      </c>
      <c r="D131" t="s">
        <v>382</v>
      </c>
      <c r="E131" t="s">
        <v>382</v>
      </c>
      <c r="F131" t="s">
        <v>382</v>
      </c>
      <c r="G131" t="s">
        <v>382</v>
      </c>
      <c r="H131" t="s">
        <v>382</v>
      </c>
      <c r="I131" t="s">
        <v>382</v>
      </c>
      <c r="J131" t="s">
        <v>382</v>
      </c>
      <c r="K131" t="s">
        <v>382</v>
      </c>
      <c r="L131" t="s">
        <v>382</v>
      </c>
      <c r="M131" t="s">
        <v>382</v>
      </c>
      <c r="N131" t="s">
        <v>382</v>
      </c>
      <c r="O131" t="s">
        <v>382</v>
      </c>
      <c r="P131" t="s">
        <v>382</v>
      </c>
      <c r="Q131" t="s">
        <v>382</v>
      </c>
      <c r="R131" t="s">
        <v>382</v>
      </c>
      <c r="S131" t="s">
        <v>382</v>
      </c>
      <c r="T131" t="s">
        <v>382</v>
      </c>
      <c r="U131" t="s">
        <v>382</v>
      </c>
      <c r="V131" t="s">
        <v>382</v>
      </c>
      <c r="W131" t="s">
        <v>382</v>
      </c>
      <c r="X131" t="s">
        <v>382</v>
      </c>
      <c r="Y131" t="s">
        <v>382</v>
      </c>
      <c r="Z131" t="s">
        <v>382</v>
      </c>
      <c r="AA131" t="s">
        <v>382</v>
      </c>
      <c r="AB131" t="s">
        <v>382</v>
      </c>
      <c r="AC131">
        <v>5</v>
      </c>
      <c r="AD131">
        <v>5</v>
      </c>
      <c r="AE131">
        <v>1</v>
      </c>
      <c r="AF131" t="s">
        <v>396</v>
      </c>
      <c r="AH131" t="s">
        <v>64</v>
      </c>
      <c r="AI131" t="s">
        <v>97</v>
      </c>
      <c r="AK131">
        <v>1484</v>
      </c>
      <c r="AL131">
        <v>1960</v>
      </c>
    </row>
    <row r="132" spans="1:38">
      <c r="A132" t="s">
        <v>382</v>
      </c>
      <c r="B132" t="s">
        <v>382</v>
      </c>
      <c r="C132" t="s">
        <v>382</v>
      </c>
      <c r="D132" t="s">
        <v>382</v>
      </c>
      <c r="E132" t="s">
        <v>382</v>
      </c>
      <c r="F132" t="s">
        <v>382</v>
      </c>
      <c r="G132" t="s">
        <v>382</v>
      </c>
      <c r="H132" t="s">
        <v>382</v>
      </c>
      <c r="I132" t="s">
        <v>382</v>
      </c>
      <c r="J132" t="s">
        <v>382</v>
      </c>
      <c r="K132" t="s">
        <v>382</v>
      </c>
      <c r="L132" t="s">
        <v>382</v>
      </c>
      <c r="M132" t="s">
        <v>382</v>
      </c>
      <c r="N132" t="s">
        <v>382</v>
      </c>
      <c r="O132" t="s">
        <v>382</v>
      </c>
      <c r="P132" t="s">
        <v>382</v>
      </c>
      <c r="Q132" t="s">
        <v>382</v>
      </c>
      <c r="R132" t="s">
        <v>382</v>
      </c>
      <c r="S132" t="s">
        <v>382</v>
      </c>
      <c r="T132" t="s">
        <v>382</v>
      </c>
      <c r="U132" t="s">
        <v>382</v>
      </c>
      <c r="V132" t="s">
        <v>382</v>
      </c>
      <c r="W132" t="s">
        <v>382</v>
      </c>
      <c r="X132" t="s">
        <v>382</v>
      </c>
      <c r="Y132" t="s">
        <v>382</v>
      </c>
      <c r="Z132" t="s">
        <v>382</v>
      </c>
      <c r="AA132" t="s">
        <v>382</v>
      </c>
      <c r="AB132" t="s">
        <v>382</v>
      </c>
      <c r="AC132">
        <v>5</v>
      </c>
      <c r="AD132">
        <v>1</v>
      </c>
      <c r="AF132" t="s">
        <v>384</v>
      </c>
      <c r="AH132" t="s">
        <v>25</v>
      </c>
      <c r="AI132" t="s">
        <v>106</v>
      </c>
      <c r="AK132">
        <v>1046</v>
      </c>
      <c r="AL132">
        <v>893</v>
      </c>
    </row>
    <row r="133" spans="1:38">
      <c r="A133" t="s">
        <v>382</v>
      </c>
      <c r="B133" t="s">
        <v>382</v>
      </c>
      <c r="C133" t="s">
        <v>382</v>
      </c>
      <c r="D133" t="s">
        <v>382</v>
      </c>
      <c r="E133" t="s">
        <v>382</v>
      </c>
      <c r="F133" t="s">
        <v>382</v>
      </c>
      <c r="G133" t="s">
        <v>382</v>
      </c>
      <c r="H133" t="s">
        <v>382</v>
      </c>
      <c r="I133" t="s">
        <v>382</v>
      </c>
      <c r="J133" t="s">
        <v>382</v>
      </c>
      <c r="K133" t="s">
        <v>382</v>
      </c>
      <c r="L133" t="s">
        <v>382</v>
      </c>
      <c r="M133" t="s">
        <v>382</v>
      </c>
      <c r="N133" t="s">
        <v>382</v>
      </c>
      <c r="O133" t="s">
        <v>382</v>
      </c>
      <c r="P133" t="s">
        <v>382</v>
      </c>
      <c r="Q133" t="s">
        <v>382</v>
      </c>
      <c r="R133" t="s">
        <v>382</v>
      </c>
      <c r="S133" t="s">
        <v>382</v>
      </c>
      <c r="T133" t="s">
        <v>382</v>
      </c>
      <c r="U133" t="s">
        <v>382</v>
      </c>
      <c r="V133" t="s">
        <v>382</v>
      </c>
      <c r="W133" t="s">
        <v>382</v>
      </c>
      <c r="X133" t="s">
        <v>382</v>
      </c>
      <c r="Y133" t="s">
        <v>382</v>
      </c>
      <c r="Z133" t="s">
        <v>382</v>
      </c>
      <c r="AA133" t="s">
        <v>382</v>
      </c>
      <c r="AB133" t="s">
        <v>382</v>
      </c>
      <c r="AC133">
        <v>5</v>
      </c>
      <c r="AD133">
        <v>2</v>
      </c>
      <c r="AF133" t="s">
        <v>386</v>
      </c>
      <c r="AH133" t="s">
        <v>29</v>
      </c>
      <c r="AI133" t="s">
        <v>103</v>
      </c>
      <c r="AK133">
        <v>2073</v>
      </c>
      <c r="AL133">
        <v>2186</v>
      </c>
    </row>
    <row r="134" spans="1:38">
      <c r="A134" t="s">
        <v>382</v>
      </c>
      <c r="B134" t="s">
        <v>382</v>
      </c>
      <c r="C134" t="s">
        <v>382</v>
      </c>
      <c r="D134" t="s">
        <v>382</v>
      </c>
      <c r="E134" t="s">
        <v>382</v>
      </c>
      <c r="F134" t="s">
        <v>382</v>
      </c>
      <c r="G134" t="s">
        <v>382</v>
      </c>
      <c r="H134" t="s">
        <v>382</v>
      </c>
      <c r="I134" t="s">
        <v>382</v>
      </c>
      <c r="J134" t="s">
        <v>382</v>
      </c>
      <c r="K134" t="s">
        <v>382</v>
      </c>
      <c r="L134" t="s">
        <v>382</v>
      </c>
      <c r="M134" t="s">
        <v>382</v>
      </c>
      <c r="N134" t="s">
        <v>382</v>
      </c>
      <c r="O134" t="s">
        <v>382</v>
      </c>
      <c r="P134" t="s">
        <v>382</v>
      </c>
      <c r="Q134" t="s">
        <v>382</v>
      </c>
      <c r="R134" t="s">
        <v>382</v>
      </c>
      <c r="S134" t="s">
        <v>382</v>
      </c>
      <c r="T134" t="s">
        <v>382</v>
      </c>
      <c r="U134" t="s">
        <v>382</v>
      </c>
      <c r="V134" t="s">
        <v>382</v>
      </c>
      <c r="W134" t="s">
        <v>382</v>
      </c>
      <c r="X134" t="s">
        <v>382</v>
      </c>
      <c r="Y134" t="s">
        <v>382</v>
      </c>
      <c r="Z134" t="s">
        <v>382</v>
      </c>
      <c r="AA134" t="s">
        <v>382</v>
      </c>
      <c r="AB134" t="s">
        <v>382</v>
      </c>
      <c r="AC134">
        <v>5</v>
      </c>
      <c r="AD134">
        <v>3</v>
      </c>
      <c r="AE134">
        <v>1</v>
      </c>
      <c r="AF134" t="s">
        <v>387</v>
      </c>
      <c r="AH134" t="s">
        <v>31</v>
      </c>
      <c r="AI134" t="s">
        <v>97</v>
      </c>
      <c r="AK134">
        <v>2806</v>
      </c>
      <c r="AL134">
        <v>2520</v>
      </c>
    </row>
    <row r="135" spans="1:38">
      <c r="A135" t="s">
        <v>382</v>
      </c>
      <c r="B135" t="s">
        <v>382</v>
      </c>
      <c r="C135" t="s">
        <v>382</v>
      </c>
      <c r="D135" t="s">
        <v>382</v>
      </c>
      <c r="E135" t="s">
        <v>382</v>
      </c>
      <c r="F135" t="s">
        <v>382</v>
      </c>
      <c r="G135" t="s">
        <v>382</v>
      </c>
      <c r="H135" t="s">
        <v>382</v>
      </c>
      <c r="I135" t="s">
        <v>382</v>
      </c>
      <c r="J135" t="s">
        <v>382</v>
      </c>
      <c r="K135" t="s">
        <v>382</v>
      </c>
      <c r="L135" t="s">
        <v>382</v>
      </c>
      <c r="M135" t="s">
        <v>382</v>
      </c>
      <c r="N135" t="s">
        <v>382</v>
      </c>
      <c r="O135" t="s">
        <v>382</v>
      </c>
      <c r="P135" t="s">
        <v>382</v>
      </c>
      <c r="Q135" t="s">
        <v>382</v>
      </c>
      <c r="R135" t="s">
        <v>382</v>
      </c>
      <c r="S135" t="s">
        <v>382</v>
      </c>
      <c r="T135" t="s">
        <v>382</v>
      </c>
      <c r="U135" t="s">
        <v>382</v>
      </c>
      <c r="V135" t="s">
        <v>382</v>
      </c>
      <c r="W135" t="s">
        <v>382</v>
      </c>
      <c r="X135" t="s">
        <v>382</v>
      </c>
      <c r="Y135" t="s">
        <v>382</v>
      </c>
      <c r="Z135" t="s">
        <v>382</v>
      </c>
      <c r="AA135" t="s">
        <v>382</v>
      </c>
      <c r="AB135" t="s">
        <v>382</v>
      </c>
      <c r="AC135">
        <v>5</v>
      </c>
      <c r="AD135">
        <v>4</v>
      </c>
      <c r="AF135" t="s">
        <v>385</v>
      </c>
      <c r="AH135" t="s">
        <v>27</v>
      </c>
      <c r="AI135" t="s">
        <v>109</v>
      </c>
      <c r="AK135">
        <v>1311</v>
      </c>
      <c r="AL135">
        <v>1120</v>
      </c>
    </row>
    <row r="136" spans="1:38">
      <c r="A136" t="s">
        <v>382</v>
      </c>
      <c r="B136" t="s">
        <v>382</v>
      </c>
      <c r="C136" t="s">
        <v>382</v>
      </c>
      <c r="D136" t="s">
        <v>382</v>
      </c>
      <c r="E136" t="s">
        <v>382</v>
      </c>
      <c r="F136" t="s">
        <v>382</v>
      </c>
      <c r="G136" t="s">
        <v>382</v>
      </c>
      <c r="H136" t="s">
        <v>382</v>
      </c>
      <c r="I136" t="s">
        <v>382</v>
      </c>
      <c r="J136" t="s">
        <v>382</v>
      </c>
      <c r="K136" t="s">
        <v>382</v>
      </c>
      <c r="L136" t="s">
        <v>382</v>
      </c>
      <c r="M136" t="s">
        <v>382</v>
      </c>
      <c r="N136" t="s">
        <v>382</v>
      </c>
      <c r="O136" t="s">
        <v>382</v>
      </c>
      <c r="P136" t="s">
        <v>382</v>
      </c>
      <c r="Q136" t="s">
        <v>382</v>
      </c>
      <c r="R136" t="s">
        <v>382</v>
      </c>
      <c r="S136" t="s">
        <v>382</v>
      </c>
      <c r="T136" t="s">
        <v>382</v>
      </c>
      <c r="U136" t="s">
        <v>382</v>
      </c>
      <c r="V136" t="s">
        <v>382</v>
      </c>
      <c r="W136" t="s">
        <v>382</v>
      </c>
      <c r="X136" t="s">
        <v>382</v>
      </c>
      <c r="Y136" t="s">
        <v>382</v>
      </c>
      <c r="Z136" t="s">
        <v>382</v>
      </c>
      <c r="AA136" t="s">
        <v>382</v>
      </c>
      <c r="AB136" t="s">
        <v>382</v>
      </c>
      <c r="AC136">
        <v>5</v>
      </c>
      <c r="AD136">
        <v>5</v>
      </c>
      <c r="AF136" t="s">
        <v>386</v>
      </c>
      <c r="AH136" t="s">
        <v>29</v>
      </c>
      <c r="AI136" t="s">
        <v>103</v>
      </c>
      <c r="AK136">
        <v>1547</v>
      </c>
      <c r="AL136">
        <v>529</v>
      </c>
    </row>
    <row r="137" spans="1:38">
      <c r="A137" t="s">
        <v>382</v>
      </c>
      <c r="B137" t="s">
        <v>382</v>
      </c>
      <c r="C137" t="s">
        <v>382</v>
      </c>
      <c r="D137" t="s">
        <v>382</v>
      </c>
      <c r="E137" t="s">
        <v>382</v>
      </c>
      <c r="F137" t="s">
        <v>382</v>
      </c>
      <c r="G137" t="s">
        <v>382</v>
      </c>
      <c r="H137" t="s">
        <v>382</v>
      </c>
      <c r="I137" t="s">
        <v>382</v>
      </c>
      <c r="J137" t="s">
        <v>382</v>
      </c>
      <c r="K137" t="s">
        <v>382</v>
      </c>
      <c r="L137" t="s">
        <v>382</v>
      </c>
      <c r="M137" t="s">
        <v>382</v>
      </c>
      <c r="N137" t="s">
        <v>382</v>
      </c>
      <c r="O137" t="s">
        <v>382</v>
      </c>
      <c r="P137" t="s">
        <v>382</v>
      </c>
      <c r="Q137" t="s">
        <v>382</v>
      </c>
      <c r="R137" t="s">
        <v>382</v>
      </c>
      <c r="S137" t="s">
        <v>382</v>
      </c>
      <c r="T137" t="s">
        <v>382</v>
      </c>
      <c r="U137" t="s">
        <v>382</v>
      </c>
      <c r="V137" t="s">
        <v>382</v>
      </c>
      <c r="W137" t="s">
        <v>382</v>
      </c>
      <c r="X137" t="s">
        <v>382</v>
      </c>
      <c r="Y137" t="s">
        <v>382</v>
      </c>
      <c r="Z137" t="s">
        <v>382</v>
      </c>
      <c r="AA137" t="s">
        <v>382</v>
      </c>
      <c r="AB137" t="s">
        <v>382</v>
      </c>
      <c r="AC137">
        <v>5</v>
      </c>
      <c r="AD137">
        <v>1</v>
      </c>
      <c r="AE137">
        <v>1</v>
      </c>
      <c r="AF137" t="s">
        <v>387</v>
      </c>
      <c r="AH137" t="s">
        <v>31</v>
      </c>
      <c r="AI137" t="s">
        <v>97</v>
      </c>
      <c r="AK137">
        <v>2660</v>
      </c>
      <c r="AL137">
        <v>2349</v>
      </c>
    </row>
    <row r="138" spans="1:38">
      <c r="A138" t="s">
        <v>382</v>
      </c>
      <c r="B138" t="s">
        <v>382</v>
      </c>
      <c r="C138" t="s">
        <v>382</v>
      </c>
      <c r="D138" t="s">
        <v>382</v>
      </c>
      <c r="E138" t="s">
        <v>382</v>
      </c>
      <c r="F138" t="s">
        <v>382</v>
      </c>
      <c r="G138" t="s">
        <v>382</v>
      </c>
      <c r="H138" t="s">
        <v>382</v>
      </c>
      <c r="I138" t="s">
        <v>382</v>
      </c>
      <c r="J138" t="s">
        <v>382</v>
      </c>
      <c r="K138" t="s">
        <v>382</v>
      </c>
      <c r="L138" t="s">
        <v>382</v>
      </c>
      <c r="M138" t="s">
        <v>382</v>
      </c>
      <c r="N138" t="s">
        <v>382</v>
      </c>
      <c r="O138" t="s">
        <v>382</v>
      </c>
      <c r="P138" t="s">
        <v>382</v>
      </c>
      <c r="Q138" t="s">
        <v>382</v>
      </c>
      <c r="R138" t="s">
        <v>382</v>
      </c>
      <c r="S138" t="s">
        <v>382</v>
      </c>
      <c r="T138" t="s">
        <v>382</v>
      </c>
      <c r="U138" t="s">
        <v>382</v>
      </c>
      <c r="V138" t="s">
        <v>382</v>
      </c>
      <c r="W138" t="s">
        <v>382</v>
      </c>
      <c r="X138" t="s">
        <v>382</v>
      </c>
      <c r="Y138" t="s">
        <v>382</v>
      </c>
      <c r="Z138" t="s">
        <v>382</v>
      </c>
      <c r="AA138" t="s">
        <v>382</v>
      </c>
      <c r="AB138" t="s">
        <v>382</v>
      </c>
      <c r="AC138">
        <v>5</v>
      </c>
      <c r="AD138">
        <v>2</v>
      </c>
      <c r="AE138">
        <v>1</v>
      </c>
      <c r="AF138" t="s">
        <v>393</v>
      </c>
      <c r="AH138" t="s">
        <v>51</v>
      </c>
      <c r="AI138" t="s">
        <v>97</v>
      </c>
      <c r="AK138">
        <v>1136</v>
      </c>
      <c r="AL138">
        <v>1706</v>
      </c>
    </row>
    <row r="139" spans="1:38">
      <c r="A139" t="s">
        <v>382</v>
      </c>
      <c r="B139" t="s">
        <v>382</v>
      </c>
      <c r="C139" t="s">
        <v>382</v>
      </c>
      <c r="D139" t="s">
        <v>382</v>
      </c>
      <c r="E139" t="s">
        <v>382</v>
      </c>
      <c r="F139" t="s">
        <v>382</v>
      </c>
      <c r="G139" t="s">
        <v>382</v>
      </c>
      <c r="H139" t="s">
        <v>382</v>
      </c>
      <c r="I139" t="s">
        <v>382</v>
      </c>
      <c r="J139" t="s">
        <v>382</v>
      </c>
      <c r="K139" t="s">
        <v>382</v>
      </c>
      <c r="L139" t="s">
        <v>382</v>
      </c>
      <c r="M139" t="s">
        <v>382</v>
      </c>
      <c r="N139" t="s">
        <v>382</v>
      </c>
      <c r="O139" t="s">
        <v>382</v>
      </c>
      <c r="P139" t="s">
        <v>382</v>
      </c>
      <c r="Q139" t="s">
        <v>382</v>
      </c>
      <c r="R139" t="s">
        <v>382</v>
      </c>
      <c r="S139" t="s">
        <v>382</v>
      </c>
      <c r="T139" t="s">
        <v>382</v>
      </c>
      <c r="U139" t="s">
        <v>382</v>
      </c>
      <c r="V139" t="s">
        <v>382</v>
      </c>
      <c r="W139" t="s">
        <v>382</v>
      </c>
      <c r="X139" t="s">
        <v>382</v>
      </c>
      <c r="Y139" t="s">
        <v>382</v>
      </c>
      <c r="Z139" t="s">
        <v>382</v>
      </c>
      <c r="AA139" t="s">
        <v>382</v>
      </c>
      <c r="AB139" t="s">
        <v>382</v>
      </c>
      <c r="AC139">
        <v>5</v>
      </c>
      <c r="AD139">
        <v>3</v>
      </c>
      <c r="AE139">
        <v>1</v>
      </c>
      <c r="AF139" t="s">
        <v>393</v>
      </c>
      <c r="AH139" t="s">
        <v>51</v>
      </c>
      <c r="AI139" t="s">
        <v>97</v>
      </c>
      <c r="AK139">
        <v>1218</v>
      </c>
      <c r="AL139">
        <v>1307</v>
      </c>
    </row>
    <row r="140" spans="1:38">
      <c r="A140" t="s">
        <v>382</v>
      </c>
      <c r="B140" t="s">
        <v>382</v>
      </c>
      <c r="C140" t="s">
        <v>382</v>
      </c>
      <c r="D140" t="s">
        <v>382</v>
      </c>
      <c r="E140" t="s">
        <v>382</v>
      </c>
      <c r="F140" t="s">
        <v>382</v>
      </c>
      <c r="G140" t="s">
        <v>382</v>
      </c>
      <c r="H140" t="s">
        <v>382</v>
      </c>
      <c r="I140" t="s">
        <v>382</v>
      </c>
      <c r="J140" t="s">
        <v>382</v>
      </c>
      <c r="K140" t="s">
        <v>382</v>
      </c>
      <c r="L140" t="s">
        <v>382</v>
      </c>
      <c r="M140" t="s">
        <v>382</v>
      </c>
      <c r="N140" t="s">
        <v>382</v>
      </c>
      <c r="O140" t="s">
        <v>382</v>
      </c>
      <c r="P140" t="s">
        <v>382</v>
      </c>
      <c r="Q140" t="s">
        <v>382</v>
      </c>
      <c r="R140" t="s">
        <v>382</v>
      </c>
      <c r="S140" t="s">
        <v>382</v>
      </c>
      <c r="T140" t="s">
        <v>382</v>
      </c>
      <c r="U140" t="s">
        <v>382</v>
      </c>
      <c r="V140" t="s">
        <v>382</v>
      </c>
      <c r="W140" t="s">
        <v>382</v>
      </c>
      <c r="X140" t="s">
        <v>382</v>
      </c>
      <c r="Y140" t="s">
        <v>382</v>
      </c>
      <c r="Z140" t="s">
        <v>382</v>
      </c>
      <c r="AA140" t="s">
        <v>382</v>
      </c>
      <c r="AB140" t="s">
        <v>382</v>
      </c>
      <c r="AC140">
        <v>5</v>
      </c>
      <c r="AD140">
        <v>4</v>
      </c>
      <c r="AF140" t="s">
        <v>385</v>
      </c>
      <c r="AH140" t="s">
        <v>27</v>
      </c>
      <c r="AI140" t="s">
        <v>109</v>
      </c>
      <c r="AK140">
        <v>2415</v>
      </c>
      <c r="AL140">
        <v>1212</v>
      </c>
    </row>
    <row r="141" spans="1:38">
      <c r="A141" t="s">
        <v>382</v>
      </c>
      <c r="B141" t="s">
        <v>382</v>
      </c>
      <c r="C141" t="s">
        <v>382</v>
      </c>
      <c r="D141" t="s">
        <v>382</v>
      </c>
      <c r="E141" t="s">
        <v>382</v>
      </c>
      <c r="F141" t="s">
        <v>382</v>
      </c>
      <c r="G141" t="s">
        <v>382</v>
      </c>
      <c r="H141" t="s">
        <v>382</v>
      </c>
      <c r="I141" t="s">
        <v>382</v>
      </c>
      <c r="J141" t="s">
        <v>382</v>
      </c>
      <c r="K141" t="s">
        <v>382</v>
      </c>
      <c r="L141" t="s">
        <v>382</v>
      </c>
      <c r="M141" t="s">
        <v>382</v>
      </c>
      <c r="N141" t="s">
        <v>382</v>
      </c>
      <c r="O141" t="s">
        <v>382</v>
      </c>
      <c r="P141" t="s">
        <v>382</v>
      </c>
      <c r="Q141" t="s">
        <v>382</v>
      </c>
      <c r="R141" t="s">
        <v>382</v>
      </c>
      <c r="S141" t="s">
        <v>382</v>
      </c>
      <c r="T141" t="s">
        <v>382</v>
      </c>
      <c r="U141" t="s">
        <v>382</v>
      </c>
      <c r="V141" t="s">
        <v>382</v>
      </c>
      <c r="W141" t="s">
        <v>382</v>
      </c>
      <c r="X141" t="s">
        <v>382</v>
      </c>
      <c r="Y141" t="s">
        <v>382</v>
      </c>
      <c r="Z141" t="s">
        <v>382</v>
      </c>
      <c r="AA141" t="s">
        <v>382</v>
      </c>
      <c r="AB141" t="s">
        <v>382</v>
      </c>
      <c r="AC141">
        <v>5</v>
      </c>
      <c r="AD141">
        <v>5</v>
      </c>
      <c r="AE141">
        <v>1</v>
      </c>
      <c r="AF141" t="s">
        <v>387</v>
      </c>
      <c r="AH141" t="s">
        <v>31</v>
      </c>
      <c r="AI141" t="s">
        <v>97</v>
      </c>
      <c r="AK141">
        <v>2456</v>
      </c>
      <c r="AL141">
        <v>1737</v>
      </c>
    </row>
    <row r="142" spans="1:38">
      <c r="A142" t="s">
        <v>382</v>
      </c>
      <c r="B142" t="s">
        <v>382</v>
      </c>
      <c r="C142" t="s">
        <v>382</v>
      </c>
      <c r="D142" t="s">
        <v>382</v>
      </c>
      <c r="E142" t="s">
        <v>382</v>
      </c>
      <c r="F142" t="s">
        <v>382</v>
      </c>
      <c r="G142" t="s">
        <v>382</v>
      </c>
      <c r="H142" t="s">
        <v>382</v>
      </c>
      <c r="I142" t="s">
        <v>382</v>
      </c>
      <c r="J142" t="s">
        <v>382</v>
      </c>
      <c r="K142" t="s">
        <v>382</v>
      </c>
      <c r="L142" t="s">
        <v>382</v>
      </c>
      <c r="M142" t="s">
        <v>382</v>
      </c>
      <c r="N142" t="s">
        <v>382</v>
      </c>
      <c r="O142" t="s">
        <v>382</v>
      </c>
      <c r="P142" t="s">
        <v>382</v>
      </c>
      <c r="Q142" t="s">
        <v>382</v>
      </c>
      <c r="R142" t="s">
        <v>382</v>
      </c>
      <c r="S142" t="s">
        <v>382</v>
      </c>
      <c r="T142" t="s">
        <v>382</v>
      </c>
      <c r="U142" t="s">
        <v>382</v>
      </c>
      <c r="V142" t="s">
        <v>382</v>
      </c>
      <c r="W142" t="s">
        <v>382</v>
      </c>
      <c r="X142" t="s">
        <v>382</v>
      </c>
      <c r="Y142" t="s">
        <v>382</v>
      </c>
      <c r="Z142" t="s">
        <v>382</v>
      </c>
      <c r="AA142" t="s">
        <v>382</v>
      </c>
      <c r="AB142" t="s">
        <v>382</v>
      </c>
      <c r="AC142">
        <v>5</v>
      </c>
      <c r="AD142">
        <v>1</v>
      </c>
      <c r="AE142">
        <v>1</v>
      </c>
      <c r="AF142" t="s">
        <v>390</v>
      </c>
      <c r="AH142" t="s">
        <v>37</v>
      </c>
      <c r="AI142" t="s">
        <v>97</v>
      </c>
      <c r="AK142">
        <v>1518</v>
      </c>
      <c r="AL142">
        <v>232</v>
      </c>
    </row>
    <row r="143" spans="1:38">
      <c r="A143" t="s">
        <v>382</v>
      </c>
      <c r="B143" t="s">
        <v>382</v>
      </c>
      <c r="C143" t="s">
        <v>382</v>
      </c>
      <c r="D143" t="s">
        <v>382</v>
      </c>
      <c r="E143" t="s">
        <v>382</v>
      </c>
      <c r="F143" t="s">
        <v>382</v>
      </c>
      <c r="G143" t="s">
        <v>382</v>
      </c>
      <c r="H143" t="s">
        <v>382</v>
      </c>
      <c r="I143" t="s">
        <v>382</v>
      </c>
      <c r="J143" t="s">
        <v>382</v>
      </c>
      <c r="K143" t="s">
        <v>382</v>
      </c>
      <c r="L143" t="s">
        <v>382</v>
      </c>
      <c r="M143" t="s">
        <v>382</v>
      </c>
      <c r="N143" t="s">
        <v>382</v>
      </c>
      <c r="O143" t="s">
        <v>382</v>
      </c>
      <c r="P143" t="s">
        <v>382</v>
      </c>
      <c r="Q143" t="s">
        <v>382</v>
      </c>
      <c r="R143" t="s">
        <v>382</v>
      </c>
      <c r="S143" t="s">
        <v>382</v>
      </c>
      <c r="T143" t="s">
        <v>382</v>
      </c>
      <c r="U143" t="s">
        <v>382</v>
      </c>
      <c r="V143" t="s">
        <v>382</v>
      </c>
      <c r="W143" t="s">
        <v>382</v>
      </c>
      <c r="X143" t="s">
        <v>382</v>
      </c>
      <c r="Y143" t="s">
        <v>382</v>
      </c>
      <c r="Z143" t="s">
        <v>382</v>
      </c>
      <c r="AA143" t="s">
        <v>382</v>
      </c>
      <c r="AB143" t="s">
        <v>382</v>
      </c>
      <c r="AC143">
        <v>5</v>
      </c>
      <c r="AD143">
        <v>2</v>
      </c>
      <c r="AF143" t="s">
        <v>385</v>
      </c>
      <c r="AH143" t="s">
        <v>27</v>
      </c>
      <c r="AI143" t="s">
        <v>109</v>
      </c>
      <c r="AK143">
        <v>1959</v>
      </c>
      <c r="AL143">
        <v>1389</v>
      </c>
    </row>
    <row r="144" spans="1:38">
      <c r="A144" t="s">
        <v>382</v>
      </c>
      <c r="B144" t="s">
        <v>382</v>
      </c>
      <c r="C144" t="s">
        <v>382</v>
      </c>
      <c r="D144" t="s">
        <v>382</v>
      </c>
      <c r="E144" t="s">
        <v>382</v>
      </c>
      <c r="F144" t="s">
        <v>382</v>
      </c>
      <c r="G144" t="s">
        <v>382</v>
      </c>
      <c r="H144" t="s">
        <v>382</v>
      </c>
      <c r="I144" t="s">
        <v>382</v>
      </c>
      <c r="J144" t="s">
        <v>382</v>
      </c>
      <c r="K144" t="s">
        <v>382</v>
      </c>
      <c r="L144" t="s">
        <v>382</v>
      </c>
      <c r="M144" t="s">
        <v>382</v>
      </c>
      <c r="N144" t="s">
        <v>382</v>
      </c>
      <c r="O144" t="s">
        <v>382</v>
      </c>
      <c r="P144" t="s">
        <v>382</v>
      </c>
      <c r="Q144" t="s">
        <v>382</v>
      </c>
      <c r="R144" t="s">
        <v>382</v>
      </c>
      <c r="S144" t="s">
        <v>382</v>
      </c>
      <c r="T144" t="s">
        <v>382</v>
      </c>
      <c r="U144" t="s">
        <v>382</v>
      </c>
      <c r="V144" t="s">
        <v>382</v>
      </c>
      <c r="W144" t="s">
        <v>382</v>
      </c>
      <c r="X144" t="s">
        <v>382</v>
      </c>
      <c r="Y144" t="s">
        <v>382</v>
      </c>
      <c r="Z144" t="s">
        <v>382</v>
      </c>
      <c r="AA144" t="s">
        <v>382</v>
      </c>
      <c r="AB144" t="s">
        <v>382</v>
      </c>
      <c r="AC144">
        <v>5</v>
      </c>
      <c r="AD144">
        <v>3</v>
      </c>
      <c r="AF144" t="s">
        <v>386</v>
      </c>
      <c r="AH144" t="s">
        <v>29</v>
      </c>
      <c r="AI144" t="s">
        <v>103</v>
      </c>
      <c r="AK144">
        <v>1534</v>
      </c>
      <c r="AL144">
        <v>2482</v>
      </c>
    </row>
    <row r="145" spans="1:38">
      <c r="A145" t="s">
        <v>382</v>
      </c>
      <c r="B145" t="s">
        <v>382</v>
      </c>
      <c r="C145" t="s">
        <v>382</v>
      </c>
      <c r="D145" t="s">
        <v>382</v>
      </c>
      <c r="E145" t="s">
        <v>382</v>
      </c>
      <c r="F145" t="s">
        <v>382</v>
      </c>
      <c r="G145" t="s">
        <v>382</v>
      </c>
      <c r="H145" t="s">
        <v>382</v>
      </c>
      <c r="I145" t="s">
        <v>382</v>
      </c>
      <c r="J145" t="s">
        <v>382</v>
      </c>
      <c r="K145" t="s">
        <v>382</v>
      </c>
      <c r="L145" t="s">
        <v>382</v>
      </c>
      <c r="M145" t="s">
        <v>382</v>
      </c>
      <c r="N145" t="s">
        <v>382</v>
      </c>
      <c r="O145" t="s">
        <v>382</v>
      </c>
      <c r="P145" t="s">
        <v>382</v>
      </c>
      <c r="Q145" t="s">
        <v>382</v>
      </c>
      <c r="R145" t="s">
        <v>382</v>
      </c>
      <c r="S145" t="s">
        <v>382</v>
      </c>
      <c r="T145" t="s">
        <v>382</v>
      </c>
      <c r="U145" t="s">
        <v>382</v>
      </c>
      <c r="V145" t="s">
        <v>382</v>
      </c>
      <c r="W145" t="s">
        <v>382</v>
      </c>
      <c r="X145" t="s">
        <v>382</v>
      </c>
      <c r="Y145" t="s">
        <v>382</v>
      </c>
      <c r="Z145" t="s">
        <v>382</v>
      </c>
      <c r="AA145" t="s">
        <v>382</v>
      </c>
      <c r="AB145" t="s">
        <v>382</v>
      </c>
      <c r="AC145">
        <v>5</v>
      </c>
      <c r="AD145">
        <v>4</v>
      </c>
      <c r="AE145">
        <v>1</v>
      </c>
      <c r="AF145" t="s">
        <v>398</v>
      </c>
      <c r="AH145" t="s">
        <v>69</v>
      </c>
      <c r="AI145" t="s">
        <v>97</v>
      </c>
      <c r="AK145">
        <v>2139</v>
      </c>
      <c r="AL145">
        <v>1438</v>
      </c>
    </row>
    <row r="146" spans="1:38">
      <c r="A146" t="s">
        <v>382</v>
      </c>
      <c r="B146" t="s">
        <v>382</v>
      </c>
      <c r="C146" t="s">
        <v>382</v>
      </c>
      <c r="D146" t="s">
        <v>382</v>
      </c>
      <c r="E146" t="s">
        <v>382</v>
      </c>
      <c r="F146" t="s">
        <v>382</v>
      </c>
      <c r="G146" t="s">
        <v>382</v>
      </c>
      <c r="H146" t="s">
        <v>382</v>
      </c>
      <c r="I146" t="s">
        <v>382</v>
      </c>
      <c r="J146" t="s">
        <v>382</v>
      </c>
      <c r="K146" t="s">
        <v>382</v>
      </c>
      <c r="L146" t="s">
        <v>382</v>
      </c>
      <c r="M146" t="s">
        <v>382</v>
      </c>
      <c r="N146" t="s">
        <v>382</v>
      </c>
      <c r="O146" t="s">
        <v>382</v>
      </c>
      <c r="P146" t="s">
        <v>382</v>
      </c>
      <c r="Q146" t="s">
        <v>382</v>
      </c>
      <c r="R146" t="s">
        <v>382</v>
      </c>
      <c r="S146" t="s">
        <v>382</v>
      </c>
      <c r="T146" t="s">
        <v>382</v>
      </c>
      <c r="U146" t="s">
        <v>382</v>
      </c>
      <c r="V146" t="s">
        <v>382</v>
      </c>
      <c r="W146" t="s">
        <v>382</v>
      </c>
      <c r="X146" t="s">
        <v>382</v>
      </c>
      <c r="Y146" t="s">
        <v>382</v>
      </c>
      <c r="Z146" t="s">
        <v>382</v>
      </c>
      <c r="AA146" t="s">
        <v>382</v>
      </c>
      <c r="AB146" t="s">
        <v>382</v>
      </c>
      <c r="AC146">
        <v>5</v>
      </c>
      <c r="AD146">
        <v>5</v>
      </c>
      <c r="AF146" t="s">
        <v>386</v>
      </c>
      <c r="AH146" t="s">
        <v>29</v>
      </c>
      <c r="AI146" t="s">
        <v>103</v>
      </c>
      <c r="AK146">
        <v>2267</v>
      </c>
      <c r="AL146">
        <v>1399</v>
      </c>
    </row>
    <row r="147" spans="1:38">
      <c r="A147" t="s">
        <v>382</v>
      </c>
      <c r="B147" t="s">
        <v>382</v>
      </c>
      <c r="C147" t="s">
        <v>382</v>
      </c>
      <c r="D147" t="s">
        <v>382</v>
      </c>
      <c r="E147" t="s">
        <v>382</v>
      </c>
      <c r="F147" t="s">
        <v>382</v>
      </c>
      <c r="G147" t="s">
        <v>382</v>
      </c>
      <c r="H147" t="s">
        <v>382</v>
      </c>
      <c r="I147" t="s">
        <v>382</v>
      </c>
      <c r="J147" t="s">
        <v>382</v>
      </c>
      <c r="K147" t="s">
        <v>382</v>
      </c>
      <c r="L147" t="s">
        <v>382</v>
      </c>
      <c r="M147" t="s">
        <v>382</v>
      </c>
      <c r="N147" t="s">
        <v>382</v>
      </c>
      <c r="O147" t="s">
        <v>382</v>
      </c>
      <c r="P147" t="s">
        <v>382</v>
      </c>
      <c r="Q147" t="s">
        <v>382</v>
      </c>
      <c r="R147" t="s">
        <v>382</v>
      </c>
      <c r="S147" t="s">
        <v>382</v>
      </c>
      <c r="T147" t="s">
        <v>382</v>
      </c>
      <c r="U147" t="s">
        <v>382</v>
      </c>
      <c r="V147" t="s">
        <v>382</v>
      </c>
      <c r="W147" t="s">
        <v>382</v>
      </c>
      <c r="X147" t="s">
        <v>382</v>
      </c>
      <c r="Y147" t="s">
        <v>382</v>
      </c>
      <c r="Z147" t="s">
        <v>382</v>
      </c>
      <c r="AA147" t="s">
        <v>382</v>
      </c>
      <c r="AB147" t="s">
        <v>382</v>
      </c>
      <c r="AC147">
        <v>5</v>
      </c>
      <c r="AD147">
        <v>1</v>
      </c>
      <c r="AE147">
        <v>1</v>
      </c>
      <c r="AF147" t="s">
        <v>398</v>
      </c>
      <c r="AH147" t="s">
        <v>69</v>
      </c>
      <c r="AI147" t="s">
        <v>97</v>
      </c>
      <c r="AK147">
        <v>2117</v>
      </c>
      <c r="AL147">
        <v>221</v>
      </c>
    </row>
    <row r="148" spans="1:38">
      <c r="A148" t="s">
        <v>382</v>
      </c>
      <c r="B148" t="s">
        <v>382</v>
      </c>
      <c r="C148" t="s">
        <v>382</v>
      </c>
      <c r="D148" t="s">
        <v>382</v>
      </c>
      <c r="E148" t="s">
        <v>382</v>
      </c>
      <c r="F148" t="s">
        <v>382</v>
      </c>
      <c r="G148" t="s">
        <v>382</v>
      </c>
      <c r="H148" t="s">
        <v>382</v>
      </c>
      <c r="I148" t="s">
        <v>382</v>
      </c>
      <c r="J148" t="s">
        <v>382</v>
      </c>
      <c r="K148" t="s">
        <v>382</v>
      </c>
      <c r="L148" t="s">
        <v>382</v>
      </c>
      <c r="M148" t="s">
        <v>382</v>
      </c>
      <c r="N148" t="s">
        <v>382</v>
      </c>
      <c r="O148" t="s">
        <v>382</v>
      </c>
      <c r="P148" t="s">
        <v>382</v>
      </c>
      <c r="Q148" t="s">
        <v>382</v>
      </c>
      <c r="R148" t="s">
        <v>382</v>
      </c>
      <c r="S148" t="s">
        <v>382</v>
      </c>
      <c r="T148" t="s">
        <v>382</v>
      </c>
      <c r="U148" t="s">
        <v>382</v>
      </c>
      <c r="V148" t="s">
        <v>382</v>
      </c>
      <c r="W148" t="s">
        <v>382</v>
      </c>
      <c r="X148" t="s">
        <v>382</v>
      </c>
      <c r="Y148" t="s">
        <v>382</v>
      </c>
      <c r="Z148" t="s">
        <v>382</v>
      </c>
      <c r="AA148" t="s">
        <v>382</v>
      </c>
      <c r="AB148" t="s">
        <v>382</v>
      </c>
      <c r="AC148">
        <v>5</v>
      </c>
      <c r="AD148">
        <v>2</v>
      </c>
      <c r="AE148">
        <v>1</v>
      </c>
      <c r="AF148" t="s">
        <v>398</v>
      </c>
      <c r="AH148" t="s">
        <v>69</v>
      </c>
      <c r="AI148" t="s">
        <v>97</v>
      </c>
      <c r="AK148">
        <v>1658</v>
      </c>
      <c r="AL148">
        <v>1133</v>
      </c>
    </row>
    <row r="149" spans="1:38">
      <c r="A149" t="s">
        <v>382</v>
      </c>
      <c r="B149" t="s">
        <v>382</v>
      </c>
      <c r="C149" t="s">
        <v>382</v>
      </c>
      <c r="D149" t="s">
        <v>382</v>
      </c>
      <c r="E149" t="s">
        <v>382</v>
      </c>
      <c r="F149" t="s">
        <v>382</v>
      </c>
      <c r="G149" t="s">
        <v>382</v>
      </c>
      <c r="H149" t="s">
        <v>382</v>
      </c>
      <c r="I149" t="s">
        <v>382</v>
      </c>
      <c r="J149" t="s">
        <v>382</v>
      </c>
      <c r="K149" t="s">
        <v>382</v>
      </c>
      <c r="L149" t="s">
        <v>382</v>
      </c>
      <c r="M149" t="s">
        <v>382</v>
      </c>
      <c r="N149" t="s">
        <v>382</v>
      </c>
      <c r="O149" t="s">
        <v>382</v>
      </c>
      <c r="P149" t="s">
        <v>382</v>
      </c>
      <c r="Q149" t="s">
        <v>382</v>
      </c>
      <c r="R149" t="s">
        <v>382</v>
      </c>
      <c r="S149" t="s">
        <v>382</v>
      </c>
      <c r="T149" t="s">
        <v>382</v>
      </c>
      <c r="U149" t="s">
        <v>382</v>
      </c>
      <c r="V149" t="s">
        <v>382</v>
      </c>
      <c r="W149" t="s">
        <v>382</v>
      </c>
      <c r="X149" t="s">
        <v>382</v>
      </c>
      <c r="Y149" t="s">
        <v>382</v>
      </c>
      <c r="Z149" t="s">
        <v>382</v>
      </c>
      <c r="AA149" t="s">
        <v>382</v>
      </c>
      <c r="AB149" t="s">
        <v>382</v>
      </c>
      <c r="AC149">
        <v>5</v>
      </c>
      <c r="AD149">
        <v>3</v>
      </c>
      <c r="AE149">
        <v>1</v>
      </c>
      <c r="AF149" t="s">
        <v>398</v>
      </c>
      <c r="AH149" t="s">
        <v>69</v>
      </c>
      <c r="AI149" t="s">
        <v>97</v>
      </c>
      <c r="AK149">
        <v>1548</v>
      </c>
      <c r="AL149">
        <v>1923</v>
      </c>
    </row>
    <row r="150" spans="1:38">
      <c r="A150" t="s">
        <v>382</v>
      </c>
      <c r="B150" t="s">
        <v>382</v>
      </c>
      <c r="C150" t="s">
        <v>382</v>
      </c>
      <c r="D150" t="s">
        <v>382</v>
      </c>
      <c r="E150" t="s">
        <v>382</v>
      </c>
      <c r="F150" t="s">
        <v>382</v>
      </c>
      <c r="G150" t="s">
        <v>382</v>
      </c>
      <c r="H150" t="s">
        <v>382</v>
      </c>
      <c r="I150" t="s">
        <v>382</v>
      </c>
      <c r="J150" t="s">
        <v>382</v>
      </c>
      <c r="K150" t="s">
        <v>382</v>
      </c>
      <c r="L150" t="s">
        <v>382</v>
      </c>
      <c r="M150" t="s">
        <v>382</v>
      </c>
      <c r="N150" t="s">
        <v>382</v>
      </c>
      <c r="O150" t="s">
        <v>382</v>
      </c>
      <c r="P150" t="s">
        <v>382</v>
      </c>
      <c r="Q150" t="s">
        <v>382</v>
      </c>
      <c r="R150" t="s">
        <v>382</v>
      </c>
      <c r="S150" t="s">
        <v>382</v>
      </c>
      <c r="T150" t="s">
        <v>382</v>
      </c>
      <c r="U150" t="s">
        <v>382</v>
      </c>
      <c r="V150" t="s">
        <v>382</v>
      </c>
      <c r="W150" t="s">
        <v>382</v>
      </c>
      <c r="X150" t="s">
        <v>382</v>
      </c>
      <c r="Y150" t="s">
        <v>382</v>
      </c>
      <c r="Z150" t="s">
        <v>382</v>
      </c>
      <c r="AA150" t="s">
        <v>382</v>
      </c>
      <c r="AB150" t="s">
        <v>382</v>
      </c>
      <c r="AC150">
        <v>5</v>
      </c>
      <c r="AD150">
        <v>4</v>
      </c>
      <c r="AF150" t="s">
        <v>386</v>
      </c>
      <c r="AH150" t="s">
        <v>29</v>
      </c>
      <c r="AI150" t="s">
        <v>103</v>
      </c>
      <c r="AK150">
        <v>898</v>
      </c>
      <c r="AL150">
        <v>2014</v>
      </c>
    </row>
    <row r="151" spans="1:38">
      <c r="A151" t="s">
        <v>382</v>
      </c>
      <c r="B151" t="s">
        <v>382</v>
      </c>
      <c r="C151" t="s">
        <v>382</v>
      </c>
      <c r="D151" t="s">
        <v>382</v>
      </c>
      <c r="E151" t="s">
        <v>382</v>
      </c>
      <c r="F151" t="s">
        <v>382</v>
      </c>
      <c r="G151" t="s">
        <v>382</v>
      </c>
      <c r="H151" t="s">
        <v>382</v>
      </c>
      <c r="I151" t="s">
        <v>382</v>
      </c>
      <c r="J151" t="s">
        <v>382</v>
      </c>
      <c r="K151" t="s">
        <v>382</v>
      </c>
      <c r="L151" t="s">
        <v>382</v>
      </c>
      <c r="M151" t="s">
        <v>382</v>
      </c>
      <c r="N151" t="s">
        <v>382</v>
      </c>
      <c r="O151" t="s">
        <v>382</v>
      </c>
      <c r="P151" t="s">
        <v>382</v>
      </c>
      <c r="Q151" t="s">
        <v>382</v>
      </c>
      <c r="R151" t="s">
        <v>382</v>
      </c>
      <c r="S151" t="s">
        <v>382</v>
      </c>
      <c r="T151" t="s">
        <v>382</v>
      </c>
      <c r="U151" t="s">
        <v>382</v>
      </c>
      <c r="V151" t="s">
        <v>382</v>
      </c>
      <c r="W151" t="s">
        <v>382</v>
      </c>
      <c r="X151" t="s">
        <v>382</v>
      </c>
      <c r="Y151" t="s">
        <v>382</v>
      </c>
      <c r="Z151" t="s">
        <v>382</v>
      </c>
      <c r="AA151" t="s">
        <v>382</v>
      </c>
      <c r="AB151" t="s">
        <v>382</v>
      </c>
      <c r="AC151">
        <v>5</v>
      </c>
      <c r="AD151">
        <v>5</v>
      </c>
      <c r="AF151" t="s">
        <v>385</v>
      </c>
      <c r="AH151" t="s">
        <v>27</v>
      </c>
      <c r="AI151" t="s">
        <v>109</v>
      </c>
      <c r="AK151">
        <v>1484</v>
      </c>
      <c r="AL151">
        <v>1109</v>
      </c>
    </row>
    <row r="152" spans="1:38">
      <c r="A152" t="s">
        <v>382</v>
      </c>
      <c r="B152" t="s">
        <v>382</v>
      </c>
      <c r="C152" t="s">
        <v>382</v>
      </c>
      <c r="D152" t="s">
        <v>382</v>
      </c>
      <c r="E152" t="s">
        <v>382</v>
      </c>
      <c r="F152" t="s">
        <v>382</v>
      </c>
      <c r="G152" t="s">
        <v>382</v>
      </c>
      <c r="H152" t="s">
        <v>382</v>
      </c>
      <c r="I152" t="s">
        <v>382</v>
      </c>
      <c r="J152" t="s">
        <v>382</v>
      </c>
      <c r="K152" t="s">
        <v>382</v>
      </c>
      <c r="L152" t="s">
        <v>382</v>
      </c>
      <c r="M152" t="s">
        <v>382</v>
      </c>
      <c r="N152" t="s">
        <v>382</v>
      </c>
      <c r="O152" t="s">
        <v>382</v>
      </c>
      <c r="P152" t="s">
        <v>382</v>
      </c>
      <c r="Q152" t="s">
        <v>382</v>
      </c>
      <c r="R152" t="s">
        <v>382</v>
      </c>
      <c r="S152" t="s">
        <v>382</v>
      </c>
      <c r="T152" t="s">
        <v>382</v>
      </c>
      <c r="U152" t="s">
        <v>382</v>
      </c>
      <c r="V152" t="s">
        <v>382</v>
      </c>
      <c r="W152" t="s">
        <v>382</v>
      </c>
      <c r="X152" t="s">
        <v>382</v>
      </c>
      <c r="Y152" t="s">
        <v>382</v>
      </c>
      <c r="Z152" t="s">
        <v>382</v>
      </c>
      <c r="AA152" t="s">
        <v>382</v>
      </c>
      <c r="AB152" t="s">
        <v>382</v>
      </c>
      <c r="AC152">
        <v>5</v>
      </c>
      <c r="AD152">
        <v>1</v>
      </c>
      <c r="AE152">
        <v>1</v>
      </c>
      <c r="AF152" t="s">
        <v>398</v>
      </c>
      <c r="AH152" t="s">
        <v>69</v>
      </c>
      <c r="AI152" t="s">
        <v>97</v>
      </c>
      <c r="AK152">
        <v>1596</v>
      </c>
      <c r="AL152">
        <v>1904</v>
      </c>
    </row>
    <row r="153" spans="1:38">
      <c r="A153" t="s">
        <v>382</v>
      </c>
      <c r="B153" t="s">
        <v>382</v>
      </c>
      <c r="C153" t="s">
        <v>382</v>
      </c>
      <c r="D153" t="s">
        <v>382</v>
      </c>
      <c r="E153" t="s">
        <v>382</v>
      </c>
      <c r="F153" t="s">
        <v>382</v>
      </c>
      <c r="G153" t="s">
        <v>382</v>
      </c>
      <c r="H153" t="s">
        <v>382</v>
      </c>
      <c r="I153" t="s">
        <v>382</v>
      </c>
      <c r="J153" t="s">
        <v>382</v>
      </c>
      <c r="K153" t="s">
        <v>382</v>
      </c>
      <c r="L153" t="s">
        <v>382</v>
      </c>
      <c r="M153" t="s">
        <v>382</v>
      </c>
      <c r="N153" t="s">
        <v>382</v>
      </c>
      <c r="O153" t="s">
        <v>382</v>
      </c>
      <c r="P153" t="s">
        <v>382</v>
      </c>
      <c r="Q153" t="s">
        <v>382</v>
      </c>
      <c r="R153" t="s">
        <v>382</v>
      </c>
      <c r="S153" t="s">
        <v>382</v>
      </c>
      <c r="T153" t="s">
        <v>382</v>
      </c>
      <c r="U153" t="s">
        <v>382</v>
      </c>
      <c r="V153" t="s">
        <v>382</v>
      </c>
      <c r="W153" t="s">
        <v>382</v>
      </c>
      <c r="X153" t="s">
        <v>382</v>
      </c>
      <c r="Y153" t="s">
        <v>382</v>
      </c>
      <c r="Z153" t="s">
        <v>382</v>
      </c>
      <c r="AA153" t="s">
        <v>382</v>
      </c>
      <c r="AB153" t="s">
        <v>382</v>
      </c>
      <c r="AC153">
        <v>5</v>
      </c>
      <c r="AD153">
        <v>2</v>
      </c>
      <c r="AE153">
        <v>1</v>
      </c>
      <c r="AF153" t="s">
        <v>481</v>
      </c>
      <c r="AH153" t="s">
        <v>139</v>
      </c>
      <c r="AI153" t="s">
        <v>97</v>
      </c>
      <c r="AK153">
        <v>2994</v>
      </c>
      <c r="AL153">
        <v>2525</v>
      </c>
    </row>
    <row r="154" spans="1:38">
      <c r="A154" t="s">
        <v>382</v>
      </c>
      <c r="B154" t="s">
        <v>382</v>
      </c>
      <c r="C154" t="s">
        <v>382</v>
      </c>
      <c r="D154" t="s">
        <v>382</v>
      </c>
      <c r="E154" t="s">
        <v>382</v>
      </c>
      <c r="F154" t="s">
        <v>382</v>
      </c>
      <c r="G154" t="s">
        <v>382</v>
      </c>
      <c r="H154" t="s">
        <v>382</v>
      </c>
      <c r="I154" t="s">
        <v>382</v>
      </c>
      <c r="J154" t="s">
        <v>382</v>
      </c>
      <c r="K154" t="s">
        <v>382</v>
      </c>
      <c r="L154" t="s">
        <v>382</v>
      </c>
      <c r="M154" t="s">
        <v>382</v>
      </c>
      <c r="N154" t="s">
        <v>382</v>
      </c>
      <c r="O154" t="s">
        <v>382</v>
      </c>
      <c r="P154" t="s">
        <v>382</v>
      </c>
      <c r="Q154" t="s">
        <v>382</v>
      </c>
      <c r="R154" t="s">
        <v>382</v>
      </c>
      <c r="S154" t="s">
        <v>382</v>
      </c>
      <c r="T154" t="s">
        <v>382</v>
      </c>
      <c r="U154" t="s">
        <v>382</v>
      </c>
      <c r="V154" t="s">
        <v>382</v>
      </c>
      <c r="W154" t="s">
        <v>382</v>
      </c>
      <c r="X154" t="s">
        <v>382</v>
      </c>
      <c r="Y154" t="s">
        <v>382</v>
      </c>
      <c r="Z154" t="s">
        <v>382</v>
      </c>
      <c r="AA154" t="s">
        <v>382</v>
      </c>
      <c r="AB154" t="s">
        <v>382</v>
      </c>
      <c r="AC154">
        <v>5</v>
      </c>
      <c r="AD154">
        <v>3</v>
      </c>
      <c r="AF154" t="s">
        <v>386</v>
      </c>
      <c r="AH154" t="s">
        <v>29</v>
      </c>
      <c r="AI154" t="s">
        <v>103</v>
      </c>
      <c r="AK154">
        <v>1461</v>
      </c>
      <c r="AL154">
        <v>152</v>
      </c>
    </row>
    <row r="155" spans="1:38">
      <c r="A155" t="s">
        <v>382</v>
      </c>
      <c r="B155" t="s">
        <v>382</v>
      </c>
      <c r="C155" t="s">
        <v>382</v>
      </c>
      <c r="D155" t="s">
        <v>382</v>
      </c>
      <c r="E155" t="s">
        <v>382</v>
      </c>
      <c r="F155" t="s">
        <v>382</v>
      </c>
      <c r="G155" t="s">
        <v>382</v>
      </c>
      <c r="H155" t="s">
        <v>382</v>
      </c>
      <c r="I155" t="s">
        <v>382</v>
      </c>
      <c r="J155" t="s">
        <v>382</v>
      </c>
      <c r="K155" t="s">
        <v>382</v>
      </c>
      <c r="L155" t="s">
        <v>382</v>
      </c>
      <c r="M155" t="s">
        <v>382</v>
      </c>
      <c r="N155" t="s">
        <v>382</v>
      </c>
      <c r="O155" t="s">
        <v>382</v>
      </c>
      <c r="P155" t="s">
        <v>382</v>
      </c>
      <c r="Q155" t="s">
        <v>382</v>
      </c>
      <c r="R155" t="s">
        <v>382</v>
      </c>
      <c r="S155" t="s">
        <v>382</v>
      </c>
      <c r="T155" t="s">
        <v>382</v>
      </c>
      <c r="U155" t="s">
        <v>382</v>
      </c>
      <c r="V155" t="s">
        <v>382</v>
      </c>
      <c r="W155" t="s">
        <v>382</v>
      </c>
      <c r="X155" t="s">
        <v>382</v>
      </c>
      <c r="Y155" t="s">
        <v>382</v>
      </c>
      <c r="Z155" t="s">
        <v>382</v>
      </c>
      <c r="AA155" t="s">
        <v>382</v>
      </c>
      <c r="AB155" t="s">
        <v>382</v>
      </c>
      <c r="AC155">
        <v>5</v>
      </c>
      <c r="AD155">
        <v>4</v>
      </c>
      <c r="AF155" t="s">
        <v>386</v>
      </c>
      <c r="AH155" t="s">
        <v>29</v>
      </c>
      <c r="AI155" t="s">
        <v>103</v>
      </c>
      <c r="AK155">
        <v>1984</v>
      </c>
      <c r="AL155">
        <v>171</v>
      </c>
    </row>
    <row r="156" spans="1:38">
      <c r="A156" t="s">
        <v>382</v>
      </c>
      <c r="B156" t="s">
        <v>382</v>
      </c>
      <c r="C156" t="s">
        <v>382</v>
      </c>
      <c r="D156" t="s">
        <v>382</v>
      </c>
      <c r="E156" t="s">
        <v>382</v>
      </c>
      <c r="F156" t="s">
        <v>382</v>
      </c>
      <c r="G156" t="s">
        <v>382</v>
      </c>
      <c r="H156" t="s">
        <v>382</v>
      </c>
      <c r="I156" t="s">
        <v>382</v>
      </c>
      <c r="J156" t="s">
        <v>382</v>
      </c>
      <c r="K156" t="s">
        <v>382</v>
      </c>
      <c r="L156" t="s">
        <v>382</v>
      </c>
      <c r="M156" t="s">
        <v>382</v>
      </c>
      <c r="N156" t="s">
        <v>382</v>
      </c>
      <c r="O156" t="s">
        <v>382</v>
      </c>
      <c r="P156" t="s">
        <v>382</v>
      </c>
      <c r="Q156" t="s">
        <v>382</v>
      </c>
      <c r="R156" t="s">
        <v>382</v>
      </c>
      <c r="S156" t="s">
        <v>382</v>
      </c>
      <c r="T156" t="s">
        <v>382</v>
      </c>
      <c r="U156" t="s">
        <v>382</v>
      </c>
      <c r="V156" t="s">
        <v>382</v>
      </c>
      <c r="W156" t="s">
        <v>382</v>
      </c>
      <c r="X156" t="s">
        <v>382</v>
      </c>
      <c r="Y156" t="s">
        <v>382</v>
      </c>
      <c r="Z156" t="s">
        <v>382</v>
      </c>
      <c r="AA156" t="s">
        <v>382</v>
      </c>
      <c r="AB156" t="s">
        <v>382</v>
      </c>
      <c r="AC156">
        <v>5</v>
      </c>
      <c r="AD156">
        <v>5</v>
      </c>
      <c r="AE156">
        <v>1</v>
      </c>
      <c r="AF156" t="s">
        <v>389</v>
      </c>
      <c r="AH156" t="s">
        <v>35</v>
      </c>
      <c r="AI156" t="s">
        <v>97</v>
      </c>
      <c r="AK156">
        <v>827</v>
      </c>
      <c r="AL156">
        <v>1803</v>
      </c>
    </row>
    <row r="157" spans="1:38">
      <c r="A157" t="s">
        <v>382</v>
      </c>
      <c r="B157" t="s">
        <v>382</v>
      </c>
      <c r="C157" t="s">
        <v>382</v>
      </c>
      <c r="D157" t="s">
        <v>382</v>
      </c>
      <c r="E157" t="s">
        <v>382</v>
      </c>
      <c r="F157" t="s">
        <v>382</v>
      </c>
      <c r="G157" t="s">
        <v>382</v>
      </c>
      <c r="H157" t="s">
        <v>382</v>
      </c>
      <c r="I157" t="s">
        <v>382</v>
      </c>
      <c r="J157" t="s">
        <v>382</v>
      </c>
      <c r="K157" t="s">
        <v>382</v>
      </c>
      <c r="L157" t="s">
        <v>382</v>
      </c>
      <c r="M157" t="s">
        <v>382</v>
      </c>
      <c r="N157" t="s">
        <v>382</v>
      </c>
      <c r="O157" t="s">
        <v>382</v>
      </c>
      <c r="P157" t="s">
        <v>382</v>
      </c>
      <c r="Q157" t="s">
        <v>382</v>
      </c>
      <c r="R157" t="s">
        <v>382</v>
      </c>
      <c r="S157" t="s">
        <v>382</v>
      </c>
      <c r="T157" t="s">
        <v>382</v>
      </c>
      <c r="U157" t="s">
        <v>382</v>
      </c>
      <c r="V157" t="s">
        <v>382</v>
      </c>
      <c r="W157" t="s">
        <v>382</v>
      </c>
      <c r="X157" t="s">
        <v>382</v>
      </c>
      <c r="Y157" t="s">
        <v>382</v>
      </c>
      <c r="Z157" t="s">
        <v>382</v>
      </c>
      <c r="AA157" t="s">
        <v>382</v>
      </c>
      <c r="AB157" t="s">
        <v>382</v>
      </c>
      <c r="AC157">
        <v>5</v>
      </c>
      <c r="AD157">
        <v>1</v>
      </c>
      <c r="AE157">
        <v>1</v>
      </c>
      <c r="AF157" t="s">
        <v>383</v>
      </c>
      <c r="AH157" t="s">
        <v>22</v>
      </c>
      <c r="AI157" t="s">
        <v>97</v>
      </c>
      <c r="AK157">
        <v>1003</v>
      </c>
      <c r="AL157">
        <v>1854</v>
      </c>
    </row>
    <row r="158" spans="1:38">
      <c r="A158" t="s">
        <v>382</v>
      </c>
      <c r="B158" t="s">
        <v>382</v>
      </c>
      <c r="C158" t="s">
        <v>382</v>
      </c>
      <c r="D158" t="s">
        <v>382</v>
      </c>
      <c r="E158" t="s">
        <v>382</v>
      </c>
      <c r="F158" t="s">
        <v>382</v>
      </c>
      <c r="G158" t="s">
        <v>382</v>
      </c>
      <c r="H158" t="s">
        <v>382</v>
      </c>
      <c r="I158" t="s">
        <v>382</v>
      </c>
      <c r="J158" t="s">
        <v>382</v>
      </c>
      <c r="K158" t="s">
        <v>382</v>
      </c>
      <c r="L158" t="s">
        <v>382</v>
      </c>
      <c r="M158" t="s">
        <v>382</v>
      </c>
      <c r="N158" t="s">
        <v>382</v>
      </c>
      <c r="O158" t="s">
        <v>382</v>
      </c>
      <c r="P158" t="s">
        <v>382</v>
      </c>
      <c r="Q158" t="s">
        <v>382</v>
      </c>
      <c r="R158" t="s">
        <v>382</v>
      </c>
      <c r="S158" t="s">
        <v>382</v>
      </c>
      <c r="T158" t="s">
        <v>382</v>
      </c>
      <c r="U158" t="s">
        <v>382</v>
      </c>
      <c r="V158" t="s">
        <v>382</v>
      </c>
      <c r="W158" t="s">
        <v>382</v>
      </c>
      <c r="X158" t="s">
        <v>382</v>
      </c>
      <c r="Y158" t="s">
        <v>382</v>
      </c>
      <c r="Z158" t="s">
        <v>382</v>
      </c>
      <c r="AA158" t="s">
        <v>382</v>
      </c>
      <c r="AB158" t="s">
        <v>382</v>
      </c>
      <c r="AC158">
        <v>5</v>
      </c>
      <c r="AD158">
        <v>2</v>
      </c>
      <c r="AF158" t="s">
        <v>385</v>
      </c>
      <c r="AH158" t="s">
        <v>27</v>
      </c>
      <c r="AI158" t="s">
        <v>109</v>
      </c>
      <c r="AK158">
        <v>871</v>
      </c>
      <c r="AL158">
        <v>208</v>
      </c>
    </row>
    <row r="159" spans="1:38">
      <c r="A159" t="s">
        <v>382</v>
      </c>
      <c r="B159" t="s">
        <v>382</v>
      </c>
      <c r="C159" t="s">
        <v>382</v>
      </c>
      <c r="D159" t="s">
        <v>382</v>
      </c>
      <c r="E159" t="s">
        <v>382</v>
      </c>
      <c r="F159" t="s">
        <v>382</v>
      </c>
      <c r="G159" t="s">
        <v>382</v>
      </c>
      <c r="H159" t="s">
        <v>382</v>
      </c>
      <c r="I159" t="s">
        <v>382</v>
      </c>
      <c r="J159" t="s">
        <v>382</v>
      </c>
      <c r="K159" t="s">
        <v>382</v>
      </c>
      <c r="L159" t="s">
        <v>382</v>
      </c>
      <c r="M159" t="s">
        <v>382</v>
      </c>
      <c r="N159" t="s">
        <v>382</v>
      </c>
      <c r="O159" t="s">
        <v>382</v>
      </c>
      <c r="P159" t="s">
        <v>382</v>
      </c>
      <c r="Q159" t="s">
        <v>382</v>
      </c>
      <c r="R159" t="s">
        <v>382</v>
      </c>
      <c r="S159" t="s">
        <v>382</v>
      </c>
      <c r="T159" t="s">
        <v>382</v>
      </c>
      <c r="U159" t="s">
        <v>382</v>
      </c>
      <c r="V159" t="s">
        <v>382</v>
      </c>
      <c r="W159" t="s">
        <v>382</v>
      </c>
      <c r="X159" t="s">
        <v>382</v>
      </c>
      <c r="Y159" t="s">
        <v>382</v>
      </c>
      <c r="Z159" t="s">
        <v>382</v>
      </c>
      <c r="AA159" t="s">
        <v>382</v>
      </c>
      <c r="AB159" t="s">
        <v>382</v>
      </c>
      <c r="AC159">
        <v>5</v>
      </c>
      <c r="AD159">
        <v>3</v>
      </c>
      <c r="AE159">
        <v>1</v>
      </c>
      <c r="AF159" t="s">
        <v>383</v>
      </c>
      <c r="AH159" t="s">
        <v>22</v>
      </c>
      <c r="AI159" t="s">
        <v>97</v>
      </c>
      <c r="AK159">
        <v>1009</v>
      </c>
      <c r="AL159">
        <v>1282</v>
      </c>
    </row>
    <row r="160" spans="1:38">
      <c r="A160" t="s">
        <v>382</v>
      </c>
      <c r="B160" t="s">
        <v>382</v>
      </c>
      <c r="C160" t="s">
        <v>382</v>
      </c>
      <c r="D160" t="s">
        <v>382</v>
      </c>
      <c r="E160" t="s">
        <v>382</v>
      </c>
      <c r="F160" t="s">
        <v>382</v>
      </c>
      <c r="G160" t="s">
        <v>382</v>
      </c>
      <c r="H160" t="s">
        <v>382</v>
      </c>
      <c r="I160" t="s">
        <v>382</v>
      </c>
      <c r="J160" t="s">
        <v>382</v>
      </c>
      <c r="K160" t="s">
        <v>382</v>
      </c>
      <c r="L160" t="s">
        <v>382</v>
      </c>
      <c r="M160" t="s">
        <v>382</v>
      </c>
      <c r="N160" t="s">
        <v>382</v>
      </c>
      <c r="O160" t="s">
        <v>382</v>
      </c>
      <c r="P160" t="s">
        <v>382</v>
      </c>
      <c r="Q160" t="s">
        <v>382</v>
      </c>
      <c r="R160" t="s">
        <v>382</v>
      </c>
      <c r="S160" t="s">
        <v>382</v>
      </c>
      <c r="T160" t="s">
        <v>382</v>
      </c>
      <c r="U160" t="s">
        <v>382</v>
      </c>
      <c r="V160" t="s">
        <v>382</v>
      </c>
      <c r="W160" t="s">
        <v>382</v>
      </c>
      <c r="X160" t="s">
        <v>382</v>
      </c>
      <c r="Y160" t="s">
        <v>382</v>
      </c>
      <c r="Z160" t="s">
        <v>382</v>
      </c>
      <c r="AA160" t="s">
        <v>382</v>
      </c>
      <c r="AB160" t="s">
        <v>382</v>
      </c>
      <c r="AC160">
        <v>5</v>
      </c>
      <c r="AD160">
        <v>4</v>
      </c>
      <c r="AE160">
        <v>1</v>
      </c>
      <c r="AF160" t="s">
        <v>383</v>
      </c>
      <c r="AH160" t="s">
        <v>22</v>
      </c>
      <c r="AI160" t="s">
        <v>97</v>
      </c>
      <c r="AK160">
        <v>2326</v>
      </c>
      <c r="AL160">
        <v>766</v>
      </c>
    </row>
    <row r="161" spans="1:38">
      <c r="A161" t="s">
        <v>382</v>
      </c>
      <c r="B161" t="s">
        <v>382</v>
      </c>
      <c r="C161" t="s">
        <v>382</v>
      </c>
      <c r="D161" t="s">
        <v>382</v>
      </c>
      <c r="E161" t="s">
        <v>382</v>
      </c>
      <c r="F161" t="s">
        <v>382</v>
      </c>
      <c r="G161" t="s">
        <v>382</v>
      </c>
      <c r="H161" t="s">
        <v>382</v>
      </c>
      <c r="I161" t="s">
        <v>382</v>
      </c>
      <c r="J161" t="s">
        <v>382</v>
      </c>
      <c r="K161" t="s">
        <v>382</v>
      </c>
      <c r="L161" t="s">
        <v>382</v>
      </c>
      <c r="M161" t="s">
        <v>382</v>
      </c>
      <c r="N161" t="s">
        <v>382</v>
      </c>
      <c r="O161" t="s">
        <v>382</v>
      </c>
      <c r="P161" t="s">
        <v>382</v>
      </c>
      <c r="Q161" t="s">
        <v>382</v>
      </c>
      <c r="R161" t="s">
        <v>382</v>
      </c>
      <c r="S161" t="s">
        <v>382</v>
      </c>
      <c r="T161" t="s">
        <v>382</v>
      </c>
      <c r="U161" t="s">
        <v>382</v>
      </c>
      <c r="V161" t="s">
        <v>382</v>
      </c>
      <c r="W161" t="s">
        <v>382</v>
      </c>
      <c r="X161" t="s">
        <v>382</v>
      </c>
      <c r="Y161" t="s">
        <v>382</v>
      </c>
      <c r="Z161" t="s">
        <v>382</v>
      </c>
      <c r="AA161" t="s">
        <v>382</v>
      </c>
      <c r="AB161" t="s">
        <v>382</v>
      </c>
      <c r="AC161">
        <v>5</v>
      </c>
      <c r="AD161">
        <v>5</v>
      </c>
      <c r="AE161">
        <v>1</v>
      </c>
      <c r="AF161" t="s">
        <v>383</v>
      </c>
      <c r="AH161" t="s">
        <v>22</v>
      </c>
      <c r="AI161" t="s">
        <v>97</v>
      </c>
      <c r="AK161">
        <v>1894</v>
      </c>
      <c r="AL161">
        <v>885</v>
      </c>
    </row>
    <row r="162" spans="1:38">
      <c r="A162" t="s">
        <v>382</v>
      </c>
      <c r="B162" t="s">
        <v>382</v>
      </c>
      <c r="C162" t="s">
        <v>382</v>
      </c>
      <c r="D162" t="s">
        <v>382</v>
      </c>
      <c r="E162" t="s">
        <v>382</v>
      </c>
      <c r="F162" t="s">
        <v>382</v>
      </c>
      <c r="G162" t="s">
        <v>382</v>
      </c>
      <c r="H162" t="s">
        <v>382</v>
      </c>
      <c r="I162" t="s">
        <v>382</v>
      </c>
      <c r="J162" t="s">
        <v>382</v>
      </c>
      <c r="K162" t="s">
        <v>382</v>
      </c>
      <c r="L162" t="s">
        <v>382</v>
      </c>
      <c r="M162" t="s">
        <v>382</v>
      </c>
      <c r="N162" t="s">
        <v>382</v>
      </c>
      <c r="O162" t="s">
        <v>382</v>
      </c>
      <c r="P162" t="s">
        <v>382</v>
      </c>
      <c r="Q162" t="s">
        <v>382</v>
      </c>
      <c r="R162" t="s">
        <v>382</v>
      </c>
      <c r="S162" t="s">
        <v>382</v>
      </c>
      <c r="T162" t="s">
        <v>382</v>
      </c>
      <c r="U162" t="s">
        <v>382</v>
      </c>
      <c r="V162" t="s">
        <v>382</v>
      </c>
      <c r="W162" t="s">
        <v>382</v>
      </c>
      <c r="X162" t="s">
        <v>382</v>
      </c>
      <c r="Y162" t="s">
        <v>382</v>
      </c>
      <c r="Z162" t="s">
        <v>382</v>
      </c>
      <c r="AA162" t="s">
        <v>382</v>
      </c>
      <c r="AB162" t="s">
        <v>382</v>
      </c>
      <c r="AC162">
        <v>5</v>
      </c>
      <c r="AD162">
        <v>1</v>
      </c>
      <c r="AE162">
        <v>1</v>
      </c>
      <c r="AF162" t="s">
        <v>389</v>
      </c>
      <c r="AH162" t="s">
        <v>35</v>
      </c>
      <c r="AI162" t="s">
        <v>97</v>
      </c>
      <c r="AK162">
        <v>1979</v>
      </c>
      <c r="AL162">
        <v>2250</v>
      </c>
    </row>
    <row r="163" spans="1:38">
      <c r="A163" t="s">
        <v>382</v>
      </c>
      <c r="B163" t="s">
        <v>382</v>
      </c>
      <c r="C163" t="s">
        <v>382</v>
      </c>
      <c r="D163" t="s">
        <v>382</v>
      </c>
      <c r="E163" t="s">
        <v>382</v>
      </c>
      <c r="F163" t="s">
        <v>382</v>
      </c>
      <c r="G163" t="s">
        <v>382</v>
      </c>
      <c r="H163" t="s">
        <v>382</v>
      </c>
      <c r="I163" t="s">
        <v>382</v>
      </c>
      <c r="J163" t="s">
        <v>382</v>
      </c>
      <c r="K163" t="s">
        <v>382</v>
      </c>
      <c r="L163" t="s">
        <v>382</v>
      </c>
      <c r="M163" t="s">
        <v>382</v>
      </c>
      <c r="N163" t="s">
        <v>382</v>
      </c>
      <c r="O163" t="s">
        <v>382</v>
      </c>
      <c r="P163" t="s">
        <v>382</v>
      </c>
      <c r="Q163" t="s">
        <v>382</v>
      </c>
      <c r="R163" t="s">
        <v>382</v>
      </c>
      <c r="S163" t="s">
        <v>382</v>
      </c>
      <c r="T163" t="s">
        <v>382</v>
      </c>
      <c r="U163" t="s">
        <v>382</v>
      </c>
      <c r="V163" t="s">
        <v>382</v>
      </c>
      <c r="W163" t="s">
        <v>382</v>
      </c>
      <c r="X163" t="s">
        <v>382</v>
      </c>
      <c r="Y163" t="s">
        <v>382</v>
      </c>
      <c r="Z163" t="s">
        <v>382</v>
      </c>
      <c r="AA163" t="s">
        <v>382</v>
      </c>
      <c r="AB163" t="s">
        <v>382</v>
      </c>
      <c r="AC163">
        <v>5</v>
      </c>
      <c r="AD163">
        <v>2</v>
      </c>
      <c r="AF163" t="s">
        <v>385</v>
      </c>
      <c r="AH163" t="s">
        <v>27</v>
      </c>
      <c r="AI163" t="s">
        <v>109</v>
      </c>
      <c r="AK163">
        <v>1981</v>
      </c>
      <c r="AL163">
        <v>1468</v>
      </c>
    </row>
    <row r="164" spans="1:38">
      <c r="A164" t="s">
        <v>382</v>
      </c>
      <c r="B164" t="s">
        <v>382</v>
      </c>
      <c r="C164" t="s">
        <v>382</v>
      </c>
      <c r="D164" t="s">
        <v>382</v>
      </c>
      <c r="E164" t="s">
        <v>382</v>
      </c>
      <c r="F164" t="s">
        <v>382</v>
      </c>
      <c r="G164" t="s">
        <v>382</v>
      </c>
      <c r="H164" t="s">
        <v>382</v>
      </c>
      <c r="I164" t="s">
        <v>382</v>
      </c>
      <c r="J164" t="s">
        <v>382</v>
      </c>
      <c r="K164" t="s">
        <v>382</v>
      </c>
      <c r="L164" t="s">
        <v>382</v>
      </c>
      <c r="M164" t="s">
        <v>382</v>
      </c>
      <c r="N164" t="s">
        <v>382</v>
      </c>
      <c r="O164" t="s">
        <v>382</v>
      </c>
      <c r="P164" t="s">
        <v>382</v>
      </c>
      <c r="Q164" t="s">
        <v>382</v>
      </c>
      <c r="R164" t="s">
        <v>382</v>
      </c>
      <c r="S164" t="s">
        <v>382</v>
      </c>
      <c r="T164" t="s">
        <v>382</v>
      </c>
      <c r="U164" t="s">
        <v>382</v>
      </c>
      <c r="V164" t="s">
        <v>382</v>
      </c>
      <c r="W164" t="s">
        <v>382</v>
      </c>
      <c r="X164" t="s">
        <v>382</v>
      </c>
      <c r="Y164" t="s">
        <v>382</v>
      </c>
      <c r="Z164" t="s">
        <v>382</v>
      </c>
      <c r="AA164" t="s">
        <v>382</v>
      </c>
      <c r="AB164" t="s">
        <v>382</v>
      </c>
      <c r="AC164">
        <v>5</v>
      </c>
      <c r="AD164">
        <v>3</v>
      </c>
      <c r="AE164">
        <v>1</v>
      </c>
      <c r="AF164" t="s">
        <v>398</v>
      </c>
      <c r="AH164" t="s">
        <v>69</v>
      </c>
      <c r="AI164" t="s">
        <v>97</v>
      </c>
      <c r="AK164">
        <v>2944</v>
      </c>
      <c r="AL164">
        <v>2450</v>
      </c>
    </row>
    <row r="165" spans="1:38">
      <c r="A165" t="s">
        <v>382</v>
      </c>
      <c r="B165" t="s">
        <v>382</v>
      </c>
      <c r="C165" t="s">
        <v>382</v>
      </c>
      <c r="D165" t="s">
        <v>382</v>
      </c>
      <c r="E165" t="s">
        <v>382</v>
      </c>
      <c r="F165" t="s">
        <v>382</v>
      </c>
      <c r="G165" t="s">
        <v>382</v>
      </c>
      <c r="H165" t="s">
        <v>382</v>
      </c>
      <c r="I165" t="s">
        <v>382</v>
      </c>
      <c r="J165" t="s">
        <v>382</v>
      </c>
      <c r="K165" t="s">
        <v>382</v>
      </c>
      <c r="L165" t="s">
        <v>382</v>
      </c>
      <c r="M165" t="s">
        <v>382</v>
      </c>
      <c r="N165" t="s">
        <v>382</v>
      </c>
      <c r="O165" t="s">
        <v>382</v>
      </c>
      <c r="P165" t="s">
        <v>382</v>
      </c>
      <c r="Q165" t="s">
        <v>382</v>
      </c>
      <c r="R165" t="s">
        <v>382</v>
      </c>
      <c r="S165" t="s">
        <v>382</v>
      </c>
      <c r="T165" t="s">
        <v>382</v>
      </c>
      <c r="U165" t="s">
        <v>382</v>
      </c>
      <c r="V165" t="s">
        <v>382</v>
      </c>
      <c r="W165" t="s">
        <v>382</v>
      </c>
      <c r="X165" t="s">
        <v>382</v>
      </c>
      <c r="Y165" t="s">
        <v>382</v>
      </c>
      <c r="Z165" t="s">
        <v>382</v>
      </c>
      <c r="AA165" t="s">
        <v>382</v>
      </c>
      <c r="AB165" t="s">
        <v>382</v>
      </c>
      <c r="AC165">
        <v>5</v>
      </c>
      <c r="AD165">
        <v>4</v>
      </c>
      <c r="AE165">
        <v>1</v>
      </c>
      <c r="AF165" t="s">
        <v>389</v>
      </c>
      <c r="AH165" t="s">
        <v>35</v>
      </c>
      <c r="AI165" t="s">
        <v>97</v>
      </c>
      <c r="AK165">
        <v>2485</v>
      </c>
      <c r="AL165">
        <v>458</v>
      </c>
    </row>
    <row r="166" spans="1:38">
      <c r="A166" t="s">
        <v>382</v>
      </c>
      <c r="B166" t="s">
        <v>382</v>
      </c>
      <c r="C166" t="s">
        <v>382</v>
      </c>
      <c r="D166" t="s">
        <v>382</v>
      </c>
      <c r="E166" t="s">
        <v>382</v>
      </c>
      <c r="F166" t="s">
        <v>382</v>
      </c>
      <c r="G166" t="s">
        <v>382</v>
      </c>
      <c r="H166" t="s">
        <v>382</v>
      </c>
      <c r="I166" t="s">
        <v>382</v>
      </c>
      <c r="J166" t="s">
        <v>382</v>
      </c>
      <c r="K166" t="s">
        <v>382</v>
      </c>
      <c r="L166" t="s">
        <v>382</v>
      </c>
      <c r="M166" t="s">
        <v>382</v>
      </c>
      <c r="N166" t="s">
        <v>382</v>
      </c>
      <c r="O166" t="s">
        <v>382</v>
      </c>
      <c r="P166" t="s">
        <v>382</v>
      </c>
      <c r="Q166" t="s">
        <v>382</v>
      </c>
      <c r="R166" t="s">
        <v>382</v>
      </c>
      <c r="S166" t="s">
        <v>382</v>
      </c>
      <c r="T166" t="s">
        <v>382</v>
      </c>
      <c r="U166" t="s">
        <v>382</v>
      </c>
      <c r="V166" t="s">
        <v>382</v>
      </c>
      <c r="W166" t="s">
        <v>382</v>
      </c>
      <c r="X166" t="s">
        <v>382</v>
      </c>
      <c r="Y166" t="s">
        <v>382</v>
      </c>
      <c r="Z166" t="s">
        <v>382</v>
      </c>
      <c r="AA166" t="s">
        <v>382</v>
      </c>
      <c r="AB166" t="s">
        <v>382</v>
      </c>
      <c r="AC166">
        <v>5</v>
      </c>
      <c r="AD166">
        <v>5</v>
      </c>
      <c r="AE166">
        <v>1</v>
      </c>
      <c r="AF166" t="s">
        <v>389</v>
      </c>
      <c r="AH166" t="s">
        <v>35</v>
      </c>
      <c r="AI166" t="s">
        <v>97</v>
      </c>
      <c r="AK166">
        <v>2341</v>
      </c>
      <c r="AL166">
        <v>1702</v>
      </c>
    </row>
    <row r="167" spans="1:38">
      <c r="A167" t="s">
        <v>382</v>
      </c>
      <c r="B167" t="s">
        <v>382</v>
      </c>
      <c r="C167" t="s">
        <v>382</v>
      </c>
      <c r="D167" t="s">
        <v>382</v>
      </c>
      <c r="E167" t="s">
        <v>382</v>
      </c>
      <c r="F167" t="s">
        <v>382</v>
      </c>
      <c r="G167" t="s">
        <v>382</v>
      </c>
      <c r="H167" t="s">
        <v>382</v>
      </c>
      <c r="I167" t="s">
        <v>382</v>
      </c>
      <c r="J167" t="s">
        <v>382</v>
      </c>
      <c r="K167" t="s">
        <v>382</v>
      </c>
      <c r="L167" t="s">
        <v>382</v>
      </c>
      <c r="M167" t="s">
        <v>382</v>
      </c>
      <c r="N167" t="s">
        <v>382</v>
      </c>
      <c r="O167" t="s">
        <v>382</v>
      </c>
      <c r="P167" t="s">
        <v>382</v>
      </c>
      <c r="Q167" t="s">
        <v>382</v>
      </c>
      <c r="R167" t="s">
        <v>382</v>
      </c>
      <c r="S167" t="s">
        <v>382</v>
      </c>
      <c r="T167" t="s">
        <v>382</v>
      </c>
      <c r="U167" t="s">
        <v>382</v>
      </c>
      <c r="V167" t="s">
        <v>382</v>
      </c>
      <c r="W167" t="s">
        <v>382</v>
      </c>
      <c r="X167" t="s">
        <v>382</v>
      </c>
      <c r="Y167" t="s">
        <v>382</v>
      </c>
      <c r="Z167" t="s">
        <v>382</v>
      </c>
      <c r="AA167" t="s">
        <v>382</v>
      </c>
      <c r="AB167" t="s">
        <v>382</v>
      </c>
      <c r="AC167">
        <v>5</v>
      </c>
      <c r="AD167">
        <v>1</v>
      </c>
      <c r="AF167" t="s">
        <v>384</v>
      </c>
      <c r="AH167" t="s">
        <v>25</v>
      </c>
      <c r="AI167" t="s">
        <v>106</v>
      </c>
      <c r="AK167">
        <v>1964</v>
      </c>
      <c r="AL167">
        <v>1818</v>
      </c>
    </row>
    <row r="168" spans="1:38">
      <c r="A168" t="s">
        <v>382</v>
      </c>
      <c r="B168" t="s">
        <v>382</v>
      </c>
      <c r="C168" t="s">
        <v>382</v>
      </c>
      <c r="D168" t="s">
        <v>382</v>
      </c>
      <c r="E168" t="s">
        <v>382</v>
      </c>
      <c r="F168" t="s">
        <v>382</v>
      </c>
      <c r="G168" t="s">
        <v>382</v>
      </c>
      <c r="H168" t="s">
        <v>382</v>
      </c>
      <c r="I168" t="s">
        <v>382</v>
      </c>
      <c r="J168" t="s">
        <v>382</v>
      </c>
      <c r="K168" t="s">
        <v>382</v>
      </c>
      <c r="L168" t="s">
        <v>382</v>
      </c>
      <c r="M168" t="s">
        <v>382</v>
      </c>
      <c r="N168" t="s">
        <v>382</v>
      </c>
      <c r="O168" t="s">
        <v>382</v>
      </c>
      <c r="P168" t="s">
        <v>382</v>
      </c>
      <c r="Q168" t="s">
        <v>382</v>
      </c>
      <c r="R168" t="s">
        <v>382</v>
      </c>
      <c r="S168" t="s">
        <v>382</v>
      </c>
      <c r="T168" t="s">
        <v>382</v>
      </c>
      <c r="U168" t="s">
        <v>382</v>
      </c>
      <c r="V168" t="s">
        <v>382</v>
      </c>
      <c r="W168" t="s">
        <v>382</v>
      </c>
      <c r="X168" t="s">
        <v>382</v>
      </c>
      <c r="Y168" t="s">
        <v>382</v>
      </c>
      <c r="Z168" t="s">
        <v>382</v>
      </c>
      <c r="AA168" t="s">
        <v>382</v>
      </c>
      <c r="AB168" t="s">
        <v>382</v>
      </c>
      <c r="AC168">
        <v>5</v>
      </c>
      <c r="AD168">
        <v>2</v>
      </c>
      <c r="AE168">
        <v>1</v>
      </c>
      <c r="AF168" t="s">
        <v>398</v>
      </c>
      <c r="AH168" t="s">
        <v>69</v>
      </c>
      <c r="AI168" t="s">
        <v>97</v>
      </c>
      <c r="AK168">
        <v>2451</v>
      </c>
      <c r="AL168">
        <v>1413</v>
      </c>
    </row>
    <row r="169" spans="1:38">
      <c r="A169" t="s">
        <v>382</v>
      </c>
      <c r="B169" t="s">
        <v>382</v>
      </c>
      <c r="C169" t="s">
        <v>382</v>
      </c>
      <c r="D169" t="s">
        <v>382</v>
      </c>
      <c r="E169" t="s">
        <v>382</v>
      </c>
      <c r="F169" t="s">
        <v>382</v>
      </c>
      <c r="G169" t="s">
        <v>382</v>
      </c>
      <c r="H169" t="s">
        <v>382</v>
      </c>
      <c r="I169" t="s">
        <v>382</v>
      </c>
      <c r="J169" t="s">
        <v>382</v>
      </c>
      <c r="K169" t="s">
        <v>382</v>
      </c>
      <c r="L169" t="s">
        <v>382</v>
      </c>
      <c r="M169" t="s">
        <v>382</v>
      </c>
      <c r="N169" t="s">
        <v>382</v>
      </c>
      <c r="O169" t="s">
        <v>382</v>
      </c>
      <c r="P169" t="s">
        <v>382</v>
      </c>
      <c r="Q169" t="s">
        <v>382</v>
      </c>
      <c r="R169" t="s">
        <v>382</v>
      </c>
      <c r="S169" t="s">
        <v>382</v>
      </c>
      <c r="T169" t="s">
        <v>382</v>
      </c>
      <c r="U169" t="s">
        <v>382</v>
      </c>
      <c r="V169" t="s">
        <v>382</v>
      </c>
      <c r="W169" t="s">
        <v>382</v>
      </c>
      <c r="X169" t="s">
        <v>382</v>
      </c>
      <c r="Y169" t="s">
        <v>382</v>
      </c>
      <c r="Z169" t="s">
        <v>382</v>
      </c>
      <c r="AA169" t="s">
        <v>382</v>
      </c>
      <c r="AB169" t="s">
        <v>382</v>
      </c>
      <c r="AC169">
        <v>5</v>
      </c>
      <c r="AD169">
        <v>3</v>
      </c>
      <c r="AE169">
        <v>1</v>
      </c>
      <c r="AF169" t="s">
        <v>398</v>
      </c>
      <c r="AH169" t="s">
        <v>69</v>
      </c>
      <c r="AI169" t="s">
        <v>97</v>
      </c>
      <c r="AK169">
        <v>2529</v>
      </c>
      <c r="AL169">
        <v>1488</v>
      </c>
    </row>
    <row r="170" spans="1:38">
      <c r="A170" t="s">
        <v>382</v>
      </c>
      <c r="B170" t="s">
        <v>382</v>
      </c>
      <c r="C170" t="s">
        <v>382</v>
      </c>
      <c r="D170" t="s">
        <v>382</v>
      </c>
      <c r="E170" t="s">
        <v>382</v>
      </c>
      <c r="F170" t="s">
        <v>382</v>
      </c>
      <c r="G170" t="s">
        <v>382</v>
      </c>
      <c r="H170" t="s">
        <v>382</v>
      </c>
      <c r="I170" t="s">
        <v>382</v>
      </c>
      <c r="J170" t="s">
        <v>382</v>
      </c>
      <c r="K170" t="s">
        <v>382</v>
      </c>
      <c r="L170" t="s">
        <v>382</v>
      </c>
      <c r="M170" t="s">
        <v>382</v>
      </c>
      <c r="N170" t="s">
        <v>382</v>
      </c>
      <c r="O170" t="s">
        <v>382</v>
      </c>
      <c r="P170" t="s">
        <v>382</v>
      </c>
      <c r="Q170" t="s">
        <v>382</v>
      </c>
      <c r="R170" t="s">
        <v>382</v>
      </c>
      <c r="S170" t="s">
        <v>382</v>
      </c>
      <c r="T170" t="s">
        <v>382</v>
      </c>
      <c r="U170" t="s">
        <v>382</v>
      </c>
      <c r="V170" t="s">
        <v>382</v>
      </c>
      <c r="W170" t="s">
        <v>382</v>
      </c>
      <c r="X170" t="s">
        <v>382</v>
      </c>
      <c r="Y170" t="s">
        <v>382</v>
      </c>
      <c r="Z170" t="s">
        <v>382</v>
      </c>
      <c r="AA170" t="s">
        <v>382</v>
      </c>
      <c r="AB170" t="s">
        <v>382</v>
      </c>
      <c r="AC170">
        <v>5</v>
      </c>
      <c r="AD170">
        <v>4</v>
      </c>
      <c r="AE170">
        <v>1</v>
      </c>
      <c r="AF170" t="s">
        <v>398</v>
      </c>
      <c r="AH170" t="s">
        <v>69</v>
      </c>
      <c r="AI170" t="s">
        <v>97</v>
      </c>
      <c r="AK170">
        <v>1804</v>
      </c>
      <c r="AL170">
        <v>2107</v>
      </c>
    </row>
    <row r="171" spans="1:38">
      <c r="A171" t="s">
        <v>382</v>
      </c>
      <c r="B171" t="s">
        <v>382</v>
      </c>
      <c r="C171" t="s">
        <v>382</v>
      </c>
      <c r="D171" t="s">
        <v>382</v>
      </c>
      <c r="E171" t="s">
        <v>382</v>
      </c>
      <c r="F171" t="s">
        <v>382</v>
      </c>
      <c r="G171" t="s">
        <v>382</v>
      </c>
      <c r="H171" t="s">
        <v>382</v>
      </c>
      <c r="I171" t="s">
        <v>382</v>
      </c>
      <c r="J171" t="s">
        <v>382</v>
      </c>
      <c r="K171" t="s">
        <v>382</v>
      </c>
      <c r="L171" t="s">
        <v>382</v>
      </c>
      <c r="M171" t="s">
        <v>382</v>
      </c>
      <c r="N171" t="s">
        <v>382</v>
      </c>
      <c r="O171" t="s">
        <v>382</v>
      </c>
      <c r="P171" t="s">
        <v>382</v>
      </c>
      <c r="Q171" t="s">
        <v>382</v>
      </c>
      <c r="R171" t="s">
        <v>382</v>
      </c>
      <c r="S171" t="s">
        <v>382</v>
      </c>
      <c r="T171" t="s">
        <v>382</v>
      </c>
      <c r="U171" t="s">
        <v>382</v>
      </c>
      <c r="V171" t="s">
        <v>382</v>
      </c>
      <c r="W171" t="s">
        <v>382</v>
      </c>
      <c r="X171" t="s">
        <v>382</v>
      </c>
      <c r="Y171" t="s">
        <v>382</v>
      </c>
      <c r="Z171" t="s">
        <v>382</v>
      </c>
      <c r="AA171" t="s">
        <v>382</v>
      </c>
      <c r="AB171" t="s">
        <v>382</v>
      </c>
      <c r="AC171">
        <v>5</v>
      </c>
      <c r="AD171">
        <v>5</v>
      </c>
      <c r="AE171">
        <v>1</v>
      </c>
      <c r="AF171" t="s">
        <v>398</v>
      </c>
      <c r="AH171" t="s">
        <v>69</v>
      </c>
      <c r="AI171" t="s">
        <v>97</v>
      </c>
      <c r="AK171">
        <v>2804</v>
      </c>
      <c r="AL171">
        <v>563</v>
      </c>
    </row>
    <row r="172" spans="1:38">
      <c r="A172" t="s">
        <v>382</v>
      </c>
      <c r="B172" t="s">
        <v>382</v>
      </c>
      <c r="C172" t="s">
        <v>382</v>
      </c>
      <c r="D172" t="s">
        <v>382</v>
      </c>
      <c r="E172" t="s">
        <v>382</v>
      </c>
      <c r="F172" t="s">
        <v>382</v>
      </c>
      <c r="G172" t="s">
        <v>382</v>
      </c>
      <c r="H172" t="s">
        <v>382</v>
      </c>
      <c r="I172" t="s">
        <v>382</v>
      </c>
      <c r="J172" t="s">
        <v>382</v>
      </c>
      <c r="K172" t="s">
        <v>382</v>
      </c>
      <c r="L172" t="s">
        <v>382</v>
      </c>
      <c r="M172" t="s">
        <v>382</v>
      </c>
      <c r="N172" t="s">
        <v>382</v>
      </c>
      <c r="O172" t="s">
        <v>382</v>
      </c>
      <c r="P172" t="s">
        <v>382</v>
      </c>
      <c r="Q172" t="s">
        <v>382</v>
      </c>
      <c r="R172" t="s">
        <v>382</v>
      </c>
      <c r="S172" t="s">
        <v>382</v>
      </c>
      <c r="T172" t="s">
        <v>382</v>
      </c>
      <c r="U172" t="s">
        <v>382</v>
      </c>
      <c r="V172" t="s">
        <v>382</v>
      </c>
      <c r="W172" t="s">
        <v>382</v>
      </c>
      <c r="X172" t="s">
        <v>382</v>
      </c>
      <c r="Y172" t="s">
        <v>382</v>
      </c>
      <c r="Z172" t="s">
        <v>382</v>
      </c>
      <c r="AA172" t="s">
        <v>382</v>
      </c>
      <c r="AB172" t="s">
        <v>382</v>
      </c>
      <c r="AC172">
        <v>5</v>
      </c>
      <c r="AD172">
        <v>1</v>
      </c>
      <c r="AF172" t="s">
        <v>385</v>
      </c>
      <c r="AH172" t="s">
        <v>27</v>
      </c>
      <c r="AI172" t="s">
        <v>109</v>
      </c>
      <c r="AK172">
        <v>1633</v>
      </c>
      <c r="AL172">
        <v>2184</v>
      </c>
    </row>
    <row r="173" spans="1:38">
      <c r="A173" t="s">
        <v>382</v>
      </c>
      <c r="B173" t="s">
        <v>382</v>
      </c>
      <c r="C173" t="s">
        <v>382</v>
      </c>
      <c r="D173" t="s">
        <v>382</v>
      </c>
      <c r="E173" t="s">
        <v>382</v>
      </c>
      <c r="F173" t="s">
        <v>382</v>
      </c>
      <c r="G173" t="s">
        <v>382</v>
      </c>
      <c r="H173" t="s">
        <v>382</v>
      </c>
      <c r="I173" t="s">
        <v>382</v>
      </c>
      <c r="J173" t="s">
        <v>382</v>
      </c>
      <c r="K173" t="s">
        <v>382</v>
      </c>
      <c r="L173" t="s">
        <v>382</v>
      </c>
      <c r="M173" t="s">
        <v>382</v>
      </c>
      <c r="N173" t="s">
        <v>382</v>
      </c>
      <c r="O173" t="s">
        <v>382</v>
      </c>
      <c r="P173" t="s">
        <v>382</v>
      </c>
      <c r="Q173" t="s">
        <v>382</v>
      </c>
      <c r="R173" t="s">
        <v>382</v>
      </c>
      <c r="S173" t="s">
        <v>382</v>
      </c>
      <c r="T173" t="s">
        <v>382</v>
      </c>
      <c r="U173" t="s">
        <v>382</v>
      </c>
      <c r="V173" t="s">
        <v>382</v>
      </c>
      <c r="W173" t="s">
        <v>382</v>
      </c>
      <c r="X173" t="s">
        <v>382</v>
      </c>
      <c r="Y173" t="s">
        <v>382</v>
      </c>
      <c r="Z173" t="s">
        <v>382</v>
      </c>
      <c r="AA173" t="s">
        <v>382</v>
      </c>
      <c r="AB173" t="s">
        <v>382</v>
      </c>
      <c r="AC173">
        <v>5</v>
      </c>
      <c r="AD173">
        <v>2</v>
      </c>
      <c r="AF173" t="s">
        <v>386</v>
      </c>
      <c r="AH173" t="s">
        <v>29</v>
      </c>
      <c r="AI173" t="s">
        <v>103</v>
      </c>
      <c r="AK173">
        <v>616</v>
      </c>
      <c r="AL173">
        <v>2123</v>
      </c>
    </row>
    <row r="174" spans="1:38">
      <c r="A174" t="s">
        <v>382</v>
      </c>
      <c r="B174" t="s">
        <v>382</v>
      </c>
      <c r="C174" t="s">
        <v>382</v>
      </c>
      <c r="D174" t="s">
        <v>382</v>
      </c>
      <c r="E174" t="s">
        <v>382</v>
      </c>
      <c r="F174" t="s">
        <v>382</v>
      </c>
      <c r="G174" t="s">
        <v>382</v>
      </c>
      <c r="H174" t="s">
        <v>382</v>
      </c>
      <c r="I174" t="s">
        <v>382</v>
      </c>
      <c r="J174" t="s">
        <v>382</v>
      </c>
      <c r="K174" t="s">
        <v>382</v>
      </c>
      <c r="L174" t="s">
        <v>382</v>
      </c>
      <c r="M174" t="s">
        <v>382</v>
      </c>
      <c r="N174" t="s">
        <v>382</v>
      </c>
      <c r="O174" t="s">
        <v>382</v>
      </c>
      <c r="P174" t="s">
        <v>382</v>
      </c>
      <c r="Q174" t="s">
        <v>382</v>
      </c>
      <c r="R174" t="s">
        <v>382</v>
      </c>
      <c r="S174" t="s">
        <v>382</v>
      </c>
      <c r="T174" t="s">
        <v>382</v>
      </c>
      <c r="U174" t="s">
        <v>382</v>
      </c>
      <c r="V174" t="s">
        <v>382</v>
      </c>
      <c r="W174" t="s">
        <v>382</v>
      </c>
      <c r="X174" t="s">
        <v>382</v>
      </c>
      <c r="Y174" t="s">
        <v>382</v>
      </c>
      <c r="Z174" t="s">
        <v>382</v>
      </c>
      <c r="AA174" t="s">
        <v>382</v>
      </c>
      <c r="AB174" t="s">
        <v>382</v>
      </c>
      <c r="AC174">
        <v>5</v>
      </c>
      <c r="AD174">
        <v>3</v>
      </c>
      <c r="AE174">
        <v>1</v>
      </c>
      <c r="AF174" t="s">
        <v>398</v>
      </c>
      <c r="AH174" t="s">
        <v>69</v>
      </c>
      <c r="AI174" t="s">
        <v>97</v>
      </c>
      <c r="AK174">
        <v>847</v>
      </c>
      <c r="AL174">
        <v>1581</v>
      </c>
    </row>
    <row r="175" spans="1:38">
      <c r="A175" t="s">
        <v>382</v>
      </c>
      <c r="B175" t="s">
        <v>382</v>
      </c>
      <c r="C175" t="s">
        <v>382</v>
      </c>
      <c r="D175" t="s">
        <v>382</v>
      </c>
      <c r="E175" t="s">
        <v>382</v>
      </c>
      <c r="F175" t="s">
        <v>382</v>
      </c>
      <c r="G175" t="s">
        <v>382</v>
      </c>
      <c r="H175" t="s">
        <v>382</v>
      </c>
      <c r="I175" t="s">
        <v>382</v>
      </c>
      <c r="J175" t="s">
        <v>382</v>
      </c>
      <c r="K175" t="s">
        <v>382</v>
      </c>
      <c r="L175" t="s">
        <v>382</v>
      </c>
      <c r="M175" t="s">
        <v>382</v>
      </c>
      <c r="N175" t="s">
        <v>382</v>
      </c>
      <c r="O175" t="s">
        <v>382</v>
      </c>
      <c r="P175" t="s">
        <v>382</v>
      </c>
      <c r="Q175" t="s">
        <v>382</v>
      </c>
      <c r="R175" t="s">
        <v>382</v>
      </c>
      <c r="S175" t="s">
        <v>382</v>
      </c>
      <c r="T175" t="s">
        <v>382</v>
      </c>
      <c r="U175" t="s">
        <v>382</v>
      </c>
      <c r="V175" t="s">
        <v>382</v>
      </c>
      <c r="W175" t="s">
        <v>382</v>
      </c>
      <c r="X175" t="s">
        <v>382</v>
      </c>
      <c r="Y175" t="s">
        <v>382</v>
      </c>
      <c r="Z175" t="s">
        <v>382</v>
      </c>
      <c r="AA175" t="s">
        <v>382</v>
      </c>
      <c r="AB175" t="s">
        <v>382</v>
      </c>
      <c r="AC175">
        <v>5</v>
      </c>
      <c r="AD175">
        <v>4</v>
      </c>
      <c r="AE175">
        <v>1</v>
      </c>
      <c r="AF175" t="s">
        <v>398</v>
      </c>
      <c r="AH175" t="s">
        <v>69</v>
      </c>
      <c r="AI175" t="s">
        <v>97</v>
      </c>
      <c r="AK175">
        <v>1610</v>
      </c>
      <c r="AL175">
        <v>1971</v>
      </c>
    </row>
    <row r="176" spans="1:38">
      <c r="A176" t="s">
        <v>382</v>
      </c>
      <c r="B176" t="s">
        <v>382</v>
      </c>
      <c r="C176" t="s">
        <v>382</v>
      </c>
      <c r="D176" t="s">
        <v>382</v>
      </c>
      <c r="E176" t="s">
        <v>382</v>
      </c>
      <c r="F176" t="s">
        <v>382</v>
      </c>
      <c r="G176" t="s">
        <v>382</v>
      </c>
      <c r="H176" t="s">
        <v>382</v>
      </c>
      <c r="I176" t="s">
        <v>382</v>
      </c>
      <c r="J176" t="s">
        <v>382</v>
      </c>
      <c r="K176" t="s">
        <v>382</v>
      </c>
      <c r="L176" t="s">
        <v>382</v>
      </c>
      <c r="M176" t="s">
        <v>382</v>
      </c>
      <c r="N176" t="s">
        <v>382</v>
      </c>
      <c r="O176" t="s">
        <v>382</v>
      </c>
      <c r="P176" t="s">
        <v>382</v>
      </c>
      <c r="Q176" t="s">
        <v>382</v>
      </c>
      <c r="R176" t="s">
        <v>382</v>
      </c>
      <c r="S176" t="s">
        <v>382</v>
      </c>
      <c r="T176" t="s">
        <v>382</v>
      </c>
      <c r="U176" t="s">
        <v>382</v>
      </c>
      <c r="V176" t="s">
        <v>382</v>
      </c>
      <c r="W176" t="s">
        <v>382</v>
      </c>
      <c r="X176" t="s">
        <v>382</v>
      </c>
      <c r="Y176" t="s">
        <v>382</v>
      </c>
      <c r="Z176" t="s">
        <v>382</v>
      </c>
      <c r="AA176" t="s">
        <v>382</v>
      </c>
      <c r="AB176" t="s">
        <v>382</v>
      </c>
      <c r="AC176">
        <v>5</v>
      </c>
      <c r="AD176">
        <v>5</v>
      </c>
      <c r="AE176">
        <v>1</v>
      </c>
      <c r="AF176" t="s">
        <v>398</v>
      </c>
      <c r="AH176" t="s">
        <v>69</v>
      </c>
      <c r="AI176" t="s">
        <v>97</v>
      </c>
      <c r="AK176">
        <v>1010</v>
      </c>
      <c r="AL176">
        <v>1334</v>
      </c>
    </row>
    <row r="177" spans="1:38">
      <c r="A177" t="s">
        <v>382</v>
      </c>
      <c r="B177" t="s">
        <v>382</v>
      </c>
      <c r="C177" t="s">
        <v>382</v>
      </c>
      <c r="D177" t="s">
        <v>382</v>
      </c>
      <c r="E177" t="s">
        <v>382</v>
      </c>
      <c r="F177" t="s">
        <v>382</v>
      </c>
      <c r="G177" t="s">
        <v>382</v>
      </c>
      <c r="H177" t="s">
        <v>382</v>
      </c>
      <c r="I177" t="s">
        <v>382</v>
      </c>
      <c r="J177" t="s">
        <v>382</v>
      </c>
      <c r="K177" t="s">
        <v>382</v>
      </c>
      <c r="L177" t="s">
        <v>382</v>
      </c>
      <c r="M177" t="s">
        <v>382</v>
      </c>
      <c r="N177" t="s">
        <v>382</v>
      </c>
      <c r="O177" t="s">
        <v>382</v>
      </c>
      <c r="P177" t="s">
        <v>382</v>
      </c>
      <c r="Q177" t="s">
        <v>382</v>
      </c>
      <c r="R177" t="s">
        <v>382</v>
      </c>
      <c r="S177" t="s">
        <v>382</v>
      </c>
      <c r="T177" t="s">
        <v>382</v>
      </c>
      <c r="U177" t="s">
        <v>382</v>
      </c>
      <c r="V177" t="s">
        <v>382</v>
      </c>
      <c r="W177" t="s">
        <v>382</v>
      </c>
      <c r="X177" t="s">
        <v>382</v>
      </c>
      <c r="Y177" t="s">
        <v>382</v>
      </c>
      <c r="Z177" t="s">
        <v>382</v>
      </c>
      <c r="AA177" t="s">
        <v>382</v>
      </c>
      <c r="AB177" t="s">
        <v>382</v>
      </c>
      <c r="AC177">
        <v>5</v>
      </c>
      <c r="AD177">
        <v>1</v>
      </c>
      <c r="AF177" t="s">
        <v>386</v>
      </c>
      <c r="AH177" t="s">
        <v>29</v>
      </c>
      <c r="AI177" t="s">
        <v>103</v>
      </c>
      <c r="AK177">
        <v>1185</v>
      </c>
      <c r="AL177">
        <v>701</v>
      </c>
    </row>
    <row r="178" spans="1:38">
      <c r="A178" t="s">
        <v>382</v>
      </c>
      <c r="B178" t="s">
        <v>382</v>
      </c>
      <c r="C178" t="s">
        <v>382</v>
      </c>
      <c r="D178" t="s">
        <v>382</v>
      </c>
      <c r="E178" t="s">
        <v>382</v>
      </c>
      <c r="F178" t="s">
        <v>382</v>
      </c>
      <c r="G178" t="s">
        <v>382</v>
      </c>
      <c r="H178" t="s">
        <v>382</v>
      </c>
      <c r="I178" t="s">
        <v>382</v>
      </c>
      <c r="J178" t="s">
        <v>382</v>
      </c>
      <c r="K178" t="s">
        <v>382</v>
      </c>
      <c r="L178" t="s">
        <v>382</v>
      </c>
      <c r="M178" t="s">
        <v>382</v>
      </c>
      <c r="N178" t="s">
        <v>382</v>
      </c>
      <c r="O178" t="s">
        <v>382</v>
      </c>
      <c r="P178" t="s">
        <v>382</v>
      </c>
      <c r="Q178" t="s">
        <v>382</v>
      </c>
      <c r="R178" t="s">
        <v>382</v>
      </c>
      <c r="S178" t="s">
        <v>382</v>
      </c>
      <c r="T178" t="s">
        <v>382</v>
      </c>
      <c r="U178" t="s">
        <v>382</v>
      </c>
      <c r="V178" t="s">
        <v>382</v>
      </c>
      <c r="W178" t="s">
        <v>382</v>
      </c>
      <c r="X178" t="s">
        <v>382</v>
      </c>
      <c r="Y178" t="s">
        <v>382</v>
      </c>
      <c r="Z178" t="s">
        <v>382</v>
      </c>
      <c r="AA178" t="s">
        <v>382</v>
      </c>
      <c r="AB178" t="s">
        <v>382</v>
      </c>
      <c r="AC178">
        <v>5</v>
      </c>
      <c r="AD178">
        <v>2</v>
      </c>
      <c r="AF178" t="s">
        <v>384</v>
      </c>
      <c r="AH178" t="s">
        <v>25</v>
      </c>
      <c r="AI178" t="s">
        <v>106</v>
      </c>
      <c r="AK178">
        <v>1780</v>
      </c>
      <c r="AL178">
        <v>1448</v>
      </c>
    </row>
    <row r="179" spans="1:38">
      <c r="A179" t="s">
        <v>382</v>
      </c>
      <c r="B179" t="s">
        <v>382</v>
      </c>
      <c r="C179" t="s">
        <v>382</v>
      </c>
      <c r="D179" t="s">
        <v>382</v>
      </c>
      <c r="E179" t="s">
        <v>382</v>
      </c>
      <c r="F179" t="s">
        <v>382</v>
      </c>
      <c r="G179" t="s">
        <v>382</v>
      </c>
      <c r="H179" t="s">
        <v>382</v>
      </c>
      <c r="I179" t="s">
        <v>382</v>
      </c>
      <c r="J179" t="s">
        <v>382</v>
      </c>
      <c r="K179" t="s">
        <v>382</v>
      </c>
      <c r="L179" t="s">
        <v>382</v>
      </c>
      <c r="M179" t="s">
        <v>382</v>
      </c>
      <c r="N179" t="s">
        <v>382</v>
      </c>
      <c r="O179" t="s">
        <v>382</v>
      </c>
      <c r="P179" t="s">
        <v>382</v>
      </c>
      <c r="Q179" t="s">
        <v>382</v>
      </c>
      <c r="R179" t="s">
        <v>382</v>
      </c>
      <c r="S179" t="s">
        <v>382</v>
      </c>
      <c r="T179" t="s">
        <v>382</v>
      </c>
      <c r="U179" t="s">
        <v>382</v>
      </c>
      <c r="V179" t="s">
        <v>382</v>
      </c>
      <c r="W179" t="s">
        <v>382</v>
      </c>
      <c r="X179" t="s">
        <v>382</v>
      </c>
      <c r="Y179" t="s">
        <v>382</v>
      </c>
      <c r="Z179" t="s">
        <v>382</v>
      </c>
      <c r="AA179" t="s">
        <v>382</v>
      </c>
      <c r="AB179" t="s">
        <v>382</v>
      </c>
      <c r="AC179">
        <v>5</v>
      </c>
      <c r="AD179">
        <v>3</v>
      </c>
      <c r="AF179" t="s">
        <v>386</v>
      </c>
      <c r="AH179" t="s">
        <v>29</v>
      </c>
      <c r="AI179" t="s">
        <v>103</v>
      </c>
      <c r="AK179">
        <v>801</v>
      </c>
      <c r="AL179">
        <v>1667</v>
      </c>
    </row>
    <row r="180" spans="1:38">
      <c r="A180" t="s">
        <v>382</v>
      </c>
      <c r="B180" t="s">
        <v>382</v>
      </c>
      <c r="C180" t="s">
        <v>382</v>
      </c>
      <c r="D180" t="s">
        <v>382</v>
      </c>
      <c r="E180" t="s">
        <v>382</v>
      </c>
      <c r="F180" t="s">
        <v>382</v>
      </c>
      <c r="G180" t="s">
        <v>382</v>
      </c>
      <c r="H180" t="s">
        <v>382</v>
      </c>
      <c r="I180" t="s">
        <v>382</v>
      </c>
      <c r="J180" t="s">
        <v>382</v>
      </c>
      <c r="K180" t="s">
        <v>382</v>
      </c>
      <c r="L180" t="s">
        <v>382</v>
      </c>
      <c r="M180" t="s">
        <v>382</v>
      </c>
      <c r="N180" t="s">
        <v>382</v>
      </c>
      <c r="O180" t="s">
        <v>382</v>
      </c>
      <c r="P180" t="s">
        <v>382</v>
      </c>
      <c r="Q180" t="s">
        <v>382</v>
      </c>
      <c r="R180" t="s">
        <v>382</v>
      </c>
      <c r="S180" t="s">
        <v>382</v>
      </c>
      <c r="T180" t="s">
        <v>382</v>
      </c>
      <c r="U180" t="s">
        <v>382</v>
      </c>
      <c r="V180" t="s">
        <v>382</v>
      </c>
      <c r="W180" t="s">
        <v>382</v>
      </c>
      <c r="X180" t="s">
        <v>382</v>
      </c>
      <c r="Y180" t="s">
        <v>382</v>
      </c>
      <c r="Z180" t="s">
        <v>382</v>
      </c>
      <c r="AA180" t="s">
        <v>382</v>
      </c>
      <c r="AB180" t="s">
        <v>382</v>
      </c>
      <c r="AC180">
        <v>5</v>
      </c>
      <c r="AD180">
        <v>4</v>
      </c>
      <c r="AE180">
        <v>1</v>
      </c>
      <c r="AF180" t="s">
        <v>401</v>
      </c>
      <c r="AH180" t="s">
        <v>95</v>
      </c>
      <c r="AI180" t="s">
        <v>97</v>
      </c>
      <c r="AK180">
        <v>674</v>
      </c>
      <c r="AL180">
        <v>904</v>
      </c>
    </row>
    <row r="181" spans="1:38">
      <c r="A181" t="s">
        <v>382</v>
      </c>
      <c r="B181" t="s">
        <v>382</v>
      </c>
      <c r="C181" t="s">
        <v>382</v>
      </c>
      <c r="D181" t="s">
        <v>382</v>
      </c>
      <c r="E181" t="s">
        <v>382</v>
      </c>
      <c r="F181" t="s">
        <v>382</v>
      </c>
      <c r="G181" t="s">
        <v>382</v>
      </c>
      <c r="H181" t="s">
        <v>382</v>
      </c>
      <c r="I181" t="s">
        <v>382</v>
      </c>
      <c r="J181" t="s">
        <v>382</v>
      </c>
      <c r="K181" t="s">
        <v>382</v>
      </c>
      <c r="L181" t="s">
        <v>382</v>
      </c>
      <c r="M181" t="s">
        <v>382</v>
      </c>
      <c r="N181" t="s">
        <v>382</v>
      </c>
      <c r="O181" t="s">
        <v>382</v>
      </c>
      <c r="P181" t="s">
        <v>382</v>
      </c>
      <c r="Q181" t="s">
        <v>382</v>
      </c>
      <c r="R181" t="s">
        <v>382</v>
      </c>
      <c r="S181" t="s">
        <v>382</v>
      </c>
      <c r="T181" t="s">
        <v>382</v>
      </c>
      <c r="U181" t="s">
        <v>382</v>
      </c>
      <c r="V181" t="s">
        <v>382</v>
      </c>
      <c r="W181" t="s">
        <v>382</v>
      </c>
      <c r="X181" t="s">
        <v>382</v>
      </c>
      <c r="Y181" t="s">
        <v>382</v>
      </c>
      <c r="Z181" t="s">
        <v>382</v>
      </c>
      <c r="AA181" t="s">
        <v>382</v>
      </c>
      <c r="AB181" t="s">
        <v>382</v>
      </c>
      <c r="AC181">
        <v>5</v>
      </c>
      <c r="AD181">
        <v>5</v>
      </c>
      <c r="AE181">
        <v>1</v>
      </c>
      <c r="AF181" t="s">
        <v>401</v>
      </c>
      <c r="AH181" t="s">
        <v>95</v>
      </c>
      <c r="AI181" t="s">
        <v>97</v>
      </c>
      <c r="AK181">
        <v>736</v>
      </c>
      <c r="AL181">
        <v>1147</v>
      </c>
    </row>
    <row r="182" spans="1:38">
      <c r="A182" t="s">
        <v>382</v>
      </c>
      <c r="B182" t="s">
        <v>382</v>
      </c>
      <c r="C182" t="s">
        <v>382</v>
      </c>
      <c r="D182" t="s">
        <v>382</v>
      </c>
      <c r="E182" t="s">
        <v>382</v>
      </c>
      <c r="F182" t="s">
        <v>382</v>
      </c>
      <c r="G182" t="s">
        <v>382</v>
      </c>
      <c r="H182" t="s">
        <v>382</v>
      </c>
      <c r="I182" t="s">
        <v>382</v>
      </c>
      <c r="J182" t="s">
        <v>382</v>
      </c>
      <c r="K182" t="s">
        <v>382</v>
      </c>
      <c r="L182" t="s">
        <v>382</v>
      </c>
      <c r="M182" t="s">
        <v>382</v>
      </c>
      <c r="N182" t="s">
        <v>382</v>
      </c>
      <c r="O182" t="s">
        <v>382</v>
      </c>
      <c r="P182" t="s">
        <v>382</v>
      </c>
      <c r="Q182" t="s">
        <v>382</v>
      </c>
      <c r="R182" t="s">
        <v>382</v>
      </c>
      <c r="S182" t="s">
        <v>382</v>
      </c>
      <c r="T182" t="s">
        <v>382</v>
      </c>
      <c r="U182" t="s">
        <v>382</v>
      </c>
      <c r="V182" t="s">
        <v>382</v>
      </c>
      <c r="W182" t="s">
        <v>382</v>
      </c>
      <c r="X182" t="s">
        <v>382</v>
      </c>
      <c r="Y182" t="s">
        <v>382</v>
      </c>
      <c r="Z182" t="s">
        <v>382</v>
      </c>
      <c r="AA182" t="s">
        <v>382</v>
      </c>
      <c r="AB182" t="s">
        <v>382</v>
      </c>
      <c r="AC182">
        <v>5</v>
      </c>
      <c r="AD182">
        <v>1</v>
      </c>
      <c r="AE182">
        <v>1</v>
      </c>
      <c r="AF182" t="s">
        <v>383</v>
      </c>
      <c r="AH182" t="s">
        <v>22</v>
      </c>
      <c r="AI182" t="s">
        <v>97</v>
      </c>
      <c r="AK182">
        <v>941</v>
      </c>
      <c r="AL182">
        <v>393</v>
      </c>
    </row>
    <row r="183" spans="1:38">
      <c r="A183" t="s">
        <v>382</v>
      </c>
      <c r="B183" t="s">
        <v>382</v>
      </c>
      <c r="C183" t="s">
        <v>382</v>
      </c>
      <c r="D183" t="s">
        <v>382</v>
      </c>
      <c r="E183" t="s">
        <v>382</v>
      </c>
      <c r="F183" t="s">
        <v>382</v>
      </c>
      <c r="G183" t="s">
        <v>382</v>
      </c>
      <c r="H183" t="s">
        <v>382</v>
      </c>
      <c r="I183" t="s">
        <v>382</v>
      </c>
      <c r="J183" t="s">
        <v>382</v>
      </c>
      <c r="K183" t="s">
        <v>382</v>
      </c>
      <c r="L183" t="s">
        <v>382</v>
      </c>
      <c r="M183" t="s">
        <v>382</v>
      </c>
      <c r="N183" t="s">
        <v>382</v>
      </c>
      <c r="O183" t="s">
        <v>382</v>
      </c>
      <c r="P183" t="s">
        <v>382</v>
      </c>
      <c r="Q183" t="s">
        <v>382</v>
      </c>
      <c r="R183" t="s">
        <v>382</v>
      </c>
      <c r="S183" t="s">
        <v>382</v>
      </c>
      <c r="T183" t="s">
        <v>382</v>
      </c>
      <c r="U183" t="s">
        <v>382</v>
      </c>
      <c r="V183" t="s">
        <v>382</v>
      </c>
      <c r="W183" t="s">
        <v>382</v>
      </c>
      <c r="X183" t="s">
        <v>382</v>
      </c>
      <c r="Y183" t="s">
        <v>382</v>
      </c>
      <c r="Z183" t="s">
        <v>382</v>
      </c>
      <c r="AA183" t="s">
        <v>382</v>
      </c>
      <c r="AB183" t="s">
        <v>382</v>
      </c>
      <c r="AC183">
        <v>5</v>
      </c>
      <c r="AD183">
        <v>2</v>
      </c>
      <c r="AE183">
        <v>1</v>
      </c>
      <c r="AF183" t="s">
        <v>383</v>
      </c>
      <c r="AH183" t="s">
        <v>22</v>
      </c>
      <c r="AI183" t="s">
        <v>97</v>
      </c>
      <c r="AK183">
        <v>1875</v>
      </c>
      <c r="AL183">
        <v>1343</v>
      </c>
    </row>
    <row r="184" spans="1:38">
      <c r="A184" t="s">
        <v>382</v>
      </c>
      <c r="B184" t="s">
        <v>382</v>
      </c>
      <c r="C184" t="s">
        <v>382</v>
      </c>
      <c r="D184" t="s">
        <v>382</v>
      </c>
      <c r="E184" t="s">
        <v>382</v>
      </c>
      <c r="F184" t="s">
        <v>382</v>
      </c>
      <c r="G184" t="s">
        <v>382</v>
      </c>
      <c r="H184" t="s">
        <v>382</v>
      </c>
      <c r="I184" t="s">
        <v>382</v>
      </c>
      <c r="J184" t="s">
        <v>382</v>
      </c>
      <c r="K184" t="s">
        <v>382</v>
      </c>
      <c r="L184" t="s">
        <v>382</v>
      </c>
      <c r="M184" t="s">
        <v>382</v>
      </c>
      <c r="N184" t="s">
        <v>382</v>
      </c>
      <c r="O184" t="s">
        <v>382</v>
      </c>
      <c r="P184" t="s">
        <v>382</v>
      </c>
      <c r="Q184" t="s">
        <v>382</v>
      </c>
      <c r="R184" t="s">
        <v>382</v>
      </c>
      <c r="S184" t="s">
        <v>382</v>
      </c>
      <c r="T184" t="s">
        <v>382</v>
      </c>
      <c r="U184" t="s">
        <v>382</v>
      </c>
      <c r="V184" t="s">
        <v>382</v>
      </c>
      <c r="W184" t="s">
        <v>382</v>
      </c>
      <c r="X184" t="s">
        <v>382</v>
      </c>
      <c r="Y184" t="s">
        <v>382</v>
      </c>
      <c r="Z184" t="s">
        <v>382</v>
      </c>
      <c r="AA184" t="s">
        <v>382</v>
      </c>
      <c r="AB184" t="s">
        <v>382</v>
      </c>
      <c r="AC184">
        <v>5</v>
      </c>
      <c r="AD184">
        <v>3</v>
      </c>
      <c r="AE184">
        <v>1</v>
      </c>
      <c r="AF184" t="s">
        <v>383</v>
      </c>
      <c r="AH184" t="s">
        <v>22</v>
      </c>
      <c r="AI184" t="s">
        <v>97</v>
      </c>
      <c r="AK184">
        <v>1078</v>
      </c>
      <c r="AL184">
        <v>279</v>
      </c>
    </row>
    <row r="185" spans="1:38">
      <c r="A185" t="s">
        <v>382</v>
      </c>
      <c r="B185" t="s">
        <v>382</v>
      </c>
      <c r="C185" t="s">
        <v>382</v>
      </c>
      <c r="D185" t="s">
        <v>382</v>
      </c>
      <c r="E185" t="s">
        <v>382</v>
      </c>
      <c r="F185" t="s">
        <v>382</v>
      </c>
      <c r="G185" t="s">
        <v>382</v>
      </c>
      <c r="H185" t="s">
        <v>382</v>
      </c>
      <c r="I185" t="s">
        <v>382</v>
      </c>
      <c r="J185" t="s">
        <v>382</v>
      </c>
      <c r="K185" t="s">
        <v>382</v>
      </c>
      <c r="L185" t="s">
        <v>382</v>
      </c>
      <c r="M185" t="s">
        <v>382</v>
      </c>
      <c r="N185" t="s">
        <v>382</v>
      </c>
      <c r="O185" t="s">
        <v>382</v>
      </c>
      <c r="P185" t="s">
        <v>382</v>
      </c>
      <c r="Q185" t="s">
        <v>382</v>
      </c>
      <c r="R185" t="s">
        <v>382</v>
      </c>
      <c r="S185" t="s">
        <v>382</v>
      </c>
      <c r="T185" t="s">
        <v>382</v>
      </c>
      <c r="U185" t="s">
        <v>382</v>
      </c>
      <c r="V185" t="s">
        <v>382</v>
      </c>
      <c r="W185" t="s">
        <v>382</v>
      </c>
      <c r="X185" t="s">
        <v>382</v>
      </c>
      <c r="Y185" t="s">
        <v>382</v>
      </c>
      <c r="Z185" t="s">
        <v>382</v>
      </c>
      <c r="AA185" t="s">
        <v>382</v>
      </c>
      <c r="AB185" t="s">
        <v>382</v>
      </c>
      <c r="AC185">
        <v>5</v>
      </c>
      <c r="AD185">
        <v>4</v>
      </c>
      <c r="AE185">
        <v>1</v>
      </c>
      <c r="AF185" t="s">
        <v>383</v>
      </c>
      <c r="AH185" t="s">
        <v>22</v>
      </c>
      <c r="AI185" t="s">
        <v>97</v>
      </c>
      <c r="AK185">
        <v>2726</v>
      </c>
      <c r="AL185">
        <v>1386</v>
      </c>
    </row>
    <row r="186" spans="1:38">
      <c r="A186" t="s">
        <v>382</v>
      </c>
      <c r="B186" t="s">
        <v>382</v>
      </c>
      <c r="C186" t="s">
        <v>382</v>
      </c>
      <c r="D186" t="s">
        <v>382</v>
      </c>
      <c r="E186" t="s">
        <v>382</v>
      </c>
      <c r="F186" t="s">
        <v>382</v>
      </c>
      <c r="G186" t="s">
        <v>382</v>
      </c>
      <c r="H186" t="s">
        <v>382</v>
      </c>
      <c r="I186" t="s">
        <v>382</v>
      </c>
      <c r="J186" t="s">
        <v>382</v>
      </c>
      <c r="K186" t="s">
        <v>382</v>
      </c>
      <c r="L186" t="s">
        <v>382</v>
      </c>
      <c r="M186" t="s">
        <v>382</v>
      </c>
      <c r="N186" t="s">
        <v>382</v>
      </c>
      <c r="O186" t="s">
        <v>382</v>
      </c>
      <c r="P186" t="s">
        <v>382</v>
      </c>
      <c r="Q186" t="s">
        <v>382</v>
      </c>
      <c r="R186" t="s">
        <v>382</v>
      </c>
      <c r="S186" t="s">
        <v>382</v>
      </c>
      <c r="T186" t="s">
        <v>382</v>
      </c>
      <c r="U186" t="s">
        <v>382</v>
      </c>
      <c r="V186" t="s">
        <v>382</v>
      </c>
      <c r="W186" t="s">
        <v>382</v>
      </c>
      <c r="X186" t="s">
        <v>382</v>
      </c>
      <c r="Y186" t="s">
        <v>382</v>
      </c>
      <c r="Z186" t="s">
        <v>382</v>
      </c>
      <c r="AA186" t="s">
        <v>382</v>
      </c>
      <c r="AB186" t="s">
        <v>382</v>
      </c>
      <c r="AC186">
        <v>5</v>
      </c>
      <c r="AD186">
        <v>5</v>
      </c>
      <c r="AE186">
        <v>1</v>
      </c>
      <c r="AF186" t="s">
        <v>487</v>
      </c>
      <c r="AH186" t="s">
        <v>153</v>
      </c>
      <c r="AI186" t="s">
        <v>97</v>
      </c>
      <c r="AK186">
        <v>2900</v>
      </c>
      <c r="AL186">
        <v>353</v>
      </c>
    </row>
    <row r="187" spans="1:38">
      <c r="A187" t="s">
        <v>382</v>
      </c>
      <c r="B187" t="s">
        <v>382</v>
      </c>
      <c r="C187" t="s">
        <v>382</v>
      </c>
      <c r="D187" t="s">
        <v>382</v>
      </c>
      <c r="E187" t="s">
        <v>382</v>
      </c>
      <c r="F187" t="s">
        <v>382</v>
      </c>
      <c r="G187" t="s">
        <v>382</v>
      </c>
      <c r="H187" t="s">
        <v>382</v>
      </c>
      <c r="I187" t="s">
        <v>382</v>
      </c>
      <c r="J187" t="s">
        <v>382</v>
      </c>
      <c r="K187" t="s">
        <v>382</v>
      </c>
      <c r="L187" t="s">
        <v>382</v>
      </c>
      <c r="M187" t="s">
        <v>382</v>
      </c>
      <c r="N187" t="s">
        <v>382</v>
      </c>
      <c r="O187" t="s">
        <v>382</v>
      </c>
      <c r="P187" t="s">
        <v>382</v>
      </c>
      <c r="Q187" t="s">
        <v>382</v>
      </c>
      <c r="R187" t="s">
        <v>382</v>
      </c>
      <c r="S187" t="s">
        <v>382</v>
      </c>
      <c r="T187" t="s">
        <v>382</v>
      </c>
      <c r="U187" t="s">
        <v>382</v>
      </c>
      <c r="V187" t="s">
        <v>382</v>
      </c>
      <c r="W187" t="s">
        <v>382</v>
      </c>
      <c r="X187" t="s">
        <v>382</v>
      </c>
      <c r="Y187" t="s">
        <v>382</v>
      </c>
      <c r="Z187" t="s">
        <v>382</v>
      </c>
      <c r="AA187" t="s">
        <v>382</v>
      </c>
      <c r="AB187" t="s">
        <v>382</v>
      </c>
      <c r="AC187">
        <v>5</v>
      </c>
      <c r="AD187">
        <v>1</v>
      </c>
      <c r="AE187">
        <v>1</v>
      </c>
      <c r="AF187" t="s">
        <v>393</v>
      </c>
      <c r="AH187" t="s">
        <v>51</v>
      </c>
      <c r="AI187" t="s">
        <v>97</v>
      </c>
      <c r="AK187">
        <v>837</v>
      </c>
      <c r="AL187">
        <v>889</v>
      </c>
    </row>
    <row r="188" spans="1:38">
      <c r="A188" t="s">
        <v>382</v>
      </c>
      <c r="B188" t="s">
        <v>382</v>
      </c>
      <c r="C188" t="s">
        <v>382</v>
      </c>
      <c r="D188" t="s">
        <v>382</v>
      </c>
      <c r="E188" t="s">
        <v>382</v>
      </c>
      <c r="F188" t="s">
        <v>382</v>
      </c>
      <c r="G188" t="s">
        <v>382</v>
      </c>
      <c r="H188" t="s">
        <v>382</v>
      </c>
      <c r="I188" t="s">
        <v>382</v>
      </c>
      <c r="J188" t="s">
        <v>382</v>
      </c>
      <c r="K188" t="s">
        <v>382</v>
      </c>
      <c r="L188" t="s">
        <v>382</v>
      </c>
      <c r="M188" t="s">
        <v>382</v>
      </c>
      <c r="N188" t="s">
        <v>382</v>
      </c>
      <c r="O188" t="s">
        <v>382</v>
      </c>
      <c r="P188" t="s">
        <v>382</v>
      </c>
      <c r="Q188" t="s">
        <v>382</v>
      </c>
      <c r="R188" t="s">
        <v>382</v>
      </c>
      <c r="S188" t="s">
        <v>382</v>
      </c>
      <c r="T188" t="s">
        <v>382</v>
      </c>
      <c r="U188" t="s">
        <v>382</v>
      </c>
      <c r="V188" t="s">
        <v>382</v>
      </c>
      <c r="W188" t="s">
        <v>382</v>
      </c>
      <c r="X188" t="s">
        <v>382</v>
      </c>
      <c r="Y188" t="s">
        <v>382</v>
      </c>
      <c r="Z188" t="s">
        <v>382</v>
      </c>
      <c r="AA188" t="s">
        <v>382</v>
      </c>
      <c r="AB188" t="s">
        <v>382</v>
      </c>
      <c r="AC188">
        <v>5</v>
      </c>
      <c r="AD188">
        <v>2</v>
      </c>
      <c r="AF188" t="s">
        <v>386</v>
      </c>
      <c r="AH188" t="s">
        <v>29</v>
      </c>
      <c r="AI188" t="s">
        <v>103</v>
      </c>
      <c r="AK188">
        <v>1900</v>
      </c>
      <c r="AL188">
        <v>2035</v>
      </c>
    </row>
    <row r="189" spans="1:38">
      <c r="A189" t="s">
        <v>382</v>
      </c>
      <c r="B189" t="s">
        <v>382</v>
      </c>
      <c r="C189" t="s">
        <v>382</v>
      </c>
      <c r="D189" t="s">
        <v>382</v>
      </c>
      <c r="E189" t="s">
        <v>382</v>
      </c>
      <c r="F189" t="s">
        <v>382</v>
      </c>
      <c r="G189" t="s">
        <v>382</v>
      </c>
      <c r="H189" t="s">
        <v>382</v>
      </c>
      <c r="I189" t="s">
        <v>382</v>
      </c>
      <c r="J189" t="s">
        <v>382</v>
      </c>
      <c r="K189" t="s">
        <v>382</v>
      </c>
      <c r="L189" t="s">
        <v>382</v>
      </c>
      <c r="M189" t="s">
        <v>382</v>
      </c>
      <c r="N189" t="s">
        <v>382</v>
      </c>
      <c r="O189" t="s">
        <v>382</v>
      </c>
      <c r="P189" t="s">
        <v>382</v>
      </c>
      <c r="Q189" t="s">
        <v>382</v>
      </c>
      <c r="R189" t="s">
        <v>382</v>
      </c>
      <c r="S189" t="s">
        <v>382</v>
      </c>
      <c r="T189" t="s">
        <v>382</v>
      </c>
      <c r="U189" t="s">
        <v>382</v>
      </c>
      <c r="V189" t="s">
        <v>382</v>
      </c>
      <c r="W189" t="s">
        <v>382</v>
      </c>
      <c r="X189" t="s">
        <v>382</v>
      </c>
      <c r="Y189" t="s">
        <v>382</v>
      </c>
      <c r="Z189" t="s">
        <v>382</v>
      </c>
      <c r="AA189" t="s">
        <v>382</v>
      </c>
      <c r="AB189" t="s">
        <v>382</v>
      </c>
      <c r="AC189">
        <v>5</v>
      </c>
      <c r="AD189">
        <v>3</v>
      </c>
      <c r="AE189">
        <v>1</v>
      </c>
      <c r="AF189" t="s">
        <v>394</v>
      </c>
      <c r="AH189" t="s">
        <v>55</v>
      </c>
      <c r="AI189" t="s">
        <v>97</v>
      </c>
      <c r="AK189">
        <v>2335</v>
      </c>
      <c r="AL189">
        <v>304</v>
      </c>
    </row>
    <row r="190" spans="1:38">
      <c r="A190" t="s">
        <v>382</v>
      </c>
      <c r="B190" t="s">
        <v>382</v>
      </c>
      <c r="C190" t="s">
        <v>382</v>
      </c>
      <c r="D190" t="s">
        <v>382</v>
      </c>
      <c r="E190" t="s">
        <v>382</v>
      </c>
      <c r="F190" t="s">
        <v>382</v>
      </c>
      <c r="G190" t="s">
        <v>382</v>
      </c>
      <c r="H190" t="s">
        <v>382</v>
      </c>
      <c r="I190" t="s">
        <v>382</v>
      </c>
      <c r="J190" t="s">
        <v>382</v>
      </c>
      <c r="K190" t="s">
        <v>382</v>
      </c>
      <c r="L190" t="s">
        <v>382</v>
      </c>
      <c r="M190" t="s">
        <v>382</v>
      </c>
      <c r="N190" t="s">
        <v>382</v>
      </c>
      <c r="O190" t="s">
        <v>382</v>
      </c>
      <c r="P190" t="s">
        <v>382</v>
      </c>
      <c r="Q190" t="s">
        <v>382</v>
      </c>
      <c r="R190" t="s">
        <v>382</v>
      </c>
      <c r="S190" t="s">
        <v>382</v>
      </c>
      <c r="T190" t="s">
        <v>382</v>
      </c>
      <c r="U190" t="s">
        <v>382</v>
      </c>
      <c r="V190" t="s">
        <v>382</v>
      </c>
      <c r="W190" t="s">
        <v>382</v>
      </c>
      <c r="X190" t="s">
        <v>382</v>
      </c>
      <c r="Y190" t="s">
        <v>382</v>
      </c>
      <c r="Z190" t="s">
        <v>382</v>
      </c>
      <c r="AA190" t="s">
        <v>382</v>
      </c>
      <c r="AB190" t="s">
        <v>382</v>
      </c>
      <c r="AC190">
        <v>5</v>
      </c>
      <c r="AD190">
        <v>4</v>
      </c>
      <c r="AE190">
        <v>1</v>
      </c>
      <c r="AF190" t="s">
        <v>395</v>
      </c>
      <c r="AH190" t="s">
        <v>59</v>
      </c>
      <c r="AI190" t="s">
        <v>97</v>
      </c>
      <c r="AK190">
        <v>711</v>
      </c>
      <c r="AL190">
        <v>436</v>
      </c>
    </row>
    <row r="191" spans="1:38">
      <c r="A191" t="s">
        <v>382</v>
      </c>
      <c r="B191" t="s">
        <v>382</v>
      </c>
      <c r="C191" t="s">
        <v>382</v>
      </c>
      <c r="D191" t="s">
        <v>382</v>
      </c>
      <c r="E191" t="s">
        <v>382</v>
      </c>
      <c r="F191" t="s">
        <v>382</v>
      </c>
      <c r="G191" t="s">
        <v>382</v>
      </c>
      <c r="H191" t="s">
        <v>382</v>
      </c>
      <c r="I191" t="s">
        <v>382</v>
      </c>
      <c r="J191" t="s">
        <v>382</v>
      </c>
      <c r="K191" t="s">
        <v>382</v>
      </c>
      <c r="L191" t="s">
        <v>382</v>
      </c>
      <c r="M191" t="s">
        <v>382</v>
      </c>
      <c r="N191" t="s">
        <v>382</v>
      </c>
      <c r="O191" t="s">
        <v>382</v>
      </c>
      <c r="P191" t="s">
        <v>382</v>
      </c>
      <c r="Q191" t="s">
        <v>382</v>
      </c>
      <c r="R191" t="s">
        <v>382</v>
      </c>
      <c r="S191" t="s">
        <v>382</v>
      </c>
      <c r="T191" t="s">
        <v>382</v>
      </c>
      <c r="U191" t="s">
        <v>382</v>
      </c>
      <c r="V191" t="s">
        <v>382</v>
      </c>
      <c r="W191" t="s">
        <v>382</v>
      </c>
      <c r="X191" t="s">
        <v>382</v>
      </c>
      <c r="Y191" t="s">
        <v>382</v>
      </c>
      <c r="Z191" t="s">
        <v>382</v>
      </c>
      <c r="AA191" t="s">
        <v>382</v>
      </c>
      <c r="AB191" t="s">
        <v>382</v>
      </c>
      <c r="AC191">
        <v>5</v>
      </c>
      <c r="AD191">
        <v>5</v>
      </c>
      <c r="AE191">
        <v>1</v>
      </c>
      <c r="AF191" t="s">
        <v>393</v>
      </c>
      <c r="AH191" t="s">
        <v>51</v>
      </c>
      <c r="AI191" t="s">
        <v>97</v>
      </c>
      <c r="AK191">
        <v>777</v>
      </c>
      <c r="AL191">
        <v>1339</v>
      </c>
    </row>
    <row r="192" spans="1:38">
      <c r="A192" t="s">
        <v>382</v>
      </c>
      <c r="B192" t="s">
        <v>382</v>
      </c>
      <c r="C192" t="s">
        <v>382</v>
      </c>
      <c r="D192" t="s">
        <v>382</v>
      </c>
      <c r="E192" t="s">
        <v>382</v>
      </c>
      <c r="F192" t="s">
        <v>382</v>
      </c>
      <c r="G192" t="s">
        <v>382</v>
      </c>
      <c r="H192" t="s">
        <v>382</v>
      </c>
      <c r="I192" t="s">
        <v>382</v>
      </c>
      <c r="J192" t="s">
        <v>382</v>
      </c>
      <c r="K192" t="s">
        <v>382</v>
      </c>
      <c r="L192" t="s">
        <v>382</v>
      </c>
      <c r="M192" t="s">
        <v>382</v>
      </c>
      <c r="N192" t="s">
        <v>382</v>
      </c>
      <c r="O192" t="s">
        <v>382</v>
      </c>
      <c r="P192" t="s">
        <v>382</v>
      </c>
      <c r="Q192" t="s">
        <v>382</v>
      </c>
      <c r="R192" t="s">
        <v>382</v>
      </c>
      <c r="S192" t="s">
        <v>382</v>
      </c>
      <c r="T192" t="s">
        <v>382</v>
      </c>
      <c r="U192" t="s">
        <v>382</v>
      </c>
      <c r="V192" t="s">
        <v>382</v>
      </c>
      <c r="W192" t="s">
        <v>382</v>
      </c>
      <c r="X192" t="s">
        <v>382</v>
      </c>
      <c r="Y192" t="s">
        <v>382</v>
      </c>
      <c r="Z192" t="s">
        <v>382</v>
      </c>
      <c r="AA192" t="s">
        <v>382</v>
      </c>
      <c r="AB192" t="s">
        <v>382</v>
      </c>
      <c r="AC192">
        <v>5</v>
      </c>
      <c r="AD192">
        <v>1</v>
      </c>
      <c r="AE192">
        <v>1</v>
      </c>
      <c r="AF192" t="s">
        <v>394</v>
      </c>
      <c r="AH192" t="s">
        <v>55</v>
      </c>
      <c r="AI192" t="s">
        <v>97</v>
      </c>
      <c r="AK192">
        <v>1823</v>
      </c>
      <c r="AL192">
        <v>282</v>
      </c>
    </row>
    <row r="193" spans="1:38">
      <c r="A193" t="s">
        <v>382</v>
      </c>
      <c r="B193" t="s">
        <v>382</v>
      </c>
      <c r="C193" t="s">
        <v>382</v>
      </c>
      <c r="D193" t="s">
        <v>382</v>
      </c>
      <c r="E193" t="s">
        <v>382</v>
      </c>
      <c r="F193" t="s">
        <v>382</v>
      </c>
      <c r="G193" t="s">
        <v>382</v>
      </c>
      <c r="H193" t="s">
        <v>382</v>
      </c>
      <c r="I193" t="s">
        <v>382</v>
      </c>
      <c r="J193" t="s">
        <v>382</v>
      </c>
      <c r="K193" t="s">
        <v>382</v>
      </c>
      <c r="L193" t="s">
        <v>382</v>
      </c>
      <c r="M193" t="s">
        <v>382</v>
      </c>
      <c r="N193" t="s">
        <v>382</v>
      </c>
      <c r="O193" t="s">
        <v>382</v>
      </c>
      <c r="P193" t="s">
        <v>382</v>
      </c>
      <c r="Q193" t="s">
        <v>382</v>
      </c>
      <c r="R193" t="s">
        <v>382</v>
      </c>
      <c r="S193" t="s">
        <v>382</v>
      </c>
      <c r="T193" t="s">
        <v>382</v>
      </c>
      <c r="U193" t="s">
        <v>382</v>
      </c>
      <c r="V193" t="s">
        <v>382</v>
      </c>
      <c r="W193" t="s">
        <v>382</v>
      </c>
      <c r="X193" t="s">
        <v>382</v>
      </c>
      <c r="Y193" t="s">
        <v>382</v>
      </c>
      <c r="Z193" t="s">
        <v>382</v>
      </c>
      <c r="AA193" t="s">
        <v>382</v>
      </c>
      <c r="AB193" t="s">
        <v>382</v>
      </c>
      <c r="AC193">
        <v>5</v>
      </c>
      <c r="AD193">
        <v>2</v>
      </c>
      <c r="AE193">
        <v>1</v>
      </c>
      <c r="AF193" t="s">
        <v>394</v>
      </c>
      <c r="AH193" t="s">
        <v>55</v>
      </c>
      <c r="AI193" t="s">
        <v>97</v>
      </c>
      <c r="AK193">
        <v>1604</v>
      </c>
      <c r="AL193">
        <v>176</v>
      </c>
    </row>
    <row r="194" spans="1:38">
      <c r="A194" t="s">
        <v>382</v>
      </c>
      <c r="B194" t="s">
        <v>382</v>
      </c>
      <c r="C194" t="s">
        <v>382</v>
      </c>
      <c r="D194" t="s">
        <v>382</v>
      </c>
      <c r="E194" t="s">
        <v>382</v>
      </c>
      <c r="F194" t="s">
        <v>382</v>
      </c>
      <c r="G194" t="s">
        <v>382</v>
      </c>
      <c r="H194" t="s">
        <v>382</v>
      </c>
      <c r="I194" t="s">
        <v>382</v>
      </c>
      <c r="J194" t="s">
        <v>382</v>
      </c>
      <c r="K194" t="s">
        <v>382</v>
      </c>
      <c r="L194" t="s">
        <v>382</v>
      </c>
      <c r="M194" t="s">
        <v>382</v>
      </c>
      <c r="N194" t="s">
        <v>382</v>
      </c>
      <c r="O194" t="s">
        <v>382</v>
      </c>
      <c r="P194" t="s">
        <v>382</v>
      </c>
      <c r="Q194" t="s">
        <v>382</v>
      </c>
      <c r="R194" t="s">
        <v>382</v>
      </c>
      <c r="S194" t="s">
        <v>382</v>
      </c>
      <c r="T194" t="s">
        <v>382</v>
      </c>
      <c r="U194" t="s">
        <v>382</v>
      </c>
      <c r="V194" t="s">
        <v>382</v>
      </c>
      <c r="W194" t="s">
        <v>382</v>
      </c>
      <c r="X194" t="s">
        <v>382</v>
      </c>
      <c r="Y194" t="s">
        <v>382</v>
      </c>
      <c r="Z194" t="s">
        <v>382</v>
      </c>
      <c r="AA194" t="s">
        <v>382</v>
      </c>
      <c r="AB194" t="s">
        <v>382</v>
      </c>
      <c r="AC194">
        <v>5</v>
      </c>
      <c r="AD194">
        <v>3</v>
      </c>
      <c r="AF194" t="s">
        <v>385</v>
      </c>
      <c r="AH194" t="s">
        <v>27</v>
      </c>
      <c r="AI194" t="s">
        <v>109</v>
      </c>
      <c r="AK194">
        <v>1847</v>
      </c>
      <c r="AL194">
        <v>2094</v>
      </c>
    </row>
    <row r="195" spans="1:38">
      <c r="A195" t="s">
        <v>382</v>
      </c>
      <c r="B195" t="s">
        <v>382</v>
      </c>
      <c r="C195" t="s">
        <v>382</v>
      </c>
      <c r="D195" t="s">
        <v>382</v>
      </c>
      <c r="E195" t="s">
        <v>382</v>
      </c>
      <c r="F195" t="s">
        <v>382</v>
      </c>
      <c r="G195" t="s">
        <v>382</v>
      </c>
      <c r="H195" t="s">
        <v>382</v>
      </c>
      <c r="I195" t="s">
        <v>382</v>
      </c>
      <c r="J195" t="s">
        <v>382</v>
      </c>
      <c r="K195" t="s">
        <v>382</v>
      </c>
      <c r="L195" t="s">
        <v>382</v>
      </c>
      <c r="M195" t="s">
        <v>382</v>
      </c>
      <c r="N195" t="s">
        <v>382</v>
      </c>
      <c r="O195" t="s">
        <v>382</v>
      </c>
      <c r="P195" t="s">
        <v>382</v>
      </c>
      <c r="Q195" t="s">
        <v>382</v>
      </c>
      <c r="R195" t="s">
        <v>382</v>
      </c>
      <c r="S195" t="s">
        <v>382</v>
      </c>
      <c r="T195" t="s">
        <v>382</v>
      </c>
      <c r="U195" t="s">
        <v>382</v>
      </c>
      <c r="V195" t="s">
        <v>382</v>
      </c>
      <c r="W195" t="s">
        <v>382</v>
      </c>
      <c r="X195" t="s">
        <v>382</v>
      </c>
      <c r="Y195" t="s">
        <v>382</v>
      </c>
      <c r="Z195" t="s">
        <v>382</v>
      </c>
      <c r="AA195" t="s">
        <v>382</v>
      </c>
      <c r="AB195" t="s">
        <v>382</v>
      </c>
      <c r="AC195">
        <v>5</v>
      </c>
      <c r="AD195">
        <v>4</v>
      </c>
      <c r="AE195">
        <v>1</v>
      </c>
      <c r="AF195" t="s">
        <v>394</v>
      </c>
      <c r="AH195" t="s">
        <v>55</v>
      </c>
      <c r="AI195" t="s">
        <v>97</v>
      </c>
      <c r="AK195">
        <v>1687</v>
      </c>
      <c r="AL195">
        <v>571</v>
      </c>
    </row>
    <row r="196" spans="1:38">
      <c r="A196" t="s">
        <v>382</v>
      </c>
      <c r="B196" t="s">
        <v>382</v>
      </c>
      <c r="C196" t="s">
        <v>382</v>
      </c>
      <c r="D196" t="s">
        <v>382</v>
      </c>
      <c r="E196" t="s">
        <v>382</v>
      </c>
      <c r="F196" t="s">
        <v>382</v>
      </c>
      <c r="G196" t="s">
        <v>382</v>
      </c>
      <c r="H196" t="s">
        <v>382</v>
      </c>
      <c r="I196" t="s">
        <v>382</v>
      </c>
      <c r="J196" t="s">
        <v>382</v>
      </c>
      <c r="K196" t="s">
        <v>382</v>
      </c>
      <c r="L196" t="s">
        <v>382</v>
      </c>
      <c r="M196" t="s">
        <v>382</v>
      </c>
      <c r="N196" t="s">
        <v>382</v>
      </c>
      <c r="O196" t="s">
        <v>382</v>
      </c>
      <c r="P196" t="s">
        <v>382</v>
      </c>
      <c r="Q196" t="s">
        <v>382</v>
      </c>
      <c r="R196" t="s">
        <v>382</v>
      </c>
      <c r="S196" t="s">
        <v>382</v>
      </c>
      <c r="T196" t="s">
        <v>382</v>
      </c>
      <c r="U196" t="s">
        <v>382</v>
      </c>
      <c r="V196" t="s">
        <v>382</v>
      </c>
      <c r="W196" t="s">
        <v>382</v>
      </c>
      <c r="X196" t="s">
        <v>382</v>
      </c>
      <c r="Y196" t="s">
        <v>382</v>
      </c>
      <c r="Z196" t="s">
        <v>382</v>
      </c>
      <c r="AA196" t="s">
        <v>382</v>
      </c>
      <c r="AB196" t="s">
        <v>382</v>
      </c>
      <c r="AC196">
        <v>5</v>
      </c>
      <c r="AD196">
        <v>5</v>
      </c>
      <c r="AE196">
        <v>1</v>
      </c>
      <c r="AF196" t="s">
        <v>390</v>
      </c>
      <c r="AH196" t="s">
        <v>37</v>
      </c>
      <c r="AI196" t="s">
        <v>97</v>
      </c>
      <c r="AK196">
        <v>1103</v>
      </c>
      <c r="AL196">
        <v>1852</v>
      </c>
    </row>
    <row r="197" spans="1:38">
      <c r="A197" t="s">
        <v>382</v>
      </c>
      <c r="B197" t="s">
        <v>382</v>
      </c>
      <c r="C197" t="s">
        <v>382</v>
      </c>
      <c r="D197" t="s">
        <v>382</v>
      </c>
      <c r="E197" t="s">
        <v>382</v>
      </c>
      <c r="F197" t="s">
        <v>382</v>
      </c>
      <c r="G197" t="s">
        <v>382</v>
      </c>
      <c r="H197" t="s">
        <v>382</v>
      </c>
      <c r="I197" t="s">
        <v>382</v>
      </c>
      <c r="J197" t="s">
        <v>382</v>
      </c>
      <c r="K197" t="s">
        <v>382</v>
      </c>
      <c r="L197" t="s">
        <v>382</v>
      </c>
      <c r="M197" t="s">
        <v>382</v>
      </c>
      <c r="N197" t="s">
        <v>382</v>
      </c>
      <c r="O197" t="s">
        <v>382</v>
      </c>
      <c r="P197" t="s">
        <v>382</v>
      </c>
      <c r="Q197" t="s">
        <v>382</v>
      </c>
      <c r="R197" t="s">
        <v>382</v>
      </c>
      <c r="S197" t="s">
        <v>382</v>
      </c>
      <c r="T197" t="s">
        <v>382</v>
      </c>
      <c r="U197" t="s">
        <v>382</v>
      </c>
      <c r="V197" t="s">
        <v>382</v>
      </c>
      <c r="W197" t="s">
        <v>382</v>
      </c>
      <c r="X197" t="s">
        <v>382</v>
      </c>
      <c r="Y197" t="s">
        <v>382</v>
      </c>
      <c r="Z197" t="s">
        <v>382</v>
      </c>
      <c r="AA197" t="s">
        <v>382</v>
      </c>
      <c r="AB197" t="s">
        <v>382</v>
      </c>
      <c r="AC197">
        <v>5</v>
      </c>
      <c r="AD197">
        <v>1</v>
      </c>
      <c r="AE197">
        <v>1</v>
      </c>
      <c r="AF197" t="s">
        <v>390</v>
      </c>
      <c r="AH197" t="s">
        <v>37</v>
      </c>
      <c r="AI197" t="s">
        <v>97</v>
      </c>
      <c r="AK197">
        <v>2526</v>
      </c>
      <c r="AL197">
        <v>1825</v>
      </c>
    </row>
    <row r="198" spans="1:38">
      <c r="A198" t="s">
        <v>382</v>
      </c>
      <c r="B198" t="s">
        <v>382</v>
      </c>
      <c r="C198" t="s">
        <v>382</v>
      </c>
      <c r="D198" t="s">
        <v>382</v>
      </c>
      <c r="E198" t="s">
        <v>382</v>
      </c>
      <c r="F198" t="s">
        <v>382</v>
      </c>
      <c r="G198" t="s">
        <v>382</v>
      </c>
      <c r="H198" t="s">
        <v>382</v>
      </c>
      <c r="I198" t="s">
        <v>382</v>
      </c>
      <c r="J198" t="s">
        <v>382</v>
      </c>
      <c r="K198" t="s">
        <v>382</v>
      </c>
      <c r="L198" t="s">
        <v>382</v>
      </c>
      <c r="M198" t="s">
        <v>382</v>
      </c>
      <c r="N198" t="s">
        <v>382</v>
      </c>
      <c r="O198" t="s">
        <v>382</v>
      </c>
      <c r="P198" t="s">
        <v>382</v>
      </c>
      <c r="Q198" t="s">
        <v>382</v>
      </c>
      <c r="R198" t="s">
        <v>382</v>
      </c>
      <c r="S198" t="s">
        <v>382</v>
      </c>
      <c r="T198" t="s">
        <v>382</v>
      </c>
      <c r="U198" t="s">
        <v>382</v>
      </c>
      <c r="V198" t="s">
        <v>382</v>
      </c>
      <c r="W198" t="s">
        <v>382</v>
      </c>
      <c r="X198" t="s">
        <v>382</v>
      </c>
      <c r="Y198" t="s">
        <v>382</v>
      </c>
      <c r="Z198" t="s">
        <v>382</v>
      </c>
      <c r="AA198" t="s">
        <v>382</v>
      </c>
      <c r="AB198" t="s">
        <v>382</v>
      </c>
      <c r="AC198">
        <v>5</v>
      </c>
      <c r="AD198">
        <v>2</v>
      </c>
      <c r="AE198">
        <v>1</v>
      </c>
      <c r="AF198" t="s">
        <v>383</v>
      </c>
      <c r="AH198" t="s">
        <v>22</v>
      </c>
      <c r="AI198" t="s">
        <v>97</v>
      </c>
      <c r="AK198">
        <v>2822</v>
      </c>
      <c r="AL198">
        <v>522</v>
      </c>
    </row>
    <row r="199" spans="1:38">
      <c r="A199" t="s">
        <v>382</v>
      </c>
      <c r="B199" t="s">
        <v>382</v>
      </c>
      <c r="C199" t="s">
        <v>382</v>
      </c>
      <c r="D199" t="s">
        <v>382</v>
      </c>
      <c r="E199" t="s">
        <v>382</v>
      </c>
      <c r="F199" t="s">
        <v>382</v>
      </c>
      <c r="G199" t="s">
        <v>382</v>
      </c>
      <c r="H199" t="s">
        <v>382</v>
      </c>
      <c r="I199" t="s">
        <v>382</v>
      </c>
      <c r="J199" t="s">
        <v>382</v>
      </c>
      <c r="K199" t="s">
        <v>382</v>
      </c>
      <c r="L199" t="s">
        <v>382</v>
      </c>
      <c r="M199" t="s">
        <v>382</v>
      </c>
      <c r="N199" t="s">
        <v>382</v>
      </c>
      <c r="O199" t="s">
        <v>382</v>
      </c>
      <c r="P199" t="s">
        <v>382</v>
      </c>
      <c r="Q199" t="s">
        <v>382</v>
      </c>
      <c r="R199" t="s">
        <v>382</v>
      </c>
      <c r="S199" t="s">
        <v>382</v>
      </c>
      <c r="T199" t="s">
        <v>382</v>
      </c>
      <c r="U199" t="s">
        <v>382</v>
      </c>
      <c r="V199" t="s">
        <v>382</v>
      </c>
      <c r="W199" t="s">
        <v>382</v>
      </c>
      <c r="X199" t="s">
        <v>382</v>
      </c>
      <c r="Y199" t="s">
        <v>382</v>
      </c>
      <c r="Z199" t="s">
        <v>382</v>
      </c>
      <c r="AA199" t="s">
        <v>382</v>
      </c>
      <c r="AB199" t="s">
        <v>382</v>
      </c>
      <c r="AC199">
        <v>5</v>
      </c>
      <c r="AD199">
        <v>3</v>
      </c>
      <c r="AE199">
        <v>1</v>
      </c>
      <c r="AF199" t="s">
        <v>383</v>
      </c>
      <c r="AH199" t="s">
        <v>22</v>
      </c>
      <c r="AI199" t="s">
        <v>97</v>
      </c>
      <c r="AK199">
        <v>617</v>
      </c>
      <c r="AL199">
        <v>227</v>
      </c>
    </row>
    <row r="200" spans="1:38">
      <c r="A200" t="s">
        <v>382</v>
      </c>
      <c r="B200" t="s">
        <v>382</v>
      </c>
      <c r="C200" t="s">
        <v>382</v>
      </c>
      <c r="D200" t="s">
        <v>382</v>
      </c>
      <c r="E200" t="s">
        <v>382</v>
      </c>
      <c r="F200" t="s">
        <v>382</v>
      </c>
      <c r="G200" t="s">
        <v>382</v>
      </c>
      <c r="H200" t="s">
        <v>382</v>
      </c>
      <c r="I200" t="s">
        <v>382</v>
      </c>
      <c r="J200" t="s">
        <v>382</v>
      </c>
      <c r="K200" t="s">
        <v>382</v>
      </c>
      <c r="L200" t="s">
        <v>382</v>
      </c>
      <c r="M200" t="s">
        <v>382</v>
      </c>
      <c r="N200" t="s">
        <v>382</v>
      </c>
      <c r="O200" t="s">
        <v>382</v>
      </c>
      <c r="P200" t="s">
        <v>382</v>
      </c>
      <c r="Q200" t="s">
        <v>382</v>
      </c>
      <c r="R200" t="s">
        <v>382</v>
      </c>
      <c r="S200" t="s">
        <v>382</v>
      </c>
      <c r="T200" t="s">
        <v>382</v>
      </c>
      <c r="U200" t="s">
        <v>382</v>
      </c>
      <c r="V200" t="s">
        <v>382</v>
      </c>
      <c r="W200" t="s">
        <v>382</v>
      </c>
      <c r="X200" t="s">
        <v>382</v>
      </c>
      <c r="Y200" t="s">
        <v>382</v>
      </c>
      <c r="Z200" t="s">
        <v>382</v>
      </c>
      <c r="AA200" t="s">
        <v>382</v>
      </c>
      <c r="AB200" t="s">
        <v>382</v>
      </c>
      <c r="AC200">
        <v>5</v>
      </c>
      <c r="AD200">
        <v>4</v>
      </c>
      <c r="AE200">
        <v>1</v>
      </c>
      <c r="AF200" t="s">
        <v>383</v>
      </c>
      <c r="AH200" t="s">
        <v>22</v>
      </c>
      <c r="AI200" t="s">
        <v>97</v>
      </c>
      <c r="AK200">
        <v>2707</v>
      </c>
      <c r="AL200">
        <v>153</v>
      </c>
    </row>
    <row r="201" spans="1:38">
      <c r="A201" t="s">
        <v>382</v>
      </c>
      <c r="B201" t="s">
        <v>382</v>
      </c>
      <c r="C201" t="s">
        <v>382</v>
      </c>
      <c r="D201" t="s">
        <v>382</v>
      </c>
      <c r="E201" t="s">
        <v>382</v>
      </c>
      <c r="F201" t="s">
        <v>382</v>
      </c>
      <c r="G201" t="s">
        <v>382</v>
      </c>
      <c r="H201" t="s">
        <v>382</v>
      </c>
      <c r="I201" t="s">
        <v>382</v>
      </c>
      <c r="J201" t="s">
        <v>382</v>
      </c>
      <c r="K201" t="s">
        <v>382</v>
      </c>
      <c r="L201" t="s">
        <v>382</v>
      </c>
      <c r="M201" t="s">
        <v>382</v>
      </c>
      <c r="N201" t="s">
        <v>382</v>
      </c>
      <c r="O201" t="s">
        <v>382</v>
      </c>
      <c r="P201" t="s">
        <v>382</v>
      </c>
      <c r="Q201" t="s">
        <v>382</v>
      </c>
      <c r="R201" t="s">
        <v>382</v>
      </c>
      <c r="S201" t="s">
        <v>382</v>
      </c>
      <c r="T201" t="s">
        <v>382</v>
      </c>
      <c r="U201" t="s">
        <v>382</v>
      </c>
      <c r="V201" t="s">
        <v>382</v>
      </c>
      <c r="W201" t="s">
        <v>382</v>
      </c>
      <c r="X201" t="s">
        <v>382</v>
      </c>
      <c r="Y201" t="s">
        <v>382</v>
      </c>
      <c r="Z201" t="s">
        <v>382</v>
      </c>
      <c r="AA201" t="s">
        <v>382</v>
      </c>
      <c r="AB201" t="s">
        <v>382</v>
      </c>
      <c r="AC201">
        <v>5</v>
      </c>
      <c r="AD201">
        <v>5</v>
      </c>
      <c r="AF201" t="s">
        <v>386</v>
      </c>
      <c r="AH201" t="s">
        <v>29</v>
      </c>
      <c r="AI201" t="s">
        <v>103</v>
      </c>
      <c r="AK201">
        <v>475</v>
      </c>
      <c r="AL201">
        <v>940</v>
      </c>
    </row>
    <row r="202" spans="1:38">
      <c r="A202" t="s">
        <v>382</v>
      </c>
      <c r="B202" t="s">
        <v>382</v>
      </c>
      <c r="C202" t="s">
        <v>382</v>
      </c>
      <c r="D202" t="s">
        <v>382</v>
      </c>
      <c r="E202" t="s">
        <v>382</v>
      </c>
      <c r="F202" t="s">
        <v>382</v>
      </c>
      <c r="G202" t="s">
        <v>382</v>
      </c>
      <c r="H202" t="s">
        <v>382</v>
      </c>
      <c r="I202" t="s">
        <v>382</v>
      </c>
      <c r="J202" t="s">
        <v>382</v>
      </c>
      <c r="K202" t="s">
        <v>382</v>
      </c>
      <c r="L202" t="s">
        <v>382</v>
      </c>
      <c r="M202" t="s">
        <v>382</v>
      </c>
      <c r="N202" t="s">
        <v>382</v>
      </c>
      <c r="O202" t="s">
        <v>382</v>
      </c>
      <c r="P202" t="s">
        <v>382</v>
      </c>
      <c r="Q202" t="s">
        <v>382</v>
      </c>
      <c r="R202" t="s">
        <v>382</v>
      </c>
      <c r="S202" t="s">
        <v>382</v>
      </c>
      <c r="T202" t="s">
        <v>382</v>
      </c>
      <c r="U202" t="s">
        <v>382</v>
      </c>
      <c r="V202" t="s">
        <v>382</v>
      </c>
      <c r="W202" t="s">
        <v>382</v>
      </c>
      <c r="X202" t="s">
        <v>382</v>
      </c>
      <c r="Y202" t="s">
        <v>382</v>
      </c>
      <c r="Z202" t="s">
        <v>382</v>
      </c>
      <c r="AA202" t="s">
        <v>382</v>
      </c>
      <c r="AB202" t="s">
        <v>382</v>
      </c>
      <c r="AC202">
        <v>5</v>
      </c>
      <c r="AD202">
        <v>1</v>
      </c>
      <c r="AE202">
        <v>1</v>
      </c>
      <c r="AF202" t="s">
        <v>383</v>
      </c>
      <c r="AH202" t="s">
        <v>22</v>
      </c>
      <c r="AI202" t="s">
        <v>97</v>
      </c>
      <c r="AK202">
        <v>765</v>
      </c>
      <c r="AL202">
        <v>2066</v>
      </c>
    </row>
    <row r="203" spans="1:38">
      <c r="A203" t="s">
        <v>382</v>
      </c>
      <c r="B203" t="s">
        <v>382</v>
      </c>
      <c r="C203" t="s">
        <v>382</v>
      </c>
      <c r="D203" t="s">
        <v>382</v>
      </c>
      <c r="E203" t="s">
        <v>382</v>
      </c>
      <c r="F203" t="s">
        <v>382</v>
      </c>
      <c r="G203" t="s">
        <v>382</v>
      </c>
      <c r="H203" t="s">
        <v>382</v>
      </c>
      <c r="I203" t="s">
        <v>382</v>
      </c>
      <c r="J203" t="s">
        <v>382</v>
      </c>
      <c r="K203" t="s">
        <v>382</v>
      </c>
      <c r="L203" t="s">
        <v>382</v>
      </c>
      <c r="M203" t="s">
        <v>382</v>
      </c>
      <c r="N203" t="s">
        <v>382</v>
      </c>
      <c r="O203" t="s">
        <v>382</v>
      </c>
      <c r="P203" t="s">
        <v>382</v>
      </c>
      <c r="Q203" t="s">
        <v>382</v>
      </c>
      <c r="R203" t="s">
        <v>382</v>
      </c>
      <c r="S203" t="s">
        <v>382</v>
      </c>
      <c r="T203" t="s">
        <v>382</v>
      </c>
      <c r="U203" t="s">
        <v>382</v>
      </c>
      <c r="V203" t="s">
        <v>382</v>
      </c>
      <c r="W203" t="s">
        <v>382</v>
      </c>
      <c r="X203" t="s">
        <v>382</v>
      </c>
      <c r="Y203" t="s">
        <v>382</v>
      </c>
      <c r="Z203" t="s">
        <v>382</v>
      </c>
      <c r="AA203" t="s">
        <v>382</v>
      </c>
      <c r="AB203" t="s">
        <v>382</v>
      </c>
      <c r="AC203">
        <v>5</v>
      </c>
      <c r="AD203">
        <v>2</v>
      </c>
      <c r="AE203">
        <v>1</v>
      </c>
      <c r="AF203" t="s">
        <v>383</v>
      </c>
      <c r="AH203" t="s">
        <v>22</v>
      </c>
      <c r="AI203" t="s">
        <v>97</v>
      </c>
      <c r="AK203">
        <v>2228</v>
      </c>
      <c r="AL203">
        <v>237</v>
      </c>
    </row>
    <row r="204" spans="1:38">
      <c r="A204" t="s">
        <v>382</v>
      </c>
      <c r="B204" t="s">
        <v>382</v>
      </c>
      <c r="C204" t="s">
        <v>382</v>
      </c>
      <c r="D204" t="s">
        <v>382</v>
      </c>
      <c r="E204" t="s">
        <v>382</v>
      </c>
      <c r="F204" t="s">
        <v>382</v>
      </c>
      <c r="G204" t="s">
        <v>382</v>
      </c>
      <c r="H204" t="s">
        <v>382</v>
      </c>
      <c r="I204" t="s">
        <v>382</v>
      </c>
      <c r="J204" t="s">
        <v>382</v>
      </c>
      <c r="K204" t="s">
        <v>382</v>
      </c>
      <c r="L204" t="s">
        <v>382</v>
      </c>
      <c r="M204" t="s">
        <v>382</v>
      </c>
      <c r="N204" t="s">
        <v>382</v>
      </c>
      <c r="O204" t="s">
        <v>382</v>
      </c>
      <c r="P204" t="s">
        <v>382</v>
      </c>
      <c r="Q204" t="s">
        <v>382</v>
      </c>
      <c r="R204" t="s">
        <v>382</v>
      </c>
      <c r="S204" t="s">
        <v>382</v>
      </c>
      <c r="T204" t="s">
        <v>382</v>
      </c>
      <c r="U204" t="s">
        <v>382</v>
      </c>
      <c r="V204" t="s">
        <v>382</v>
      </c>
      <c r="W204" t="s">
        <v>382</v>
      </c>
      <c r="X204" t="s">
        <v>382</v>
      </c>
      <c r="Y204" t="s">
        <v>382</v>
      </c>
      <c r="Z204" t="s">
        <v>382</v>
      </c>
      <c r="AA204" t="s">
        <v>382</v>
      </c>
      <c r="AB204" t="s">
        <v>382</v>
      </c>
      <c r="AC204">
        <v>5</v>
      </c>
      <c r="AD204">
        <v>3</v>
      </c>
      <c r="AE204">
        <v>1</v>
      </c>
      <c r="AF204" t="s">
        <v>383</v>
      </c>
      <c r="AH204" t="s">
        <v>22</v>
      </c>
      <c r="AI204" t="s">
        <v>97</v>
      </c>
      <c r="AK204">
        <v>2806</v>
      </c>
      <c r="AL204">
        <v>987</v>
      </c>
    </row>
    <row r="205" spans="1:38">
      <c r="A205" t="s">
        <v>382</v>
      </c>
      <c r="B205" t="s">
        <v>382</v>
      </c>
      <c r="C205" t="s">
        <v>382</v>
      </c>
      <c r="D205" t="s">
        <v>382</v>
      </c>
      <c r="E205" t="s">
        <v>382</v>
      </c>
      <c r="F205" t="s">
        <v>382</v>
      </c>
      <c r="G205" t="s">
        <v>382</v>
      </c>
      <c r="H205" t="s">
        <v>382</v>
      </c>
      <c r="I205" t="s">
        <v>382</v>
      </c>
      <c r="J205" t="s">
        <v>382</v>
      </c>
      <c r="K205" t="s">
        <v>382</v>
      </c>
      <c r="L205" t="s">
        <v>382</v>
      </c>
      <c r="M205" t="s">
        <v>382</v>
      </c>
      <c r="N205" t="s">
        <v>382</v>
      </c>
      <c r="O205" t="s">
        <v>382</v>
      </c>
      <c r="P205" t="s">
        <v>382</v>
      </c>
      <c r="Q205" t="s">
        <v>382</v>
      </c>
      <c r="R205" t="s">
        <v>382</v>
      </c>
      <c r="S205" t="s">
        <v>382</v>
      </c>
      <c r="T205" t="s">
        <v>382</v>
      </c>
      <c r="U205" t="s">
        <v>382</v>
      </c>
      <c r="V205" t="s">
        <v>382</v>
      </c>
      <c r="W205" t="s">
        <v>382</v>
      </c>
      <c r="X205" t="s">
        <v>382</v>
      </c>
      <c r="Y205" t="s">
        <v>382</v>
      </c>
      <c r="Z205" t="s">
        <v>382</v>
      </c>
      <c r="AA205" t="s">
        <v>382</v>
      </c>
      <c r="AB205" t="s">
        <v>382</v>
      </c>
      <c r="AC205">
        <v>5</v>
      </c>
      <c r="AD205">
        <v>4</v>
      </c>
      <c r="AF205" t="s">
        <v>386</v>
      </c>
      <c r="AH205" t="s">
        <v>29</v>
      </c>
      <c r="AI205" t="s">
        <v>103</v>
      </c>
      <c r="AK205">
        <v>1469</v>
      </c>
      <c r="AL205">
        <v>1997</v>
      </c>
    </row>
    <row r="206" spans="1:38">
      <c r="A206" t="s">
        <v>382</v>
      </c>
      <c r="B206" t="s">
        <v>382</v>
      </c>
      <c r="C206" t="s">
        <v>382</v>
      </c>
      <c r="D206" t="s">
        <v>382</v>
      </c>
      <c r="E206" t="s">
        <v>382</v>
      </c>
      <c r="F206" t="s">
        <v>382</v>
      </c>
      <c r="G206" t="s">
        <v>382</v>
      </c>
      <c r="H206" t="s">
        <v>382</v>
      </c>
      <c r="I206" t="s">
        <v>382</v>
      </c>
      <c r="J206" t="s">
        <v>382</v>
      </c>
      <c r="K206" t="s">
        <v>382</v>
      </c>
      <c r="L206" t="s">
        <v>382</v>
      </c>
      <c r="M206" t="s">
        <v>382</v>
      </c>
      <c r="N206" t="s">
        <v>382</v>
      </c>
      <c r="O206" t="s">
        <v>382</v>
      </c>
      <c r="P206" t="s">
        <v>382</v>
      </c>
      <c r="Q206" t="s">
        <v>382</v>
      </c>
      <c r="R206" t="s">
        <v>382</v>
      </c>
      <c r="S206" t="s">
        <v>382</v>
      </c>
      <c r="T206" t="s">
        <v>382</v>
      </c>
      <c r="U206" t="s">
        <v>382</v>
      </c>
      <c r="V206" t="s">
        <v>382</v>
      </c>
      <c r="W206" t="s">
        <v>382</v>
      </c>
      <c r="X206" t="s">
        <v>382</v>
      </c>
      <c r="Y206" t="s">
        <v>382</v>
      </c>
      <c r="Z206" t="s">
        <v>382</v>
      </c>
      <c r="AA206" t="s">
        <v>382</v>
      </c>
      <c r="AB206" t="s">
        <v>382</v>
      </c>
      <c r="AC206">
        <v>5</v>
      </c>
      <c r="AD206">
        <v>5</v>
      </c>
      <c r="AE206">
        <v>1</v>
      </c>
      <c r="AF206" t="s">
        <v>383</v>
      </c>
      <c r="AH206" t="s">
        <v>22</v>
      </c>
      <c r="AI206" t="s">
        <v>97</v>
      </c>
      <c r="AK206">
        <v>1167</v>
      </c>
      <c r="AL206">
        <v>161</v>
      </c>
    </row>
    <row r="207" spans="1:38">
      <c r="A207" t="s">
        <v>382</v>
      </c>
      <c r="B207" t="s">
        <v>382</v>
      </c>
      <c r="C207" t="s">
        <v>382</v>
      </c>
      <c r="D207" t="s">
        <v>382</v>
      </c>
      <c r="E207" t="s">
        <v>382</v>
      </c>
      <c r="F207" t="s">
        <v>382</v>
      </c>
      <c r="G207" t="s">
        <v>382</v>
      </c>
      <c r="H207" t="s">
        <v>382</v>
      </c>
      <c r="I207" t="s">
        <v>382</v>
      </c>
      <c r="J207" t="s">
        <v>382</v>
      </c>
      <c r="K207" t="s">
        <v>382</v>
      </c>
      <c r="L207" t="s">
        <v>382</v>
      </c>
      <c r="M207" t="s">
        <v>382</v>
      </c>
      <c r="N207" t="s">
        <v>382</v>
      </c>
      <c r="O207" t="s">
        <v>382</v>
      </c>
      <c r="P207" t="s">
        <v>382</v>
      </c>
      <c r="Q207" t="s">
        <v>382</v>
      </c>
      <c r="R207" t="s">
        <v>382</v>
      </c>
      <c r="S207" t="s">
        <v>382</v>
      </c>
      <c r="T207" t="s">
        <v>382</v>
      </c>
      <c r="U207" t="s">
        <v>382</v>
      </c>
      <c r="V207" t="s">
        <v>382</v>
      </c>
      <c r="W207" t="s">
        <v>382</v>
      </c>
      <c r="X207" t="s">
        <v>382</v>
      </c>
      <c r="Y207" t="s">
        <v>382</v>
      </c>
      <c r="Z207" t="s">
        <v>382</v>
      </c>
      <c r="AA207" t="s">
        <v>382</v>
      </c>
      <c r="AB207" t="s">
        <v>382</v>
      </c>
      <c r="AC207">
        <v>5</v>
      </c>
      <c r="AD207">
        <v>1</v>
      </c>
      <c r="AE207">
        <v>1</v>
      </c>
      <c r="AF207" t="s">
        <v>383</v>
      </c>
      <c r="AH207" t="s">
        <v>22</v>
      </c>
      <c r="AI207" t="s">
        <v>97</v>
      </c>
      <c r="AK207">
        <v>1930</v>
      </c>
      <c r="AL207">
        <v>2317</v>
      </c>
    </row>
    <row r="208" spans="1:38">
      <c r="A208" t="s">
        <v>382</v>
      </c>
      <c r="B208" t="s">
        <v>382</v>
      </c>
      <c r="C208" t="s">
        <v>382</v>
      </c>
      <c r="D208" t="s">
        <v>382</v>
      </c>
      <c r="E208" t="s">
        <v>382</v>
      </c>
      <c r="F208" t="s">
        <v>382</v>
      </c>
      <c r="G208" t="s">
        <v>382</v>
      </c>
      <c r="H208" t="s">
        <v>382</v>
      </c>
      <c r="I208" t="s">
        <v>382</v>
      </c>
      <c r="J208" t="s">
        <v>382</v>
      </c>
      <c r="K208" t="s">
        <v>382</v>
      </c>
      <c r="L208" t="s">
        <v>382</v>
      </c>
      <c r="M208" t="s">
        <v>382</v>
      </c>
      <c r="N208" t="s">
        <v>382</v>
      </c>
      <c r="O208" t="s">
        <v>382</v>
      </c>
      <c r="P208" t="s">
        <v>382</v>
      </c>
      <c r="Q208" t="s">
        <v>382</v>
      </c>
      <c r="R208" t="s">
        <v>382</v>
      </c>
      <c r="S208" t="s">
        <v>382</v>
      </c>
      <c r="T208" t="s">
        <v>382</v>
      </c>
      <c r="U208" t="s">
        <v>382</v>
      </c>
      <c r="V208" t="s">
        <v>382</v>
      </c>
      <c r="W208" t="s">
        <v>382</v>
      </c>
      <c r="X208" t="s">
        <v>382</v>
      </c>
      <c r="Y208" t="s">
        <v>382</v>
      </c>
      <c r="Z208" t="s">
        <v>382</v>
      </c>
      <c r="AA208" t="s">
        <v>382</v>
      </c>
      <c r="AB208" t="s">
        <v>382</v>
      </c>
      <c r="AC208">
        <v>5</v>
      </c>
      <c r="AD208">
        <v>2</v>
      </c>
      <c r="AE208">
        <v>1</v>
      </c>
      <c r="AF208" t="s">
        <v>383</v>
      </c>
      <c r="AH208" t="s">
        <v>22</v>
      </c>
      <c r="AI208" t="s">
        <v>97</v>
      </c>
      <c r="AK208">
        <v>616</v>
      </c>
      <c r="AL208">
        <v>880</v>
      </c>
    </row>
    <row r="209" spans="1:38">
      <c r="A209" t="s">
        <v>382</v>
      </c>
      <c r="B209" t="s">
        <v>382</v>
      </c>
      <c r="C209" t="s">
        <v>382</v>
      </c>
      <c r="D209" t="s">
        <v>382</v>
      </c>
      <c r="E209" t="s">
        <v>382</v>
      </c>
      <c r="F209" t="s">
        <v>382</v>
      </c>
      <c r="G209" t="s">
        <v>382</v>
      </c>
      <c r="H209" t="s">
        <v>382</v>
      </c>
      <c r="I209" t="s">
        <v>382</v>
      </c>
      <c r="J209" t="s">
        <v>382</v>
      </c>
      <c r="K209" t="s">
        <v>382</v>
      </c>
      <c r="L209" t="s">
        <v>382</v>
      </c>
      <c r="M209" t="s">
        <v>382</v>
      </c>
      <c r="N209" t="s">
        <v>382</v>
      </c>
      <c r="O209" t="s">
        <v>382</v>
      </c>
      <c r="P209" t="s">
        <v>382</v>
      </c>
      <c r="Q209" t="s">
        <v>382</v>
      </c>
      <c r="R209" t="s">
        <v>382</v>
      </c>
      <c r="S209" t="s">
        <v>382</v>
      </c>
      <c r="T209" t="s">
        <v>382</v>
      </c>
      <c r="U209" t="s">
        <v>382</v>
      </c>
      <c r="V209" t="s">
        <v>382</v>
      </c>
      <c r="W209" t="s">
        <v>382</v>
      </c>
      <c r="X209" t="s">
        <v>382</v>
      </c>
      <c r="Y209" t="s">
        <v>382</v>
      </c>
      <c r="Z209" t="s">
        <v>382</v>
      </c>
      <c r="AA209" t="s">
        <v>382</v>
      </c>
      <c r="AB209" t="s">
        <v>382</v>
      </c>
      <c r="AC209">
        <v>5</v>
      </c>
      <c r="AD209">
        <v>3</v>
      </c>
      <c r="AF209" t="s">
        <v>385</v>
      </c>
      <c r="AH209" t="s">
        <v>27</v>
      </c>
      <c r="AI209" t="s">
        <v>109</v>
      </c>
      <c r="AK209">
        <v>2692</v>
      </c>
      <c r="AL209">
        <v>495</v>
      </c>
    </row>
    <row r="210" spans="1:38">
      <c r="A210" t="s">
        <v>382</v>
      </c>
      <c r="B210" t="s">
        <v>382</v>
      </c>
      <c r="C210" t="s">
        <v>382</v>
      </c>
      <c r="D210" t="s">
        <v>382</v>
      </c>
      <c r="E210" t="s">
        <v>382</v>
      </c>
      <c r="F210" t="s">
        <v>382</v>
      </c>
      <c r="G210" t="s">
        <v>382</v>
      </c>
      <c r="H210" t="s">
        <v>382</v>
      </c>
      <c r="I210" t="s">
        <v>382</v>
      </c>
      <c r="J210" t="s">
        <v>382</v>
      </c>
      <c r="K210" t="s">
        <v>382</v>
      </c>
      <c r="L210" t="s">
        <v>382</v>
      </c>
      <c r="M210" t="s">
        <v>382</v>
      </c>
      <c r="N210" t="s">
        <v>382</v>
      </c>
      <c r="O210" t="s">
        <v>382</v>
      </c>
      <c r="P210" t="s">
        <v>382</v>
      </c>
      <c r="Q210" t="s">
        <v>382</v>
      </c>
      <c r="R210" t="s">
        <v>382</v>
      </c>
      <c r="S210" t="s">
        <v>382</v>
      </c>
      <c r="T210" t="s">
        <v>382</v>
      </c>
      <c r="U210" t="s">
        <v>382</v>
      </c>
      <c r="V210" t="s">
        <v>382</v>
      </c>
      <c r="W210" t="s">
        <v>382</v>
      </c>
      <c r="X210" t="s">
        <v>382</v>
      </c>
      <c r="Y210" t="s">
        <v>382</v>
      </c>
      <c r="Z210" t="s">
        <v>382</v>
      </c>
      <c r="AA210" t="s">
        <v>382</v>
      </c>
      <c r="AB210" t="s">
        <v>382</v>
      </c>
      <c r="AC210">
        <v>5</v>
      </c>
      <c r="AD210">
        <v>4</v>
      </c>
      <c r="AF210" t="s">
        <v>386</v>
      </c>
      <c r="AH210" t="s">
        <v>29</v>
      </c>
      <c r="AI210" t="s">
        <v>103</v>
      </c>
      <c r="AK210">
        <v>2213</v>
      </c>
      <c r="AL210">
        <v>1150</v>
      </c>
    </row>
    <row r="211" spans="1:38">
      <c r="A211" t="s">
        <v>382</v>
      </c>
      <c r="B211" t="s">
        <v>382</v>
      </c>
      <c r="C211" t="s">
        <v>382</v>
      </c>
      <c r="D211" t="s">
        <v>382</v>
      </c>
      <c r="E211" t="s">
        <v>382</v>
      </c>
      <c r="F211" t="s">
        <v>382</v>
      </c>
      <c r="G211" t="s">
        <v>382</v>
      </c>
      <c r="H211" t="s">
        <v>382</v>
      </c>
      <c r="I211" t="s">
        <v>382</v>
      </c>
      <c r="J211" t="s">
        <v>382</v>
      </c>
      <c r="K211" t="s">
        <v>382</v>
      </c>
      <c r="L211" t="s">
        <v>382</v>
      </c>
      <c r="M211" t="s">
        <v>382</v>
      </c>
      <c r="N211" t="s">
        <v>382</v>
      </c>
      <c r="O211" t="s">
        <v>382</v>
      </c>
      <c r="P211" t="s">
        <v>382</v>
      </c>
      <c r="Q211" t="s">
        <v>382</v>
      </c>
      <c r="R211" t="s">
        <v>382</v>
      </c>
      <c r="S211" t="s">
        <v>382</v>
      </c>
      <c r="T211" t="s">
        <v>382</v>
      </c>
      <c r="U211" t="s">
        <v>382</v>
      </c>
      <c r="V211" t="s">
        <v>382</v>
      </c>
      <c r="W211" t="s">
        <v>382</v>
      </c>
      <c r="X211" t="s">
        <v>382</v>
      </c>
      <c r="Y211" t="s">
        <v>382</v>
      </c>
      <c r="Z211" t="s">
        <v>382</v>
      </c>
      <c r="AA211" t="s">
        <v>382</v>
      </c>
      <c r="AB211" t="s">
        <v>382</v>
      </c>
      <c r="AC211">
        <v>5</v>
      </c>
      <c r="AD211">
        <v>5</v>
      </c>
      <c r="AE211">
        <v>1</v>
      </c>
      <c r="AF211" t="s">
        <v>383</v>
      </c>
      <c r="AH211" t="s">
        <v>22</v>
      </c>
      <c r="AI211" t="s">
        <v>97</v>
      </c>
      <c r="AK211">
        <v>567</v>
      </c>
      <c r="AL211">
        <v>496</v>
      </c>
    </row>
    <row r="212" spans="1:38">
      <c r="A212" t="s">
        <v>382</v>
      </c>
      <c r="B212" t="s">
        <v>382</v>
      </c>
      <c r="C212" t="s">
        <v>382</v>
      </c>
      <c r="D212" t="s">
        <v>382</v>
      </c>
      <c r="E212" t="s">
        <v>382</v>
      </c>
      <c r="F212" t="s">
        <v>382</v>
      </c>
      <c r="G212" t="s">
        <v>382</v>
      </c>
      <c r="H212" t="s">
        <v>382</v>
      </c>
      <c r="I212" t="s">
        <v>382</v>
      </c>
      <c r="J212" t="s">
        <v>382</v>
      </c>
      <c r="K212" t="s">
        <v>382</v>
      </c>
      <c r="L212" t="s">
        <v>382</v>
      </c>
      <c r="M212" t="s">
        <v>382</v>
      </c>
      <c r="N212" t="s">
        <v>382</v>
      </c>
      <c r="O212" t="s">
        <v>382</v>
      </c>
      <c r="P212" t="s">
        <v>382</v>
      </c>
      <c r="Q212" t="s">
        <v>382</v>
      </c>
      <c r="R212" t="s">
        <v>382</v>
      </c>
      <c r="S212" t="s">
        <v>382</v>
      </c>
      <c r="T212" t="s">
        <v>382</v>
      </c>
      <c r="U212" t="s">
        <v>382</v>
      </c>
      <c r="V212" t="s">
        <v>382</v>
      </c>
      <c r="W212" t="s">
        <v>382</v>
      </c>
      <c r="X212" t="s">
        <v>382</v>
      </c>
      <c r="Y212" t="s">
        <v>382</v>
      </c>
      <c r="Z212" t="s">
        <v>382</v>
      </c>
      <c r="AA212" t="s">
        <v>382</v>
      </c>
      <c r="AB212" t="s">
        <v>382</v>
      </c>
      <c r="AC212">
        <v>5</v>
      </c>
      <c r="AD212">
        <v>1</v>
      </c>
      <c r="AF212" t="s">
        <v>386</v>
      </c>
      <c r="AH212" t="s">
        <v>29</v>
      </c>
      <c r="AI212" t="s">
        <v>103</v>
      </c>
      <c r="AK212">
        <v>2103</v>
      </c>
      <c r="AL212">
        <v>67</v>
      </c>
    </row>
    <row r="213" spans="1:38">
      <c r="A213" t="s">
        <v>382</v>
      </c>
      <c r="B213" t="s">
        <v>382</v>
      </c>
      <c r="C213" t="s">
        <v>382</v>
      </c>
      <c r="D213" t="s">
        <v>382</v>
      </c>
      <c r="E213" t="s">
        <v>382</v>
      </c>
      <c r="F213" t="s">
        <v>382</v>
      </c>
      <c r="G213" t="s">
        <v>382</v>
      </c>
      <c r="H213" t="s">
        <v>382</v>
      </c>
      <c r="I213" t="s">
        <v>382</v>
      </c>
      <c r="J213" t="s">
        <v>382</v>
      </c>
      <c r="K213" t="s">
        <v>382</v>
      </c>
      <c r="L213" t="s">
        <v>382</v>
      </c>
      <c r="M213" t="s">
        <v>382</v>
      </c>
      <c r="N213" t="s">
        <v>382</v>
      </c>
      <c r="O213" t="s">
        <v>382</v>
      </c>
      <c r="P213" t="s">
        <v>382</v>
      </c>
      <c r="Q213" t="s">
        <v>382</v>
      </c>
      <c r="R213" t="s">
        <v>382</v>
      </c>
      <c r="S213" t="s">
        <v>382</v>
      </c>
      <c r="T213" t="s">
        <v>382</v>
      </c>
      <c r="U213" t="s">
        <v>382</v>
      </c>
      <c r="V213" t="s">
        <v>382</v>
      </c>
      <c r="W213" t="s">
        <v>382</v>
      </c>
      <c r="X213" t="s">
        <v>382</v>
      </c>
      <c r="Y213" t="s">
        <v>382</v>
      </c>
      <c r="Z213" t="s">
        <v>382</v>
      </c>
      <c r="AA213" t="s">
        <v>382</v>
      </c>
      <c r="AB213" t="s">
        <v>382</v>
      </c>
      <c r="AC213">
        <v>5</v>
      </c>
      <c r="AD213">
        <v>2</v>
      </c>
      <c r="AF213" t="s">
        <v>386</v>
      </c>
      <c r="AH213" t="s">
        <v>29</v>
      </c>
      <c r="AI213" t="s">
        <v>103</v>
      </c>
      <c r="AK213">
        <v>2583</v>
      </c>
      <c r="AL213">
        <v>477</v>
      </c>
    </row>
    <row r="214" spans="1:38">
      <c r="A214" t="s">
        <v>382</v>
      </c>
      <c r="B214" t="s">
        <v>382</v>
      </c>
      <c r="C214" t="s">
        <v>382</v>
      </c>
      <c r="D214" t="s">
        <v>382</v>
      </c>
      <c r="E214" t="s">
        <v>382</v>
      </c>
      <c r="F214" t="s">
        <v>382</v>
      </c>
      <c r="G214" t="s">
        <v>382</v>
      </c>
      <c r="H214" t="s">
        <v>382</v>
      </c>
      <c r="I214" t="s">
        <v>382</v>
      </c>
      <c r="J214" t="s">
        <v>382</v>
      </c>
      <c r="K214" t="s">
        <v>382</v>
      </c>
      <c r="L214" t="s">
        <v>382</v>
      </c>
      <c r="M214" t="s">
        <v>382</v>
      </c>
      <c r="N214" t="s">
        <v>382</v>
      </c>
      <c r="O214" t="s">
        <v>382</v>
      </c>
      <c r="P214" t="s">
        <v>382</v>
      </c>
      <c r="Q214" t="s">
        <v>382</v>
      </c>
      <c r="R214" t="s">
        <v>382</v>
      </c>
      <c r="S214" t="s">
        <v>382</v>
      </c>
      <c r="T214" t="s">
        <v>382</v>
      </c>
      <c r="U214" t="s">
        <v>382</v>
      </c>
      <c r="V214" t="s">
        <v>382</v>
      </c>
      <c r="W214" t="s">
        <v>382</v>
      </c>
      <c r="X214" t="s">
        <v>382</v>
      </c>
      <c r="Y214" t="s">
        <v>382</v>
      </c>
      <c r="Z214" t="s">
        <v>382</v>
      </c>
      <c r="AA214" t="s">
        <v>382</v>
      </c>
      <c r="AB214" t="s">
        <v>382</v>
      </c>
      <c r="AC214">
        <v>5</v>
      </c>
      <c r="AD214">
        <v>3</v>
      </c>
      <c r="AF214" t="s">
        <v>385</v>
      </c>
      <c r="AH214" t="s">
        <v>27</v>
      </c>
      <c r="AI214" t="s">
        <v>109</v>
      </c>
      <c r="AK214">
        <v>2159</v>
      </c>
      <c r="AL214">
        <v>237</v>
      </c>
    </row>
    <row r="215" spans="1:38">
      <c r="A215" t="s">
        <v>382</v>
      </c>
      <c r="B215" t="s">
        <v>382</v>
      </c>
      <c r="C215" t="s">
        <v>382</v>
      </c>
      <c r="D215" t="s">
        <v>382</v>
      </c>
      <c r="E215" t="s">
        <v>382</v>
      </c>
      <c r="F215" t="s">
        <v>382</v>
      </c>
      <c r="G215" t="s">
        <v>382</v>
      </c>
      <c r="H215" t="s">
        <v>382</v>
      </c>
      <c r="I215" t="s">
        <v>382</v>
      </c>
      <c r="J215" t="s">
        <v>382</v>
      </c>
      <c r="K215" t="s">
        <v>382</v>
      </c>
      <c r="L215" t="s">
        <v>382</v>
      </c>
      <c r="M215" t="s">
        <v>382</v>
      </c>
      <c r="N215" t="s">
        <v>382</v>
      </c>
      <c r="O215" t="s">
        <v>382</v>
      </c>
      <c r="P215" t="s">
        <v>382</v>
      </c>
      <c r="Q215" t="s">
        <v>382</v>
      </c>
      <c r="R215" t="s">
        <v>382</v>
      </c>
      <c r="S215" t="s">
        <v>382</v>
      </c>
      <c r="T215" t="s">
        <v>382</v>
      </c>
      <c r="U215" t="s">
        <v>382</v>
      </c>
      <c r="V215" t="s">
        <v>382</v>
      </c>
      <c r="W215" t="s">
        <v>382</v>
      </c>
      <c r="X215" t="s">
        <v>382</v>
      </c>
      <c r="Y215" t="s">
        <v>382</v>
      </c>
      <c r="Z215" t="s">
        <v>382</v>
      </c>
      <c r="AA215" t="s">
        <v>382</v>
      </c>
      <c r="AB215" t="s">
        <v>382</v>
      </c>
      <c r="AC215">
        <v>5</v>
      </c>
      <c r="AD215">
        <v>4</v>
      </c>
      <c r="AF215" t="s">
        <v>386</v>
      </c>
      <c r="AH215" t="s">
        <v>29</v>
      </c>
      <c r="AI215" t="s">
        <v>103</v>
      </c>
      <c r="AK215">
        <v>3010</v>
      </c>
      <c r="AL215">
        <v>1819</v>
      </c>
    </row>
    <row r="216" spans="1:38">
      <c r="A216" t="s">
        <v>382</v>
      </c>
      <c r="B216" t="s">
        <v>382</v>
      </c>
      <c r="C216" t="s">
        <v>382</v>
      </c>
      <c r="D216" t="s">
        <v>382</v>
      </c>
      <c r="E216" t="s">
        <v>382</v>
      </c>
      <c r="F216" t="s">
        <v>382</v>
      </c>
      <c r="G216" t="s">
        <v>382</v>
      </c>
      <c r="H216" t="s">
        <v>382</v>
      </c>
      <c r="I216" t="s">
        <v>382</v>
      </c>
      <c r="J216" t="s">
        <v>382</v>
      </c>
      <c r="K216" t="s">
        <v>382</v>
      </c>
      <c r="L216" t="s">
        <v>382</v>
      </c>
      <c r="M216" t="s">
        <v>382</v>
      </c>
      <c r="N216" t="s">
        <v>382</v>
      </c>
      <c r="O216" t="s">
        <v>382</v>
      </c>
      <c r="P216" t="s">
        <v>382</v>
      </c>
      <c r="Q216" t="s">
        <v>382</v>
      </c>
      <c r="R216" t="s">
        <v>382</v>
      </c>
      <c r="S216" t="s">
        <v>382</v>
      </c>
      <c r="T216" t="s">
        <v>382</v>
      </c>
      <c r="U216" t="s">
        <v>382</v>
      </c>
      <c r="V216" t="s">
        <v>382</v>
      </c>
      <c r="W216" t="s">
        <v>382</v>
      </c>
      <c r="X216" t="s">
        <v>382</v>
      </c>
      <c r="Y216" t="s">
        <v>382</v>
      </c>
      <c r="Z216" t="s">
        <v>382</v>
      </c>
      <c r="AA216" t="s">
        <v>382</v>
      </c>
      <c r="AB216" t="s">
        <v>382</v>
      </c>
      <c r="AC216">
        <v>5</v>
      </c>
      <c r="AD216">
        <v>5</v>
      </c>
      <c r="AE216">
        <v>1</v>
      </c>
      <c r="AF216" t="s">
        <v>383</v>
      </c>
      <c r="AH216" t="s">
        <v>22</v>
      </c>
      <c r="AI216" t="s">
        <v>97</v>
      </c>
      <c r="AK216">
        <v>876</v>
      </c>
      <c r="AL216">
        <v>2313</v>
      </c>
    </row>
    <row r="217" spans="1:38">
      <c r="A217" t="s">
        <v>382</v>
      </c>
      <c r="B217" t="s">
        <v>382</v>
      </c>
      <c r="C217" t="s">
        <v>382</v>
      </c>
      <c r="D217" t="s">
        <v>382</v>
      </c>
      <c r="E217" t="s">
        <v>382</v>
      </c>
      <c r="F217" t="s">
        <v>382</v>
      </c>
      <c r="G217" t="s">
        <v>382</v>
      </c>
      <c r="H217" t="s">
        <v>382</v>
      </c>
      <c r="I217" t="s">
        <v>382</v>
      </c>
      <c r="J217" t="s">
        <v>382</v>
      </c>
      <c r="K217" t="s">
        <v>382</v>
      </c>
      <c r="L217" t="s">
        <v>382</v>
      </c>
      <c r="M217" t="s">
        <v>382</v>
      </c>
      <c r="N217" t="s">
        <v>382</v>
      </c>
      <c r="O217" t="s">
        <v>382</v>
      </c>
      <c r="P217" t="s">
        <v>382</v>
      </c>
      <c r="Q217" t="s">
        <v>382</v>
      </c>
      <c r="R217" t="s">
        <v>382</v>
      </c>
      <c r="S217" t="s">
        <v>382</v>
      </c>
      <c r="T217" t="s">
        <v>382</v>
      </c>
      <c r="U217" t="s">
        <v>382</v>
      </c>
      <c r="V217" t="s">
        <v>382</v>
      </c>
      <c r="W217" t="s">
        <v>382</v>
      </c>
      <c r="X217" t="s">
        <v>382</v>
      </c>
      <c r="Y217" t="s">
        <v>382</v>
      </c>
      <c r="Z217" t="s">
        <v>382</v>
      </c>
      <c r="AA217" t="s">
        <v>382</v>
      </c>
      <c r="AB217" t="s">
        <v>382</v>
      </c>
      <c r="AC217">
        <v>5</v>
      </c>
      <c r="AD217">
        <v>1</v>
      </c>
      <c r="AE217">
        <v>1</v>
      </c>
      <c r="AF217" t="s">
        <v>383</v>
      </c>
      <c r="AH217" t="s">
        <v>22</v>
      </c>
      <c r="AI217" t="s">
        <v>97</v>
      </c>
      <c r="AK217">
        <v>951</v>
      </c>
      <c r="AL217">
        <v>1509</v>
      </c>
    </row>
    <row r="218" spans="1:38">
      <c r="A218" t="s">
        <v>382</v>
      </c>
      <c r="B218" t="s">
        <v>382</v>
      </c>
      <c r="C218" t="s">
        <v>382</v>
      </c>
      <c r="D218" t="s">
        <v>382</v>
      </c>
      <c r="E218" t="s">
        <v>382</v>
      </c>
      <c r="F218" t="s">
        <v>382</v>
      </c>
      <c r="G218" t="s">
        <v>382</v>
      </c>
      <c r="H218" t="s">
        <v>382</v>
      </c>
      <c r="I218" t="s">
        <v>382</v>
      </c>
      <c r="J218" t="s">
        <v>382</v>
      </c>
      <c r="K218" t="s">
        <v>382</v>
      </c>
      <c r="L218" t="s">
        <v>382</v>
      </c>
      <c r="M218" t="s">
        <v>382</v>
      </c>
      <c r="N218" t="s">
        <v>382</v>
      </c>
      <c r="O218" t="s">
        <v>382</v>
      </c>
      <c r="P218" t="s">
        <v>382</v>
      </c>
      <c r="Q218" t="s">
        <v>382</v>
      </c>
      <c r="R218" t="s">
        <v>382</v>
      </c>
      <c r="S218" t="s">
        <v>382</v>
      </c>
      <c r="T218" t="s">
        <v>382</v>
      </c>
      <c r="U218" t="s">
        <v>382</v>
      </c>
      <c r="V218" t="s">
        <v>382</v>
      </c>
      <c r="W218" t="s">
        <v>382</v>
      </c>
      <c r="X218" t="s">
        <v>382</v>
      </c>
      <c r="Y218" t="s">
        <v>382</v>
      </c>
      <c r="Z218" t="s">
        <v>382</v>
      </c>
      <c r="AA218" t="s">
        <v>382</v>
      </c>
      <c r="AB218" t="s">
        <v>382</v>
      </c>
      <c r="AC218">
        <v>5</v>
      </c>
      <c r="AD218">
        <v>2</v>
      </c>
      <c r="AE218">
        <v>1</v>
      </c>
      <c r="AF218" t="s">
        <v>383</v>
      </c>
      <c r="AH218" t="s">
        <v>22</v>
      </c>
      <c r="AI218" t="s">
        <v>97</v>
      </c>
      <c r="AK218">
        <v>620</v>
      </c>
      <c r="AL218">
        <v>874</v>
      </c>
    </row>
    <row r="219" spans="1:38">
      <c r="A219" t="s">
        <v>382</v>
      </c>
      <c r="B219" t="s">
        <v>382</v>
      </c>
      <c r="C219" t="s">
        <v>382</v>
      </c>
      <c r="D219" t="s">
        <v>382</v>
      </c>
      <c r="E219" t="s">
        <v>382</v>
      </c>
      <c r="F219" t="s">
        <v>382</v>
      </c>
      <c r="G219" t="s">
        <v>382</v>
      </c>
      <c r="H219" t="s">
        <v>382</v>
      </c>
      <c r="I219" t="s">
        <v>382</v>
      </c>
      <c r="J219" t="s">
        <v>382</v>
      </c>
      <c r="K219" t="s">
        <v>382</v>
      </c>
      <c r="L219" t="s">
        <v>382</v>
      </c>
      <c r="M219" t="s">
        <v>382</v>
      </c>
      <c r="N219" t="s">
        <v>382</v>
      </c>
      <c r="O219" t="s">
        <v>382</v>
      </c>
      <c r="P219" t="s">
        <v>382</v>
      </c>
      <c r="Q219" t="s">
        <v>382</v>
      </c>
      <c r="R219" t="s">
        <v>382</v>
      </c>
      <c r="S219" t="s">
        <v>382</v>
      </c>
      <c r="T219" t="s">
        <v>382</v>
      </c>
      <c r="U219" t="s">
        <v>382</v>
      </c>
      <c r="V219" t="s">
        <v>382</v>
      </c>
      <c r="W219" t="s">
        <v>382</v>
      </c>
      <c r="X219" t="s">
        <v>382</v>
      </c>
      <c r="Y219" t="s">
        <v>382</v>
      </c>
      <c r="Z219" t="s">
        <v>382</v>
      </c>
      <c r="AA219" t="s">
        <v>382</v>
      </c>
      <c r="AB219" t="s">
        <v>382</v>
      </c>
      <c r="AC219">
        <v>5</v>
      </c>
      <c r="AD219">
        <v>3</v>
      </c>
      <c r="AE219">
        <v>1</v>
      </c>
      <c r="AF219" t="s">
        <v>383</v>
      </c>
      <c r="AH219" t="s">
        <v>22</v>
      </c>
      <c r="AI219" t="s">
        <v>97</v>
      </c>
      <c r="AK219">
        <v>1276</v>
      </c>
      <c r="AL219">
        <v>2587</v>
      </c>
    </row>
    <row r="220" spans="1:38">
      <c r="A220" t="s">
        <v>382</v>
      </c>
      <c r="B220" t="s">
        <v>382</v>
      </c>
      <c r="C220" t="s">
        <v>382</v>
      </c>
      <c r="D220" t="s">
        <v>382</v>
      </c>
      <c r="E220" t="s">
        <v>382</v>
      </c>
      <c r="F220" t="s">
        <v>382</v>
      </c>
      <c r="G220" t="s">
        <v>382</v>
      </c>
      <c r="H220" t="s">
        <v>382</v>
      </c>
      <c r="I220" t="s">
        <v>382</v>
      </c>
      <c r="J220" t="s">
        <v>382</v>
      </c>
      <c r="K220" t="s">
        <v>382</v>
      </c>
      <c r="L220" t="s">
        <v>382</v>
      </c>
      <c r="M220" t="s">
        <v>382</v>
      </c>
      <c r="N220" t="s">
        <v>382</v>
      </c>
      <c r="O220" t="s">
        <v>382</v>
      </c>
      <c r="P220" t="s">
        <v>382</v>
      </c>
      <c r="Q220" t="s">
        <v>382</v>
      </c>
      <c r="R220" t="s">
        <v>382</v>
      </c>
      <c r="S220" t="s">
        <v>382</v>
      </c>
      <c r="T220" t="s">
        <v>382</v>
      </c>
      <c r="U220" t="s">
        <v>382</v>
      </c>
      <c r="V220" t="s">
        <v>382</v>
      </c>
      <c r="W220" t="s">
        <v>382</v>
      </c>
      <c r="X220" t="s">
        <v>382</v>
      </c>
      <c r="Y220" t="s">
        <v>382</v>
      </c>
      <c r="Z220" t="s">
        <v>382</v>
      </c>
      <c r="AA220" t="s">
        <v>382</v>
      </c>
      <c r="AB220" t="s">
        <v>382</v>
      </c>
      <c r="AC220">
        <v>5</v>
      </c>
      <c r="AD220">
        <v>4</v>
      </c>
      <c r="AE220">
        <v>1</v>
      </c>
      <c r="AF220" t="s">
        <v>393</v>
      </c>
      <c r="AH220" t="s">
        <v>51</v>
      </c>
      <c r="AI220" t="s">
        <v>97</v>
      </c>
      <c r="AK220">
        <v>2772</v>
      </c>
      <c r="AL220">
        <v>2556</v>
      </c>
    </row>
    <row r="221" spans="1:38">
      <c r="A221" t="s">
        <v>382</v>
      </c>
      <c r="B221" t="s">
        <v>382</v>
      </c>
      <c r="C221" t="s">
        <v>382</v>
      </c>
      <c r="D221" t="s">
        <v>382</v>
      </c>
      <c r="E221" t="s">
        <v>382</v>
      </c>
      <c r="F221" t="s">
        <v>382</v>
      </c>
      <c r="G221" t="s">
        <v>382</v>
      </c>
      <c r="H221" t="s">
        <v>382</v>
      </c>
      <c r="I221" t="s">
        <v>382</v>
      </c>
      <c r="J221" t="s">
        <v>382</v>
      </c>
      <c r="K221" t="s">
        <v>382</v>
      </c>
      <c r="L221" t="s">
        <v>382</v>
      </c>
      <c r="M221" t="s">
        <v>382</v>
      </c>
      <c r="N221" t="s">
        <v>382</v>
      </c>
      <c r="O221" t="s">
        <v>382</v>
      </c>
      <c r="P221" t="s">
        <v>382</v>
      </c>
      <c r="Q221" t="s">
        <v>382</v>
      </c>
      <c r="R221" t="s">
        <v>382</v>
      </c>
      <c r="S221" t="s">
        <v>382</v>
      </c>
      <c r="T221" t="s">
        <v>382</v>
      </c>
      <c r="U221" t="s">
        <v>382</v>
      </c>
      <c r="V221" t="s">
        <v>382</v>
      </c>
      <c r="W221" t="s">
        <v>382</v>
      </c>
      <c r="X221" t="s">
        <v>382</v>
      </c>
      <c r="Y221" t="s">
        <v>382</v>
      </c>
      <c r="Z221" t="s">
        <v>382</v>
      </c>
      <c r="AA221" t="s">
        <v>382</v>
      </c>
      <c r="AB221" t="s">
        <v>382</v>
      </c>
      <c r="AC221">
        <v>5</v>
      </c>
      <c r="AD221">
        <v>5</v>
      </c>
      <c r="AE221">
        <v>1</v>
      </c>
      <c r="AF221" t="s">
        <v>383</v>
      </c>
      <c r="AH221" t="s">
        <v>22</v>
      </c>
      <c r="AI221" t="s">
        <v>97</v>
      </c>
      <c r="AK221">
        <v>962</v>
      </c>
      <c r="AL221">
        <v>1658</v>
      </c>
    </row>
    <row r="222" spans="1:38">
      <c r="A222" t="s">
        <v>382</v>
      </c>
      <c r="B222" t="s">
        <v>382</v>
      </c>
      <c r="C222" t="s">
        <v>382</v>
      </c>
      <c r="D222" t="s">
        <v>382</v>
      </c>
      <c r="E222" t="s">
        <v>382</v>
      </c>
      <c r="F222" t="s">
        <v>382</v>
      </c>
      <c r="G222" t="s">
        <v>382</v>
      </c>
      <c r="H222" t="s">
        <v>382</v>
      </c>
      <c r="I222" t="s">
        <v>382</v>
      </c>
      <c r="J222" t="s">
        <v>382</v>
      </c>
      <c r="K222" t="s">
        <v>382</v>
      </c>
      <c r="L222" t="s">
        <v>382</v>
      </c>
      <c r="M222" t="s">
        <v>382</v>
      </c>
      <c r="N222" t="s">
        <v>382</v>
      </c>
      <c r="O222" t="s">
        <v>382</v>
      </c>
      <c r="P222" t="s">
        <v>382</v>
      </c>
      <c r="Q222" t="s">
        <v>382</v>
      </c>
      <c r="R222" t="s">
        <v>382</v>
      </c>
      <c r="S222" t="s">
        <v>382</v>
      </c>
      <c r="T222" t="s">
        <v>382</v>
      </c>
      <c r="U222" t="s">
        <v>382</v>
      </c>
      <c r="V222" t="s">
        <v>382</v>
      </c>
      <c r="W222" t="s">
        <v>382</v>
      </c>
      <c r="X222" t="s">
        <v>382</v>
      </c>
      <c r="Y222" t="s">
        <v>382</v>
      </c>
      <c r="Z222" t="s">
        <v>382</v>
      </c>
      <c r="AA222" t="s">
        <v>382</v>
      </c>
      <c r="AB222" t="s">
        <v>382</v>
      </c>
      <c r="AC222">
        <v>5</v>
      </c>
      <c r="AD222">
        <v>1</v>
      </c>
      <c r="AE222">
        <v>1</v>
      </c>
      <c r="AF222" t="s">
        <v>393</v>
      </c>
      <c r="AH222" t="s">
        <v>51</v>
      </c>
      <c r="AI222" t="s">
        <v>97</v>
      </c>
      <c r="AK222">
        <v>1287</v>
      </c>
      <c r="AL222">
        <v>462</v>
      </c>
    </row>
    <row r="223" spans="1:38">
      <c r="A223" t="s">
        <v>382</v>
      </c>
      <c r="B223" t="s">
        <v>382</v>
      </c>
      <c r="C223" t="s">
        <v>382</v>
      </c>
      <c r="D223" t="s">
        <v>382</v>
      </c>
      <c r="E223" t="s">
        <v>382</v>
      </c>
      <c r="F223" t="s">
        <v>382</v>
      </c>
      <c r="G223" t="s">
        <v>382</v>
      </c>
      <c r="H223" t="s">
        <v>382</v>
      </c>
      <c r="I223" t="s">
        <v>382</v>
      </c>
      <c r="J223" t="s">
        <v>382</v>
      </c>
      <c r="K223" t="s">
        <v>382</v>
      </c>
      <c r="L223" t="s">
        <v>382</v>
      </c>
      <c r="M223" t="s">
        <v>382</v>
      </c>
      <c r="N223" t="s">
        <v>382</v>
      </c>
      <c r="O223" t="s">
        <v>382</v>
      </c>
      <c r="P223" t="s">
        <v>382</v>
      </c>
      <c r="Q223" t="s">
        <v>382</v>
      </c>
      <c r="R223" t="s">
        <v>382</v>
      </c>
      <c r="S223" t="s">
        <v>382</v>
      </c>
      <c r="T223" t="s">
        <v>382</v>
      </c>
      <c r="U223" t="s">
        <v>382</v>
      </c>
      <c r="V223" t="s">
        <v>382</v>
      </c>
      <c r="W223" t="s">
        <v>382</v>
      </c>
      <c r="X223" t="s">
        <v>382</v>
      </c>
      <c r="Y223" t="s">
        <v>382</v>
      </c>
      <c r="Z223" t="s">
        <v>382</v>
      </c>
      <c r="AA223" t="s">
        <v>382</v>
      </c>
      <c r="AB223" t="s">
        <v>382</v>
      </c>
      <c r="AC223">
        <v>5</v>
      </c>
      <c r="AD223">
        <v>2</v>
      </c>
      <c r="AF223" t="s">
        <v>386</v>
      </c>
      <c r="AH223" t="s">
        <v>29</v>
      </c>
      <c r="AI223" t="s">
        <v>103</v>
      </c>
      <c r="AK223">
        <v>2231</v>
      </c>
      <c r="AL223">
        <v>590</v>
      </c>
    </row>
    <row r="224" spans="1:38">
      <c r="A224" t="s">
        <v>382</v>
      </c>
      <c r="B224" t="s">
        <v>382</v>
      </c>
      <c r="C224" t="s">
        <v>382</v>
      </c>
      <c r="D224" t="s">
        <v>382</v>
      </c>
      <c r="E224" t="s">
        <v>382</v>
      </c>
      <c r="F224" t="s">
        <v>382</v>
      </c>
      <c r="G224" t="s">
        <v>382</v>
      </c>
      <c r="H224" t="s">
        <v>382</v>
      </c>
      <c r="I224" t="s">
        <v>382</v>
      </c>
      <c r="J224" t="s">
        <v>382</v>
      </c>
      <c r="K224" t="s">
        <v>382</v>
      </c>
      <c r="L224" t="s">
        <v>382</v>
      </c>
      <c r="M224" t="s">
        <v>382</v>
      </c>
      <c r="N224" t="s">
        <v>382</v>
      </c>
      <c r="O224" t="s">
        <v>382</v>
      </c>
      <c r="P224" t="s">
        <v>382</v>
      </c>
      <c r="Q224" t="s">
        <v>382</v>
      </c>
      <c r="R224" t="s">
        <v>382</v>
      </c>
      <c r="S224" t="s">
        <v>382</v>
      </c>
      <c r="T224" t="s">
        <v>382</v>
      </c>
      <c r="U224" t="s">
        <v>382</v>
      </c>
      <c r="V224" t="s">
        <v>382</v>
      </c>
      <c r="W224" t="s">
        <v>382</v>
      </c>
      <c r="X224" t="s">
        <v>382</v>
      </c>
      <c r="Y224" t="s">
        <v>382</v>
      </c>
      <c r="Z224" t="s">
        <v>382</v>
      </c>
      <c r="AA224" t="s">
        <v>382</v>
      </c>
      <c r="AB224" t="s">
        <v>382</v>
      </c>
      <c r="AC224">
        <v>5</v>
      </c>
      <c r="AD224">
        <v>3</v>
      </c>
      <c r="AF224" t="s">
        <v>385</v>
      </c>
      <c r="AH224" t="s">
        <v>27</v>
      </c>
      <c r="AI224" t="s">
        <v>109</v>
      </c>
      <c r="AK224">
        <v>1891</v>
      </c>
      <c r="AL224">
        <v>167</v>
      </c>
    </row>
    <row r="225" spans="1:38">
      <c r="A225" t="s">
        <v>382</v>
      </c>
      <c r="B225" t="s">
        <v>382</v>
      </c>
      <c r="C225" t="s">
        <v>382</v>
      </c>
      <c r="D225" t="s">
        <v>382</v>
      </c>
      <c r="E225" t="s">
        <v>382</v>
      </c>
      <c r="F225" t="s">
        <v>382</v>
      </c>
      <c r="G225" t="s">
        <v>382</v>
      </c>
      <c r="H225" t="s">
        <v>382</v>
      </c>
      <c r="I225" t="s">
        <v>382</v>
      </c>
      <c r="J225" t="s">
        <v>382</v>
      </c>
      <c r="K225" t="s">
        <v>382</v>
      </c>
      <c r="L225" t="s">
        <v>382</v>
      </c>
      <c r="M225" t="s">
        <v>382</v>
      </c>
      <c r="N225" t="s">
        <v>382</v>
      </c>
      <c r="O225" t="s">
        <v>382</v>
      </c>
      <c r="P225" t="s">
        <v>382</v>
      </c>
      <c r="Q225" t="s">
        <v>382</v>
      </c>
      <c r="R225" t="s">
        <v>382</v>
      </c>
      <c r="S225" t="s">
        <v>382</v>
      </c>
      <c r="T225" t="s">
        <v>382</v>
      </c>
      <c r="U225" t="s">
        <v>382</v>
      </c>
      <c r="V225" t="s">
        <v>382</v>
      </c>
      <c r="W225" t="s">
        <v>382</v>
      </c>
      <c r="X225" t="s">
        <v>382</v>
      </c>
      <c r="Y225" t="s">
        <v>382</v>
      </c>
      <c r="Z225" t="s">
        <v>382</v>
      </c>
      <c r="AA225" t="s">
        <v>382</v>
      </c>
      <c r="AB225" t="s">
        <v>382</v>
      </c>
      <c r="AC225">
        <v>5</v>
      </c>
      <c r="AD225">
        <v>4</v>
      </c>
      <c r="AE225">
        <v>1</v>
      </c>
      <c r="AF225" t="s">
        <v>389</v>
      </c>
      <c r="AH225" t="s">
        <v>35</v>
      </c>
      <c r="AI225" t="s">
        <v>97</v>
      </c>
      <c r="AK225">
        <v>3035</v>
      </c>
      <c r="AL225">
        <v>907</v>
      </c>
    </row>
    <row r="226" spans="1:38">
      <c r="A226" t="s">
        <v>382</v>
      </c>
      <c r="B226" t="s">
        <v>382</v>
      </c>
      <c r="C226" t="s">
        <v>382</v>
      </c>
      <c r="D226" t="s">
        <v>382</v>
      </c>
      <c r="E226" t="s">
        <v>382</v>
      </c>
      <c r="F226" t="s">
        <v>382</v>
      </c>
      <c r="G226" t="s">
        <v>382</v>
      </c>
      <c r="H226" t="s">
        <v>382</v>
      </c>
      <c r="I226" t="s">
        <v>382</v>
      </c>
      <c r="J226" t="s">
        <v>382</v>
      </c>
      <c r="K226" t="s">
        <v>382</v>
      </c>
      <c r="L226" t="s">
        <v>382</v>
      </c>
      <c r="M226" t="s">
        <v>382</v>
      </c>
      <c r="N226" t="s">
        <v>382</v>
      </c>
      <c r="O226" t="s">
        <v>382</v>
      </c>
      <c r="P226" t="s">
        <v>382</v>
      </c>
      <c r="Q226" t="s">
        <v>382</v>
      </c>
      <c r="R226" t="s">
        <v>382</v>
      </c>
      <c r="S226" t="s">
        <v>382</v>
      </c>
      <c r="T226" t="s">
        <v>382</v>
      </c>
      <c r="U226" t="s">
        <v>382</v>
      </c>
      <c r="V226" t="s">
        <v>382</v>
      </c>
      <c r="W226" t="s">
        <v>382</v>
      </c>
      <c r="X226" t="s">
        <v>382</v>
      </c>
      <c r="Y226" t="s">
        <v>382</v>
      </c>
      <c r="Z226" t="s">
        <v>382</v>
      </c>
      <c r="AA226" t="s">
        <v>382</v>
      </c>
      <c r="AB226" t="s">
        <v>382</v>
      </c>
      <c r="AC226">
        <v>5</v>
      </c>
      <c r="AD226">
        <v>5</v>
      </c>
      <c r="AE226">
        <v>1</v>
      </c>
      <c r="AF226" t="s">
        <v>393</v>
      </c>
      <c r="AH226" t="s">
        <v>51</v>
      </c>
      <c r="AI226" t="s">
        <v>97</v>
      </c>
      <c r="AK226">
        <v>998</v>
      </c>
      <c r="AL226">
        <v>431</v>
      </c>
    </row>
    <row r="227" spans="1:38">
      <c r="A227" t="s">
        <v>382</v>
      </c>
      <c r="B227" t="s">
        <v>382</v>
      </c>
      <c r="C227" t="s">
        <v>382</v>
      </c>
      <c r="D227" t="s">
        <v>382</v>
      </c>
      <c r="E227" t="s">
        <v>382</v>
      </c>
      <c r="F227" t="s">
        <v>382</v>
      </c>
      <c r="G227" t="s">
        <v>382</v>
      </c>
      <c r="H227" t="s">
        <v>382</v>
      </c>
      <c r="I227" t="s">
        <v>382</v>
      </c>
      <c r="J227" t="s">
        <v>382</v>
      </c>
      <c r="K227" t="s">
        <v>382</v>
      </c>
      <c r="L227" t="s">
        <v>382</v>
      </c>
      <c r="M227" t="s">
        <v>382</v>
      </c>
      <c r="N227" t="s">
        <v>382</v>
      </c>
      <c r="O227" t="s">
        <v>382</v>
      </c>
      <c r="P227" t="s">
        <v>382</v>
      </c>
      <c r="Q227" t="s">
        <v>382</v>
      </c>
      <c r="R227" t="s">
        <v>382</v>
      </c>
      <c r="S227" t="s">
        <v>382</v>
      </c>
      <c r="T227" t="s">
        <v>382</v>
      </c>
      <c r="U227" t="s">
        <v>382</v>
      </c>
      <c r="V227" t="s">
        <v>382</v>
      </c>
      <c r="W227" t="s">
        <v>382</v>
      </c>
      <c r="X227" t="s">
        <v>382</v>
      </c>
      <c r="Y227" t="s">
        <v>382</v>
      </c>
      <c r="Z227" t="s">
        <v>382</v>
      </c>
      <c r="AA227" t="s">
        <v>382</v>
      </c>
      <c r="AB227" t="s">
        <v>382</v>
      </c>
      <c r="AC227">
        <v>5</v>
      </c>
      <c r="AD227">
        <v>1</v>
      </c>
      <c r="AE227">
        <v>1</v>
      </c>
      <c r="AF227" t="s">
        <v>383</v>
      </c>
      <c r="AH227" t="s">
        <v>22</v>
      </c>
      <c r="AI227" t="s">
        <v>97</v>
      </c>
      <c r="AK227">
        <v>987</v>
      </c>
      <c r="AL227">
        <v>458</v>
      </c>
    </row>
    <row r="228" spans="1:38">
      <c r="A228" t="s">
        <v>382</v>
      </c>
      <c r="B228" t="s">
        <v>382</v>
      </c>
      <c r="C228" t="s">
        <v>382</v>
      </c>
      <c r="D228" t="s">
        <v>382</v>
      </c>
      <c r="E228" t="s">
        <v>382</v>
      </c>
      <c r="F228" t="s">
        <v>382</v>
      </c>
      <c r="G228" t="s">
        <v>382</v>
      </c>
      <c r="H228" t="s">
        <v>382</v>
      </c>
      <c r="I228" t="s">
        <v>382</v>
      </c>
      <c r="J228" t="s">
        <v>382</v>
      </c>
      <c r="K228" t="s">
        <v>382</v>
      </c>
      <c r="L228" t="s">
        <v>382</v>
      </c>
      <c r="M228" t="s">
        <v>382</v>
      </c>
      <c r="N228" t="s">
        <v>382</v>
      </c>
      <c r="O228" t="s">
        <v>382</v>
      </c>
      <c r="P228" t="s">
        <v>382</v>
      </c>
      <c r="Q228" t="s">
        <v>382</v>
      </c>
      <c r="R228" t="s">
        <v>382</v>
      </c>
      <c r="S228" t="s">
        <v>382</v>
      </c>
      <c r="T228" t="s">
        <v>382</v>
      </c>
      <c r="U228" t="s">
        <v>382</v>
      </c>
      <c r="V228" t="s">
        <v>382</v>
      </c>
      <c r="W228" t="s">
        <v>382</v>
      </c>
      <c r="X228" t="s">
        <v>382</v>
      </c>
      <c r="Y228" t="s">
        <v>382</v>
      </c>
      <c r="Z228" t="s">
        <v>382</v>
      </c>
      <c r="AA228" t="s">
        <v>382</v>
      </c>
      <c r="AB228" t="s">
        <v>382</v>
      </c>
      <c r="AC228">
        <v>5</v>
      </c>
      <c r="AD228">
        <v>2</v>
      </c>
      <c r="AF228" t="s">
        <v>386</v>
      </c>
      <c r="AH228" t="s">
        <v>29</v>
      </c>
      <c r="AI228" t="s">
        <v>103</v>
      </c>
      <c r="AK228">
        <v>2620</v>
      </c>
      <c r="AL228">
        <v>2435</v>
      </c>
    </row>
    <row r="229" spans="1:38">
      <c r="A229" t="s">
        <v>382</v>
      </c>
      <c r="B229" t="s">
        <v>382</v>
      </c>
      <c r="C229" t="s">
        <v>382</v>
      </c>
      <c r="D229" t="s">
        <v>382</v>
      </c>
      <c r="E229" t="s">
        <v>382</v>
      </c>
      <c r="F229" t="s">
        <v>382</v>
      </c>
      <c r="G229" t="s">
        <v>382</v>
      </c>
      <c r="H229" t="s">
        <v>382</v>
      </c>
      <c r="I229" t="s">
        <v>382</v>
      </c>
      <c r="J229" t="s">
        <v>382</v>
      </c>
      <c r="K229" t="s">
        <v>382</v>
      </c>
      <c r="L229" t="s">
        <v>382</v>
      </c>
      <c r="M229" t="s">
        <v>382</v>
      </c>
      <c r="N229" t="s">
        <v>382</v>
      </c>
      <c r="O229" t="s">
        <v>382</v>
      </c>
      <c r="P229" t="s">
        <v>382</v>
      </c>
      <c r="Q229" t="s">
        <v>382</v>
      </c>
      <c r="R229" t="s">
        <v>382</v>
      </c>
      <c r="S229" t="s">
        <v>382</v>
      </c>
      <c r="T229" t="s">
        <v>382</v>
      </c>
      <c r="U229" t="s">
        <v>382</v>
      </c>
      <c r="V229" t="s">
        <v>382</v>
      </c>
      <c r="W229" t="s">
        <v>382</v>
      </c>
      <c r="X229" t="s">
        <v>382</v>
      </c>
      <c r="Y229" t="s">
        <v>382</v>
      </c>
      <c r="Z229" t="s">
        <v>382</v>
      </c>
      <c r="AA229" t="s">
        <v>382</v>
      </c>
      <c r="AB229" t="s">
        <v>382</v>
      </c>
      <c r="AC229">
        <v>5</v>
      </c>
      <c r="AD229">
        <v>3</v>
      </c>
      <c r="AF229" t="s">
        <v>384</v>
      </c>
      <c r="AH229" t="s">
        <v>25</v>
      </c>
      <c r="AI229" t="s">
        <v>106</v>
      </c>
      <c r="AK229">
        <v>2048</v>
      </c>
      <c r="AL229">
        <v>500</v>
      </c>
    </row>
    <row r="230" spans="1:38">
      <c r="A230" t="s">
        <v>382</v>
      </c>
      <c r="B230" t="s">
        <v>382</v>
      </c>
      <c r="C230" t="s">
        <v>382</v>
      </c>
      <c r="D230" t="s">
        <v>382</v>
      </c>
      <c r="E230" t="s">
        <v>382</v>
      </c>
      <c r="F230" t="s">
        <v>382</v>
      </c>
      <c r="G230" t="s">
        <v>382</v>
      </c>
      <c r="H230" t="s">
        <v>382</v>
      </c>
      <c r="I230" t="s">
        <v>382</v>
      </c>
      <c r="J230" t="s">
        <v>382</v>
      </c>
      <c r="K230" t="s">
        <v>382</v>
      </c>
      <c r="L230" t="s">
        <v>382</v>
      </c>
      <c r="M230" t="s">
        <v>382</v>
      </c>
      <c r="N230" t="s">
        <v>382</v>
      </c>
      <c r="O230" t="s">
        <v>382</v>
      </c>
      <c r="P230" t="s">
        <v>382</v>
      </c>
      <c r="Q230" t="s">
        <v>382</v>
      </c>
      <c r="R230" t="s">
        <v>382</v>
      </c>
      <c r="S230" t="s">
        <v>382</v>
      </c>
      <c r="T230" t="s">
        <v>382</v>
      </c>
      <c r="U230" t="s">
        <v>382</v>
      </c>
      <c r="V230" t="s">
        <v>382</v>
      </c>
      <c r="W230" t="s">
        <v>382</v>
      </c>
      <c r="X230" t="s">
        <v>382</v>
      </c>
      <c r="Y230" t="s">
        <v>382</v>
      </c>
      <c r="Z230" t="s">
        <v>382</v>
      </c>
      <c r="AA230" t="s">
        <v>382</v>
      </c>
      <c r="AB230" t="s">
        <v>382</v>
      </c>
      <c r="AC230">
        <v>5</v>
      </c>
      <c r="AD230">
        <v>4</v>
      </c>
      <c r="AF230" t="s">
        <v>386</v>
      </c>
      <c r="AH230" t="s">
        <v>29</v>
      </c>
      <c r="AI230" t="s">
        <v>103</v>
      </c>
      <c r="AK230">
        <v>2634</v>
      </c>
      <c r="AL230">
        <v>2201</v>
      </c>
    </row>
    <row r="231" spans="1:38">
      <c r="A231" t="s">
        <v>382</v>
      </c>
      <c r="B231" t="s">
        <v>382</v>
      </c>
      <c r="C231" t="s">
        <v>382</v>
      </c>
      <c r="D231" t="s">
        <v>382</v>
      </c>
      <c r="E231" t="s">
        <v>382</v>
      </c>
      <c r="F231" t="s">
        <v>382</v>
      </c>
      <c r="G231" t="s">
        <v>382</v>
      </c>
      <c r="H231" t="s">
        <v>382</v>
      </c>
      <c r="I231" t="s">
        <v>382</v>
      </c>
      <c r="J231" t="s">
        <v>382</v>
      </c>
      <c r="K231" t="s">
        <v>382</v>
      </c>
      <c r="L231" t="s">
        <v>382</v>
      </c>
      <c r="M231" t="s">
        <v>382</v>
      </c>
      <c r="N231" t="s">
        <v>382</v>
      </c>
      <c r="O231" t="s">
        <v>382</v>
      </c>
      <c r="P231" t="s">
        <v>382</v>
      </c>
      <c r="Q231" t="s">
        <v>382</v>
      </c>
      <c r="R231" t="s">
        <v>382</v>
      </c>
      <c r="S231" t="s">
        <v>382</v>
      </c>
      <c r="T231" t="s">
        <v>382</v>
      </c>
      <c r="U231" t="s">
        <v>382</v>
      </c>
      <c r="V231" t="s">
        <v>382</v>
      </c>
      <c r="W231" t="s">
        <v>382</v>
      </c>
      <c r="X231" t="s">
        <v>382</v>
      </c>
      <c r="Y231" t="s">
        <v>382</v>
      </c>
      <c r="Z231" t="s">
        <v>382</v>
      </c>
      <c r="AA231" t="s">
        <v>382</v>
      </c>
      <c r="AB231" t="s">
        <v>382</v>
      </c>
      <c r="AC231">
        <v>5</v>
      </c>
      <c r="AD231">
        <v>5</v>
      </c>
      <c r="AF231" t="s">
        <v>386</v>
      </c>
      <c r="AH231" t="s">
        <v>29</v>
      </c>
      <c r="AI231" t="s">
        <v>103</v>
      </c>
      <c r="AK231">
        <v>1154</v>
      </c>
      <c r="AL231">
        <v>382</v>
      </c>
    </row>
    <row r="232" spans="1:38">
      <c r="A232" t="s">
        <v>382</v>
      </c>
      <c r="B232" t="s">
        <v>382</v>
      </c>
      <c r="C232" t="s">
        <v>382</v>
      </c>
      <c r="D232" t="s">
        <v>382</v>
      </c>
      <c r="E232" t="s">
        <v>382</v>
      </c>
      <c r="F232" t="s">
        <v>382</v>
      </c>
      <c r="G232" t="s">
        <v>382</v>
      </c>
      <c r="H232" t="s">
        <v>382</v>
      </c>
      <c r="I232" t="s">
        <v>382</v>
      </c>
      <c r="J232" t="s">
        <v>382</v>
      </c>
      <c r="K232" t="s">
        <v>382</v>
      </c>
      <c r="L232" t="s">
        <v>382</v>
      </c>
      <c r="M232" t="s">
        <v>382</v>
      </c>
      <c r="N232" t="s">
        <v>382</v>
      </c>
      <c r="O232" t="s">
        <v>382</v>
      </c>
      <c r="P232" t="s">
        <v>382</v>
      </c>
      <c r="Q232" t="s">
        <v>382</v>
      </c>
      <c r="R232" t="s">
        <v>382</v>
      </c>
      <c r="S232" t="s">
        <v>382</v>
      </c>
      <c r="T232" t="s">
        <v>382</v>
      </c>
      <c r="U232" t="s">
        <v>382</v>
      </c>
      <c r="V232" t="s">
        <v>382</v>
      </c>
      <c r="W232" t="s">
        <v>382</v>
      </c>
      <c r="X232" t="s">
        <v>382</v>
      </c>
      <c r="Y232" t="s">
        <v>382</v>
      </c>
      <c r="Z232" t="s">
        <v>382</v>
      </c>
      <c r="AA232" t="s">
        <v>382</v>
      </c>
      <c r="AB232" t="s">
        <v>382</v>
      </c>
      <c r="AC232">
        <v>5</v>
      </c>
      <c r="AD232">
        <v>1</v>
      </c>
      <c r="AF232" t="s">
        <v>385</v>
      </c>
      <c r="AH232" t="s">
        <v>27</v>
      </c>
      <c r="AI232" t="s">
        <v>109</v>
      </c>
      <c r="AK232">
        <v>1611</v>
      </c>
      <c r="AL232">
        <v>197</v>
      </c>
    </row>
    <row r="233" spans="1:38">
      <c r="A233" t="s">
        <v>382</v>
      </c>
      <c r="B233" t="s">
        <v>382</v>
      </c>
      <c r="C233" t="s">
        <v>382</v>
      </c>
      <c r="D233" t="s">
        <v>382</v>
      </c>
      <c r="E233" t="s">
        <v>382</v>
      </c>
      <c r="F233" t="s">
        <v>382</v>
      </c>
      <c r="G233" t="s">
        <v>382</v>
      </c>
      <c r="H233" t="s">
        <v>382</v>
      </c>
      <c r="I233" t="s">
        <v>382</v>
      </c>
      <c r="J233" t="s">
        <v>382</v>
      </c>
      <c r="K233" t="s">
        <v>382</v>
      </c>
      <c r="L233" t="s">
        <v>382</v>
      </c>
      <c r="M233" t="s">
        <v>382</v>
      </c>
      <c r="N233" t="s">
        <v>382</v>
      </c>
      <c r="O233" t="s">
        <v>382</v>
      </c>
      <c r="P233" t="s">
        <v>382</v>
      </c>
      <c r="Q233" t="s">
        <v>382</v>
      </c>
      <c r="R233" t="s">
        <v>382</v>
      </c>
      <c r="S233" t="s">
        <v>382</v>
      </c>
      <c r="T233" t="s">
        <v>382</v>
      </c>
      <c r="U233" t="s">
        <v>382</v>
      </c>
      <c r="V233" t="s">
        <v>382</v>
      </c>
      <c r="W233" t="s">
        <v>382</v>
      </c>
      <c r="X233" t="s">
        <v>382</v>
      </c>
      <c r="Y233" t="s">
        <v>382</v>
      </c>
      <c r="Z233" t="s">
        <v>382</v>
      </c>
      <c r="AA233" t="s">
        <v>382</v>
      </c>
      <c r="AB233" t="s">
        <v>382</v>
      </c>
      <c r="AC233">
        <v>5</v>
      </c>
      <c r="AD233">
        <v>2</v>
      </c>
      <c r="AE233">
        <v>1</v>
      </c>
      <c r="AF233" t="s">
        <v>488</v>
      </c>
      <c r="AH233" t="s">
        <v>187</v>
      </c>
      <c r="AI233" t="s">
        <v>97</v>
      </c>
      <c r="AK233">
        <v>2064</v>
      </c>
      <c r="AL233">
        <v>991</v>
      </c>
    </row>
    <row r="234" spans="1:38">
      <c r="A234" t="s">
        <v>382</v>
      </c>
      <c r="B234" t="s">
        <v>382</v>
      </c>
      <c r="C234" t="s">
        <v>382</v>
      </c>
      <c r="D234" t="s">
        <v>382</v>
      </c>
      <c r="E234" t="s">
        <v>382</v>
      </c>
      <c r="F234" t="s">
        <v>382</v>
      </c>
      <c r="G234" t="s">
        <v>382</v>
      </c>
      <c r="H234" t="s">
        <v>382</v>
      </c>
      <c r="I234" t="s">
        <v>382</v>
      </c>
      <c r="J234" t="s">
        <v>382</v>
      </c>
      <c r="K234" t="s">
        <v>382</v>
      </c>
      <c r="L234" t="s">
        <v>382</v>
      </c>
      <c r="M234" t="s">
        <v>382</v>
      </c>
      <c r="N234" t="s">
        <v>382</v>
      </c>
      <c r="O234" t="s">
        <v>382</v>
      </c>
      <c r="P234" t="s">
        <v>382</v>
      </c>
      <c r="Q234" t="s">
        <v>382</v>
      </c>
      <c r="R234" t="s">
        <v>382</v>
      </c>
      <c r="S234" t="s">
        <v>382</v>
      </c>
      <c r="T234" t="s">
        <v>382</v>
      </c>
      <c r="U234" t="s">
        <v>382</v>
      </c>
      <c r="V234" t="s">
        <v>382</v>
      </c>
      <c r="W234" t="s">
        <v>382</v>
      </c>
      <c r="X234" t="s">
        <v>382</v>
      </c>
      <c r="Y234" t="s">
        <v>382</v>
      </c>
      <c r="Z234" t="s">
        <v>382</v>
      </c>
      <c r="AA234" t="s">
        <v>382</v>
      </c>
      <c r="AB234" t="s">
        <v>382</v>
      </c>
      <c r="AC234">
        <v>5</v>
      </c>
      <c r="AD234">
        <v>3</v>
      </c>
      <c r="AF234" t="s">
        <v>386</v>
      </c>
      <c r="AH234" t="s">
        <v>29</v>
      </c>
      <c r="AI234" t="s">
        <v>103</v>
      </c>
      <c r="AK234">
        <v>736</v>
      </c>
      <c r="AL234">
        <v>1839</v>
      </c>
    </row>
    <row r="235" spans="1:38">
      <c r="A235" t="s">
        <v>382</v>
      </c>
      <c r="B235" t="s">
        <v>382</v>
      </c>
      <c r="C235" t="s">
        <v>382</v>
      </c>
      <c r="D235" t="s">
        <v>382</v>
      </c>
      <c r="E235" t="s">
        <v>382</v>
      </c>
      <c r="F235" t="s">
        <v>382</v>
      </c>
      <c r="G235" t="s">
        <v>382</v>
      </c>
      <c r="H235" t="s">
        <v>382</v>
      </c>
      <c r="I235" t="s">
        <v>382</v>
      </c>
      <c r="J235" t="s">
        <v>382</v>
      </c>
      <c r="K235" t="s">
        <v>382</v>
      </c>
      <c r="L235" t="s">
        <v>382</v>
      </c>
      <c r="M235" t="s">
        <v>382</v>
      </c>
      <c r="N235" t="s">
        <v>382</v>
      </c>
      <c r="O235" t="s">
        <v>382</v>
      </c>
      <c r="P235" t="s">
        <v>382</v>
      </c>
      <c r="Q235" t="s">
        <v>382</v>
      </c>
      <c r="R235" t="s">
        <v>382</v>
      </c>
      <c r="S235" t="s">
        <v>382</v>
      </c>
      <c r="T235" t="s">
        <v>382</v>
      </c>
      <c r="U235" t="s">
        <v>382</v>
      </c>
      <c r="V235" t="s">
        <v>382</v>
      </c>
      <c r="W235" t="s">
        <v>382</v>
      </c>
      <c r="X235" t="s">
        <v>382</v>
      </c>
      <c r="Y235" t="s">
        <v>382</v>
      </c>
      <c r="Z235" t="s">
        <v>382</v>
      </c>
      <c r="AA235" t="s">
        <v>382</v>
      </c>
      <c r="AB235" t="s">
        <v>382</v>
      </c>
      <c r="AC235">
        <v>5</v>
      </c>
      <c r="AD235">
        <v>4</v>
      </c>
      <c r="AF235" t="s">
        <v>386</v>
      </c>
      <c r="AH235" t="s">
        <v>29</v>
      </c>
      <c r="AI235" t="s">
        <v>103</v>
      </c>
      <c r="AK235">
        <v>1623</v>
      </c>
      <c r="AL235">
        <v>2131</v>
      </c>
    </row>
    <row r="236" spans="1:38">
      <c r="A236" t="s">
        <v>382</v>
      </c>
      <c r="B236" t="s">
        <v>382</v>
      </c>
      <c r="C236" t="s">
        <v>382</v>
      </c>
      <c r="D236" t="s">
        <v>382</v>
      </c>
      <c r="E236" t="s">
        <v>382</v>
      </c>
      <c r="F236" t="s">
        <v>382</v>
      </c>
      <c r="G236" t="s">
        <v>382</v>
      </c>
      <c r="H236" t="s">
        <v>382</v>
      </c>
      <c r="I236" t="s">
        <v>382</v>
      </c>
      <c r="J236" t="s">
        <v>382</v>
      </c>
      <c r="K236" t="s">
        <v>382</v>
      </c>
      <c r="L236" t="s">
        <v>382</v>
      </c>
      <c r="M236" t="s">
        <v>382</v>
      </c>
      <c r="N236" t="s">
        <v>382</v>
      </c>
      <c r="O236" t="s">
        <v>382</v>
      </c>
      <c r="P236" t="s">
        <v>382</v>
      </c>
      <c r="Q236" t="s">
        <v>382</v>
      </c>
      <c r="R236" t="s">
        <v>382</v>
      </c>
      <c r="S236" t="s">
        <v>382</v>
      </c>
      <c r="T236" t="s">
        <v>382</v>
      </c>
      <c r="U236" t="s">
        <v>382</v>
      </c>
      <c r="V236" t="s">
        <v>382</v>
      </c>
      <c r="W236" t="s">
        <v>382</v>
      </c>
      <c r="X236" t="s">
        <v>382</v>
      </c>
      <c r="Y236" t="s">
        <v>382</v>
      </c>
      <c r="Z236" t="s">
        <v>382</v>
      </c>
      <c r="AA236" t="s">
        <v>382</v>
      </c>
      <c r="AB236" t="s">
        <v>382</v>
      </c>
      <c r="AC236">
        <v>5</v>
      </c>
      <c r="AD236">
        <v>5</v>
      </c>
      <c r="AE236">
        <v>1</v>
      </c>
      <c r="AF236" t="s">
        <v>383</v>
      </c>
      <c r="AH236" t="s">
        <v>22</v>
      </c>
      <c r="AI236" t="s">
        <v>97</v>
      </c>
      <c r="AK236">
        <v>2570</v>
      </c>
      <c r="AL236">
        <v>127</v>
      </c>
    </row>
    <row r="237" spans="1:38">
      <c r="A237" t="s">
        <v>382</v>
      </c>
      <c r="B237" t="s">
        <v>382</v>
      </c>
      <c r="C237" t="s">
        <v>382</v>
      </c>
      <c r="D237" t="s">
        <v>382</v>
      </c>
      <c r="E237" t="s">
        <v>382</v>
      </c>
      <c r="F237" t="s">
        <v>382</v>
      </c>
      <c r="G237" t="s">
        <v>382</v>
      </c>
      <c r="H237" t="s">
        <v>382</v>
      </c>
      <c r="I237" t="s">
        <v>382</v>
      </c>
      <c r="J237" t="s">
        <v>382</v>
      </c>
      <c r="K237" t="s">
        <v>382</v>
      </c>
      <c r="L237" t="s">
        <v>382</v>
      </c>
      <c r="M237" t="s">
        <v>382</v>
      </c>
      <c r="N237" t="s">
        <v>382</v>
      </c>
      <c r="O237" t="s">
        <v>382</v>
      </c>
      <c r="P237" t="s">
        <v>382</v>
      </c>
      <c r="Q237" t="s">
        <v>382</v>
      </c>
      <c r="R237" t="s">
        <v>382</v>
      </c>
      <c r="S237" t="s">
        <v>382</v>
      </c>
      <c r="T237" t="s">
        <v>382</v>
      </c>
      <c r="U237" t="s">
        <v>382</v>
      </c>
      <c r="V237" t="s">
        <v>382</v>
      </c>
      <c r="W237" t="s">
        <v>382</v>
      </c>
      <c r="X237" t="s">
        <v>382</v>
      </c>
      <c r="Y237" t="s">
        <v>382</v>
      </c>
      <c r="Z237" t="s">
        <v>382</v>
      </c>
      <c r="AA237" t="s">
        <v>382</v>
      </c>
      <c r="AB237" t="s">
        <v>382</v>
      </c>
      <c r="AC237">
        <v>5</v>
      </c>
      <c r="AD237">
        <v>1</v>
      </c>
      <c r="AF237" t="s">
        <v>386</v>
      </c>
      <c r="AH237" t="s">
        <v>29</v>
      </c>
      <c r="AI237" t="s">
        <v>103</v>
      </c>
      <c r="AK237">
        <v>623</v>
      </c>
      <c r="AL237">
        <v>196</v>
      </c>
    </row>
    <row r="238" spans="1:38">
      <c r="A238" t="s">
        <v>382</v>
      </c>
      <c r="B238" t="s">
        <v>382</v>
      </c>
      <c r="C238" t="s">
        <v>382</v>
      </c>
      <c r="D238" t="s">
        <v>382</v>
      </c>
      <c r="E238" t="s">
        <v>382</v>
      </c>
      <c r="F238" t="s">
        <v>382</v>
      </c>
      <c r="G238" t="s">
        <v>382</v>
      </c>
      <c r="H238" t="s">
        <v>382</v>
      </c>
      <c r="I238" t="s">
        <v>382</v>
      </c>
      <c r="J238" t="s">
        <v>382</v>
      </c>
      <c r="K238" t="s">
        <v>382</v>
      </c>
      <c r="L238" t="s">
        <v>382</v>
      </c>
      <c r="M238" t="s">
        <v>382</v>
      </c>
      <c r="N238" t="s">
        <v>382</v>
      </c>
      <c r="O238" t="s">
        <v>382</v>
      </c>
      <c r="P238" t="s">
        <v>382</v>
      </c>
      <c r="Q238" t="s">
        <v>382</v>
      </c>
      <c r="R238" t="s">
        <v>382</v>
      </c>
      <c r="S238" t="s">
        <v>382</v>
      </c>
      <c r="T238" t="s">
        <v>382</v>
      </c>
      <c r="U238" t="s">
        <v>382</v>
      </c>
      <c r="V238" t="s">
        <v>382</v>
      </c>
      <c r="W238" t="s">
        <v>382</v>
      </c>
      <c r="X238" t="s">
        <v>382</v>
      </c>
      <c r="Y238" t="s">
        <v>382</v>
      </c>
      <c r="Z238" t="s">
        <v>382</v>
      </c>
      <c r="AA238" t="s">
        <v>382</v>
      </c>
      <c r="AB238" t="s">
        <v>382</v>
      </c>
      <c r="AC238">
        <v>5</v>
      </c>
      <c r="AD238">
        <v>2</v>
      </c>
      <c r="AF238" t="s">
        <v>386</v>
      </c>
      <c r="AH238" t="s">
        <v>29</v>
      </c>
      <c r="AI238" t="s">
        <v>103</v>
      </c>
      <c r="AK238">
        <v>1129</v>
      </c>
      <c r="AL238">
        <v>6</v>
      </c>
    </row>
    <row r="239" spans="1:38">
      <c r="A239" t="s">
        <v>382</v>
      </c>
      <c r="B239" t="s">
        <v>382</v>
      </c>
      <c r="C239" t="s">
        <v>382</v>
      </c>
      <c r="D239" t="s">
        <v>382</v>
      </c>
      <c r="E239" t="s">
        <v>382</v>
      </c>
      <c r="F239" t="s">
        <v>382</v>
      </c>
      <c r="G239" t="s">
        <v>382</v>
      </c>
      <c r="H239" t="s">
        <v>382</v>
      </c>
      <c r="I239" t="s">
        <v>382</v>
      </c>
      <c r="J239" t="s">
        <v>382</v>
      </c>
      <c r="K239" t="s">
        <v>382</v>
      </c>
      <c r="L239" t="s">
        <v>382</v>
      </c>
      <c r="M239" t="s">
        <v>382</v>
      </c>
      <c r="N239" t="s">
        <v>382</v>
      </c>
      <c r="O239" t="s">
        <v>382</v>
      </c>
      <c r="P239" t="s">
        <v>382</v>
      </c>
      <c r="Q239" t="s">
        <v>382</v>
      </c>
      <c r="R239" t="s">
        <v>382</v>
      </c>
      <c r="S239" t="s">
        <v>382</v>
      </c>
      <c r="T239" t="s">
        <v>382</v>
      </c>
      <c r="U239" t="s">
        <v>382</v>
      </c>
      <c r="V239" t="s">
        <v>382</v>
      </c>
      <c r="W239" t="s">
        <v>382</v>
      </c>
      <c r="X239" t="s">
        <v>382</v>
      </c>
      <c r="Y239" t="s">
        <v>382</v>
      </c>
      <c r="Z239" t="s">
        <v>382</v>
      </c>
      <c r="AA239" t="s">
        <v>382</v>
      </c>
      <c r="AB239" t="s">
        <v>382</v>
      </c>
      <c r="AC239">
        <v>5</v>
      </c>
      <c r="AD239">
        <v>3</v>
      </c>
      <c r="AF239" t="s">
        <v>386</v>
      </c>
      <c r="AH239" t="s">
        <v>29</v>
      </c>
      <c r="AI239" t="s">
        <v>103</v>
      </c>
      <c r="AK239">
        <v>892</v>
      </c>
      <c r="AL239">
        <v>605</v>
      </c>
    </row>
    <row r="240" spans="1:38">
      <c r="A240" t="s">
        <v>382</v>
      </c>
      <c r="B240" t="s">
        <v>382</v>
      </c>
      <c r="C240" t="s">
        <v>382</v>
      </c>
      <c r="D240" t="s">
        <v>382</v>
      </c>
      <c r="E240" t="s">
        <v>382</v>
      </c>
      <c r="F240" t="s">
        <v>382</v>
      </c>
      <c r="G240" t="s">
        <v>382</v>
      </c>
      <c r="H240" t="s">
        <v>382</v>
      </c>
      <c r="I240" t="s">
        <v>382</v>
      </c>
      <c r="J240" t="s">
        <v>382</v>
      </c>
      <c r="K240" t="s">
        <v>382</v>
      </c>
      <c r="L240" t="s">
        <v>382</v>
      </c>
      <c r="M240" t="s">
        <v>382</v>
      </c>
      <c r="N240" t="s">
        <v>382</v>
      </c>
      <c r="O240" t="s">
        <v>382</v>
      </c>
      <c r="P240" t="s">
        <v>382</v>
      </c>
      <c r="Q240" t="s">
        <v>382</v>
      </c>
      <c r="R240" t="s">
        <v>382</v>
      </c>
      <c r="S240" t="s">
        <v>382</v>
      </c>
      <c r="T240" t="s">
        <v>382</v>
      </c>
      <c r="U240" t="s">
        <v>382</v>
      </c>
      <c r="V240" t="s">
        <v>382</v>
      </c>
      <c r="W240" t="s">
        <v>382</v>
      </c>
      <c r="X240" t="s">
        <v>382</v>
      </c>
      <c r="Y240" t="s">
        <v>382</v>
      </c>
      <c r="Z240" t="s">
        <v>382</v>
      </c>
      <c r="AA240" t="s">
        <v>382</v>
      </c>
      <c r="AB240" t="s">
        <v>382</v>
      </c>
      <c r="AC240">
        <v>5</v>
      </c>
      <c r="AD240">
        <v>4</v>
      </c>
      <c r="AF240" t="s">
        <v>385</v>
      </c>
      <c r="AH240" t="s">
        <v>27</v>
      </c>
      <c r="AI240" t="s">
        <v>109</v>
      </c>
      <c r="AK240">
        <v>2196</v>
      </c>
      <c r="AL240">
        <v>2206</v>
      </c>
    </row>
    <row r="241" spans="1:38">
      <c r="A241" t="s">
        <v>382</v>
      </c>
      <c r="B241" t="s">
        <v>382</v>
      </c>
      <c r="C241" t="s">
        <v>382</v>
      </c>
      <c r="D241" t="s">
        <v>382</v>
      </c>
      <c r="E241" t="s">
        <v>382</v>
      </c>
      <c r="F241" t="s">
        <v>382</v>
      </c>
      <c r="G241" t="s">
        <v>382</v>
      </c>
      <c r="H241" t="s">
        <v>382</v>
      </c>
      <c r="I241" t="s">
        <v>382</v>
      </c>
      <c r="J241" t="s">
        <v>382</v>
      </c>
      <c r="K241" t="s">
        <v>382</v>
      </c>
      <c r="L241" t="s">
        <v>382</v>
      </c>
      <c r="M241" t="s">
        <v>382</v>
      </c>
      <c r="N241" t="s">
        <v>382</v>
      </c>
      <c r="O241" t="s">
        <v>382</v>
      </c>
      <c r="P241" t="s">
        <v>382</v>
      </c>
      <c r="Q241" t="s">
        <v>382</v>
      </c>
      <c r="R241" t="s">
        <v>382</v>
      </c>
      <c r="S241" t="s">
        <v>382</v>
      </c>
      <c r="T241" t="s">
        <v>382</v>
      </c>
      <c r="U241" t="s">
        <v>382</v>
      </c>
      <c r="V241" t="s">
        <v>382</v>
      </c>
      <c r="W241" t="s">
        <v>382</v>
      </c>
      <c r="X241" t="s">
        <v>382</v>
      </c>
      <c r="Y241" t="s">
        <v>382</v>
      </c>
      <c r="Z241" t="s">
        <v>382</v>
      </c>
      <c r="AA241" t="s">
        <v>382</v>
      </c>
      <c r="AB241" t="s">
        <v>382</v>
      </c>
      <c r="AC241">
        <v>5</v>
      </c>
      <c r="AD241">
        <v>5</v>
      </c>
      <c r="AE241">
        <v>1</v>
      </c>
      <c r="AF241" t="s">
        <v>393</v>
      </c>
      <c r="AH241" t="s">
        <v>51</v>
      </c>
      <c r="AI241" t="s">
        <v>97</v>
      </c>
      <c r="AK241">
        <v>1416</v>
      </c>
      <c r="AL241">
        <v>1917</v>
      </c>
    </row>
    <row r="242" spans="1:38">
      <c r="A242" t="s">
        <v>382</v>
      </c>
      <c r="B242" t="s">
        <v>382</v>
      </c>
      <c r="C242" t="s">
        <v>382</v>
      </c>
      <c r="D242" t="s">
        <v>382</v>
      </c>
      <c r="E242" t="s">
        <v>382</v>
      </c>
      <c r="F242" t="s">
        <v>382</v>
      </c>
      <c r="G242" t="s">
        <v>382</v>
      </c>
      <c r="H242" t="s">
        <v>382</v>
      </c>
      <c r="I242" t="s">
        <v>382</v>
      </c>
      <c r="J242" t="s">
        <v>382</v>
      </c>
      <c r="K242" t="s">
        <v>382</v>
      </c>
      <c r="L242" t="s">
        <v>382</v>
      </c>
      <c r="M242" t="s">
        <v>382</v>
      </c>
      <c r="N242" t="s">
        <v>382</v>
      </c>
      <c r="O242" t="s">
        <v>382</v>
      </c>
      <c r="P242" t="s">
        <v>382</v>
      </c>
      <c r="Q242" t="s">
        <v>382</v>
      </c>
      <c r="R242" t="s">
        <v>382</v>
      </c>
      <c r="S242" t="s">
        <v>382</v>
      </c>
      <c r="T242" t="s">
        <v>382</v>
      </c>
      <c r="U242" t="s">
        <v>382</v>
      </c>
      <c r="V242" t="s">
        <v>382</v>
      </c>
      <c r="W242" t="s">
        <v>382</v>
      </c>
      <c r="X242" t="s">
        <v>382</v>
      </c>
      <c r="Y242" t="s">
        <v>382</v>
      </c>
      <c r="Z242" t="s">
        <v>382</v>
      </c>
      <c r="AA242" t="s">
        <v>382</v>
      </c>
      <c r="AB242" t="s">
        <v>382</v>
      </c>
      <c r="AC242">
        <v>5</v>
      </c>
      <c r="AD242">
        <v>1</v>
      </c>
      <c r="AE242">
        <v>1</v>
      </c>
      <c r="AF242" t="s">
        <v>389</v>
      </c>
      <c r="AH242" t="s">
        <v>35</v>
      </c>
      <c r="AI242" t="s">
        <v>97</v>
      </c>
      <c r="AK242">
        <v>574</v>
      </c>
      <c r="AL242">
        <v>2345</v>
      </c>
    </row>
    <row r="243" spans="1:38">
      <c r="A243" t="s">
        <v>382</v>
      </c>
      <c r="B243" t="s">
        <v>382</v>
      </c>
      <c r="C243" t="s">
        <v>382</v>
      </c>
      <c r="D243" t="s">
        <v>382</v>
      </c>
      <c r="E243" t="s">
        <v>382</v>
      </c>
      <c r="F243" t="s">
        <v>382</v>
      </c>
      <c r="G243" t="s">
        <v>382</v>
      </c>
      <c r="H243" t="s">
        <v>382</v>
      </c>
      <c r="I243" t="s">
        <v>382</v>
      </c>
      <c r="J243" t="s">
        <v>382</v>
      </c>
      <c r="K243" t="s">
        <v>382</v>
      </c>
      <c r="L243" t="s">
        <v>382</v>
      </c>
      <c r="M243" t="s">
        <v>382</v>
      </c>
      <c r="N243" t="s">
        <v>382</v>
      </c>
      <c r="O243" t="s">
        <v>382</v>
      </c>
      <c r="P243" t="s">
        <v>382</v>
      </c>
      <c r="Q243" t="s">
        <v>382</v>
      </c>
      <c r="R243" t="s">
        <v>382</v>
      </c>
      <c r="S243" t="s">
        <v>382</v>
      </c>
      <c r="T243" t="s">
        <v>382</v>
      </c>
      <c r="U243" t="s">
        <v>382</v>
      </c>
      <c r="V243" t="s">
        <v>382</v>
      </c>
      <c r="W243" t="s">
        <v>382</v>
      </c>
      <c r="X243" t="s">
        <v>382</v>
      </c>
      <c r="Y243" t="s">
        <v>382</v>
      </c>
      <c r="Z243" t="s">
        <v>382</v>
      </c>
      <c r="AA243" t="s">
        <v>382</v>
      </c>
      <c r="AB243" t="s">
        <v>382</v>
      </c>
      <c r="AC243">
        <v>5</v>
      </c>
      <c r="AD243">
        <v>2</v>
      </c>
      <c r="AE243">
        <v>1</v>
      </c>
      <c r="AF243" t="s">
        <v>393</v>
      </c>
      <c r="AH243" t="s">
        <v>51</v>
      </c>
      <c r="AI243" t="s">
        <v>97</v>
      </c>
      <c r="AK243">
        <v>1863</v>
      </c>
      <c r="AL243">
        <v>1324</v>
      </c>
    </row>
    <row r="244" spans="1:38">
      <c r="A244" t="s">
        <v>382</v>
      </c>
      <c r="B244" t="s">
        <v>382</v>
      </c>
      <c r="C244" t="s">
        <v>382</v>
      </c>
      <c r="D244" t="s">
        <v>382</v>
      </c>
      <c r="E244" t="s">
        <v>382</v>
      </c>
      <c r="F244" t="s">
        <v>382</v>
      </c>
      <c r="G244" t="s">
        <v>382</v>
      </c>
      <c r="H244" t="s">
        <v>382</v>
      </c>
      <c r="I244" t="s">
        <v>382</v>
      </c>
      <c r="J244" t="s">
        <v>382</v>
      </c>
      <c r="K244" t="s">
        <v>382</v>
      </c>
      <c r="L244" t="s">
        <v>382</v>
      </c>
      <c r="M244" t="s">
        <v>382</v>
      </c>
      <c r="N244" t="s">
        <v>382</v>
      </c>
      <c r="O244" t="s">
        <v>382</v>
      </c>
      <c r="P244" t="s">
        <v>382</v>
      </c>
      <c r="Q244" t="s">
        <v>382</v>
      </c>
      <c r="R244" t="s">
        <v>382</v>
      </c>
      <c r="S244" t="s">
        <v>382</v>
      </c>
      <c r="T244" t="s">
        <v>382</v>
      </c>
      <c r="U244" t="s">
        <v>382</v>
      </c>
      <c r="V244" t="s">
        <v>382</v>
      </c>
      <c r="W244" t="s">
        <v>382</v>
      </c>
      <c r="X244" t="s">
        <v>382</v>
      </c>
      <c r="Y244" t="s">
        <v>382</v>
      </c>
      <c r="Z244" t="s">
        <v>382</v>
      </c>
      <c r="AA244" t="s">
        <v>382</v>
      </c>
      <c r="AB244" t="s">
        <v>382</v>
      </c>
      <c r="AC244">
        <v>5</v>
      </c>
      <c r="AD244">
        <v>3</v>
      </c>
      <c r="AE244">
        <v>1</v>
      </c>
      <c r="AF244" t="s">
        <v>390</v>
      </c>
      <c r="AH244" t="s">
        <v>37</v>
      </c>
      <c r="AI244" t="s">
        <v>97</v>
      </c>
      <c r="AK244">
        <v>2918</v>
      </c>
      <c r="AL244">
        <v>1226</v>
      </c>
    </row>
    <row r="245" spans="1:38">
      <c r="A245" t="s">
        <v>382</v>
      </c>
      <c r="B245" t="s">
        <v>382</v>
      </c>
      <c r="C245" t="s">
        <v>382</v>
      </c>
      <c r="D245" t="s">
        <v>382</v>
      </c>
      <c r="E245" t="s">
        <v>382</v>
      </c>
      <c r="F245" t="s">
        <v>382</v>
      </c>
      <c r="G245" t="s">
        <v>382</v>
      </c>
      <c r="H245" t="s">
        <v>382</v>
      </c>
      <c r="I245" t="s">
        <v>382</v>
      </c>
      <c r="J245" t="s">
        <v>382</v>
      </c>
      <c r="K245" t="s">
        <v>382</v>
      </c>
      <c r="L245" t="s">
        <v>382</v>
      </c>
      <c r="M245" t="s">
        <v>382</v>
      </c>
      <c r="N245" t="s">
        <v>382</v>
      </c>
      <c r="O245" t="s">
        <v>382</v>
      </c>
      <c r="P245" t="s">
        <v>382</v>
      </c>
      <c r="Q245" t="s">
        <v>382</v>
      </c>
      <c r="R245" t="s">
        <v>382</v>
      </c>
      <c r="S245" t="s">
        <v>382</v>
      </c>
      <c r="T245" t="s">
        <v>382</v>
      </c>
      <c r="U245" t="s">
        <v>382</v>
      </c>
      <c r="V245" t="s">
        <v>382</v>
      </c>
      <c r="W245" t="s">
        <v>382</v>
      </c>
      <c r="X245" t="s">
        <v>382</v>
      </c>
      <c r="Y245" t="s">
        <v>382</v>
      </c>
      <c r="Z245" t="s">
        <v>382</v>
      </c>
      <c r="AA245" t="s">
        <v>382</v>
      </c>
      <c r="AB245" t="s">
        <v>382</v>
      </c>
      <c r="AC245">
        <v>5</v>
      </c>
      <c r="AD245">
        <v>4</v>
      </c>
      <c r="AF245" t="s">
        <v>385</v>
      </c>
      <c r="AH245" t="s">
        <v>27</v>
      </c>
      <c r="AI245" t="s">
        <v>109</v>
      </c>
      <c r="AK245">
        <v>2190</v>
      </c>
      <c r="AL245">
        <v>1025</v>
      </c>
    </row>
    <row r="246" spans="1:38">
      <c r="A246" t="s">
        <v>382</v>
      </c>
      <c r="B246" t="s">
        <v>382</v>
      </c>
      <c r="C246" t="s">
        <v>382</v>
      </c>
      <c r="D246" t="s">
        <v>382</v>
      </c>
      <c r="E246" t="s">
        <v>382</v>
      </c>
      <c r="F246" t="s">
        <v>382</v>
      </c>
      <c r="G246" t="s">
        <v>382</v>
      </c>
      <c r="H246" t="s">
        <v>382</v>
      </c>
      <c r="I246" t="s">
        <v>382</v>
      </c>
      <c r="J246" t="s">
        <v>382</v>
      </c>
      <c r="K246" t="s">
        <v>382</v>
      </c>
      <c r="L246" t="s">
        <v>382</v>
      </c>
      <c r="M246" t="s">
        <v>382</v>
      </c>
      <c r="N246" t="s">
        <v>382</v>
      </c>
      <c r="O246" t="s">
        <v>382</v>
      </c>
      <c r="P246" t="s">
        <v>382</v>
      </c>
      <c r="Q246" t="s">
        <v>382</v>
      </c>
      <c r="R246" t="s">
        <v>382</v>
      </c>
      <c r="S246" t="s">
        <v>382</v>
      </c>
      <c r="T246" t="s">
        <v>382</v>
      </c>
      <c r="U246" t="s">
        <v>382</v>
      </c>
      <c r="V246" t="s">
        <v>382</v>
      </c>
      <c r="W246" t="s">
        <v>382</v>
      </c>
      <c r="X246" t="s">
        <v>382</v>
      </c>
      <c r="Y246" t="s">
        <v>382</v>
      </c>
      <c r="Z246" t="s">
        <v>382</v>
      </c>
      <c r="AA246" t="s">
        <v>382</v>
      </c>
      <c r="AB246" t="s">
        <v>382</v>
      </c>
      <c r="AC246">
        <v>5</v>
      </c>
      <c r="AD246">
        <v>5</v>
      </c>
      <c r="AF246" t="s">
        <v>386</v>
      </c>
      <c r="AH246" t="s">
        <v>29</v>
      </c>
      <c r="AI246" t="s">
        <v>103</v>
      </c>
      <c r="AK246">
        <v>2939</v>
      </c>
      <c r="AL246">
        <v>1462</v>
      </c>
    </row>
    <row r="247" spans="1:38">
      <c r="A247" t="s">
        <v>382</v>
      </c>
      <c r="B247" t="s">
        <v>382</v>
      </c>
      <c r="C247" t="s">
        <v>382</v>
      </c>
      <c r="D247" t="s">
        <v>382</v>
      </c>
      <c r="E247" t="s">
        <v>382</v>
      </c>
      <c r="F247" t="s">
        <v>382</v>
      </c>
      <c r="G247" t="s">
        <v>382</v>
      </c>
      <c r="H247" t="s">
        <v>382</v>
      </c>
      <c r="I247" t="s">
        <v>382</v>
      </c>
      <c r="J247" t="s">
        <v>382</v>
      </c>
      <c r="K247" t="s">
        <v>382</v>
      </c>
      <c r="L247" t="s">
        <v>382</v>
      </c>
      <c r="M247" t="s">
        <v>382</v>
      </c>
      <c r="N247" t="s">
        <v>382</v>
      </c>
      <c r="O247" t="s">
        <v>382</v>
      </c>
      <c r="P247" t="s">
        <v>382</v>
      </c>
      <c r="Q247" t="s">
        <v>382</v>
      </c>
      <c r="R247" t="s">
        <v>382</v>
      </c>
      <c r="S247" t="s">
        <v>382</v>
      </c>
      <c r="T247" t="s">
        <v>382</v>
      </c>
      <c r="U247" t="s">
        <v>382</v>
      </c>
      <c r="V247" t="s">
        <v>382</v>
      </c>
      <c r="W247" t="s">
        <v>382</v>
      </c>
      <c r="X247" t="s">
        <v>382</v>
      </c>
      <c r="Y247" t="s">
        <v>382</v>
      </c>
      <c r="Z247" t="s">
        <v>382</v>
      </c>
      <c r="AA247" t="s">
        <v>382</v>
      </c>
      <c r="AB247" t="s">
        <v>382</v>
      </c>
      <c r="AC247">
        <v>5</v>
      </c>
      <c r="AD247">
        <v>1</v>
      </c>
      <c r="AE247">
        <v>1</v>
      </c>
      <c r="AF247" t="s">
        <v>488</v>
      </c>
      <c r="AH247" t="s">
        <v>187</v>
      </c>
      <c r="AI247" t="s">
        <v>97</v>
      </c>
      <c r="AK247">
        <v>1255</v>
      </c>
      <c r="AL247">
        <v>1894</v>
      </c>
    </row>
    <row r="248" spans="1:38">
      <c r="A248" t="s">
        <v>382</v>
      </c>
      <c r="B248" t="s">
        <v>382</v>
      </c>
      <c r="C248" t="s">
        <v>382</v>
      </c>
      <c r="D248" t="s">
        <v>382</v>
      </c>
      <c r="E248" t="s">
        <v>382</v>
      </c>
      <c r="F248" t="s">
        <v>382</v>
      </c>
      <c r="G248" t="s">
        <v>382</v>
      </c>
      <c r="H248" t="s">
        <v>382</v>
      </c>
      <c r="I248" t="s">
        <v>382</v>
      </c>
      <c r="J248" t="s">
        <v>382</v>
      </c>
      <c r="K248" t="s">
        <v>382</v>
      </c>
      <c r="L248" t="s">
        <v>382</v>
      </c>
      <c r="M248" t="s">
        <v>382</v>
      </c>
      <c r="N248" t="s">
        <v>382</v>
      </c>
      <c r="O248" t="s">
        <v>382</v>
      </c>
      <c r="P248" t="s">
        <v>382</v>
      </c>
      <c r="Q248" t="s">
        <v>382</v>
      </c>
      <c r="R248" t="s">
        <v>382</v>
      </c>
      <c r="S248" t="s">
        <v>382</v>
      </c>
      <c r="T248" t="s">
        <v>382</v>
      </c>
      <c r="U248" t="s">
        <v>382</v>
      </c>
      <c r="V248" t="s">
        <v>382</v>
      </c>
      <c r="W248" t="s">
        <v>382</v>
      </c>
      <c r="X248" t="s">
        <v>382</v>
      </c>
      <c r="Y248" t="s">
        <v>382</v>
      </c>
      <c r="Z248" t="s">
        <v>382</v>
      </c>
      <c r="AA248" t="s">
        <v>382</v>
      </c>
      <c r="AB248" t="s">
        <v>382</v>
      </c>
      <c r="AC248">
        <v>5</v>
      </c>
      <c r="AD248">
        <v>2</v>
      </c>
      <c r="AF248" t="s">
        <v>386</v>
      </c>
      <c r="AH248" t="s">
        <v>29</v>
      </c>
      <c r="AI248" t="s">
        <v>103</v>
      </c>
      <c r="AK248">
        <v>2797</v>
      </c>
      <c r="AL248">
        <v>622</v>
      </c>
    </row>
    <row r="249" spans="1:38">
      <c r="A249" t="s">
        <v>382</v>
      </c>
      <c r="B249" t="s">
        <v>382</v>
      </c>
      <c r="C249" t="s">
        <v>382</v>
      </c>
      <c r="D249" t="s">
        <v>382</v>
      </c>
      <c r="E249" t="s">
        <v>382</v>
      </c>
      <c r="F249" t="s">
        <v>382</v>
      </c>
      <c r="G249" t="s">
        <v>382</v>
      </c>
      <c r="H249" t="s">
        <v>382</v>
      </c>
      <c r="I249" t="s">
        <v>382</v>
      </c>
      <c r="J249" t="s">
        <v>382</v>
      </c>
      <c r="K249" t="s">
        <v>382</v>
      </c>
      <c r="L249" t="s">
        <v>382</v>
      </c>
      <c r="M249" t="s">
        <v>382</v>
      </c>
      <c r="N249" t="s">
        <v>382</v>
      </c>
      <c r="O249" t="s">
        <v>382</v>
      </c>
      <c r="P249" t="s">
        <v>382</v>
      </c>
      <c r="Q249" t="s">
        <v>382</v>
      </c>
      <c r="R249" t="s">
        <v>382</v>
      </c>
      <c r="S249" t="s">
        <v>382</v>
      </c>
      <c r="T249" t="s">
        <v>382</v>
      </c>
      <c r="U249" t="s">
        <v>382</v>
      </c>
      <c r="V249" t="s">
        <v>382</v>
      </c>
      <c r="W249" t="s">
        <v>382</v>
      </c>
      <c r="X249" t="s">
        <v>382</v>
      </c>
      <c r="Y249" t="s">
        <v>382</v>
      </c>
      <c r="Z249" t="s">
        <v>382</v>
      </c>
      <c r="AA249" t="s">
        <v>382</v>
      </c>
      <c r="AB249" t="s">
        <v>382</v>
      </c>
      <c r="AC249">
        <v>5</v>
      </c>
      <c r="AD249">
        <v>3</v>
      </c>
      <c r="AE249">
        <v>1</v>
      </c>
      <c r="AF249" t="s">
        <v>486</v>
      </c>
      <c r="AH249" t="s">
        <v>189</v>
      </c>
      <c r="AI249" t="s">
        <v>97</v>
      </c>
      <c r="AK249">
        <v>2193</v>
      </c>
      <c r="AL249">
        <v>2166</v>
      </c>
    </row>
    <row r="250" spans="1:38">
      <c r="A250" t="s">
        <v>382</v>
      </c>
      <c r="B250" t="s">
        <v>382</v>
      </c>
      <c r="C250" t="s">
        <v>382</v>
      </c>
      <c r="D250" t="s">
        <v>382</v>
      </c>
      <c r="E250" t="s">
        <v>382</v>
      </c>
      <c r="F250" t="s">
        <v>382</v>
      </c>
      <c r="G250" t="s">
        <v>382</v>
      </c>
      <c r="H250" t="s">
        <v>382</v>
      </c>
      <c r="I250" t="s">
        <v>382</v>
      </c>
      <c r="J250" t="s">
        <v>382</v>
      </c>
      <c r="K250" t="s">
        <v>382</v>
      </c>
      <c r="L250" t="s">
        <v>382</v>
      </c>
      <c r="M250" t="s">
        <v>382</v>
      </c>
      <c r="N250" t="s">
        <v>382</v>
      </c>
      <c r="O250" t="s">
        <v>382</v>
      </c>
      <c r="P250" t="s">
        <v>382</v>
      </c>
      <c r="Q250" t="s">
        <v>382</v>
      </c>
      <c r="R250" t="s">
        <v>382</v>
      </c>
      <c r="S250" t="s">
        <v>382</v>
      </c>
      <c r="T250" t="s">
        <v>382</v>
      </c>
      <c r="U250" t="s">
        <v>382</v>
      </c>
      <c r="V250" t="s">
        <v>382</v>
      </c>
      <c r="W250" t="s">
        <v>382</v>
      </c>
      <c r="X250" t="s">
        <v>382</v>
      </c>
      <c r="Y250" t="s">
        <v>382</v>
      </c>
      <c r="Z250" t="s">
        <v>382</v>
      </c>
      <c r="AA250" t="s">
        <v>382</v>
      </c>
      <c r="AB250" t="s">
        <v>382</v>
      </c>
      <c r="AC250">
        <v>5</v>
      </c>
      <c r="AD250">
        <v>4</v>
      </c>
      <c r="AE250">
        <v>1</v>
      </c>
      <c r="AF250" t="s">
        <v>488</v>
      </c>
      <c r="AH250" t="s">
        <v>187</v>
      </c>
      <c r="AI250" t="s">
        <v>97</v>
      </c>
      <c r="AK250">
        <v>1511</v>
      </c>
      <c r="AL250">
        <v>2113</v>
      </c>
    </row>
    <row r="251" spans="1:38">
      <c r="A251" t="s">
        <v>382</v>
      </c>
      <c r="B251" t="s">
        <v>382</v>
      </c>
      <c r="C251" t="s">
        <v>382</v>
      </c>
      <c r="D251" t="s">
        <v>382</v>
      </c>
      <c r="E251" t="s">
        <v>382</v>
      </c>
      <c r="F251" t="s">
        <v>382</v>
      </c>
      <c r="G251" t="s">
        <v>382</v>
      </c>
      <c r="H251" t="s">
        <v>382</v>
      </c>
      <c r="I251" t="s">
        <v>382</v>
      </c>
      <c r="J251" t="s">
        <v>382</v>
      </c>
      <c r="K251" t="s">
        <v>382</v>
      </c>
      <c r="L251" t="s">
        <v>382</v>
      </c>
      <c r="M251" t="s">
        <v>382</v>
      </c>
      <c r="N251" t="s">
        <v>382</v>
      </c>
      <c r="O251" t="s">
        <v>382</v>
      </c>
      <c r="P251" t="s">
        <v>382</v>
      </c>
      <c r="Q251" t="s">
        <v>382</v>
      </c>
      <c r="R251" t="s">
        <v>382</v>
      </c>
      <c r="S251" t="s">
        <v>382</v>
      </c>
      <c r="T251" t="s">
        <v>382</v>
      </c>
      <c r="U251" t="s">
        <v>382</v>
      </c>
      <c r="V251" t="s">
        <v>382</v>
      </c>
      <c r="W251" t="s">
        <v>382</v>
      </c>
      <c r="X251" t="s">
        <v>382</v>
      </c>
      <c r="Y251" t="s">
        <v>382</v>
      </c>
      <c r="Z251" t="s">
        <v>382</v>
      </c>
      <c r="AA251" t="s">
        <v>382</v>
      </c>
      <c r="AB251" t="s">
        <v>382</v>
      </c>
      <c r="AC251">
        <v>5</v>
      </c>
      <c r="AD251">
        <v>5</v>
      </c>
      <c r="AE251">
        <v>1</v>
      </c>
      <c r="AF251" t="s">
        <v>486</v>
      </c>
      <c r="AH251" t="s">
        <v>189</v>
      </c>
      <c r="AI251" t="s">
        <v>97</v>
      </c>
      <c r="AK251">
        <v>2297</v>
      </c>
      <c r="AL251">
        <v>2109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1"/>
  <sheetViews>
    <sheetView topLeftCell="P1" workbookViewId="0">
      <selection activeCell="AC2" sqref="AC2:AD251"/>
    </sheetView>
  </sheetViews>
  <sheetFormatPr baseColWidth="10" defaultColWidth="8.83203125" defaultRowHeight="14" x14ac:dyDescent="0"/>
  <cols>
    <col min="1" max="1" width="9.6640625" bestFit="1" customWidth="1"/>
    <col min="2" max="2" width="12.1640625" bestFit="1" customWidth="1"/>
    <col min="3" max="3" width="6.83203125" bestFit="1" customWidth="1"/>
    <col min="4" max="4" width="7.83203125" bestFit="1" customWidth="1"/>
    <col min="5" max="5" width="7.5" bestFit="1" customWidth="1"/>
    <col min="6" max="6" width="9.33203125" bestFit="1" customWidth="1"/>
    <col min="7" max="7" width="6.1640625" bestFit="1" customWidth="1"/>
    <col min="8" max="8" width="8.6640625" bestFit="1" customWidth="1"/>
    <col min="9" max="9" width="7.6640625" bestFit="1" customWidth="1"/>
    <col min="10" max="10" width="9.1640625" bestFit="1" customWidth="1"/>
    <col min="11" max="11" width="6.83203125" bestFit="1" customWidth="1"/>
    <col min="12" max="12" width="8.1640625" bestFit="1" customWidth="1"/>
    <col min="13" max="13" width="9.5" bestFit="1" customWidth="1"/>
    <col min="14" max="14" width="6.5" bestFit="1" customWidth="1"/>
    <col min="15" max="15" width="8" bestFit="1" customWidth="1"/>
    <col min="16" max="16" width="11.5" bestFit="1" customWidth="1"/>
    <col min="17" max="17" width="14.1640625" bestFit="1" customWidth="1"/>
    <col min="18" max="18" width="6" bestFit="1" customWidth="1"/>
    <col min="19" max="19" width="5.33203125" bestFit="1" customWidth="1"/>
    <col min="20" max="20" width="7.1640625" bestFit="1" customWidth="1"/>
    <col min="21" max="21" width="11" bestFit="1" customWidth="1"/>
    <col min="22" max="22" width="10.33203125" bestFit="1" customWidth="1"/>
    <col min="23" max="23" width="10.5" bestFit="1" customWidth="1"/>
    <col min="24" max="24" width="12.5" bestFit="1" customWidth="1"/>
    <col min="25" max="25" width="7.33203125" bestFit="1" customWidth="1"/>
    <col min="26" max="26" width="4.5" bestFit="1" customWidth="1"/>
    <col min="27" max="27" width="12" bestFit="1" customWidth="1"/>
    <col min="28" max="28" width="12.5" bestFit="1" customWidth="1"/>
    <col min="29" max="29" width="10.83203125" bestFit="1" customWidth="1"/>
    <col min="30" max="30" width="6.6640625" bestFit="1" customWidth="1"/>
    <col min="31" max="31" width="7.33203125" bestFit="1" customWidth="1"/>
    <col min="32" max="32" width="16" bestFit="1" customWidth="1"/>
    <col min="33" max="33" width="7.33203125" bestFit="1" customWidth="1"/>
    <col min="34" max="34" width="11.1640625" bestFit="1" customWidth="1"/>
    <col min="35" max="35" width="21.1640625" bestFit="1" customWidth="1"/>
    <col min="36" max="36" width="5.6640625" bestFit="1" customWidth="1"/>
    <col min="37" max="38" width="4.83203125" bestFit="1" customWidth="1"/>
  </cols>
  <sheetData>
    <row r="1" spans="1:38">
      <c r="A1" s="1" t="s">
        <v>322</v>
      </c>
      <c r="B1" s="1" t="s">
        <v>367</v>
      </c>
      <c r="C1" s="1" t="s">
        <v>324</v>
      </c>
      <c r="D1" s="1" t="s">
        <v>325</v>
      </c>
      <c r="E1" s="1" t="s">
        <v>326</v>
      </c>
      <c r="F1" s="1" t="s">
        <v>368</v>
      </c>
      <c r="G1" s="1" t="s">
        <v>328</v>
      </c>
      <c r="H1" s="1" t="s">
        <v>329</v>
      </c>
      <c r="I1" s="1" t="s">
        <v>330</v>
      </c>
      <c r="J1" s="1" t="s">
        <v>369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370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371</v>
      </c>
      <c r="V1" s="1" t="s">
        <v>372</v>
      </c>
      <c r="W1" s="1" t="s">
        <v>373</v>
      </c>
      <c r="X1" s="1" t="s">
        <v>345</v>
      </c>
      <c r="Y1" s="1" t="s">
        <v>346</v>
      </c>
      <c r="Z1" s="1" t="s">
        <v>347</v>
      </c>
      <c r="AA1" s="1" t="s">
        <v>374</v>
      </c>
      <c r="AB1" s="1" t="s">
        <v>375</v>
      </c>
      <c r="AC1" s="1" t="s">
        <v>376</v>
      </c>
      <c r="AD1" s="1" t="s">
        <v>377</v>
      </c>
      <c r="AE1" s="1" t="s">
        <v>378</v>
      </c>
      <c r="AF1" s="1" t="s">
        <v>379</v>
      </c>
      <c r="AG1" s="1" t="s">
        <v>380</v>
      </c>
      <c r="AH1" s="1" t="s">
        <v>381</v>
      </c>
      <c r="AI1" s="1" t="s">
        <v>320</v>
      </c>
      <c r="AJ1" s="1" t="s">
        <v>16</v>
      </c>
      <c r="AK1" s="1" t="s">
        <v>1</v>
      </c>
      <c r="AL1" s="1" t="s">
        <v>2</v>
      </c>
    </row>
    <row r="2" spans="1:38">
      <c r="A2" t="s">
        <v>382</v>
      </c>
      <c r="B2" t="s">
        <v>382</v>
      </c>
      <c r="C2" t="s">
        <v>382</v>
      </c>
      <c r="D2" t="s">
        <v>382</v>
      </c>
      <c r="E2" t="s">
        <v>382</v>
      </c>
      <c r="F2" t="s">
        <v>382</v>
      </c>
      <c r="G2" t="s">
        <v>382</v>
      </c>
      <c r="H2" t="s">
        <v>382</v>
      </c>
      <c r="I2" t="s">
        <v>382</v>
      </c>
      <c r="J2" t="s">
        <v>382</v>
      </c>
      <c r="K2" t="s">
        <v>382</v>
      </c>
      <c r="L2" t="s">
        <v>382</v>
      </c>
      <c r="M2" t="s">
        <v>382</v>
      </c>
      <c r="N2" t="s">
        <v>382</v>
      </c>
      <c r="O2" t="s">
        <v>382</v>
      </c>
      <c r="P2" t="s">
        <v>382</v>
      </c>
      <c r="Q2" t="s">
        <v>382</v>
      </c>
      <c r="R2" t="s">
        <v>382</v>
      </c>
      <c r="S2" t="s">
        <v>382</v>
      </c>
      <c r="T2" t="s">
        <v>382</v>
      </c>
      <c r="U2" t="s">
        <v>382</v>
      </c>
      <c r="V2" t="s">
        <v>382</v>
      </c>
      <c r="W2" t="s">
        <v>382</v>
      </c>
      <c r="X2" t="s">
        <v>382</v>
      </c>
      <c r="Y2" t="s">
        <v>382</v>
      </c>
      <c r="Z2" t="s">
        <v>382</v>
      </c>
      <c r="AA2" t="s">
        <v>382</v>
      </c>
      <c r="AB2" t="s">
        <v>382</v>
      </c>
      <c r="AC2">
        <v>5</v>
      </c>
      <c r="AD2">
        <v>1</v>
      </c>
      <c r="AF2" t="s">
        <v>386</v>
      </c>
      <c r="AH2" t="s">
        <v>29</v>
      </c>
      <c r="AI2" t="s">
        <v>103</v>
      </c>
      <c r="AK2">
        <v>2976</v>
      </c>
      <c r="AL2">
        <v>2469</v>
      </c>
    </row>
    <row r="3" spans="1:38">
      <c r="A3" t="s">
        <v>382</v>
      </c>
      <c r="B3" t="s">
        <v>382</v>
      </c>
      <c r="C3" t="s">
        <v>382</v>
      </c>
      <c r="D3" t="s">
        <v>382</v>
      </c>
      <c r="E3" t="s">
        <v>382</v>
      </c>
      <c r="F3" t="s">
        <v>382</v>
      </c>
      <c r="G3" t="s">
        <v>382</v>
      </c>
      <c r="H3" t="s">
        <v>382</v>
      </c>
      <c r="I3" t="s">
        <v>382</v>
      </c>
      <c r="J3" t="s">
        <v>382</v>
      </c>
      <c r="K3" t="s">
        <v>382</v>
      </c>
      <c r="L3" t="s">
        <v>382</v>
      </c>
      <c r="M3" t="s">
        <v>382</v>
      </c>
      <c r="N3" t="s">
        <v>382</v>
      </c>
      <c r="O3" t="s">
        <v>382</v>
      </c>
      <c r="P3" t="s">
        <v>382</v>
      </c>
      <c r="Q3" t="s">
        <v>382</v>
      </c>
      <c r="R3" t="s">
        <v>382</v>
      </c>
      <c r="S3" t="s">
        <v>382</v>
      </c>
      <c r="T3" t="s">
        <v>382</v>
      </c>
      <c r="U3" t="s">
        <v>382</v>
      </c>
      <c r="V3" t="s">
        <v>382</v>
      </c>
      <c r="W3" t="s">
        <v>382</v>
      </c>
      <c r="X3" t="s">
        <v>382</v>
      </c>
      <c r="Y3" t="s">
        <v>382</v>
      </c>
      <c r="Z3" t="s">
        <v>382</v>
      </c>
      <c r="AA3" t="s">
        <v>382</v>
      </c>
      <c r="AB3" t="s">
        <v>382</v>
      </c>
      <c r="AC3">
        <v>5</v>
      </c>
      <c r="AD3">
        <v>2</v>
      </c>
      <c r="AF3" t="s">
        <v>384</v>
      </c>
      <c r="AH3" t="s">
        <v>25</v>
      </c>
      <c r="AI3" t="s">
        <v>106</v>
      </c>
      <c r="AK3">
        <v>1184</v>
      </c>
      <c r="AL3">
        <v>1102</v>
      </c>
    </row>
    <row r="4" spans="1:38">
      <c r="A4" t="s">
        <v>382</v>
      </c>
      <c r="B4" t="s">
        <v>382</v>
      </c>
      <c r="C4" t="s">
        <v>382</v>
      </c>
      <c r="D4" t="s">
        <v>382</v>
      </c>
      <c r="E4" t="s">
        <v>382</v>
      </c>
      <c r="F4" t="s">
        <v>382</v>
      </c>
      <c r="G4" t="s">
        <v>382</v>
      </c>
      <c r="H4" t="s">
        <v>382</v>
      </c>
      <c r="I4" t="s">
        <v>382</v>
      </c>
      <c r="J4" t="s">
        <v>382</v>
      </c>
      <c r="K4" t="s">
        <v>382</v>
      </c>
      <c r="L4" t="s">
        <v>382</v>
      </c>
      <c r="M4" t="s">
        <v>382</v>
      </c>
      <c r="N4" t="s">
        <v>382</v>
      </c>
      <c r="O4" t="s">
        <v>382</v>
      </c>
      <c r="P4" t="s">
        <v>382</v>
      </c>
      <c r="Q4" t="s">
        <v>382</v>
      </c>
      <c r="R4" t="s">
        <v>382</v>
      </c>
      <c r="S4" t="s">
        <v>382</v>
      </c>
      <c r="T4" t="s">
        <v>382</v>
      </c>
      <c r="U4" t="s">
        <v>382</v>
      </c>
      <c r="V4" t="s">
        <v>382</v>
      </c>
      <c r="W4" t="s">
        <v>382</v>
      </c>
      <c r="X4" t="s">
        <v>382</v>
      </c>
      <c r="Y4" t="s">
        <v>382</v>
      </c>
      <c r="Z4" t="s">
        <v>382</v>
      </c>
      <c r="AA4" t="s">
        <v>382</v>
      </c>
      <c r="AB4" t="s">
        <v>382</v>
      </c>
      <c r="AC4">
        <v>5</v>
      </c>
      <c r="AD4">
        <v>3</v>
      </c>
      <c r="AE4">
        <v>1</v>
      </c>
      <c r="AF4" t="s">
        <v>389</v>
      </c>
      <c r="AH4" t="s">
        <v>35</v>
      </c>
      <c r="AI4" t="s">
        <v>97</v>
      </c>
      <c r="AK4">
        <v>1253</v>
      </c>
      <c r="AL4">
        <v>2402</v>
      </c>
    </row>
    <row r="5" spans="1:38">
      <c r="A5" t="s">
        <v>382</v>
      </c>
      <c r="B5" t="s">
        <v>382</v>
      </c>
      <c r="C5" t="s">
        <v>382</v>
      </c>
      <c r="D5" t="s">
        <v>382</v>
      </c>
      <c r="E5" t="s">
        <v>382</v>
      </c>
      <c r="F5" t="s">
        <v>382</v>
      </c>
      <c r="G5" t="s">
        <v>382</v>
      </c>
      <c r="H5" t="s">
        <v>382</v>
      </c>
      <c r="I5" t="s">
        <v>382</v>
      </c>
      <c r="J5" t="s">
        <v>382</v>
      </c>
      <c r="K5" t="s">
        <v>382</v>
      </c>
      <c r="L5" t="s">
        <v>382</v>
      </c>
      <c r="M5" t="s">
        <v>382</v>
      </c>
      <c r="N5" t="s">
        <v>382</v>
      </c>
      <c r="O5" t="s">
        <v>382</v>
      </c>
      <c r="P5" t="s">
        <v>382</v>
      </c>
      <c r="Q5" t="s">
        <v>382</v>
      </c>
      <c r="R5" t="s">
        <v>382</v>
      </c>
      <c r="S5" t="s">
        <v>382</v>
      </c>
      <c r="T5" t="s">
        <v>382</v>
      </c>
      <c r="U5" t="s">
        <v>382</v>
      </c>
      <c r="V5" t="s">
        <v>382</v>
      </c>
      <c r="W5" t="s">
        <v>382</v>
      </c>
      <c r="X5" t="s">
        <v>382</v>
      </c>
      <c r="Y5" t="s">
        <v>382</v>
      </c>
      <c r="Z5" t="s">
        <v>382</v>
      </c>
      <c r="AA5" t="s">
        <v>382</v>
      </c>
      <c r="AB5" t="s">
        <v>382</v>
      </c>
      <c r="AC5">
        <v>5</v>
      </c>
      <c r="AD5">
        <v>4</v>
      </c>
      <c r="AF5" t="s">
        <v>385</v>
      </c>
      <c r="AH5" t="s">
        <v>27</v>
      </c>
      <c r="AI5" t="s">
        <v>109</v>
      </c>
      <c r="AK5">
        <v>2489</v>
      </c>
      <c r="AL5">
        <v>336</v>
      </c>
    </row>
    <row r="6" spans="1:38">
      <c r="A6" t="s">
        <v>382</v>
      </c>
      <c r="B6" t="s">
        <v>382</v>
      </c>
      <c r="C6" t="s">
        <v>382</v>
      </c>
      <c r="D6" t="s">
        <v>382</v>
      </c>
      <c r="E6" t="s">
        <v>382</v>
      </c>
      <c r="F6" t="s">
        <v>382</v>
      </c>
      <c r="G6" t="s">
        <v>382</v>
      </c>
      <c r="H6" t="s">
        <v>382</v>
      </c>
      <c r="I6" t="s">
        <v>382</v>
      </c>
      <c r="J6" t="s">
        <v>382</v>
      </c>
      <c r="K6" t="s">
        <v>382</v>
      </c>
      <c r="L6" t="s">
        <v>382</v>
      </c>
      <c r="M6" t="s">
        <v>382</v>
      </c>
      <c r="N6" t="s">
        <v>382</v>
      </c>
      <c r="O6" t="s">
        <v>382</v>
      </c>
      <c r="P6" t="s">
        <v>382</v>
      </c>
      <c r="Q6" t="s">
        <v>382</v>
      </c>
      <c r="R6" t="s">
        <v>382</v>
      </c>
      <c r="S6" t="s">
        <v>382</v>
      </c>
      <c r="T6" t="s">
        <v>382</v>
      </c>
      <c r="U6" t="s">
        <v>382</v>
      </c>
      <c r="V6" t="s">
        <v>382</v>
      </c>
      <c r="W6" t="s">
        <v>382</v>
      </c>
      <c r="X6" t="s">
        <v>382</v>
      </c>
      <c r="Y6" t="s">
        <v>382</v>
      </c>
      <c r="Z6" t="s">
        <v>382</v>
      </c>
      <c r="AA6" t="s">
        <v>382</v>
      </c>
      <c r="AB6" t="s">
        <v>382</v>
      </c>
      <c r="AC6">
        <v>5</v>
      </c>
      <c r="AD6">
        <v>5</v>
      </c>
      <c r="AF6" t="s">
        <v>386</v>
      </c>
      <c r="AH6" t="s">
        <v>29</v>
      </c>
      <c r="AI6" t="s">
        <v>103</v>
      </c>
      <c r="AK6">
        <v>1368</v>
      </c>
      <c r="AL6">
        <v>90</v>
      </c>
    </row>
    <row r="7" spans="1:38">
      <c r="A7" t="s">
        <v>382</v>
      </c>
      <c r="B7" t="s">
        <v>382</v>
      </c>
      <c r="C7" t="s">
        <v>382</v>
      </c>
      <c r="D7" t="s">
        <v>382</v>
      </c>
      <c r="E7" t="s">
        <v>382</v>
      </c>
      <c r="F7" t="s">
        <v>382</v>
      </c>
      <c r="G7" t="s">
        <v>382</v>
      </c>
      <c r="H7" t="s">
        <v>382</v>
      </c>
      <c r="I7" t="s">
        <v>382</v>
      </c>
      <c r="J7" t="s">
        <v>382</v>
      </c>
      <c r="K7" t="s">
        <v>382</v>
      </c>
      <c r="L7" t="s">
        <v>382</v>
      </c>
      <c r="M7" t="s">
        <v>382</v>
      </c>
      <c r="N7" t="s">
        <v>382</v>
      </c>
      <c r="O7" t="s">
        <v>382</v>
      </c>
      <c r="P7" t="s">
        <v>382</v>
      </c>
      <c r="Q7" t="s">
        <v>382</v>
      </c>
      <c r="R7" t="s">
        <v>382</v>
      </c>
      <c r="S7" t="s">
        <v>382</v>
      </c>
      <c r="T7" t="s">
        <v>382</v>
      </c>
      <c r="U7" t="s">
        <v>382</v>
      </c>
      <c r="V7" t="s">
        <v>382</v>
      </c>
      <c r="W7" t="s">
        <v>382</v>
      </c>
      <c r="X7" t="s">
        <v>382</v>
      </c>
      <c r="Y7" t="s">
        <v>382</v>
      </c>
      <c r="Z7" t="s">
        <v>382</v>
      </c>
      <c r="AA7" t="s">
        <v>382</v>
      </c>
      <c r="AB7" t="s">
        <v>382</v>
      </c>
      <c r="AC7">
        <v>5</v>
      </c>
      <c r="AD7">
        <v>1</v>
      </c>
      <c r="AE7">
        <v>1</v>
      </c>
      <c r="AF7" t="s">
        <v>387</v>
      </c>
      <c r="AH7" t="s">
        <v>31</v>
      </c>
      <c r="AI7" t="s">
        <v>97</v>
      </c>
      <c r="AK7">
        <v>1510</v>
      </c>
      <c r="AL7">
        <v>1077</v>
      </c>
    </row>
    <row r="8" spans="1:38">
      <c r="A8" t="s">
        <v>382</v>
      </c>
      <c r="B8" t="s">
        <v>382</v>
      </c>
      <c r="C8" t="s">
        <v>382</v>
      </c>
      <c r="D8" t="s">
        <v>382</v>
      </c>
      <c r="E8" t="s">
        <v>382</v>
      </c>
      <c r="F8" t="s">
        <v>382</v>
      </c>
      <c r="G8" t="s">
        <v>382</v>
      </c>
      <c r="H8" t="s">
        <v>382</v>
      </c>
      <c r="I8" t="s">
        <v>382</v>
      </c>
      <c r="J8" t="s">
        <v>382</v>
      </c>
      <c r="K8" t="s">
        <v>382</v>
      </c>
      <c r="L8" t="s">
        <v>382</v>
      </c>
      <c r="M8" t="s">
        <v>382</v>
      </c>
      <c r="N8" t="s">
        <v>382</v>
      </c>
      <c r="O8" t="s">
        <v>382</v>
      </c>
      <c r="P8" t="s">
        <v>382</v>
      </c>
      <c r="Q8" t="s">
        <v>382</v>
      </c>
      <c r="R8" t="s">
        <v>382</v>
      </c>
      <c r="S8" t="s">
        <v>382</v>
      </c>
      <c r="T8" t="s">
        <v>382</v>
      </c>
      <c r="U8" t="s">
        <v>382</v>
      </c>
      <c r="V8" t="s">
        <v>382</v>
      </c>
      <c r="W8" t="s">
        <v>382</v>
      </c>
      <c r="X8" t="s">
        <v>382</v>
      </c>
      <c r="Y8" t="s">
        <v>382</v>
      </c>
      <c r="Z8" t="s">
        <v>382</v>
      </c>
      <c r="AA8" t="s">
        <v>382</v>
      </c>
      <c r="AB8" t="s">
        <v>382</v>
      </c>
      <c r="AC8">
        <v>5</v>
      </c>
      <c r="AD8">
        <v>2</v>
      </c>
      <c r="AF8" t="s">
        <v>386</v>
      </c>
      <c r="AH8" t="s">
        <v>29</v>
      </c>
      <c r="AI8" t="s">
        <v>103</v>
      </c>
      <c r="AK8">
        <v>2968</v>
      </c>
      <c r="AL8">
        <v>1583</v>
      </c>
    </row>
    <row r="9" spans="1:38">
      <c r="A9" t="s">
        <v>382</v>
      </c>
      <c r="B9" t="s">
        <v>382</v>
      </c>
      <c r="C9" t="s">
        <v>382</v>
      </c>
      <c r="D9" t="s">
        <v>382</v>
      </c>
      <c r="E9" t="s">
        <v>382</v>
      </c>
      <c r="F9" t="s">
        <v>382</v>
      </c>
      <c r="G9" t="s">
        <v>382</v>
      </c>
      <c r="H9" t="s">
        <v>382</v>
      </c>
      <c r="I9" t="s">
        <v>382</v>
      </c>
      <c r="J9" t="s">
        <v>382</v>
      </c>
      <c r="K9" t="s">
        <v>382</v>
      </c>
      <c r="L9" t="s">
        <v>382</v>
      </c>
      <c r="M9" t="s">
        <v>382</v>
      </c>
      <c r="N9" t="s">
        <v>382</v>
      </c>
      <c r="O9" t="s">
        <v>382</v>
      </c>
      <c r="P9" t="s">
        <v>382</v>
      </c>
      <c r="Q9" t="s">
        <v>382</v>
      </c>
      <c r="R9" t="s">
        <v>382</v>
      </c>
      <c r="S9" t="s">
        <v>382</v>
      </c>
      <c r="T9" t="s">
        <v>382</v>
      </c>
      <c r="U9" t="s">
        <v>382</v>
      </c>
      <c r="V9" t="s">
        <v>382</v>
      </c>
      <c r="W9" t="s">
        <v>382</v>
      </c>
      <c r="X9" t="s">
        <v>382</v>
      </c>
      <c r="Y9" t="s">
        <v>382</v>
      </c>
      <c r="Z9" t="s">
        <v>382</v>
      </c>
      <c r="AA9" t="s">
        <v>382</v>
      </c>
      <c r="AB9" t="s">
        <v>382</v>
      </c>
      <c r="AC9">
        <v>5</v>
      </c>
      <c r="AD9">
        <v>3</v>
      </c>
      <c r="AF9" t="s">
        <v>386</v>
      </c>
      <c r="AH9" t="s">
        <v>29</v>
      </c>
      <c r="AI9" t="s">
        <v>103</v>
      </c>
      <c r="AK9">
        <v>2031</v>
      </c>
      <c r="AL9">
        <v>2348</v>
      </c>
    </row>
    <row r="10" spans="1:38">
      <c r="A10" t="s">
        <v>382</v>
      </c>
      <c r="B10" t="s">
        <v>382</v>
      </c>
      <c r="C10" t="s">
        <v>382</v>
      </c>
      <c r="D10" t="s">
        <v>382</v>
      </c>
      <c r="E10" t="s">
        <v>382</v>
      </c>
      <c r="F10" t="s">
        <v>382</v>
      </c>
      <c r="G10" t="s">
        <v>382</v>
      </c>
      <c r="H10" t="s">
        <v>382</v>
      </c>
      <c r="I10" t="s">
        <v>382</v>
      </c>
      <c r="J10" t="s">
        <v>382</v>
      </c>
      <c r="K10" t="s">
        <v>382</v>
      </c>
      <c r="L10" t="s">
        <v>382</v>
      </c>
      <c r="M10" t="s">
        <v>382</v>
      </c>
      <c r="N10" t="s">
        <v>382</v>
      </c>
      <c r="O10" t="s">
        <v>382</v>
      </c>
      <c r="P10" t="s">
        <v>382</v>
      </c>
      <c r="Q10" t="s">
        <v>382</v>
      </c>
      <c r="R10" t="s">
        <v>382</v>
      </c>
      <c r="S10" t="s">
        <v>382</v>
      </c>
      <c r="T10" t="s">
        <v>382</v>
      </c>
      <c r="U10" t="s">
        <v>382</v>
      </c>
      <c r="V10" t="s">
        <v>382</v>
      </c>
      <c r="W10" t="s">
        <v>382</v>
      </c>
      <c r="X10" t="s">
        <v>382</v>
      </c>
      <c r="Y10" t="s">
        <v>382</v>
      </c>
      <c r="Z10" t="s">
        <v>382</v>
      </c>
      <c r="AA10" t="s">
        <v>382</v>
      </c>
      <c r="AB10" t="s">
        <v>382</v>
      </c>
      <c r="AC10">
        <v>5</v>
      </c>
      <c r="AD10">
        <v>4</v>
      </c>
      <c r="AF10" t="s">
        <v>385</v>
      </c>
      <c r="AH10" t="s">
        <v>27</v>
      </c>
      <c r="AI10" t="s">
        <v>109</v>
      </c>
      <c r="AK10">
        <v>941</v>
      </c>
      <c r="AL10">
        <v>899</v>
      </c>
    </row>
    <row r="11" spans="1:38">
      <c r="A11" t="s">
        <v>382</v>
      </c>
      <c r="B11" t="s">
        <v>382</v>
      </c>
      <c r="C11" t="s">
        <v>382</v>
      </c>
      <c r="D11" t="s">
        <v>382</v>
      </c>
      <c r="E11" t="s">
        <v>382</v>
      </c>
      <c r="F11" t="s">
        <v>382</v>
      </c>
      <c r="G11" t="s">
        <v>382</v>
      </c>
      <c r="H11" t="s">
        <v>382</v>
      </c>
      <c r="I11" t="s">
        <v>382</v>
      </c>
      <c r="J11" t="s">
        <v>382</v>
      </c>
      <c r="K11" t="s">
        <v>382</v>
      </c>
      <c r="L11" t="s">
        <v>382</v>
      </c>
      <c r="M11" t="s">
        <v>382</v>
      </c>
      <c r="N11" t="s">
        <v>382</v>
      </c>
      <c r="O11" t="s">
        <v>382</v>
      </c>
      <c r="P11" t="s">
        <v>382</v>
      </c>
      <c r="Q11" t="s">
        <v>382</v>
      </c>
      <c r="R11" t="s">
        <v>382</v>
      </c>
      <c r="S11" t="s">
        <v>382</v>
      </c>
      <c r="T11" t="s">
        <v>382</v>
      </c>
      <c r="U11" t="s">
        <v>382</v>
      </c>
      <c r="V11" t="s">
        <v>382</v>
      </c>
      <c r="W11" t="s">
        <v>382</v>
      </c>
      <c r="X11" t="s">
        <v>382</v>
      </c>
      <c r="Y11" t="s">
        <v>382</v>
      </c>
      <c r="Z11" t="s">
        <v>382</v>
      </c>
      <c r="AA11" t="s">
        <v>382</v>
      </c>
      <c r="AB11" t="s">
        <v>382</v>
      </c>
      <c r="AC11">
        <v>5</v>
      </c>
      <c r="AD11">
        <v>5</v>
      </c>
      <c r="AF11" t="s">
        <v>385</v>
      </c>
      <c r="AH11" t="s">
        <v>27</v>
      </c>
      <c r="AI11" t="s">
        <v>109</v>
      </c>
      <c r="AK11">
        <v>2554</v>
      </c>
      <c r="AL11">
        <v>939</v>
      </c>
    </row>
    <row r="12" spans="1:38">
      <c r="A12" t="s">
        <v>382</v>
      </c>
      <c r="B12" t="s">
        <v>382</v>
      </c>
      <c r="C12" t="s">
        <v>382</v>
      </c>
      <c r="D12" t="s">
        <v>382</v>
      </c>
      <c r="E12" t="s">
        <v>382</v>
      </c>
      <c r="F12" t="s">
        <v>382</v>
      </c>
      <c r="G12" t="s">
        <v>382</v>
      </c>
      <c r="H12" t="s">
        <v>382</v>
      </c>
      <c r="I12" t="s">
        <v>382</v>
      </c>
      <c r="J12" t="s">
        <v>382</v>
      </c>
      <c r="K12" t="s">
        <v>382</v>
      </c>
      <c r="L12" t="s">
        <v>382</v>
      </c>
      <c r="M12" t="s">
        <v>382</v>
      </c>
      <c r="N12" t="s">
        <v>382</v>
      </c>
      <c r="O12" t="s">
        <v>382</v>
      </c>
      <c r="P12" t="s">
        <v>382</v>
      </c>
      <c r="Q12" t="s">
        <v>382</v>
      </c>
      <c r="R12" t="s">
        <v>382</v>
      </c>
      <c r="S12" t="s">
        <v>382</v>
      </c>
      <c r="T12" t="s">
        <v>382</v>
      </c>
      <c r="U12" t="s">
        <v>382</v>
      </c>
      <c r="V12" t="s">
        <v>382</v>
      </c>
      <c r="W12" t="s">
        <v>382</v>
      </c>
      <c r="X12" t="s">
        <v>382</v>
      </c>
      <c r="Y12" t="s">
        <v>382</v>
      </c>
      <c r="Z12" t="s">
        <v>382</v>
      </c>
      <c r="AA12" t="s">
        <v>382</v>
      </c>
      <c r="AB12" t="s">
        <v>382</v>
      </c>
      <c r="AC12">
        <v>5</v>
      </c>
      <c r="AD12">
        <v>1</v>
      </c>
      <c r="AF12" t="s">
        <v>386</v>
      </c>
      <c r="AH12" t="s">
        <v>29</v>
      </c>
      <c r="AI12" t="s">
        <v>103</v>
      </c>
      <c r="AK12">
        <v>2018</v>
      </c>
      <c r="AL12">
        <v>1470</v>
      </c>
    </row>
    <row r="13" spans="1:38">
      <c r="A13" t="s">
        <v>382</v>
      </c>
      <c r="B13" t="s">
        <v>382</v>
      </c>
      <c r="C13" t="s">
        <v>382</v>
      </c>
      <c r="D13" t="s">
        <v>382</v>
      </c>
      <c r="E13" t="s">
        <v>382</v>
      </c>
      <c r="F13" t="s">
        <v>382</v>
      </c>
      <c r="G13" t="s">
        <v>382</v>
      </c>
      <c r="H13" t="s">
        <v>382</v>
      </c>
      <c r="I13" t="s">
        <v>382</v>
      </c>
      <c r="J13" t="s">
        <v>382</v>
      </c>
      <c r="K13" t="s">
        <v>382</v>
      </c>
      <c r="L13" t="s">
        <v>382</v>
      </c>
      <c r="M13" t="s">
        <v>382</v>
      </c>
      <c r="N13" t="s">
        <v>382</v>
      </c>
      <c r="O13" t="s">
        <v>382</v>
      </c>
      <c r="P13" t="s">
        <v>382</v>
      </c>
      <c r="Q13" t="s">
        <v>382</v>
      </c>
      <c r="R13" t="s">
        <v>382</v>
      </c>
      <c r="S13" t="s">
        <v>382</v>
      </c>
      <c r="T13" t="s">
        <v>382</v>
      </c>
      <c r="U13" t="s">
        <v>382</v>
      </c>
      <c r="V13" t="s">
        <v>382</v>
      </c>
      <c r="W13" t="s">
        <v>382</v>
      </c>
      <c r="X13" t="s">
        <v>382</v>
      </c>
      <c r="Y13" t="s">
        <v>382</v>
      </c>
      <c r="Z13" t="s">
        <v>382</v>
      </c>
      <c r="AA13" t="s">
        <v>382</v>
      </c>
      <c r="AB13" t="s">
        <v>382</v>
      </c>
      <c r="AC13">
        <v>5</v>
      </c>
      <c r="AD13">
        <v>2</v>
      </c>
      <c r="AE13">
        <v>1</v>
      </c>
      <c r="AF13" t="s">
        <v>389</v>
      </c>
      <c r="AH13" t="s">
        <v>35</v>
      </c>
      <c r="AI13" t="s">
        <v>97</v>
      </c>
      <c r="AK13">
        <v>1738</v>
      </c>
      <c r="AL13">
        <v>2355</v>
      </c>
    </row>
    <row r="14" spans="1:38">
      <c r="A14" t="s">
        <v>382</v>
      </c>
      <c r="B14" t="s">
        <v>382</v>
      </c>
      <c r="C14" t="s">
        <v>382</v>
      </c>
      <c r="D14" t="s">
        <v>382</v>
      </c>
      <c r="E14" t="s">
        <v>382</v>
      </c>
      <c r="F14" t="s">
        <v>382</v>
      </c>
      <c r="G14" t="s">
        <v>382</v>
      </c>
      <c r="H14" t="s">
        <v>382</v>
      </c>
      <c r="I14" t="s">
        <v>382</v>
      </c>
      <c r="J14" t="s">
        <v>382</v>
      </c>
      <c r="K14" t="s">
        <v>382</v>
      </c>
      <c r="L14" t="s">
        <v>382</v>
      </c>
      <c r="M14" t="s">
        <v>382</v>
      </c>
      <c r="N14" t="s">
        <v>382</v>
      </c>
      <c r="O14" t="s">
        <v>382</v>
      </c>
      <c r="P14" t="s">
        <v>382</v>
      </c>
      <c r="Q14" t="s">
        <v>382</v>
      </c>
      <c r="R14" t="s">
        <v>382</v>
      </c>
      <c r="S14" t="s">
        <v>382</v>
      </c>
      <c r="T14" t="s">
        <v>382</v>
      </c>
      <c r="U14" t="s">
        <v>382</v>
      </c>
      <c r="V14" t="s">
        <v>382</v>
      </c>
      <c r="W14" t="s">
        <v>382</v>
      </c>
      <c r="X14" t="s">
        <v>382</v>
      </c>
      <c r="Y14" t="s">
        <v>382</v>
      </c>
      <c r="Z14" t="s">
        <v>382</v>
      </c>
      <c r="AA14" t="s">
        <v>382</v>
      </c>
      <c r="AB14" t="s">
        <v>382</v>
      </c>
      <c r="AC14">
        <v>5</v>
      </c>
      <c r="AD14">
        <v>3</v>
      </c>
      <c r="AE14">
        <v>1</v>
      </c>
      <c r="AF14" t="s">
        <v>389</v>
      </c>
      <c r="AH14" t="s">
        <v>35</v>
      </c>
      <c r="AI14" t="s">
        <v>97</v>
      </c>
      <c r="AK14">
        <v>1549</v>
      </c>
      <c r="AL14">
        <v>1998</v>
      </c>
    </row>
    <row r="15" spans="1:38">
      <c r="A15" t="s">
        <v>382</v>
      </c>
      <c r="B15" t="s">
        <v>382</v>
      </c>
      <c r="C15" t="s">
        <v>382</v>
      </c>
      <c r="D15" t="s">
        <v>382</v>
      </c>
      <c r="E15" t="s">
        <v>382</v>
      </c>
      <c r="F15" t="s">
        <v>382</v>
      </c>
      <c r="G15" t="s">
        <v>382</v>
      </c>
      <c r="H15" t="s">
        <v>382</v>
      </c>
      <c r="I15" t="s">
        <v>382</v>
      </c>
      <c r="J15" t="s">
        <v>382</v>
      </c>
      <c r="K15" t="s">
        <v>382</v>
      </c>
      <c r="L15" t="s">
        <v>382</v>
      </c>
      <c r="M15" t="s">
        <v>382</v>
      </c>
      <c r="N15" t="s">
        <v>382</v>
      </c>
      <c r="O15" t="s">
        <v>382</v>
      </c>
      <c r="P15" t="s">
        <v>382</v>
      </c>
      <c r="Q15" t="s">
        <v>382</v>
      </c>
      <c r="R15" t="s">
        <v>382</v>
      </c>
      <c r="S15" t="s">
        <v>382</v>
      </c>
      <c r="T15" t="s">
        <v>382</v>
      </c>
      <c r="U15" t="s">
        <v>382</v>
      </c>
      <c r="V15" t="s">
        <v>382</v>
      </c>
      <c r="W15" t="s">
        <v>382</v>
      </c>
      <c r="X15" t="s">
        <v>382</v>
      </c>
      <c r="Y15" t="s">
        <v>382</v>
      </c>
      <c r="Z15" t="s">
        <v>382</v>
      </c>
      <c r="AA15" t="s">
        <v>382</v>
      </c>
      <c r="AB15" t="s">
        <v>382</v>
      </c>
      <c r="AC15">
        <v>5</v>
      </c>
      <c r="AD15">
        <v>4</v>
      </c>
      <c r="AE15">
        <v>1</v>
      </c>
      <c r="AF15" t="s">
        <v>389</v>
      </c>
      <c r="AH15" t="s">
        <v>35</v>
      </c>
      <c r="AI15" t="s">
        <v>97</v>
      </c>
      <c r="AK15">
        <v>1258</v>
      </c>
      <c r="AL15">
        <v>679</v>
      </c>
    </row>
    <row r="16" spans="1:38">
      <c r="A16" t="s">
        <v>382</v>
      </c>
      <c r="B16" t="s">
        <v>382</v>
      </c>
      <c r="C16" t="s">
        <v>382</v>
      </c>
      <c r="D16" t="s">
        <v>382</v>
      </c>
      <c r="E16" t="s">
        <v>382</v>
      </c>
      <c r="F16" t="s">
        <v>382</v>
      </c>
      <c r="G16" t="s">
        <v>382</v>
      </c>
      <c r="H16" t="s">
        <v>382</v>
      </c>
      <c r="I16" t="s">
        <v>382</v>
      </c>
      <c r="J16" t="s">
        <v>382</v>
      </c>
      <c r="K16" t="s">
        <v>382</v>
      </c>
      <c r="L16" t="s">
        <v>382</v>
      </c>
      <c r="M16" t="s">
        <v>382</v>
      </c>
      <c r="N16" t="s">
        <v>382</v>
      </c>
      <c r="O16" t="s">
        <v>382</v>
      </c>
      <c r="P16" t="s">
        <v>382</v>
      </c>
      <c r="Q16" t="s">
        <v>382</v>
      </c>
      <c r="R16" t="s">
        <v>382</v>
      </c>
      <c r="S16" t="s">
        <v>382</v>
      </c>
      <c r="T16" t="s">
        <v>382</v>
      </c>
      <c r="U16" t="s">
        <v>382</v>
      </c>
      <c r="V16" t="s">
        <v>382</v>
      </c>
      <c r="W16" t="s">
        <v>382</v>
      </c>
      <c r="X16" t="s">
        <v>382</v>
      </c>
      <c r="Y16" t="s">
        <v>382</v>
      </c>
      <c r="Z16" t="s">
        <v>382</v>
      </c>
      <c r="AA16" t="s">
        <v>382</v>
      </c>
      <c r="AB16" t="s">
        <v>382</v>
      </c>
      <c r="AC16">
        <v>5</v>
      </c>
      <c r="AD16">
        <v>5</v>
      </c>
      <c r="AE16">
        <v>1</v>
      </c>
      <c r="AF16" t="s">
        <v>393</v>
      </c>
      <c r="AH16" t="s">
        <v>51</v>
      </c>
      <c r="AI16" t="s">
        <v>97</v>
      </c>
      <c r="AK16">
        <v>676</v>
      </c>
      <c r="AL16">
        <v>1167</v>
      </c>
    </row>
    <row r="17" spans="1:38">
      <c r="A17" t="s">
        <v>382</v>
      </c>
      <c r="B17" t="s">
        <v>382</v>
      </c>
      <c r="C17" t="s">
        <v>382</v>
      </c>
      <c r="D17" t="s">
        <v>382</v>
      </c>
      <c r="E17" t="s">
        <v>382</v>
      </c>
      <c r="F17" t="s">
        <v>382</v>
      </c>
      <c r="G17" t="s">
        <v>382</v>
      </c>
      <c r="H17" t="s">
        <v>382</v>
      </c>
      <c r="I17" t="s">
        <v>382</v>
      </c>
      <c r="J17" t="s">
        <v>382</v>
      </c>
      <c r="K17" t="s">
        <v>382</v>
      </c>
      <c r="L17" t="s">
        <v>382</v>
      </c>
      <c r="M17" t="s">
        <v>382</v>
      </c>
      <c r="N17" t="s">
        <v>382</v>
      </c>
      <c r="O17" t="s">
        <v>382</v>
      </c>
      <c r="P17" t="s">
        <v>382</v>
      </c>
      <c r="Q17" t="s">
        <v>382</v>
      </c>
      <c r="R17" t="s">
        <v>382</v>
      </c>
      <c r="S17" t="s">
        <v>382</v>
      </c>
      <c r="T17" t="s">
        <v>382</v>
      </c>
      <c r="U17" t="s">
        <v>382</v>
      </c>
      <c r="V17" t="s">
        <v>382</v>
      </c>
      <c r="W17" t="s">
        <v>382</v>
      </c>
      <c r="X17" t="s">
        <v>382</v>
      </c>
      <c r="Y17" t="s">
        <v>382</v>
      </c>
      <c r="Z17" t="s">
        <v>382</v>
      </c>
      <c r="AA17" t="s">
        <v>382</v>
      </c>
      <c r="AB17" t="s">
        <v>382</v>
      </c>
      <c r="AC17">
        <v>5</v>
      </c>
      <c r="AD17">
        <v>1</v>
      </c>
      <c r="AE17">
        <v>1</v>
      </c>
      <c r="AF17" t="s">
        <v>387</v>
      </c>
      <c r="AH17" t="s">
        <v>31</v>
      </c>
      <c r="AI17" t="s">
        <v>97</v>
      </c>
      <c r="AK17">
        <v>1207</v>
      </c>
      <c r="AL17">
        <v>722</v>
      </c>
    </row>
    <row r="18" spans="1:38">
      <c r="A18" t="s">
        <v>382</v>
      </c>
      <c r="B18" t="s">
        <v>382</v>
      </c>
      <c r="C18" t="s">
        <v>382</v>
      </c>
      <c r="D18" t="s">
        <v>382</v>
      </c>
      <c r="E18" t="s">
        <v>382</v>
      </c>
      <c r="F18" t="s">
        <v>382</v>
      </c>
      <c r="G18" t="s">
        <v>382</v>
      </c>
      <c r="H18" t="s">
        <v>382</v>
      </c>
      <c r="I18" t="s">
        <v>382</v>
      </c>
      <c r="J18" t="s">
        <v>382</v>
      </c>
      <c r="K18" t="s">
        <v>382</v>
      </c>
      <c r="L18" t="s">
        <v>382</v>
      </c>
      <c r="M18" t="s">
        <v>382</v>
      </c>
      <c r="N18" t="s">
        <v>382</v>
      </c>
      <c r="O18" t="s">
        <v>382</v>
      </c>
      <c r="P18" t="s">
        <v>382</v>
      </c>
      <c r="Q18" t="s">
        <v>382</v>
      </c>
      <c r="R18" t="s">
        <v>382</v>
      </c>
      <c r="S18" t="s">
        <v>382</v>
      </c>
      <c r="T18" t="s">
        <v>382</v>
      </c>
      <c r="U18" t="s">
        <v>382</v>
      </c>
      <c r="V18" t="s">
        <v>382</v>
      </c>
      <c r="W18" t="s">
        <v>382</v>
      </c>
      <c r="X18" t="s">
        <v>382</v>
      </c>
      <c r="Y18" t="s">
        <v>382</v>
      </c>
      <c r="Z18" t="s">
        <v>382</v>
      </c>
      <c r="AA18" t="s">
        <v>382</v>
      </c>
      <c r="AB18" t="s">
        <v>382</v>
      </c>
      <c r="AC18">
        <v>5</v>
      </c>
      <c r="AD18">
        <v>2</v>
      </c>
      <c r="AE18">
        <v>1</v>
      </c>
      <c r="AF18" t="s">
        <v>387</v>
      </c>
      <c r="AH18" t="s">
        <v>31</v>
      </c>
      <c r="AI18" t="s">
        <v>97</v>
      </c>
      <c r="AK18">
        <v>1528</v>
      </c>
      <c r="AL18">
        <v>1164</v>
      </c>
    </row>
    <row r="19" spans="1:38">
      <c r="A19" t="s">
        <v>382</v>
      </c>
      <c r="B19" t="s">
        <v>382</v>
      </c>
      <c r="C19" t="s">
        <v>382</v>
      </c>
      <c r="D19" t="s">
        <v>382</v>
      </c>
      <c r="E19" t="s">
        <v>382</v>
      </c>
      <c r="F19" t="s">
        <v>382</v>
      </c>
      <c r="G19" t="s">
        <v>382</v>
      </c>
      <c r="H19" t="s">
        <v>382</v>
      </c>
      <c r="I19" t="s">
        <v>382</v>
      </c>
      <c r="J19" t="s">
        <v>382</v>
      </c>
      <c r="K19" t="s">
        <v>382</v>
      </c>
      <c r="L19" t="s">
        <v>382</v>
      </c>
      <c r="M19" t="s">
        <v>382</v>
      </c>
      <c r="N19" t="s">
        <v>382</v>
      </c>
      <c r="O19" t="s">
        <v>382</v>
      </c>
      <c r="P19" t="s">
        <v>382</v>
      </c>
      <c r="Q19" t="s">
        <v>382</v>
      </c>
      <c r="R19" t="s">
        <v>382</v>
      </c>
      <c r="S19" t="s">
        <v>382</v>
      </c>
      <c r="T19" t="s">
        <v>382</v>
      </c>
      <c r="U19" t="s">
        <v>382</v>
      </c>
      <c r="V19" t="s">
        <v>382</v>
      </c>
      <c r="W19" t="s">
        <v>382</v>
      </c>
      <c r="X19" t="s">
        <v>382</v>
      </c>
      <c r="Y19" t="s">
        <v>382</v>
      </c>
      <c r="Z19" t="s">
        <v>382</v>
      </c>
      <c r="AA19" t="s">
        <v>382</v>
      </c>
      <c r="AB19" t="s">
        <v>382</v>
      </c>
      <c r="AC19">
        <v>5</v>
      </c>
      <c r="AD19">
        <v>3</v>
      </c>
      <c r="AE19">
        <v>1</v>
      </c>
      <c r="AF19" t="s">
        <v>383</v>
      </c>
      <c r="AH19" t="s">
        <v>22</v>
      </c>
      <c r="AI19" t="s">
        <v>97</v>
      </c>
      <c r="AK19">
        <v>2314</v>
      </c>
      <c r="AL19">
        <v>360</v>
      </c>
    </row>
    <row r="20" spans="1:38">
      <c r="A20" t="s">
        <v>382</v>
      </c>
      <c r="B20" t="s">
        <v>382</v>
      </c>
      <c r="C20" t="s">
        <v>382</v>
      </c>
      <c r="D20" t="s">
        <v>382</v>
      </c>
      <c r="E20" t="s">
        <v>382</v>
      </c>
      <c r="F20" t="s">
        <v>382</v>
      </c>
      <c r="G20" t="s">
        <v>382</v>
      </c>
      <c r="H20" t="s">
        <v>382</v>
      </c>
      <c r="I20" t="s">
        <v>382</v>
      </c>
      <c r="J20" t="s">
        <v>382</v>
      </c>
      <c r="K20" t="s">
        <v>382</v>
      </c>
      <c r="L20" t="s">
        <v>382</v>
      </c>
      <c r="M20" t="s">
        <v>382</v>
      </c>
      <c r="N20" t="s">
        <v>382</v>
      </c>
      <c r="O20" t="s">
        <v>382</v>
      </c>
      <c r="P20" t="s">
        <v>382</v>
      </c>
      <c r="Q20" t="s">
        <v>382</v>
      </c>
      <c r="R20" t="s">
        <v>382</v>
      </c>
      <c r="S20" t="s">
        <v>382</v>
      </c>
      <c r="T20" t="s">
        <v>382</v>
      </c>
      <c r="U20" t="s">
        <v>382</v>
      </c>
      <c r="V20" t="s">
        <v>382</v>
      </c>
      <c r="W20" t="s">
        <v>382</v>
      </c>
      <c r="X20" t="s">
        <v>382</v>
      </c>
      <c r="Y20" t="s">
        <v>382</v>
      </c>
      <c r="Z20" t="s">
        <v>382</v>
      </c>
      <c r="AA20" t="s">
        <v>382</v>
      </c>
      <c r="AB20" t="s">
        <v>382</v>
      </c>
      <c r="AC20">
        <v>5</v>
      </c>
      <c r="AD20">
        <v>4</v>
      </c>
      <c r="AE20">
        <v>1</v>
      </c>
      <c r="AF20" t="s">
        <v>383</v>
      </c>
      <c r="AH20" t="s">
        <v>22</v>
      </c>
      <c r="AI20" t="s">
        <v>97</v>
      </c>
      <c r="AK20">
        <v>2960</v>
      </c>
      <c r="AL20">
        <v>280</v>
      </c>
    </row>
    <row r="21" spans="1:38">
      <c r="A21" t="s">
        <v>382</v>
      </c>
      <c r="B21" t="s">
        <v>382</v>
      </c>
      <c r="C21" t="s">
        <v>382</v>
      </c>
      <c r="D21" t="s">
        <v>382</v>
      </c>
      <c r="E21" t="s">
        <v>382</v>
      </c>
      <c r="F21" t="s">
        <v>382</v>
      </c>
      <c r="G21" t="s">
        <v>382</v>
      </c>
      <c r="H21" t="s">
        <v>382</v>
      </c>
      <c r="I21" t="s">
        <v>382</v>
      </c>
      <c r="J21" t="s">
        <v>382</v>
      </c>
      <c r="K21" t="s">
        <v>382</v>
      </c>
      <c r="L21" t="s">
        <v>382</v>
      </c>
      <c r="M21" t="s">
        <v>382</v>
      </c>
      <c r="N21" t="s">
        <v>382</v>
      </c>
      <c r="O21" t="s">
        <v>382</v>
      </c>
      <c r="P21" t="s">
        <v>382</v>
      </c>
      <c r="Q21" t="s">
        <v>382</v>
      </c>
      <c r="R21" t="s">
        <v>382</v>
      </c>
      <c r="S21" t="s">
        <v>382</v>
      </c>
      <c r="T21" t="s">
        <v>382</v>
      </c>
      <c r="U21" t="s">
        <v>382</v>
      </c>
      <c r="V21" t="s">
        <v>382</v>
      </c>
      <c r="W21" t="s">
        <v>382</v>
      </c>
      <c r="X21" t="s">
        <v>382</v>
      </c>
      <c r="Y21" t="s">
        <v>382</v>
      </c>
      <c r="Z21" t="s">
        <v>382</v>
      </c>
      <c r="AA21" t="s">
        <v>382</v>
      </c>
      <c r="AB21" t="s">
        <v>382</v>
      </c>
      <c r="AC21">
        <v>5</v>
      </c>
      <c r="AD21">
        <v>5</v>
      </c>
      <c r="AE21">
        <v>1</v>
      </c>
      <c r="AF21" t="s">
        <v>383</v>
      </c>
      <c r="AH21" t="s">
        <v>22</v>
      </c>
      <c r="AI21" t="s">
        <v>97</v>
      </c>
      <c r="AK21">
        <v>2900</v>
      </c>
      <c r="AL21">
        <v>555</v>
      </c>
    </row>
    <row r="22" spans="1:38">
      <c r="A22" t="s">
        <v>382</v>
      </c>
      <c r="B22" t="s">
        <v>382</v>
      </c>
      <c r="C22" t="s">
        <v>382</v>
      </c>
      <c r="D22" t="s">
        <v>382</v>
      </c>
      <c r="E22" t="s">
        <v>382</v>
      </c>
      <c r="F22" t="s">
        <v>382</v>
      </c>
      <c r="G22" t="s">
        <v>382</v>
      </c>
      <c r="H22" t="s">
        <v>382</v>
      </c>
      <c r="I22" t="s">
        <v>382</v>
      </c>
      <c r="J22" t="s">
        <v>382</v>
      </c>
      <c r="K22" t="s">
        <v>382</v>
      </c>
      <c r="L22" t="s">
        <v>382</v>
      </c>
      <c r="M22" t="s">
        <v>382</v>
      </c>
      <c r="N22" t="s">
        <v>382</v>
      </c>
      <c r="O22" t="s">
        <v>382</v>
      </c>
      <c r="P22" t="s">
        <v>382</v>
      </c>
      <c r="Q22" t="s">
        <v>382</v>
      </c>
      <c r="R22" t="s">
        <v>382</v>
      </c>
      <c r="S22" t="s">
        <v>382</v>
      </c>
      <c r="T22" t="s">
        <v>382</v>
      </c>
      <c r="U22" t="s">
        <v>382</v>
      </c>
      <c r="V22" t="s">
        <v>382</v>
      </c>
      <c r="W22" t="s">
        <v>382</v>
      </c>
      <c r="X22" t="s">
        <v>382</v>
      </c>
      <c r="Y22" t="s">
        <v>382</v>
      </c>
      <c r="Z22" t="s">
        <v>382</v>
      </c>
      <c r="AA22" t="s">
        <v>382</v>
      </c>
      <c r="AB22" t="s">
        <v>382</v>
      </c>
      <c r="AC22">
        <v>5</v>
      </c>
      <c r="AD22">
        <v>1</v>
      </c>
      <c r="AE22">
        <v>1</v>
      </c>
      <c r="AF22" t="s">
        <v>398</v>
      </c>
      <c r="AH22" t="s">
        <v>69</v>
      </c>
      <c r="AI22" t="s">
        <v>97</v>
      </c>
      <c r="AK22">
        <v>2361</v>
      </c>
      <c r="AL22">
        <v>753</v>
      </c>
    </row>
    <row r="23" spans="1:38">
      <c r="A23" t="s">
        <v>382</v>
      </c>
      <c r="B23" t="s">
        <v>382</v>
      </c>
      <c r="C23" t="s">
        <v>382</v>
      </c>
      <c r="D23" t="s">
        <v>382</v>
      </c>
      <c r="E23" t="s">
        <v>382</v>
      </c>
      <c r="F23" t="s">
        <v>382</v>
      </c>
      <c r="G23" t="s">
        <v>382</v>
      </c>
      <c r="H23" t="s">
        <v>382</v>
      </c>
      <c r="I23" t="s">
        <v>382</v>
      </c>
      <c r="J23" t="s">
        <v>382</v>
      </c>
      <c r="K23" t="s">
        <v>382</v>
      </c>
      <c r="L23" t="s">
        <v>382</v>
      </c>
      <c r="M23" t="s">
        <v>382</v>
      </c>
      <c r="N23" t="s">
        <v>382</v>
      </c>
      <c r="O23" t="s">
        <v>382</v>
      </c>
      <c r="P23" t="s">
        <v>382</v>
      </c>
      <c r="Q23" t="s">
        <v>382</v>
      </c>
      <c r="R23" t="s">
        <v>382</v>
      </c>
      <c r="S23" t="s">
        <v>382</v>
      </c>
      <c r="T23" t="s">
        <v>382</v>
      </c>
      <c r="U23" t="s">
        <v>382</v>
      </c>
      <c r="V23" t="s">
        <v>382</v>
      </c>
      <c r="W23" t="s">
        <v>382</v>
      </c>
      <c r="X23" t="s">
        <v>382</v>
      </c>
      <c r="Y23" t="s">
        <v>382</v>
      </c>
      <c r="Z23" t="s">
        <v>382</v>
      </c>
      <c r="AA23" t="s">
        <v>382</v>
      </c>
      <c r="AB23" t="s">
        <v>382</v>
      </c>
      <c r="AC23">
        <v>5</v>
      </c>
      <c r="AD23">
        <v>2</v>
      </c>
      <c r="AF23" t="s">
        <v>386</v>
      </c>
      <c r="AH23" t="s">
        <v>29</v>
      </c>
      <c r="AI23" t="s">
        <v>103</v>
      </c>
      <c r="AK23">
        <v>619</v>
      </c>
      <c r="AL23">
        <v>26</v>
      </c>
    </row>
    <row r="24" spans="1:38">
      <c r="A24" t="s">
        <v>382</v>
      </c>
      <c r="B24" t="s">
        <v>382</v>
      </c>
      <c r="C24" t="s">
        <v>382</v>
      </c>
      <c r="D24" t="s">
        <v>382</v>
      </c>
      <c r="E24" t="s">
        <v>382</v>
      </c>
      <c r="F24" t="s">
        <v>382</v>
      </c>
      <c r="G24" t="s">
        <v>382</v>
      </c>
      <c r="H24" t="s">
        <v>382</v>
      </c>
      <c r="I24" t="s">
        <v>382</v>
      </c>
      <c r="J24" t="s">
        <v>382</v>
      </c>
      <c r="K24" t="s">
        <v>382</v>
      </c>
      <c r="L24" t="s">
        <v>382</v>
      </c>
      <c r="M24" t="s">
        <v>382</v>
      </c>
      <c r="N24" t="s">
        <v>382</v>
      </c>
      <c r="O24" t="s">
        <v>382</v>
      </c>
      <c r="P24" t="s">
        <v>382</v>
      </c>
      <c r="Q24" t="s">
        <v>382</v>
      </c>
      <c r="R24" t="s">
        <v>382</v>
      </c>
      <c r="S24" t="s">
        <v>382</v>
      </c>
      <c r="T24" t="s">
        <v>382</v>
      </c>
      <c r="U24" t="s">
        <v>382</v>
      </c>
      <c r="V24" t="s">
        <v>382</v>
      </c>
      <c r="W24" t="s">
        <v>382</v>
      </c>
      <c r="X24" t="s">
        <v>382</v>
      </c>
      <c r="Y24" t="s">
        <v>382</v>
      </c>
      <c r="Z24" t="s">
        <v>382</v>
      </c>
      <c r="AA24" t="s">
        <v>382</v>
      </c>
      <c r="AB24" t="s">
        <v>382</v>
      </c>
      <c r="AC24">
        <v>5</v>
      </c>
      <c r="AD24">
        <v>3</v>
      </c>
      <c r="AF24" t="s">
        <v>386</v>
      </c>
      <c r="AH24" t="s">
        <v>29</v>
      </c>
      <c r="AI24" t="s">
        <v>103</v>
      </c>
      <c r="AK24">
        <v>2315</v>
      </c>
      <c r="AL24">
        <v>733</v>
      </c>
    </row>
    <row r="25" spans="1:38">
      <c r="A25" t="s">
        <v>382</v>
      </c>
      <c r="B25" t="s">
        <v>382</v>
      </c>
      <c r="C25" t="s">
        <v>382</v>
      </c>
      <c r="D25" t="s">
        <v>382</v>
      </c>
      <c r="E25" t="s">
        <v>382</v>
      </c>
      <c r="F25" t="s">
        <v>382</v>
      </c>
      <c r="G25" t="s">
        <v>382</v>
      </c>
      <c r="H25" t="s">
        <v>382</v>
      </c>
      <c r="I25" t="s">
        <v>382</v>
      </c>
      <c r="J25" t="s">
        <v>382</v>
      </c>
      <c r="K25" t="s">
        <v>382</v>
      </c>
      <c r="L25" t="s">
        <v>382</v>
      </c>
      <c r="M25" t="s">
        <v>382</v>
      </c>
      <c r="N25" t="s">
        <v>382</v>
      </c>
      <c r="O25" t="s">
        <v>382</v>
      </c>
      <c r="P25" t="s">
        <v>382</v>
      </c>
      <c r="Q25" t="s">
        <v>382</v>
      </c>
      <c r="R25" t="s">
        <v>382</v>
      </c>
      <c r="S25" t="s">
        <v>382</v>
      </c>
      <c r="T25" t="s">
        <v>382</v>
      </c>
      <c r="U25" t="s">
        <v>382</v>
      </c>
      <c r="V25" t="s">
        <v>382</v>
      </c>
      <c r="W25" t="s">
        <v>382</v>
      </c>
      <c r="X25" t="s">
        <v>382</v>
      </c>
      <c r="Y25" t="s">
        <v>382</v>
      </c>
      <c r="Z25" t="s">
        <v>382</v>
      </c>
      <c r="AA25" t="s">
        <v>382</v>
      </c>
      <c r="AB25" t="s">
        <v>382</v>
      </c>
      <c r="AC25">
        <v>5</v>
      </c>
      <c r="AD25">
        <v>4</v>
      </c>
      <c r="AF25" t="s">
        <v>386</v>
      </c>
      <c r="AH25" t="s">
        <v>29</v>
      </c>
      <c r="AI25" t="s">
        <v>103</v>
      </c>
      <c r="AK25">
        <v>2816</v>
      </c>
      <c r="AL25">
        <v>486</v>
      </c>
    </row>
    <row r="26" spans="1:38">
      <c r="A26" t="s">
        <v>382</v>
      </c>
      <c r="B26" t="s">
        <v>382</v>
      </c>
      <c r="C26" t="s">
        <v>382</v>
      </c>
      <c r="D26" t="s">
        <v>382</v>
      </c>
      <c r="E26" t="s">
        <v>382</v>
      </c>
      <c r="F26" t="s">
        <v>382</v>
      </c>
      <c r="G26" t="s">
        <v>382</v>
      </c>
      <c r="H26" t="s">
        <v>382</v>
      </c>
      <c r="I26" t="s">
        <v>382</v>
      </c>
      <c r="J26" t="s">
        <v>382</v>
      </c>
      <c r="K26" t="s">
        <v>382</v>
      </c>
      <c r="L26" t="s">
        <v>382</v>
      </c>
      <c r="M26" t="s">
        <v>382</v>
      </c>
      <c r="N26" t="s">
        <v>382</v>
      </c>
      <c r="O26" t="s">
        <v>382</v>
      </c>
      <c r="P26" t="s">
        <v>382</v>
      </c>
      <c r="Q26" t="s">
        <v>382</v>
      </c>
      <c r="R26" t="s">
        <v>382</v>
      </c>
      <c r="S26" t="s">
        <v>382</v>
      </c>
      <c r="T26" t="s">
        <v>382</v>
      </c>
      <c r="U26" t="s">
        <v>382</v>
      </c>
      <c r="V26" t="s">
        <v>382</v>
      </c>
      <c r="W26" t="s">
        <v>382</v>
      </c>
      <c r="X26" t="s">
        <v>382</v>
      </c>
      <c r="Y26" t="s">
        <v>382</v>
      </c>
      <c r="Z26" t="s">
        <v>382</v>
      </c>
      <c r="AA26" t="s">
        <v>382</v>
      </c>
      <c r="AB26" t="s">
        <v>382</v>
      </c>
      <c r="AC26">
        <v>5</v>
      </c>
      <c r="AD26">
        <v>5</v>
      </c>
      <c r="AE26">
        <v>1</v>
      </c>
      <c r="AF26" t="s">
        <v>395</v>
      </c>
      <c r="AH26" t="s">
        <v>59</v>
      </c>
      <c r="AI26" t="s">
        <v>97</v>
      </c>
      <c r="AK26">
        <v>2167</v>
      </c>
      <c r="AL26">
        <v>1666</v>
      </c>
    </row>
    <row r="27" spans="1:38">
      <c r="A27" t="s">
        <v>382</v>
      </c>
      <c r="B27" t="s">
        <v>382</v>
      </c>
      <c r="C27" t="s">
        <v>382</v>
      </c>
      <c r="D27" t="s">
        <v>382</v>
      </c>
      <c r="E27" t="s">
        <v>382</v>
      </c>
      <c r="F27" t="s">
        <v>382</v>
      </c>
      <c r="G27" t="s">
        <v>382</v>
      </c>
      <c r="H27" t="s">
        <v>382</v>
      </c>
      <c r="I27" t="s">
        <v>382</v>
      </c>
      <c r="J27" t="s">
        <v>382</v>
      </c>
      <c r="K27" t="s">
        <v>382</v>
      </c>
      <c r="L27" t="s">
        <v>382</v>
      </c>
      <c r="M27" t="s">
        <v>382</v>
      </c>
      <c r="N27" t="s">
        <v>382</v>
      </c>
      <c r="O27" t="s">
        <v>382</v>
      </c>
      <c r="P27" t="s">
        <v>382</v>
      </c>
      <c r="Q27" t="s">
        <v>382</v>
      </c>
      <c r="R27" t="s">
        <v>382</v>
      </c>
      <c r="S27" t="s">
        <v>382</v>
      </c>
      <c r="T27" t="s">
        <v>382</v>
      </c>
      <c r="U27" t="s">
        <v>382</v>
      </c>
      <c r="V27" t="s">
        <v>382</v>
      </c>
      <c r="W27" t="s">
        <v>382</v>
      </c>
      <c r="X27" t="s">
        <v>382</v>
      </c>
      <c r="Y27" t="s">
        <v>382</v>
      </c>
      <c r="Z27" t="s">
        <v>382</v>
      </c>
      <c r="AA27" t="s">
        <v>382</v>
      </c>
      <c r="AB27" t="s">
        <v>382</v>
      </c>
      <c r="AC27">
        <v>5</v>
      </c>
      <c r="AD27">
        <v>1</v>
      </c>
      <c r="AF27" t="s">
        <v>384</v>
      </c>
      <c r="AH27" t="s">
        <v>25</v>
      </c>
      <c r="AI27" t="s">
        <v>106</v>
      </c>
      <c r="AK27">
        <v>800</v>
      </c>
      <c r="AL27">
        <v>749</v>
      </c>
    </row>
    <row r="28" spans="1:38">
      <c r="A28" t="s">
        <v>382</v>
      </c>
      <c r="B28" t="s">
        <v>382</v>
      </c>
      <c r="C28" t="s">
        <v>382</v>
      </c>
      <c r="D28" t="s">
        <v>382</v>
      </c>
      <c r="E28" t="s">
        <v>382</v>
      </c>
      <c r="F28" t="s">
        <v>382</v>
      </c>
      <c r="G28" t="s">
        <v>382</v>
      </c>
      <c r="H28" t="s">
        <v>382</v>
      </c>
      <c r="I28" t="s">
        <v>382</v>
      </c>
      <c r="J28" t="s">
        <v>382</v>
      </c>
      <c r="K28" t="s">
        <v>382</v>
      </c>
      <c r="L28" t="s">
        <v>382</v>
      </c>
      <c r="M28" t="s">
        <v>382</v>
      </c>
      <c r="N28" t="s">
        <v>382</v>
      </c>
      <c r="O28" t="s">
        <v>382</v>
      </c>
      <c r="P28" t="s">
        <v>382</v>
      </c>
      <c r="Q28" t="s">
        <v>382</v>
      </c>
      <c r="R28" t="s">
        <v>382</v>
      </c>
      <c r="S28" t="s">
        <v>382</v>
      </c>
      <c r="T28" t="s">
        <v>382</v>
      </c>
      <c r="U28" t="s">
        <v>382</v>
      </c>
      <c r="V28" t="s">
        <v>382</v>
      </c>
      <c r="W28" t="s">
        <v>382</v>
      </c>
      <c r="X28" t="s">
        <v>382</v>
      </c>
      <c r="Y28" t="s">
        <v>382</v>
      </c>
      <c r="Z28" t="s">
        <v>382</v>
      </c>
      <c r="AA28" t="s">
        <v>382</v>
      </c>
      <c r="AB28" t="s">
        <v>382</v>
      </c>
      <c r="AC28">
        <v>5</v>
      </c>
      <c r="AD28">
        <v>2</v>
      </c>
      <c r="AF28" t="s">
        <v>386</v>
      </c>
      <c r="AH28" t="s">
        <v>29</v>
      </c>
      <c r="AI28" t="s">
        <v>103</v>
      </c>
      <c r="AK28">
        <v>1701</v>
      </c>
      <c r="AL28">
        <v>1403</v>
      </c>
    </row>
    <row r="29" spans="1:38">
      <c r="A29" t="s">
        <v>382</v>
      </c>
      <c r="B29" t="s">
        <v>382</v>
      </c>
      <c r="C29" t="s">
        <v>382</v>
      </c>
      <c r="D29" t="s">
        <v>382</v>
      </c>
      <c r="E29" t="s">
        <v>382</v>
      </c>
      <c r="F29" t="s">
        <v>382</v>
      </c>
      <c r="G29" t="s">
        <v>382</v>
      </c>
      <c r="H29" t="s">
        <v>382</v>
      </c>
      <c r="I29" t="s">
        <v>382</v>
      </c>
      <c r="J29" t="s">
        <v>382</v>
      </c>
      <c r="K29" t="s">
        <v>382</v>
      </c>
      <c r="L29" t="s">
        <v>382</v>
      </c>
      <c r="M29" t="s">
        <v>382</v>
      </c>
      <c r="N29" t="s">
        <v>382</v>
      </c>
      <c r="O29" t="s">
        <v>382</v>
      </c>
      <c r="P29" t="s">
        <v>382</v>
      </c>
      <c r="Q29" t="s">
        <v>382</v>
      </c>
      <c r="R29" t="s">
        <v>382</v>
      </c>
      <c r="S29" t="s">
        <v>382</v>
      </c>
      <c r="T29" t="s">
        <v>382</v>
      </c>
      <c r="U29" t="s">
        <v>382</v>
      </c>
      <c r="V29" t="s">
        <v>382</v>
      </c>
      <c r="W29" t="s">
        <v>382</v>
      </c>
      <c r="X29" t="s">
        <v>382</v>
      </c>
      <c r="Y29" t="s">
        <v>382</v>
      </c>
      <c r="Z29" t="s">
        <v>382</v>
      </c>
      <c r="AA29" t="s">
        <v>382</v>
      </c>
      <c r="AB29" t="s">
        <v>382</v>
      </c>
      <c r="AC29">
        <v>5</v>
      </c>
      <c r="AD29">
        <v>3</v>
      </c>
      <c r="AF29" t="s">
        <v>386</v>
      </c>
      <c r="AH29" t="s">
        <v>29</v>
      </c>
      <c r="AI29" t="s">
        <v>103</v>
      </c>
      <c r="AK29">
        <v>961</v>
      </c>
      <c r="AL29">
        <v>1230</v>
      </c>
    </row>
    <row r="30" spans="1:38">
      <c r="A30" t="s">
        <v>382</v>
      </c>
      <c r="B30" t="s">
        <v>382</v>
      </c>
      <c r="C30" t="s">
        <v>382</v>
      </c>
      <c r="D30" t="s">
        <v>382</v>
      </c>
      <c r="E30" t="s">
        <v>382</v>
      </c>
      <c r="F30" t="s">
        <v>382</v>
      </c>
      <c r="G30" t="s">
        <v>382</v>
      </c>
      <c r="H30" t="s">
        <v>382</v>
      </c>
      <c r="I30" t="s">
        <v>382</v>
      </c>
      <c r="J30" t="s">
        <v>382</v>
      </c>
      <c r="K30" t="s">
        <v>382</v>
      </c>
      <c r="L30" t="s">
        <v>382</v>
      </c>
      <c r="M30" t="s">
        <v>382</v>
      </c>
      <c r="N30" t="s">
        <v>382</v>
      </c>
      <c r="O30" t="s">
        <v>382</v>
      </c>
      <c r="P30" t="s">
        <v>382</v>
      </c>
      <c r="Q30" t="s">
        <v>382</v>
      </c>
      <c r="R30" t="s">
        <v>382</v>
      </c>
      <c r="S30" t="s">
        <v>382</v>
      </c>
      <c r="T30" t="s">
        <v>382</v>
      </c>
      <c r="U30" t="s">
        <v>382</v>
      </c>
      <c r="V30" t="s">
        <v>382</v>
      </c>
      <c r="W30" t="s">
        <v>382</v>
      </c>
      <c r="X30" t="s">
        <v>382</v>
      </c>
      <c r="Y30" t="s">
        <v>382</v>
      </c>
      <c r="Z30" t="s">
        <v>382</v>
      </c>
      <c r="AA30" t="s">
        <v>382</v>
      </c>
      <c r="AB30" t="s">
        <v>382</v>
      </c>
      <c r="AC30">
        <v>5</v>
      </c>
      <c r="AD30">
        <v>4</v>
      </c>
      <c r="AF30" t="s">
        <v>384</v>
      </c>
      <c r="AH30" t="s">
        <v>25</v>
      </c>
      <c r="AI30" t="s">
        <v>106</v>
      </c>
      <c r="AK30">
        <v>2148</v>
      </c>
      <c r="AL30">
        <v>110</v>
      </c>
    </row>
    <row r="31" spans="1:38">
      <c r="A31" t="s">
        <v>382</v>
      </c>
      <c r="B31" t="s">
        <v>382</v>
      </c>
      <c r="C31" t="s">
        <v>382</v>
      </c>
      <c r="D31" t="s">
        <v>382</v>
      </c>
      <c r="E31" t="s">
        <v>382</v>
      </c>
      <c r="F31" t="s">
        <v>382</v>
      </c>
      <c r="G31" t="s">
        <v>382</v>
      </c>
      <c r="H31" t="s">
        <v>382</v>
      </c>
      <c r="I31" t="s">
        <v>382</v>
      </c>
      <c r="J31" t="s">
        <v>382</v>
      </c>
      <c r="K31" t="s">
        <v>382</v>
      </c>
      <c r="L31" t="s">
        <v>382</v>
      </c>
      <c r="M31" t="s">
        <v>382</v>
      </c>
      <c r="N31" t="s">
        <v>382</v>
      </c>
      <c r="O31" t="s">
        <v>382</v>
      </c>
      <c r="P31" t="s">
        <v>382</v>
      </c>
      <c r="Q31" t="s">
        <v>382</v>
      </c>
      <c r="R31" t="s">
        <v>382</v>
      </c>
      <c r="S31" t="s">
        <v>382</v>
      </c>
      <c r="T31" t="s">
        <v>382</v>
      </c>
      <c r="U31" t="s">
        <v>382</v>
      </c>
      <c r="V31" t="s">
        <v>382</v>
      </c>
      <c r="W31" t="s">
        <v>382</v>
      </c>
      <c r="X31" t="s">
        <v>382</v>
      </c>
      <c r="Y31" t="s">
        <v>382</v>
      </c>
      <c r="Z31" t="s">
        <v>382</v>
      </c>
      <c r="AA31" t="s">
        <v>382</v>
      </c>
      <c r="AB31" t="s">
        <v>382</v>
      </c>
      <c r="AC31">
        <v>5</v>
      </c>
      <c r="AD31">
        <v>5</v>
      </c>
      <c r="AF31" t="s">
        <v>385</v>
      </c>
      <c r="AH31" t="s">
        <v>27</v>
      </c>
      <c r="AI31" t="s">
        <v>109</v>
      </c>
      <c r="AK31">
        <v>3186</v>
      </c>
      <c r="AL31">
        <v>127</v>
      </c>
    </row>
    <row r="32" spans="1:38">
      <c r="A32" t="s">
        <v>382</v>
      </c>
      <c r="B32" t="s">
        <v>382</v>
      </c>
      <c r="C32" t="s">
        <v>382</v>
      </c>
      <c r="D32" t="s">
        <v>382</v>
      </c>
      <c r="E32" t="s">
        <v>382</v>
      </c>
      <c r="F32" t="s">
        <v>382</v>
      </c>
      <c r="G32" t="s">
        <v>382</v>
      </c>
      <c r="H32" t="s">
        <v>382</v>
      </c>
      <c r="I32" t="s">
        <v>382</v>
      </c>
      <c r="J32" t="s">
        <v>382</v>
      </c>
      <c r="K32" t="s">
        <v>382</v>
      </c>
      <c r="L32" t="s">
        <v>382</v>
      </c>
      <c r="M32" t="s">
        <v>382</v>
      </c>
      <c r="N32" t="s">
        <v>382</v>
      </c>
      <c r="O32" t="s">
        <v>382</v>
      </c>
      <c r="P32" t="s">
        <v>382</v>
      </c>
      <c r="Q32" t="s">
        <v>382</v>
      </c>
      <c r="R32" t="s">
        <v>382</v>
      </c>
      <c r="S32" t="s">
        <v>382</v>
      </c>
      <c r="T32" t="s">
        <v>382</v>
      </c>
      <c r="U32" t="s">
        <v>382</v>
      </c>
      <c r="V32" t="s">
        <v>382</v>
      </c>
      <c r="W32" t="s">
        <v>382</v>
      </c>
      <c r="X32" t="s">
        <v>382</v>
      </c>
      <c r="Y32" t="s">
        <v>382</v>
      </c>
      <c r="Z32" t="s">
        <v>382</v>
      </c>
      <c r="AA32" t="s">
        <v>382</v>
      </c>
      <c r="AB32" t="s">
        <v>382</v>
      </c>
      <c r="AC32">
        <v>5</v>
      </c>
      <c r="AD32">
        <v>1</v>
      </c>
      <c r="AE32">
        <v>1</v>
      </c>
      <c r="AF32" t="s">
        <v>540</v>
      </c>
      <c r="AH32" t="s">
        <v>166</v>
      </c>
      <c r="AI32" t="s">
        <v>97</v>
      </c>
      <c r="AK32">
        <v>2845</v>
      </c>
      <c r="AL32">
        <v>785</v>
      </c>
    </row>
    <row r="33" spans="1:38">
      <c r="A33" t="s">
        <v>382</v>
      </c>
      <c r="B33" t="s">
        <v>382</v>
      </c>
      <c r="C33" t="s">
        <v>382</v>
      </c>
      <c r="D33" t="s">
        <v>382</v>
      </c>
      <c r="E33" t="s">
        <v>382</v>
      </c>
      <c r="F33" t="s">
        <v>382</v>
      </c>
      <c r="G33" t="s">
        <v>382</v>
      </c>
      <c r="H33" t="s">
        <v>382</v>
      </c>
      <c r="I33" t="s">
        <v>382</v>
      </c>
      <c r="J33" t="s">
        <v>382</v>
      </c>
      <c r="K33" t="s">
        <v>382</v>
      </c>
      <c r="L33" t="s">
        <v>382</v>
      </c>
      <c r="M33" t="s">
        <v>382</v>
      </c>
      <c r="N33" t="s">
        <v>382</v>
      </c>
      <c r="O33" t="s">
        <v>382</v>
      </c>
      <c r="P33" t="s">
        <v>382</v>
      </c>
      <c r="Q33" t="s">
        <v>382</v>
      </c>
      <c r="R33" t="s">
        <v>382</v>
      </c>
      <c r="S33" t="s">
        <v>382</v>
      </c>
      <c r="T33" t="s">
        <v>382</v>
      </c>
      <c r="U33" t="s">
        <v>382</v>
      </c>
      <c r="V33" t="s">
        <v>382</v>
      </c>
      <c r="W33" t="s">
        <v>382</v>
      </c>
      <c r="X33" t="s">
        <v>382</v>
      </c>
      <c r="Y33" t="s">
        <v>382</v>
      </c>
      <c r="Z33" t="s">
        <v>382</v>
      </c>
      <c r="AA33" t="s">
        <v>382</v>
      </c>
      <c r="AB33" t="s">
        <v>382</v>
      </c>
      <c r="AC33">
        <v>5</v>
      </c>
      <c r="AD33">
        <v>2</v>
      </c>
      <c r="AE33">
        <v>1</v>
      </c>
      <c r="AF33" t="s">
        <v>389</v>
      </c>
      <c r="AH33" t="s">
        <v>35</v>
      </c>
      <c r="AI33" t="s">
        <v>97</v>
      </c>
      <c r="AK33">
        <v>2155</v>
      </c>
      <c r="AL33">
        <v>487</v>
      </c>
    </row>
    <row r="34" spans="1:38">
      <c r="A34" t="s">
        <v>382</v>
      </c>
      <c r="B34" t="s">
        <v>382</v>
      </c>
      <c r="C34" t="s">
        <v>382</v>
      </c>
      <c r="D34" t="s">
        <v>382</v>
      </c>
      <c r="E34" t="s">
        <v>382</v>
      </c>
      <c r="F34" t="s">
        <v>382</v>
      </c>
      <c r="G34" t="s">
        <v>382</v>
      </c>
      <c r="H34" t="s">
        <v>382</v>
      </c>
      <c r="I34" t="s">
        <v>382</v>
      </c>
      <c r="J34" t="s">
        <v>382</v>
      </c>
      <c r="K34" t="s">
        <v>382</v>
      </c>
      <c r="L34" t="s">
        <v>382</v>
      </c>
      <c r="M34" t="s">
        <v>382</v>
      </c>
      <c r="N34" t="s">
        <v>382</v>
      </c>
      <c r="O34" t="s">
        <v>382</v>
      </c>
      <c r="P34" t="s">
        <v>382</v>
      </c>
      <c r="Q34" t="s">
        <v>382</v>
      </c>
      <c r="R34" t="s">
        <v>382</v>
      </c>
      <c r="S34" t="s">
        <v>382</v>
      </c>
      <c r="T34" t="s">
        <v>382</v>
      </c>
      <c r="U34" t="s">
        <v>382</v>
      </c>
      <c r="V34" t="s">
        <v>382</v>
      </c>
      <c r="W34" t="s">
        <v>382</v>
      </c>
      <c r="X34" t="s">
        <v>382</v>
      </c>
      <c r="Y34" t="s">
        <v>382</v>
      </c>
      <c r="Z34" t="s">
        <v>382</v>
      </c>
      <c r="AA34" t="s">
        <v>382</v>
      </c>
      <c r="AB34" t="s">
        <v>382</v>
      </c>
      <c r="AC34">
        <v>5</v>
      </c>
      <c r="AD34">
        <v>3</v>
      </c>
      <c r="AF34" t="s">
        <v>386</v>
      </c>
      <c r="AH34" t="s">
        <v>29</v>
      </c>
      <c r="AI34" t="s">
        <v>103</v>
      </c>
      <c r="AK34">
        <v>2021</v>
      </c>
      <c r="AL34">
        <v>2335</v>
      </c>
    </row>
    <row r="35" spans="1:38">
      <c r="A35" t="s">
        <v>382</v>
      </c>
      <c r="B35" t="s">
        <v>382</v>
      </c>
      <c r="C35" t="s">
        <v>382</v>
      </c>
      <c r="D35" t="s">
        <v>382</v>
      </c>
      <c r="E35" t="s">
        <v>382</v>
      </c>
      <c r="F35" t="s">
        <v>382</v>
      </c>
      <c r="G35" t="s">
        <v>382</v>
      </c>
      <c r="H35" t="s">
        <v>382</v>
      </c>
      <c r="I35" t="s">
        <v>382</v>
      </c>
      <c r="J35" t="s">
        <v>382</v>
      </c>
      <c r="K35" t="s">
        <v>382</v>
      </c>
      <c r="L35" t="s">
        <v>382</v>
      </c>
      <c r="M35" t="s">
        <v>382</v>
      </c>
      <c r="N35" t="s">
        <v>382</v>
      </c>
      <c r="O35" t="s">
        <v>382</v>
      </c>
      <c r="P35" t="s">
        <v>382</v>
      </c>
      <c r="Q35" t="s">
        <v>382</v>
      </c>
      <c r="R35" t="s">
        <v>382</v>
      </c>
      <c r="S35" t="s">
        <v>382</v>
      </c>
      <c r="T35" t="s">
        <v>382</v>
      </c>
      <c r="U35" t="s">
        <v>382</v>
      </c>
      <c r="V35" t="s">
        <v>382</v>
      </c>
      <c r="W35" t="s">
        <v>382</v>
      </c>
      <c r="X35" t="s">
        <v>382</v>
      </c>
      <c r="Y35" t="s">
        <v>382</v>
      </c>
      <c r="Z35" t="s">
        <v>382</v>
      </c>
      <c r="AA35" t="s">
        <v>382</v>
      </c>
      <c r="AB35" t="s">
        <v>382</v>
      </c>
      <c r="AC35">
        <v>5</v>
      </c>
      <c r="AD35">
        <v>4</v>
      </c>
      <c r="AE35">
        <v>1</v>
      </c>
      <c r="AF35" t="s">
        <v>389</v>
      </c>
      <c r="AH35" t="s">
        <v>35</v>
      </c>
      <c r="AI35" t="s">
        <v>97</v>
      </c>
      <c r="AK35">
        <v>1094</v>
      </c>
      <c r="AL35">
        <v>1818</v>
      </c>
    </row>
    <row r="36" spans="1:38">
      <c r="A36" t="s">
        <v>382</v>
      </c>
      <c r="B36" t="s">
        <v>382</v>
      </c>
      <c r="C36" t="s">
        <v>382</v>
      </c>
      <c r="D36" t="s">
        <v>382</v>
      </c>
      <c r="E36" t="s">
        <v>382</v>
      </c>
      <c r="F36" t="s">
        <v>382</v>
      </c>
      <c r="G36" t="s">
        <v>382</v>
      </c>
      <c r="H36" t="s">
        <v>382</v>
      </c>
      <c r="I36" t="s">
        <v>382</v>
      </c>
      <c r="J36" t="s">
        <v>382</v>
      </c>
      <c r="K36" t="s">
        <v>382</v>
      </c>
      <c r="L36" t="s">
        <v>382</v>
      </c>
      <c r="M36" t="s">
        <v>382</v>
      </c>
      <c r="N36" t="s">
        <v>382</v>
      </c>
      <c r="O36" t="s">
        <v>382</v>
      </c>
      <c r="P36" t="s">
        <v>382</v>
      </c>
      <c r="Q36" t="s">
        <v>382</v>
      </c>
      <c r="R36" t="s">
        <v>382</v>
      </c>
      <c r="S36" t="s">
        <v>382</v>
      </c>
      <c r="T36" t="s">
        <v>382</v>
      </c>
      <c r="U36" t="s">
        <v>382</v>
      </c>
      <c r="V36" t="s">
        <v>382</v>
      </c>
      <c r="W36" t="s">
        <v>382</v>
      </c>
      <c r="X36" t="s">
        <v>382</v>
      </c>
      <c r="Y36" t="s">
        <v>382</v>
      </c>
      <c r="Z36" t="s">
        <v>382</v>
      </c>
      <c r="AA36" t="s">
        <v>382</v>
      </c>
      <c r="AB36" t="s">
        <v>382</v>
      </c>
      <c r="AC36">
        <v>5</v>
      </c>
      <c r="AD36">
        <v>5</v>
      </c>
      <c r="AE36">
        <v>1</v>
      </c>
      <c r="AF36" t="s">
        <v>389</v>
      </c>
      <c r="AH36" t="s">
        <v>35</v>
      </c>
      <c r="AI36" t="s">
        <v>97</v>
      </c>
      <c r="AK36">
        <v>2113</v>
      </c>
      <c r="AL36">
        <v>451</v>
      </c>
    </row>
    <row r="37" spans="1:38">
      <c r="A37" t="s">
        <v>382</v>
      </c>
      <c r="B37" t="s">
        <v>382</v>
      </c>
      <c r="C37" t="s">
        <v>382</v>
      </c>
      <c r="D37" t="s">
        <v>382</v>
      </c>
      <c r="E37" t="s">
        <v>382</v>
      </c>
      <c r="F37" t="s">
        <v>382</v>
      </c>
      <c r="G37" t="s">
        <v>382</v>
      </c>
      <c r="H37" t="s">
        <v>382</v>
      </c>
      <c r="I37" t="s">
        <v>382</v>
      </c>
      <c r="J37" t="s">
        <v>382</v>
      </c>
      <c r="K37" t="s">
        <v>382</v>
      </c>
      <c r="L37" t="s">
        <v>382</v>
      </c>
      <c r="M37" t="s">
        <v>382</v>
      </c>
      <c r="N37" t="s">
        <v>382</v>
      </c>
      <c r="O37" t="s">
        <v>382</v>
      </c>
      <c r="P37" t="s">
        <v>382</v>
      </c>
      <c r="Q37" t="s">
        <v>382</v>
      </c>
      <c r="R37" t="s">
        <v>382</v>
      </c>
      <c r="S37" t="s">
        <v>382</v>
      </c>
      <c r="T37" t="s">
        <v>382</v>
      </c>
      <c r="U37" t="s">
        <v>382</v>
      </c>
      <c r="V37" t="s">
        <v>382</v>
      </c>
      <c r="W37" t="s">
        <v>382</v>
      </c>
      <c r="X37" t="s">
        <v>382</v>
      </c>
      <c r="Y37" t="s">
        <v>382</v>
      </c>
      <c r="Z37" t="s">
        <v>382</v>
      </c>
      <c r="AA37" t="s">
        <v>382</v>
      </c>
      <c r="AB37" t="s">
        <v>382</v>
      </c>
      <c r="AC37">
        <v>5</v>
      </c>
      <c r="AD37">
        <v>1</v>
      </c>
      <c r="AF37" t="s">
        <v>386</v>
      </c>
      <c r="AH37" t="s">
        <v>29</v>
      </c>
      <c r="AI37" t="s">
        <v>103</v>
      </c>
      <c r="AK37">
        <v>2308</v>
      </c>
      <c r="AL37">
        <v>1775</v>
      </c>
    </row>
    <row r="38" spans="1:38">
      <c r="A38" t="s">
        <v>382</v>
      </c>
      <c r="B38" t="s">
        <v>382</v>
      </c>
      <c r="C38" t="s">
        <v>382</v>
      </c>
      <c r="D38" t="s">
        <v>382</v>
      </c>
      <c r="E38" t="s">
        <v>382</v>
      </c>
      <c r="F38" t="s">
        <v>382</v>
      </c>
      <c r="G38" t="s">
        <v>382</v>
      </c>
      <c r="H38" t="s">
        <v>382</v>
      </c>
      <c r="I38" t="s">
        <v>382</v>
      </c>
      <c r="J38" t="s">
        <v>382</v>
      </c>
      <c r="K38" t="s">
        <v>382</v>
      </c>
      <c r="L38" t="s">
        <v>382</v>
      </c>
      <c r="M38" t="s">
        <v>382</v>
      </c>
      <c r="N38" t="s">
        <v>382</v>
      </c>
      <c r="O38" t="s">
        <v>382</v>
      </c>
      <c r="P38" t="s">
        <v>382</v>
      </c>
      <c r="Q38" t="s">
        <v>382</v>
      </c>
      <c r="R38" t="s">
        <v>382</v>
      </c>
      <c r="S38" t="s">
        <v>382</v>
      </c>
      <c r="T38" t="s">
        <v>382</v>
      </c>
      <c r="U38" t="s">
        <v>382</v>
      </c>
      <c r="V38" t="s">
        <v>382</v>
      </c>
      <c r="W38" t="s">
        <v>382</v>
      </c>
      <c r="X38" t="s">
        <v>382</v>
      </c>
      <c r="Y38" t="s">
        <v>382</v>
      </c>
      <c r="Z38" t="s">
        <v>382</v>
      </c>
      <c r="AA38" t="s">
        <v>382</v>
      </c>
      <c r="AB38" t="s">
        <v>382</v>
      </c>
      <c r="AC38">
        <v>5</v>
      </c>
      <c r="AD38">
        <v>2</v>
      </c>
      <c r="AE38">
        <v>1</v>
      </c>
      <c r="AF38" t="s">
        <v>390</v>
      </c>
      <c r="AH38" t="s">
        <v>37</v>
      </c>
      <c r="AI38" t="s">
        <v>97</v>
      </c>
      <c r="AK38">
        <v>1190</v>
      </c>
      <c r="AL38">
        <v>172</v>
      </c>
    </row>
    <row r="39" spans="1:38">
      <c r="A39" t="s">
        <v>382</v>
      </c>
      <c r="B39" t="s">
        <v>382</v>
      </c>
      <c r="C39" t="s">
        <v>382</v>
      </c>
      <c r="D39" t="s">
        <v>382</v>
      </c>
      <c r="E39" t="s">
        <v>382</v>
      </c>
      <c r="F39" t="s">
        <v>382</v>
      </c>
      <c r="G39" t="s">
        <v>382</v>
      </c>
      <c r="H39" t="s">
        <v>382</v>
      </c>
      <c r="I39" t="s">
        <v>382</v>
      </c>
      <c r="J39" t="s">
        <v>382</v>
      </c>
      <c r="K39" t="s">
        <v>382</v>
      </c>
      <c r="L39" t="s">
        <v>382</v>
      </c>
      <c r="M39" t="s">
        <v>382</v>
      </c>
      <c r="N39" t="s">
        <v>382</v>
      </c>
      <c r="O39" t="s">
        <v>382</v>
      </c>
      <c r="P39" t="s">
        <v>382</v>
      </c>
      <c r="Q39" t="s">
        <v>382</v>
      </c>
      <c r="R39" t="s">
        <v>382</v>
      </c>
      <c r="S39" t="s">
        <v>382</v>
      </c>
      <c r="T39" t="s">
        <v>382</v>
      </c>
      <c r="U39" t="s">
        <v>382</v>
      </c>
      <c r="V39" t="s">
        <v>382</v>
      </c>
      <c r="W39" t="s">
        <v>382</v>
      </c>
      <c r="X39" t="s">
        <v>382</v>
      </c>
      <c r="Y39" t="s">
        <v>382</v>
      </c>
      <c r="Z39" t="s">
        <v>382</v>
      </c>
      <c r="AA39" t="s">
        <v>382</v>
      </c>
      <c r="AB39" t="s">
        <v>382</v>
      </c>
      <c r="AC39">
        <v>5</v>
      </c>
      <c r="AD39">
        <v>3</v>
      </c>
      <c r="AF39" t="s">
        <v>385</v>
      </c>
      <c r="AH39" t="s">
        <v>27</v>
      </c>
      <c r="AI39" t="s">
        <v>109</v>
      </c>
      <c r="AK39">
        <v>2865</v>
      </c>
      <c r="AL39">
        <v>1892</v>
      </c>
    </row>
    <row r="40" spans="1:38">
      <c r="A40" t="s">
        <v>382</v>
      </c>
      <c r="B40" t="s">
        <v>382</v>
      </c>
      <c r="C40" t="s">
        <v>382</v>
      </c>
      <c r="D40" t="s">
        <v>382</v>
      </c>
      <c r="E40" t="s">
        <v>382</v>
      </c>
      <c r="F40" t="s">
        <v>382</v>
      </c>
      <c r="G40" t="s">
        <v>382</v>
      </c>
      <c r="H40" t="s">
        <v>382</v>
      </c>
      <c r="I40" t="s">
        <v>382</v>
      </c>
      <c r="J40" t="s">
        <v>382</v>
      </c>
      <c r="K40" t="s">
        <v>382</v>
      </c>
      <c r="L40" t="s">
        <v>382</v>
      </c>
      <c r="M40" t="s">
        <v>382</v>
      </c>
      <c r="N40" t="s">
        <v>382</v>
      </c>
      <c r="O40" t="s">
        <v>382</v>
      </c>
      <c r="P40" t="s">
        <v>382</v>
      </c>
      <c r="Q40" t="s">
        <v>382</v>
      </c>
      <c r="R40" t="s">
        <v>382</v>
      </c>
      <c r="S40" t="s">
        <v>382</v>
      </c>
      <c r="T40" t="s">
        <v>382</v>
      </c>
      <c r="U40" t="s">
        <v>382</v>
      </c>
      <c r="V40" t="s">
        <v>382</v>
      </c>
      <c r="W40" t="s">
        <v>382</v>
      </c>
      <c r="X40" t="s">
        <v>382</v>
      </c>
      <c r="Y40" t="s">
        <v>382</v>
      </c>
      <c r="Z40" t="s">
        <v>382</v>
      </c>
      <c r="AA40" t="s">
        <v>382</v>
      </c>
      <c r="AB40" t="s">
        <v>382</v>
      </c>
      <c r="AC40">
        <v>5</v>
      </c>
      <c r="AD40">
        <v>4</v>
      </c>
      <c r="AF40" t="s">
        <v>385</v>
      </c>
      <c r="AH40" t="s">
        <v>27</v>
      </c>
      <c r="AI40" t="s">
        <v>109</v>
      </c>
      <c r="AK40">
        <v>2516</v>
      </c>
      <c r="AL40">
        <v>313</v>
      </c>
    </row>
    <row r="41" spans="1:38">
      <c r="A41" t="s">
        <v>382</v>
      </c>
      <c r="B41" t="s">
        <v>382</v>
      </c>
      <c r="C41" t="s">
        <v>382</v>
      </c>
      <c r="D41" t="s">
        <v>382</v>
      </c>
      <c r="E41" t="s">
        <v>382</v>
      </c>
      <c r="F41" t="s">
        <v>382</v>
      </c>
      <c r="G41" t="s">
        <v>382</v>
      </c>
      <c r="H41" t="s">
        <v>382</v>
      </c>
      <c r="I41" t="s">
        <v>382</v>
      </c>
      <c r="J41" t="s">
        <v>382</v>
      </c>
      <c r="K41" t="s">
        <v>382</v>
      </c>
      <c r="L41" t="s">
        <v>382</v>
      </c>
      <c r="M41" t="s">
        <v>382</v>
      </c>
      <c r="N41" t="s">
        <v>382</v>
      </c>
      <c r="O41" t="s">
        <v>382</v>
      </c>
      <c r="P41" t="s">
        <v>382</v>
      </c>
      <c r="Q41" t="s">
        <v>382</v>
      </c>
      <c r="R41" t="s">
        <v>382</v>
      </c>
      <c r="S41" t="s">
        <v>382</v>
      </c>
      <c r="T41" t="s">
        <v>382</v>
      </c>
      <c r="U41" t="s">
        <v>382</v>
      </c>
      <c r="V41" t="s">
        <v>382</v>
      </c>
      <c r="W41" t="s">
        <v>382</v>
      </c>
      <c r="X41" t="s">
        <v>382</v>
      </c>
      <c r="Y41" t="s">
        <v>382</v>
      </c>
      <c r="Z41" t="s">
        <v>382</v>
      </c>
      <c r="AA41" t="s">
        <v>382</v>
      </c>
      <c r="AB41" t="s">
        <v>382</v>
      </c>
      <c r="AC41">
        <v>5</v>
      </c>
      <c r="AD41">
        <v>5</v>
      </c>
      <c r="AF41" t="s">
        <v>385</v>
      </c>
      <c r="AH41" t="s">
        <v>27</v>
      </c>
      <c r="AI41" t="s">
        <v>109</v>
      </c>
      <c r="AK41">
        <v>1602</v>
      </c>
      <c r="AL41">
        <v>103</v>
      </c>
    </row>
    <row r="42" spans="1:38">
      <c r="A42" t="s">
        <v>382</v>
      </c>
      <c r="B42" t="s">
        <v>382</v>
      </c>
      <c r="C42" t="s">
        <v>382</v>
      </c>
      <c r="D42" t="s">
        <v>382</v>
      </c>
      <c r="E42" t="s">
        <v>382</v>
      </c>
      <c r="F42" t="s">
        <v>382</v>
      </c>
      <c r="G42" t="s">
        <v>382</v>
      </c>
      <c r="H42" t="s">
        <v>382</v>
      </c>
      <c r="I42" t="s">
        <v>382</v>
      </c>
      <c r="J42" t="s">
        <v>382</v>
      </c>
      <c r="K42" t="s">
        <v>382</v>
      </c>
      <c r="L42" t="s">
        <v>382</v>
      </c>
      <c r="M42" t="s">
        <v>382</v>
      </c>
      <c r="N42" t="s">
        <v>382</v>
      </c>
      <c r="O42" t="s">
        <v>382</v>
      </c>
      <c r="P42" t="s">
        <v>382</v>
      </c>
      <c r="Q42" t="s">
        <v>382</v>
      </c>
      <c r="R42" t="s">
        <v>382</v>
      </c>
      <c r="S42" t="s">
        <v>382</v>
      </c>
      <c r="T42" t="s">
        <v>382</v>
      </c>
      <c r="U42" t="s">
        <v>382</v>
      </c>
      <c r="V42" t="s">
        <v>382</v>
      </c>
      <c r="W42" t="s">
        <v>382</v>
      </c>
      <c r="X42" t="s">
        <v>382</v>
      </c>
      <c r="Y42" t="s">
        <v>382</v>
      </c>
      <c r="Z42" t="s">
        <v>382</v>
      </c>
      <c r="AA42" t="s">
        <v>382</v>
      </c>
      <c r="AB42" t="s">
        <v>382</v>
      </c>
      <c r="AC42">
        <v>5</v>
      </c>
      <c r="AD42">
        <v>1</v>
      </c>
      <c r="AF42" t="s">
        <v>385</v>
      </c>
      <c r="AH42" t="s">
        <v>27</v>
      </c>
      <c r="AI42" t="s">
        <v>109</v>
      </c>
      <c r="AK42">
        <v>2953</v>
      </c>
      <c r="AL42">
        <v>1780</v>
      </c>
    </row>
    <row r="43" spans="1:38">
      <c r="A43" t="s">
        <v>382</v>
      </c>
      <c r="B43" t="s">
        <v>382</v>
      </c>
      <c r="C43" t="s">
        <v>382</v>
      </c>
      <c r="D43" t="s">
        <v>382</v>
      </c>
      <c r="E43" t="s">
        <v>382</v>
      </c>
      <c r="F43" t="s">
        <v>382</v>
      </c>
      <c r="G43" t="s">
        <v>382</v>
      </c>
      <c r="H43" t="s">
        <v>382</v>
      </c>
      <c r="I43" t="s">
        <v>382</v>
      </c>
      <c r="J43" t="s">
        <v>382</v>
      </c>
      <c r="K43" t="s">
        <v>382</v>
      </c>
      <c r="L43" t="s">
        <v>382</v>
      </c>
      <c r="M43" t="s">
        <v>382</v>
      </c>
      <c r="N43" t="s">
        <v>382</v>
      </c>
      <c r="O43" t="s">
        <v>382</v>
      </c>
      <c r="P43" t="s">
        <v>382</v>
      </c>
      <c r="Q43" t="s">
        <v>382</v>
      </c>
      <c r="R43" t="s">
        <v>382</v>
      </c>
      <c r="S43" t="s">
        <v>382</v>
      </c>
      <c r="T43" t="s">
        <v>382</v>
      </c>
      <c r="U43" t="s">
        <v>382</v>
      </c>
      <c r="V43" t="s">
        <v>382</v>
      </c>
      <c r="W43" t="s">
        <v>382</v>
      </c>
      <c r="X43" t="s">
        <v>382</v>
      </c>
      <c r="Y43" t="s">
        <v>382</v>
      </c>
      <c r="Z43" t="s">
        <v>382</v>
      </c>
      <c r="AA43" t="s">
        <v>382</v>
      </c>
      <c r="AB43" t="s">
        <v>382</v>
      </c>
      <c r="AC43">
        <v>5</v>
      </c>
      <c r="AD43">
        <v>2</v>
      </c>
      <c r="AF43" t="s">
        <v>385</v>
      </c>
      <c r="AH43" t="s">
        <v>27</v>
      </c>
      <c r="AI43" t="s">
        <v>109</v>
      </c>
      <c r="AK43">
        <v>1490</v>
      </c>
      <c r="AL43">
        <v>1430</v>
      </c>
    </row>
    <row r="44" spans="1:38">
      <c r="A44" t="s">
        <v>382</v>
      </c>
      <c r="B44" t="s">
        <v>382</v>
      </c>
      <c r="C44" t="s">
        <v>382</v>
      </c>
      <c r="D44" t="s">
        <v>382</v>
      </c>
      <c r="E44" t="s">
        <v>382</v>
      </c>
      <c r="F44" t="s">
        <v>382</v>
      </c>
      <c r="G44" t="s">
        <v>382</v>
      </c>
      <c r="H44" t="s">
        <v>382</v>
      </c>
      <c r="I44" t="s">
        <v>382</v>
      </c>
      <c r="J44" t="s">
        <v>382</v>
      </c>
      <c r="K44" t="s">
        <v>382</v>
      </c>
      <c r="L44" t="s">
        <v>382</v>
      </c>
      <c r="M44" t="s">
        <v>382</v>
      </c>
      <c r="N44" t="s">
        <v>382</v>
      </c>
      <c r="O44" t="s">
        <v>382</v>
      </c>
      <c r="P44" t="s">
        <v>382</v>
      </c>
      <c r="Q44" t="s">
        <v>382</v>
      </c>
      <c r="R44" t="s">
        <v>382</v>
      </c>
      <c r="S44" t="s">
        <v>382</v>
      </c>
      <c r="T44" t="s">
        <v>382</v>
      </c>
      <c r="U44" t="s">
        <v>382</v>
      </c>
      <c r="V44" t="s">
        <v>382</v>
      </c>
      <c r="W44" t="s">
        <v>382</v>
      </c>
      <c r="X44" t="s">
        <v>382</v>
      </c>
      <c r="Y44" t="s">
        <v>382</v>
      </c>
      <c r="Z44" t="s">
        <v>382</v>
      </c>
      <c r="AA44" t="s">
        <v>382</v>
      </c>
      <c r="AB44" t="s">
        <v>382</v>
      </c>
      <c r="AC44">
        <v>5</v>
      </c>
      <c r="AD44">
        <v>3</v>
      </c>
      <c r="AE44">
        <v>1</v>
      </c>
      <c r="AF44" t="s">
        <v>389</v>
      </c>
      <c r="AH44" t="s">
        <v>35</v>
      </c>
      <c r="AI44" t="s">
        <v>97</v>
      </c>
      <c r="AK44">
        <v>769</v>
      </c>
      <c r="AL44">
        <v>2439</v>
      </c>
    </row>
    <row r="45" spans="1:38">
      <c r="A45" t="s">
        <v>382</v>
      </c>
      <c r="B45" t="s">
        <v>382</v>
      </c>
      <c r="C45" t="s">
        <v>382</v>
      </c>
      <c r="D45" t="s">
        <v>382</v>
      </c>
      <c r="E45" t="s">
        <v>382</v>
      </c>
      <c r="F45" t="s">
        <v>382</v>
      </c>
      <c r="G45" t="s">
        <v>382</v>
      </c>
      <c r="H45" t="s">
        <v>382</v>
      </c>
      <c r="I45" t="s">
        <v>382</v>
      </c>
      <c r="J45" t="s">
        <v>382</v>
      </c>
      <c r="K45" t="s">
        <v>382</v>
      </c>
      <c r="L45" t="s">
        <v>382</v>
      </c>
      <c r="M45" t="s">
        <v>382</v>
      </c>
      <c r="N45" t="s">
        <v>382</v>
      </c>
      <c r="O45" t="s">
        <v>382</v>
      </c>
      <c r="P45" t="s">
        <v>382</v>
      </c>
      <c r="Q45" t="s">
        <v>382</v>
      </c>
      <c r="R45" t="s">
        <v>382</v>
      </c>
      <c r="S45" t="s">
        <v>382</v>
      </c>
      <c r="T45" t="s">
        <v>382</v>
      </c>
      <c r="U45" t="s">
        <v>382</v>
      </c>
      <c r="V45" t="s">
        <v>382</v>
      </c>
      <c r="W45" t="s">
        <v>382</v>
      </c>
      <c r="X45" t="s">
        <v>382</v>
      </c>
      <c r="Y45" t="s">
        <v>382</v>
      </c>
      <c r="Z45" t="s">
        <v>382</v>
      </c>
      <c r="AA45" t="s">
        <v>382</v>
      </c>
      <c r="AB45" t="s">
        <v>382</v>
      </c>
      <c r="AC45">
        <v>5</v>
      </c>
      <c r="AD45">
        <v>4</v>
      </c>
      <c r="AF45" t="s">
        <v>384</v>
      </c>
      <c r="AH45" t="s">
        <v>25</v>
      </c>
      <c r="AI45" t="s">
        <v>106</v>
      </c>
      <c r="AK45">
        <v>2402</v>
      </c>
      <c r="AL45">
        <v>186</v>
      </c>
    </row>
    <row r="46" spans="1:38">
      <c r="A46" t="s">
        <v>382</v>
      </c>
      <c r="B46" t="s">
        <v>382</v>
      </c>
      <c r="C46" t="s">
        <v>382</v>
      </c>
      <c r="D46" t="s">
        <v>382</v>
      </c>
      <c r="E46" t="s">
        <v>382</v>
      </c>
      <c r="F46" t="s">
        <v>382</v>
      </c>
      <c r="G46" t="s">
        <v>382</v>
      </c>
      <c r="H46" t="s">
        <v>382</v>
      </c>
      <c r="I46" t="s">
        <v>382</v>
      </c>
      <c r="J46" t="s">
        <v>382</v>
      </c>
      <c r="K46" t="s">
        <v>382</v>
      </c>
      <c r="L46" t="s">
        <v>382</v>
      </c>
      <c r="M46" t="s">
        <v>382</v>
      </c>
      <c r="N46" t="s">
        <v>382</v>
      </c>
      <c r="O46" t="s">
        <v>382</v>
      </c>
      <c r="P46" t="s">
        <v>382</v>
      </c>
      <c r="Q46" t="s">
        <v>382</v>
      </c>
      <c r="R46" t="s">
        <v>382</v>
      </c>
      <c r="S46" t="s">
        <v>382</v>
      </c>
      <c r="T46" t="s">
        <v>382</v>
      </c>
      <c r="U46" t="s">
        <v>382</v>
      </c>
      <c r="V46" t="s">
        <v>382</v>
      </c>
      <c r="W46" t="s">
        <v>382</v>
      </c>
      <c r="X46" t="s">
        <v>382</v>
      </c>
      <c r="Y46" t="s">
        <v>382</v>
      </c>
      <c r="Z46" t="s">
        <v>382</v>
      </c>
      <c r="AA46" t="s">
        <v>382</v>
      </c>
      <c r="AB46" t="s">
        <v>382</v>
      </c>
      <c r="AC46">
        <v>5</v>
      </c>
      <c r="AD46">
        <v>5</v>
      </c>
      <c r="AE46">
        <v>1</v>
      </c>
      <c r="AF46" t="s">
        <v>389</v>
      </c>
      <c r="AH46" t="s">
        <v>35</v>
      </c>
      <c r="AI46" t="s">
        <v>97</v>
      </c>
      <c r="AK46">
        <v>2117</v>
      </c>
      <c r="AL46">
        <v>1736</v>
      </c>
    </row>
    <row r="47" spans="1:38">
      <c r="A47" t="s">
        <v>382</v>
      </c>
      <c r="B47" t="s">
        <v>382</v>
      </c>
      <c r="C47" t="s">
        <v>382</v>
      </c>
      <c r="D47" t="s">
        <v>382</v>
      </c>
      <c r="E47" t="s">
        <v>382</v>
      </c>
      <c r="F47" t="s">
        <v>382</v>
      </c>
      <c r="G47" t="s">
        <v>382</v>
      </c>
      <c r="H47" t="s">
        <v>382</v>
      </c>
      <c r="I47" t="s">
        <v>382</v>
      </c>
      <c r="J47" t="s">
        <v>382</v>
      </c>
      <c r="K47" t="s">
        <v>382</v>
      </c>
      <c r="L47" t="s">
        <v>382</v>
      </c>
      <c r="M47" t="s">
        <v>382</v>
      </c>
      <c r="N47" t="s">
        <v>382</v>
      </c>
      <c r="O47" t="s">
        <v>382</v>
      </c>
      <c r="P47" t="s">
        <v>382</v>
      </c>
      <c r="Q47" t="s">
        <v>382</v>
      </c>
      <c r="R47" t="s">
        <v>382</v>
      </c>
      <c r="S47" t="s">
        <v>382</v>
      </c>
      <c r="T47" t="s">
        <v>382</v>
      </c>
      <c r="U47" t="s">
        <v>382</v>
      </c>
      <c r="V47" t="s">
        <v>382</v>
      </c>
      <c r="W47" t="s">
        <v>382</v>
      </c>
      <c r="X47" t="s">
        <v>382</v>
      </c>
      <c r="Y47" t="s">
        <v>382</v>
      </c>
      <c r="Z47" t="s">
        <v>382</v>
      </c>
      <c r="AA47" t="s">
        <v>382</v>
      </c>
      <c r="AB47" t="s">
        <v>382</v>
      </c>
      <c r="AC47">
        <v>5</v>
      </c>
      <c r="AD47">
        <v>1</v>
      </c>
      <c r="AF47" t="s">
        <v>386</v>
      </c>
      <c r="AH47" t="s">
        <v>29</v>
      </c>
      <c r="AI47" t="s">
        <v>103</v>
      </c>
      <c r="AK47">
        <v>1599</v>
      </c>
      <c r="AL47">
        <v>1253</v>
      </c>
    </row>
    <row r="48" spans="1:38">
      <c r="A48" t="s">
        <v>382</v>
      </c>
      <c r="B48" t="s">
        <v>382</v>
      </c>
      <c r="C48" t="s">
        <v>382</v>
      </c>
      <c r="D48" t="s">
        <v>382</v>
      </c>
      <c r="E48" t="s">
        <v>382</v>
      </c>
      <c r="F48" t="s">
        <v>382</v>
      </c>
      <c r="G48" t="s">
        <v>382</v>
      </c>
      <c r="H48" t="s">
        <v>382</v>
      </c>
      <c r="I48" t="s">
        <v>382</v>
      </c>
      <c r="J48" t="s">
        <v>382</v>
      </c>
      <c r="K48" t="s">
        <v>382</v>
      </c>
      <c r="L48" t="s">
        <v>382</v>
      </c>
      <c r="M48" t="s">
        <v>382</v>
      </c>
      <c r="N48" t="s">
        <v>382</v>
      </c>
      <c r="O48" t="s">
        <v>382</v>
      </c>
      <c r="P48" t="s">
        <v>382</v>
      </c>
      <c r="Q48" t="s">
        <v>382</v>
      </c>
      <c r="R48" t="s">
        <v>382</v>
      </c>
      <c r="S48" t="s">
        <v>382</v>
      </c>
      <c r="T48" t="s">
        <v>382</v>
      </c>
      <c r="U48" t="s">
        <v>382</v>
      </c>
      <c r="V48" t="s">
        <v>382</v>
      </c>
      <c r="W48" t="s">
        <v>382</v>
      </c>
      <c r="X48" t="s">
        <v>382</v>
      </c>
      <c r="Y48" t="s">
        <v>382</v>
      </c>
      <c r="Z48" t="s">
        <v>382</v>
      </c>
      <c r="AA48" t="s">
        <v>382</v>
      </c>
      <c r="AB48" t="s">
        <v>382</v>
      </c>
      <c r="AC48">
        <v>5</v>
      </c>
      <c r="AD48">
        <v>2</v>
      </c>
      <c r="AE48">
        <v>1</v>
      </c>
      <c r="AF48" t="s">
        <v>481</v>
      </c>
      <c r="AH48" t="s">
        <v>139</v>
      </c>
      <c r="AI48" t="s">
        <v>97</v>
      </c>
      <c r="AK48">
        <v>905</v>
      </c>
      <c r="AL48">
        <v>1506</v>
      </c>
    </row>
    <row r="49" spans="1:38">
      <c r="A49" t="s">
        <v>382</v>
      </c>
      <c r="B49" t="s">
        <v>382</v>
      </c>
      <c r="C49" t="s">
        <v>382</v>
      </c>
      <c r="D49" t="s">
        <v>382</v>
      </c>
      <c r="E49" t="s">
        <v>382</v>
      </c>
      <c r="F49" t="s">
        <v>382</v>
      </c>
      <c r="G49" t="s">
        <v>382</v>
      </c>
      <c r="H49" t="s">
        <v>382</v>
      </c>
      <c r="I49" t="s">
        <v>382</v>
      </c>
      <c r="J49" t="s">
        <v>382</v>
      </c>
      <c r="K49" t="s">
        <v>382</v>
      </c>
      <c r="L49" t="s">
        <v>382</v>
      </c>
      <c r="M49" t="s">
        <v>382</v>
      </c>
      <c r="N49" t="s">
        <v>382</v>
      </c>
      <c r="O49" t="s">
        <v>382</v>
      </c>
      <c r="P49" t="s">
        <v>382</v>
      </c>
      <c r="Q49" t="s">
        <v>382</v>
      </c>
      <c r="R49" t="s">
        <v>382</v>
      </c>
      <c r="S49" t="s">
        <v>382</v>
      </c>
      <c r="T49" t="s">
        <v>382</v>
      </c>
      <c r="U49" t="s">
        <v>382</v>
      </c>
      <c r="V49" t="s">
        <v>382</v>
      </c>
      <c r="W49" t="s">
        <v>382</v>
      </c>
      <c r="X49" t="s">
        <v>382</v>
      </c>
      <c r="Y49" t="s">
        <v>382</v>
      </c>
      <c r="Z49" t="s">
        <v>382</v>
      </c>
      <c r="AA49" t="s">
        <v>382</v>
      </c>
      <c r="AB49" t="s">
        <v>382</v>
      </c>
      <c r="AC49">
        <v>5</v>
      </c>
      <c r="AD49">
        <v>3</v>
      </c>
      <c r="AE49">
        <v>1</v>
      </c>
      <c r="AF49" t="s">
        <v>398</v>
      </c>
      <c r="AH49" t="s">
        <v>69</v>
      </c>
      <c r="AI49" t="s">
        <v>97</v>
      </c>
      <c r="AK49">
        <v>1558</v>
      </c>
      <c r="AL49">
        <v>572</v>
      </c>
    </row>
    <row r="50" spans="1:38">
      <c r="A50" t="s">
        <v>382</v>
      </c>
      <c r="B50" t="s">
        <v>382</v>
      </c>
      <c r="C50" t="s">
        <v>382</v>
      </c>
      <c r="D50" t="s">
        <v>382</v>
      </c>
      <c r="E50" t="s">
        <v>382</v>
      </c>
      <c r="F50" t="s">
        <v>382</v>
      </c>
      <c r="G50" t="s">
        <v>382</v>
      </c>
      <c r="H50" t="s">
        <v>382</v>
      </c>
      <c r="I50" t="s">
        <v>382</v>
      </c>
      <c r="J50" t="s">
        <v>382</v>
      </c>
      <c r="K50" t="s">
        <v>382</v>
      </c>
      <c r="L50" t="s">
        <v>382</v>
      </c>
      <c r="M50" t="s">
        <v>382</v>
      </c>
      <c r="N50" t="s">
        <v>382</v>
      </c>
      <c r="O50" t="s">
        <v>382</v>
      </c>
      <c r="P50" t="s">
        <v>382</v>
      </c>
      <c r="Q50" t="s">
        <v>382</v>
      </c>
      <c r="R50" t="s">
        <v>382</v>
      </c>
      <c r="S50" t="s">
        <v>382</v>
      </c>
      <c r="T50" t="s">
        <v>382</v>
      </c>
      <c r="U50" t="s">
        <v>382</v>
      </c>
      <c r="V50" t="s">
        <v>382</v>
      </c>
      <c r="W50" t="s">
        <v>382</v>
      </c>
      <c r="X50" t="s">
        <v>382</v>
      </c>
      <c r="Y50" t="s">
        <v>382</v>
      </c>
      <c r="Z50" t="s">
        <v>382</v>
      </c>
      <c r="AA50" t="s">
        <v>382</v>
      </c>
      <c r="AB50" t="s">
        <v>382</v>
      </c>
      <c r="AC50">
        <v>5</v>
      </c>
      <c r="AD50">
        <v>4</v>
      </c>
      <c r="AF50" t="s">
        <v>386</v>
      </c>
      <c r="AH50" t="s">
        <v>29</v>
      </c>
      <c r="AI50" t="s">
        <v>103</v>
      </c>
      <c r="AK50">
        <v>1467</v>
      </c>
      <c r="AL50">
        <v>1198</v>
      </c>
    </row>
    <row r="51" spans="1:38">
      <c r="A51" t="s">
        <v>382</v>
      </c>
      <c r="B51" t="s">
        <v>382</v>
      </c>
      <c r="C51" t="s">
        <v>382</v>
      </c>
      <c r="D51" t="s">
        <v>382</v>
      </c>
      <c r="E51" t="s">
        <v>382</v>
      </c>
      <c r="F51" t="s">
        <v>382</v>
      </c>
      <c r="G51" t="s">
        <v>382</v>
      </c>
      <c r="H51" t="s">
        <v>382</v>
      </c>
      <c r="I51" t="s">
        <v>382</v>
      </c>
      <c r="J51" t="s">
        <v>382</v>
      </c>
      <c r="K51" t="s">
        <v>382</v>
      </c>
      <c r="L51" t="s">
        <v>382</v>
      </c>
      <c r="M51" t="s">
        <v>382</v>
      </c>
      <c r="N51" t="s">
        <v>382</v>
      </c>
      <c r="O51" t="s">
        <v>382</v>
      </c>
      <c r="P51" t="s">
        <v>382</v>
      </c>
      <c r="Q51" t="s">
        <v>382</v>
      </c>
      <c r="R51" t="s">
        <v>382</v>
      </c>
      <c r="S51" t="s">
        <v>382</v>
      </c>
      <c r="T51" t="s">
        <v>382</v>
      </c>
      <c r="U51" t="s">
        <v>382</v>
      </c>
      <c r="V51" t="s">
        <v>382</v>
      </c>
      <c r="W51" t="s">
        <v>382</v>
      </c>
      <c r="X51" t="s">
        <v>382</v>
      </c>
      <c r="Y51" t="s">
        <v>382</v>
      </c>
      <c r="Z51" t="s">
        <v>382</v>
      </c>
      <c r="AA51" t="s">
        <v>382</v>
      </c>
      <c r="AB51" t="s">
        <v>382</v>
      </c>
      <c r="AC51">
        <v>5</v>
      </c>
      <c r="AD51">
        <v>5</v>
      </c>
      <c r="AF51" t="s">
        <v>385</v>
      </c>
      <c r="AH51" t="s">
        <v>27</v>
      </c>
      <c r="AI51" t="s">
        <v>109</v>
      </c>
      <c r="AK51">
        <v>1856</v>
      </c>
      <c r="AL51">
        <v>188</v>
      </c>
    </row>
    <row r="52" spans="1:38">
      <c r="A52" t="s">
        <v>382</v>
      </c>
      <c r="B52" t="s">
        <v>382</v>
      </c>
      <c r="C52" t="s">
        <v>382</v>
      </c>
      <c r="D52" t="s">
        <v>382</v>
      </c>
      <c r="E52" t="s">
        <v>382</v>
      </c>
      <c r="F52" t="s">
        <v>382</v>
      </c>
      <c r="G52" t="s">
        <v>382</v>
      </c>
      <c r="H52" t="s">
        <v>382</v>
      </c>
      <c r="I52" t="s">
        <v>382</v>
      </c>
      <c r="J52" t="s">
        <v>382</v>
      </c>
      <c r="K52" t="s">
        <v>382</v>
      </c>
      <c r="L52" t="s">
        <v>382</v>
      </c>
      <c r="M52" t="s">
        <v>382</v>
      </c>
      <c r="N52" t="s">
        <v>382</v>
      </c>
      <c r="O52" t="s">
        <v>382</v>
      </c>
      <c r="P52" t="s">
        <v>382</v>
      </c>
      <c r="Q52" t="s">
        <v>382</v>
      </c>
      <c r="R52" t="s">
        <v>382</v>
      </c>
      <c r="S52" t="s">
        <v>382</v>
      </c>
      <c r="T52" t="s">
        <v>382</v>
      </c>
      <c r="U52" t="s">
        <v>382</v>
      </c>
      <c r="V52" t="s">
        <v>382</v>
      </c>
      <c r="W52" t="s">
        <v>382</v>
      </c>
      <c r="X52" t="s">
        <v>382</v>
      </c>
      <c r="Y52" t="s">
        <v>382</v>
      </c>
      <c r="Z52" t="s">
        <v>382</v>
      </c>
      <c r="AA52" t="s">
        <v>382</v>
      </c>
      <c r="AB52" t="s">
        <v>382</v>
      </c>
      <c r="AC52">
        <v>5</v>
      </c>
      <c r="AD52">
        <v>1</v>
      </c>
      <c r="AE52">
        <v>1</v>
      </c>
      <c r="AF52" t="s">
        <v>389</v>
      </c>
      <c r="AH52" t="s">
        <v>35</v>
      </c>
      <c r="AI52" t="s">
        <v>97</v>
      </c>
      <c r="AK52">
        <v>2659</v>
      </c>
      <c r="AL52">
        <v>1691</v>
      </c>
    </row>
    <row r="53" spans="1:38">
      <c r="A53" t="s">
        <v>382</v>
      </c>
      <c r="B53" t="s">
        <v>382</v>
      </c>
      <c r="C53" t="s">
        <v>382</v>
      </c>
      <c r="D53" t="s">
        <v>382</v>
      </c>
      <c r="E53" t="s">
        <v>382</v>
      </c>
      <c r="F53" t="s">
        <v>382</v>
      </c>
      <c r="G53" t="s">
        <v>382</v>
      </c>
      <c r="H53" t="s">
        <v>382</v>
      </c>
      <c r="I53" t="s">
        <v>382</v>
      </c>
      <c r="J53" t="s">
        <v>382</v>
      </c>
      <c r="K53" t="s">
        <v>382</v>
      </c>
      <c r="L53" t="s">
        <v>382</v>
      </c>
      <c r="M53" t="s">
        <v>382</v>
      </c>
      <c r="N53" t="s">
        <v>382</v>
      </c>
      <c r="O53" t="s">
        <v>382</v>
      </c>
      <c r="P53" t="s">
        <v>382</v>
      </c>
      <c r="Q53" t="s">
        <v>382</v>
      </c>
      <c r="R53" t="s">
        <v>382</v>
      </c>
      <c r="S53" t="s">
        <v>382</v>
      </c>
      <c r="T53" t="s">
        <v>382</v>
      </c>
      <c r="U53" t="s">
        <v>382</v>
      </c>
      <c r="V53" t="s">
        <v>382</v>
      </c>
      <c r="W53" t="s">
        <v>382</v>
      </c>
      <c r="X53" t="s">
        <v>382</v>
      </c>
      <c r="Y53" t="s">
        <v>382</v>
      </c>
      <c r="Z53" t="s">
        <v>382</v>
      </c>
      <c r="AA53" t="s">
        <v>382</v>
      </c>
      <c r="AB53" t="s">
        <v>382</v>
      </c>
      <c r="AC53">
        <v>5</v>
      </c>
      <c r="AD53">
        <v>2</v>
      </c>
      <c r="AE53">
        <v>1</v>
      </c>
      <c r="AF53" t="s">
        <v>389</v>
      </c>
      <c r="AH53" t="s">
        <v>35</v>
      </c>
      <c r="AI53" t="s">
        <v>97</v>
      </c>
      <c r="AK53">
        <v>1612</v>
      </c>
      <c r="AL53">
        <v>504</v>
      </c>
    </row>
    <row r="54" spans="1:38">
      <c r="A54" t="s">
        <v>382</v>
      </c>
      <c r="B54" t="s">
        <v>382</v>
      </c>
      <c r="C54" t="s">
        <v>382</v>
      </c>
      <c r="D54" t="s">
        <v>382</v>
      </c>
      <c r="E54" t="s">
        <v>382</v>
      </c>
      <c r="F54" t="s">
        <v>382</v>
      </c>
      <c r="G54" t="s">
        <v>382</v>
      </c>
      <c r="H54" t="s">
        <v>382</v>
      </c>
      <c r="I54" t="s">
        <v>382</v>
      </c>
      <c r="J54" t="s">
        <v>382</v>
      </c>
      <c r="K54" t="s">
        <v>382</v>
      </c>
      <c r="L54" t="s">
        <v>382</v>
      </c>
      <c r="M54" t="s">
        <v>382</v>
      </c>
      <c r="N54" t="s">
        <v>382</v>
      </c>
      <c r="O54" t="s">
        <v>382</v>
      </c>
      <c r="P54" t="s">
        <v>382</v>
      </c>
      <c r="Q54" t="s">
        <v>382</v>
      </c>
      <c r="R54" t="s">
        <v>382</v>
      </c>
      <c r="S54" t="s">
        <v>382</v>
      </c>
      <c r="T54" t="s">
        <v>382</v>
      </c>
      <c r="U54" t="s">
        <v>382</v>
      </c>
      <c r="V54" t="s">
        <v>382</v>
      </c>
      <c r="W54" t="s">
        <v>382</v>
      </c>
      <c r="X54" t="s">
        <v>382</v>
      </c>
      <c r="Y54" t="s">
        <v>382</v>
      </c>
      <c r="Z54" t="s">
        <v>382</v>
      </c>
      <c r="AA54" t="s">
        <v>382</v>
      </c>
      <c r="AB54" t="s">
        <v>382</v>
      </c>
      <c r="AC54">
        <v>5</v>
      </c>
      <c r="AD54">
        <v>3</v>
      </c>
      <c r="AE54">
        <v>1</v>
      </c>
      <c r="AF54" t="s">
        <v>389</v>
      </c>
      <c r="AH54" t="s">
        <v>35</v>
      </c>
      <c r="AI54" t="s">
        <v>97</v>
      </c>
      <c r="AK54">
        <v>2368</v>
      </c>
      <c r="AL54">
        <v>741</v>
      </c>
    </row>
    <row r="55" spans="1:38">
      <c r="A55" t="s">
        <v>382</v>
      </c>
      <c r="B55" t="s">
        <v>382</v>
      </c>
      <c r="C55" t="s">
        <v>382</v>
      </c>
      <c r="D55" t="s">
        <v>382</v>
      </c>
      <c r="E55" t="s">
        <v>382</v>
      </c>
      <c r="F55" t="s">
        <v>382</v>
      </c>
      <c r="G55" t="s">
        <v>382</v>
      </c>
      <c r="H55" t="s">
        <v>382</v>
      </c>
      <c r="I55" t="s">
        <v>382</v>
      </c>
      <c r="J55" t="s">
        <v>382</v>
      </c>
      <c r="K55" t="s">
        <v>382</v>
      </c>
      <c r="L55" t="s">
        <v>382</v>
      </c>
      <c r="M55" t="s">
        <v>382</v>
      </c>
      <c r="N55" t="s">
        <v>382</v>
      </c>
      <c r="O55" t="s">
        <v>382</v>
      </c>
      <c r="P55" t="s">
        <v>382</v>
      </c>
      <c r="Q55" t="s">
        <v>382</v>
      </c>
      <c r="R55" t="s">
        <v>382</v>
      </c>
      <c r="S55" t="s">
        <v>382</v>
      </c>
      <c r="T55" t="s">
        <v>382</v>
      </c>
      <c r="U55" t="s">
        <v>382</v>
      </c>
      <c r="V55" t="s">
        <v>382</v>
      </c>
      <c r="W55" t="s">
        <v>382</v>
      </c>
      <c r="X55" t="s">
        <v>382</v>
      </c>
      <c r="Y55" t="s">
        <v>382</v>
      </c>
      <c r="Z55" t="s">
        <v>382</v>
      </c>
      <c r="AA55" t="s">
        <v>382</v>
      </c>
      <c r="AB55" t="s">
        <v>382</v>
      </c>
      <c r="AC55">
        <v>5</v>
      </c>
      <c r="AD55">
        <v>4</v>
      </c>
      <c r="AE55">
        <v>1</v>
      </c>
      <c r="AF55" t="s">
        <v>389</v>
      </c>
      <c r="AH55" t="s">
        <v>35</v>
      </c>
      <c r="AI55" t="s">
        <v>97</v>
      </c>
      <c r="AK55">
        <v>1634</v>
      </c>
      <c r="AL55">
        <v>907</v>
      </c>
    </row>
    <row r="56" spans="1:38">
      <c r="A56" t="s">
        <v>382</v>
      </c>
      <c r="B56" t="s">
        <v>382</v>
      </c>
      <c r="C56" t="s">
        <v>382</v>
      </c>
      <c r="D56" t="s">
        <v>382</v>
      </c>
      <c r="E56" t="s">
        <v>382</v>
      </c>
      <c r="F56" t="s">
        <v>382</v>
      </c>
      <c r="G56" t="s">
        <v>382</v>
      </c>
      <c r="H56" t="s">
        <v>382</v>
      </c>
      <c r="I56" t="s">
        <v>382</v>
      </c>
      <c r="J56" t="s">
        <v>382</v>
      </c>
      <c r="K56" t="s">
        <v>382</v>
      </c>
      <c r="L56" t="s">
        <v>382</v>
      </c>
      <c r="M56" t="s">
        <v>382</v>
      </c>
      <c r="N56" t="s">
        <v>382</v>
      </c>
      <c r="O56" t="s">
        <v>382</v>
      </c>
      <c r="P56" t="s">
        <v>382</v>
      </c>
      <c r="Q56" t="s">
        <v>382</v>
      </c>
      <c r="R56" t="s">
        <v>382</v>
      </c>
      <c r="S56" t="s">
        <v>382</v>
      </c>
      <c r="T56" t="s">
        <v>382</v>
      </c>
      <c r="U56" t="s">
        <v>382</v>
      </c>
      <c r="V56" t="s">
        <v>382</v>
      </c>
      <c r="W56" t="s">
        <v>382</v>
      </c>
      <c r="X56" t="s">
        <v>382</v>
      </c>
      <c r="Y56" t="s">
        <v>382</v>
      </c>
      <c r="Z56" t="s">
        <v>382</v>
      </c>
      <c r="AA56" t="s">
        <v>382</v>
      </c>
      <c r="AB56" t="s">
        <v>382</v>
      </c>
      <c r="AC56">
        <v>5</v>
      </c>
      <c r="AD56">
        <v>5</v>
      </c>
      <c r="AE56">
        <v>1</v>
      </c>
      <c r="AF56" t="s">
        <v>389</v>
      </c>
      <c r="AH56" t="s">
        <v>35</v>
      </c>
      <c r="AI56" t="s">
        <v>97</v>
      </c>
      <c r="AK56">
        <v>2697</v>
      </c>
      <c r="AL56">
        <v>207</v>
      </c>
    </row>
    <row r="57" spans="1:38">
      <c r="A57" t="s">
        <v>382</v>
      </c>
      <c r="B57" t="s">
        <v>382</v>
      </c>
      <c r="C57" t="s">
        <v>382</v>
      </c>
      <c r="D57" t="s">
        <v>382</v>
      </c>
      <c r="E57" t="s">
        <v>382</v>
      </c>
      <c r="F57" t="s">
        <v>382</v>
      </c>
      <c r="G57" t="s">
        <v>382</v>
      </c>
      <c r="H57" t="s">
        <v>382</v>
      </c>
      <c r="I57" t="s">
        <v>382</v>
      </c>
      <c r="J57" t="s">
        <v>382</v>
      </c>
      <c r="K57" t="s">
        <v>382</v>
      </c>
      <c r="L57" t="s">
        <v>382</v>
      </c>
      <c r="M57" t="s">
        <v>382</v>
      </c>
      <c r="N57" t="s">
        <v>382</v>
      </c>
      <c r="O57" t="s">
        <v>382</v>
      </c>
      <c r="P57" t="s">
        <v>382</v>
      </c>
      <c r="Q57" t="s">
        <v>382</v>
      </c>
      <c r="R57" t="s">
        <v>382</v>
      </c>
      <c r="S57" t="s">
        <v>382</v>
      </c>
      <c r="T57" t="s">
        <v>382</v>
      </c>
      <c r="U57" t="s">
        <v>382</v>
      </c>
      <c r="V57" t="s">
        <v>382</v>
      </c>
      <c r="W57" t="s">
        <v>382</v>
      </c>
      <c r="X57" t="s">
        <v>382</v>
      </c>
      <c r="Y57" t="s">
        <v>382</v>
      </c>
      <c r="Z57" t="s">
        <v>382</v>
      </c>
      <c r="AA57" t="s">
        <v>382</v>
      </c>
      <c r="AB57" t="s">
        <v>382</v>
      </c>
      <c r="AC57">
        <v>5</v>
      </c>
      <c r="AD57">
        <v>1</v>
      </c>
      <c r="AE57">
        <v>1</v>
      </c>
      <c r="AF57" t="s">
        <v>389</v>
      </c>
      <c r="AH57" t="s">
        <v>35</v>
      </c>
      <c r="AI57" t="s">
        <v>97</v>
      </c>
      <c r="AK57">
        <v>2595</v>
      </c>
      <c r="AL57">
        <v>1607</v>
      </c>
    </row>
    <row r="58" spans="1:38">
      <c r="A58" t="s">
        <v>382</v>
      </c>
      <c r="B58" t="s">
        <v>382</v>
      </c>
      <c r="C58" t="s">
        <v>382</v>
      </c>
      <c r="D58" t="s">
        <v>382</v>
      </c>
      <c r="E58" t="s">
        <v>382</v>
      </c>
      <c r="F58" t="s">
        <v>382</v>
      </c>
      <c r="G58" t="s">
        <v>382</v>
      </c>
      <c r="H58" t="s">
        <v>382</v>
      </c>
      <c r="I58" t="s">
        <v>382</v>
      </c>
      <c r="J58" t="s">
        <v>382</v>
      </c>
      <c r="K58" t="s">
        <v>382</v>
      </c>
      <c r="L58" t="s">
        <v>382</v>
      </c>
      <c r="M58" t="s">
        <v>382</v>
      </c>
      <c r="N58" t="s">
        <v>382</v>
      </c>
      <c r="O58" t="s">
        <v>382</v>
      </c>
      <c r="P58" t="s">
        <v>382</v>
      </c>
      <c r="Q58" t="s">
        <v>382</v>
      </c>
      <c r="R58" t="s">
        <v>382</v>
      </c>
      <c r="S58" t="s">
        <v>382</v>
      </c>
      <c r="T58" t="s">
        <v>382</v>
      </c>
      <c r="U58" t="s">
        <v>382</v>
      </c>
      <c r="V58" t="s">
        <v>382</v>
      </c>
      <c r="W58" t="s">
        <v>382</v>
      </c>
      <c r="X58" t="s">
        <v>382</v>
      </c>
      <c r="Y58" t="s">
        <v>382</v>
      </c>
      <c r="Z58" t="s">
        <v>382</v>
      </c>
      <c r="AA58" t="s">
        <v>382</v>
      </c>
      <c r="AB58" t="s">
        <v>382</v>
      </c>
      <c r="AC58">
        <v>5</v>
      </c>
      <c r="AD58">
        <v>2</v>
      </c>
      <c r="AF58" t="s">
        <v>385</v>
      </c>
      <c r="AH58" t="s">
        <v>27</v>
      </c>
      <c r="AI58" t="s">
        <v>109</v>
      </c>
      <c r="AK58">
        <v>1381</v>
      </c>
      <c r="AL58">
        <v>2233</v>
      </c>
    </row>
    <row r="59" spans="1:38">
      <c r="A59" t="s">
        <v>382</v>
      </c>
      <c r="B59" t="s">
        <v>382</v>
      </c>
      <c r="C59" t="s">
        <v>382</v>
      </c>
      <c r="D59" t="s">
        <v>382</v>
      </c>
      <c r="E59" t="s">
        <v>382</v>
      </c>
      <c r="F59" t="s">
        <v>382</v>
      </c>
      <c r="G59" t="s">
        <v>382</v>
      </c>
      <c r="H59" t="s">
        <v>382</v>
      </c>
      <c r="I59" t="s">
        <v>382</v>
      </c>
      <c r="J59" t="s">
        <v>382</v>
      </c>
      <c r="K59" t="s">
        <v>382</v>
      </c>
      <c r="L59" t="s">
        <v>382</v>
      </c>
      <c r="M59" t="s">
        <v>382</v>
      </c>
      <c r="N59" t="s">
        <v>382</v>
      </c>
      <c r="O59" t="s">
        <v>382</v>
      </c>
      <c r="P59" t="s">
        <v>382</v>
      </c>
      <c r="Q59" t="s">
        <v>382</v>
      </c>
      <c r="R59" t="s">
        <v>382</v>
      </c>
      <c r="S59" t="s">
        <v>382</v>
      </c>
      <c r="T59" t="s">
        <v>382</v>
      </c>
      <c r="U59" t="s">
        <v>382</v>
      </c>
      <c r="V59" t="s">
        <v>382</v>
      </c>
      <c r="W59" t="s">
        <v>382</v>
      </c>
      <c r="X59" t="s">
        <v>382</v>
      </c>
      <c r="Y59" t="s">
        <v>382</v>
      </c>
      <c r="Z59" t="s">
        <v>382</v>
      </c>
      <c r="AA59" t="s">
        <v>382</v>
      </c>
      <c r="AB59" t="s">
        <v>382</v>
      </c>
      <c r="AC59">
        <v>5</v>
      </c>
      <c r="AD59">
        <v>3</v>
      </c>
      <c r="AE59">
        <v>1</v>
      </c>
      <c r="AF59" t="s">
        <v>383</v>
      </c>
      <c r="AH59" t="s">
        <v>22</v>
      </c>
      <c r="AI59" t="s">
        <v>97</v>
      </c>
      <c r="AK59">
        <v>2190</v>
      </c>
      <c r="AL59">
        <v>261</v>
      </c>
    </row>
    <row r="60" spans="1:38">
      <c r="A60" t="s">
        <v>382</v>
      </c>
      <c r="B60" t="s">
        <v>382</v>
      </c>
      <c r="C60" t="s">
        <v>382</v>
      </c>
      <c r="D60" t="s">
        <v>382</v>
      </c>
      <c r="E60" t="s">
        <v>382</v>
      </c>
      <c r="F60" t="s">
        <v>382</v>
      </c>
      <c r="G60" t="s">
        <v>382</v>
      </c>
      <c r="H60" t="s">
        <v>382</v>
      </c>
      <c r="I60" t="s">
        <v>382</v>
      </c>
      <c r="J60" t="s">
        <v>382</v>
      </c>
      <c r="K60" t="s">
        <v>382</v>
      </c>
      <c r="L60" t="s">
        <v>382</v>
      </c>
      <c r="M60" t="s">
        <v>382</v>
      </c>
      <c r="N60" t="s">
        <v>382</v>
      </c>
      <c r="O60" t="s">
        <v>382</v>
      </c>
      <c r="P60" t="s">
        <v>382</v>
      </c>
      <c r="Q60" t="s">
        <v>382</v>
      </c>
      <c r="R60" t="s">
        <v>382</v>
      </c>
      <c r="S60" t="s">
        <v>382</v>
      </c>
      <c r="T60" t="s">
        <v>382</v>
      </c>
      <c r="U60" t="s">
        <v>382</v>
      </c>
      <c r="V60" t="s">
        <v>382</v>
      </c>
      <c r="W60" t="s">
        <v>382</v>
      </c>
      <c r="X60" t="s">
        <v>382</v>
      </c>
      <c r="Y60" t="s">
        <v>382</v>
      </c>
      <c r="Z60" t="s">
        <v>382</v>
      </c>
      <c r="AA60" t="s">
        <v>382</v>
      </c>
      <c r="AB60" t="s">
        <v>382</v>
      </c>
      <c r="AC60">
        <v>5</v>
      </c>
      <c r="AD60">
        <v>4</v>
      </c>
      <c r="AE60">
        <v>1</v>
      </c>
      <c r="AF60" t="s">
        <v>541</v>
      </c>
      <c r="AH60" t="s">
        <v>164</v>
      </c>
      <c r="AI60" t="s">
        <v>97</v>
      </c>
      <c r="AK60">
        <v>3194</v>
      </c>
      <c r="AL60">
        <v>304</v>
      </c>
    </row>
    <row r="61" spans="1:38">
      <c r="A61" t="s">
        <v>382</v>
      </c>
      <c r="B61" t="s">
        <v>382</v>
      </c>
      <c r="C61" t="s">
        <v>382</v>
      </c>
      <c r="D61" t="s">
        <v>382</v>
      </c>
      <c r="E61" t="s">
        <v>382</v>
      </c>
      <c r="F61" t="s">
        <v>382</v>
      </c>
      <c r="G61" t="s">
        <v>382</v>
      </c>
      <c r="H61" t="s">
        <v>382</v>
      </c>
      <c r="I61" t="s">
        <v>382</v>
      </c>
      <c r="J61" t="s">
        <v>382</v>
      </c>
      <c r="K61" t="s">
        <v>382</v>
      </c>
      <c r="L61" t="s">
        <v>382</v>
      </c>
      <c r="M61" t="s">
        <v>382</v>
      </c>
      <c r="N61" t="s">
        <v>382</v>
      </c>
      <c r="O61" t="s">
        <v>382</v>
      </c>
      <c r="P61" t="s">
        <v>382</v>
      </c>
      <c r="Q61" t="s">
        <v>382</v>
      </c>
      <c r="R61" t="s">
        <v>382</v>
      </c>
      <c r="S61" t="s">
        <v>382</v>
      </c>
      <c r="T61" t="s">
        <v>382</v>
      </c>
      <c r="U61" t="s">
        <v>382</v>
      </c>
      <c r="V61" t="s">
        <v>382</v>
      </c>
      <c r="W61" t="s">
        <v>382</v>
      </c>
      <c r="X61" t="s">
        <v>382</v>
      </c>
      <c r="Y61" t="s">
        <v>382</v>
      </c>
      <c r="Z61" t="s">
        <v>382</v>
      </c>
      <c r="AA61" t="s">
        <v>382</v>
      </c>
      <c r="AB61" t="s">
        <v>382</v>
      </c>
      <c r="AC61">
        <v>5</v>
      </c>
      <c r="AD61">
        <v>5</v>
      </c>
      <c r="AF61" t="s">
        <v>385</v>
      </c>
      <c r="AH61" t="s">
        <v>27</v>
      </c>
      <c r="AI61" t="s">
        <v>109</v>
      </c>
      <c r="AK61">
        <v>1430</v>
      </c>
      <c r="AL61">
        <v>638</v>
      </c>
    </row>
    <row r="62" spans="1:38">
      <c r="A62" t="s">
        <v>382</v>
      </c>
      <c r="B62" t="s">
        <v>382</v>
      </c>
      <c r="C62" t="s">
        <v>382</v>
      </c>
      <c r="D62" t="s">
        <v>382</v>
      </c>
      <c r="E62" t="s">
        <v>382</v>
      </c>
      <c r="F62" t="s">
        <v>382</v>
      </c>
      <c r="G62" t="s">
        <v>382</v>
      </c>
      <c r="H62" t="s">
        <v>382</v>
      </c>
      <c r="I62" t="s">
        <v>382</v>
      </c>
      <c r="J62" t="s">
        <v>382</v>
      </c>
      <c r="K62" t="s">
        <v>382</v>
      </c>
      <c r="L62" t="s">
        <v>382</v>
      </c>
      <c r="M62" t="s">
        <v>382</v>
      </c>
      <c r="N62" t="s">
        <v>382</v>
      </c>
      <c r="O62" t="s">
        <v>382</v>
      </c>
      <c r="P62" t="s">
        <v>382</v>
      </c>
      <c r="Q62" t="s">
        <v>382</v>
      </c>
      <c r="R62" t="s">
        <v>382</v>
      </c>
      <c r="S62" t="s">
        <v>382</v>
      </c>
      <c r="T62" t="s">
        <v>382</v>
      </c>
      <c r="U62" t="s">
        <v>382</v>
      </c>
      <c r="V62" t="s">
        <v>382</v>
      </c>
      <c r="W62" t="s">
        <v>382</v>
      </c>
      <c r="X62" t="s">
        <v>382</v>
      </c>
      <c r="Y62" t="s">
        <v>382</v>
      </c>
      <c r="Z62" t="s">
        <v>382</v>
      </c>
      <c r="AA62" t="s">
        <v>382</v>
      </c>
      <c r="AB62" t="s">
        <v>382</v>
      </c>
      <c r="AC62">
        <v>5</v>
      </c>
      <c r="AD62">
        <v>1</v>
      </c>
      <c r="AE62">
        <v>1</v>
      </c>
      <c r="AF62" t="s">
        <v>389</v>
      </c>
      <c r="AH62" t="s">
        <v>35</v>
      </c>
      <c r="AI62" t="s">
        <v>97</v>
      </c>
      <c r="AK62">
        <v>2565</v>
      </c>
      <c r="AL62">
        <v>1329</v>
      </c>
    </row>
    <row r="63" spans="1:38">
      <c r="A63" t="s">
        <v>382</v>
      </c>
      <c r="B63" t="s">
        <v>382</v>
      </c>
      <c r="C63" t="s">
        <v>382</v>
      </c>
      <c r="D63" t="s">
        <v>382</v>
      </c>
      <c r="E63" t="s">
        <v>382</v>
      </c>
      <c r="F63" t="s">
        <v>382</v>
      </c>
      <c r="G63" t="s">
        <v>382</v>
      </c>
      <c r="H63" t="s">
        <v>382</v>
      </c>
      <c r="I63" t="s">
        <v>382</v>
      </c>
      <c r="J63" t="s">
        <v>382</v>
      </c>
      <c r="K63" t="s">
        <v>382</v>
      </c>
      <c r="L63" t="s">
        <v>382</v>
      </c>
      <c r="M63" t="s">
        <v>382</v>
      </c>
      <c r="N63" t="s">
        <v>382</v>
      </c>
      <c r="O63" t="s">
        <v>382</v>
      </c>
      <c r="P63" t="s">
        <v>382</v>
      </c>
      <c r="Q63" t="s">
        <v>382</v>
      </c>
      <c r="R63" t="s">
        <v>382</v>
      </c>
      <c r="S63" t="s">
        <v>382</v>
      </c>
      <c r="T63" t="s">
        <v>382</v>
      </c>
      <c r="U63" t="s">
        <v>382</v>
      </c>
      <c r="V63" t="s">
        <v>382</v>
      </c>
      <c r="W63" t="s">
        <v>382</v>
      </c>
      <c r="X63" t="s">
        <v>382</v>
      </c>
      <c r="Y63" t="s">
        <v>382</v>
      </c>
      <c r="Z63" t="s">
        <v>382</v>
      </c>
      <c r="AA63" t="s">
        <v>382</v>
      </c>
      <c r="AB63" t="s">
        <v>382</v>
      </c>
      <c r="AC63">
        <v>5</v>
      </c>
      <c r="AD63">
        <v>2</v>
      </c>
      <c r="AE63">
        <v>1</v>
      </c>
      <c r="AF63" t="s">
        <v>383</v>
      </c>
      <c r="AH63" t="s">
        <v>22</v>
      </c>
      <c r="AI63" t="s">
        <v>97</v>
      </c>
      <c r="AK63">
        <v>1239</v>
      </c>
      <c r="AL63">
        <v>295</v>
      </c>
    </row>
    <row r="64" spans="1:38">
      <c r="A64" t="s">
        <v>382</v>
      </c>
      <c r="B64" t="s">
        <v>382</v>
      </c>
      <c r="C64" t="s">
        <v>382</v>
      </c>
      <c r="D64" t="s">
        <v>382</v>
      </c>
      <c r="E64" t="s">
        <v>382</v>
      </c>
      <c r="F64" t="s">
        <v>382</v>
      </c>
      <c r="G64" t="s">
        <v>382</v>
      </c>
      <c r="H64" t="s">
        <v>382</v>
      </c>
      <c r="I64" t="s">
        <v>382</v>
      </c>
      <c r="J64" t="s">
        <v>382</v>
      </c>
      <c r="K64" t="s">
        <v>382</v>
      </c>
      <c r="L64" t="s">
        <v>382</v>
      </c>
      <c r="M64" t="s">
        <v>382</v>
      </c>
      <c r="N64" t="s">
        <v>382</v>
      </c>
      <c r="O64" t="s">
        <v>382</v>
      </c>
      <c r="P64" t="s">
        <v>382</v>
      </c>
      <c r="Q64" t="s">
        <v>382</v>
      </c>
      <c r="R64" t="s">
        <v>382</v>
      </c>
      <c r="S64" t="s">
        <v>382</v>
      </c>
      <c r="T64" t="s">
        <v>382</v>
      </c>
      <c r="U64" t="s">
        <v>382</v>
      </c>
      <c r="V64" t="s">
        <v>382</v>
      </c>
      <c r="W64" t="s">
        <v>382</v>
      </c>
      <c r="X64" t="s">
        <v>382</v>
      </c>
      <c r="Y64" t="s">
        <v>382</v>
      </c>
      <c r="Z64" t="s">
        <v>382</v>
      </c>
      <c r="AA64" t="s">
        <v>382</v>
      </c>
      <c r="AB64" t="s">
        <v>382</v>
      </c>
      <c r="AC64">
        <v>5</v>
      </c>
      <c r="AD64">
        <v>3</v>
      </c>
      <c r="AE64">
        <v>1</v>
      </c>
      <c r="AF64" t="s">
        <v>383</v>
      </c>
      <c r="AH64" t="s">
        <v>22</v>
      </c>
      <c r="AI64" t="s">
        <v>97</v>
      </c>
      <c r="AK64">
        <v>893</v>
      </c>
      <c r="AL64">
        <v>760</v>
      </c>
    </row>
    <row r="65" spans="1:38">
      <c r="A65" t="s">
        <v>382</v>
      </c>
      <c r="B65" t="s">
        <v>382</v>
      </c>
      <c r="C65" t="s">
        <v>382</v>
      </c>
      <c r="D65" t="s">
        <v>382</v>
      </c>
      <c r="E65" t="s">
        <v>382</v>
      </c>
      <c r="F65" t="s">
        <v>382</v>
      </c>
      <c r="G65" t="s">
        <v>382</v>
      </c>
      <c r="H65" t="s">
        <v>382</v>
      </c>
      <c r="I65" t="s">
        <v>382</v>
      </c>
      <c r="J65" t="s">
        <v>382</v>
      </c>
      <c r="K65" t="s">
        <v>382</v>
      </c>
      <c r="L65" t="s">
        <v>382</v>
      </c>
      <c r="M65" t="s">
        <v>382</v>
      </c>
      <c r="N65" t="s">
        <v>382</v>
      </c>
      <c r="O65" t="s">
        <v>382</v>
      </c>
      <c r="P65" t="s">
        <v>382</v>
      </c>
      <c r="Q65" t="s">
        <v>382</v>
      </c>
      <c r="R65" t="s">
        <v>382</v>
      </c>
      <c r="S65" t="s">
        <v>382</v>
      </c>
      <c r="T65" t="s">
        <v>382</v>
      </c>
      <c r="U65" t="s">
        <v>382</v>
      </c>
      <c r="V65" t="s">
        <v>382</v>
      </c>
      <c r="W65" t="s">
        <v>382</v>
      </c>
      <c r="X65" t="s">
        <v>382</v>
      </c>
      <c r="Y65" t="s">
        <v>382</v>
      </c>
      <c r="Z65" t="s">
        <v>382</v>
      </c>
      <c r="AA65" t="s">
        <v>382</v>
      </c>
      <c r="AB65" t="s">
        <v>382</v>
      </c>
      <c r="AC65">
        <v>5</v>
      </c>
      <c r="AD65">
        <v>4</v>
      </c>
      <c r="AE65">
        <v>1</v>
      </c>
      <c r="AF65" t="s">
        <v>389</v>
      </c>
      <c r="AH65" t="s">
        <v>35</v>
      </c>
      <c r="AI65" t="s">
        <v>97</v>
      </c>
      <c r="AK65">
        <v>1355</v>
      </c>
      <c r="AL65">
        <v>303</v>
      </c>
    </row>
    <row r="66" spans="1:38">
      <c r="A66" t="s">
        <v>382</v>
      </c>
      <c r="B66" t="s">
        <v>382</v>
      </c>
      <c r="C66" t="s">
        <v>382</v>
      </c>
      <c r="D66" t="s">
        <v>382</v>
      </c>
      <c r="E66" t="s">
        <v>382</v>
      </c>
      <c r="F66" t="s">
        <v>382</v>
      </c>
      <c r="G66" t="s">
        <v>382</v>
      </c>
      <c r="H66" t="s">
        <v>382</v>
      </c>
      <c r="I66" t="s">
        <v>382</v>
      </c>
      <c r="J66" t="s">
        <v>382</v>
      </c>
      <c r="K66" t="s">
        <v>382</v>
      </c>
      <c r="L66" t="s">
        <v>382</v>
      </c>
      <c r="M66" t="s">
        <v>382</v>
      </c>
      <c r="N66" t="s">
        <v>382</v>
      </c>
      <c r="O66" t="s">
        <v>382</v>
      </c>
      <c r="P66" t="s">
        <v>382</v>
      </c>
      <c r="Q66" t="s">
        <v>382</v>
      </c>
      <c r="R66" t="s">
        <v>382</v>
      </c>
      <c r="S66" t="s">
        <v>382</v>
      </c>
      <c r="T66" t="s">
        <v>382</v>
      </c>
      <c r="U66" t="s">
        <v>382</v>
      </c>
      <c r="V66" t="s">
        <v>382</v>
      </c>
      <c r="W66" t="s">
        <v>382</v>
      </c>
      <c r="X66" t="s">
        <v>382</v>
      </c>
      <c r="Y66" t="s">
        <v>382</v>
      </c>
      <c r="Z66" t="s">
        <v>382</v>
      </c>
      <c r="AA66" t="s">
        <v>382</v>
      </c>
      <c r="AB66" t="s">
        <v>382</v>
      </c>
      <c r="AC66">
        <v>5</v>
      </c>
      <c r="AD66">
        <v>5</v>
      </c>
      <c r="AE66">
        <v>1</v>
      </c>
      <c r="AF66" t="s">
        <v>383</v>
      </c>
      <c r="AH66" t="s">
        <v>22</v>
      </c>
      <c r="AI66" t="s">
        <v>97</v>
      </c>
      <c r="AK66">
        <v>642</v>
      </c>
      <c r="AL66">
        <v>1148</v>
      </c>
    </row>
    <row r="67" spans="1:38">
      <c r="A67" t="s">
        <v>382</v>
      </c>
      <c r="B67" t="s">
        <v>382</v>
      </c>
      <c r="C67" t="s">
        <v>382</v>
      </c>
      <c r="D67" t="s">
        <v>382</v>
      </c>
      <c r="E67" t="s">
        <v>382</v>
      </c>
      <c r="F67" t="s">
        <v>382</v>
      </c>
      <c r="G67" t="s">
        <v>382</v>
      </c>
      <c r="H67" t="s">
        <v>382</v>
      </c>
      <c r="I67" t="s">
        <v>382</v>
      </c>
      <c r="J67" t="s">
        <v>382</v>
      </c>
      <c r="K67" t="s">
        <v>382</v>
      </c>
      <c r="L67" t="s">
        <v>382</v>
      </c>
      <c r="M67" t="s">
        <v>382</v>
      </c>
      <c r="N67" t="s">
        <v>382</v>
      </c>
      <c r="O67" t="s">
        <v>382</v>
      </c>
      <c r="P67" t="s">
        <v>382</v>
      </c>
      <c r="Q67" t="s">
        <v>382</v>
      </c>
      <c r="R67" t="s">
        <v>382</v>
      </c>
      <c r="S67" t="s">
        <v>382</v>
      </c>
      <c r="T67" t="s">
        <v>382</v>
      </c>
      <c r="U67" t="s">
        <v>382</v>
      </c>
      <c r="V67" t="s">
        <v>382</v>
      </c>
      <c r="W67" t="s">
        <v>382</v>
      </c>
      <c r="X67" t="s">
        <v>382</v>
      </c>
      <c r="Y67" t="s">
        <v>382</v>
      </c>
      <c r="Z67" t="s">
        <v>382</v>
      </c>
      <c r="AA67" t="s">
        <v>382</v>
      </c>
      <c r="AB67" t="s">
        <v>382</v>
      </c>
      <c r="AC67">
        <v>5</v>
      </c>
      <c r="AD67">
        <v>1</v>
      </c>
      <c r="AF67" t="s">
        <v>386</v>
      </c>
      <c r="AH67" t="s">
        <v>29</v>
      </c>
      <c r="AI67" t="s">
        <v>103</v>
      </c>
      <c r="AK67">
        <v>2365</v>
      </c>
      <c r="AL67">
        <v>2472</v>
      </c>
    </row>
    <row r="68" spans="1:38">
      <c r="A68" t="s">
        <v>382</v>
      </c>
      <c r="B68" t="s">
        <v>382</v>
      </c>
      <c r="C68" t="s">
        <v>382</v>
      </c>
      <c r="D68" t="s">
        <v>382</v>
      </c>
      <c r="E68" t="s">
        <v>382</v>
      </c>
      <c r="F68" t="s">
        <v>382</v>
      </c>
      <c r="G68" t="s">
        <v>382</v>
      </c>
      <c r="H68" t="s">
        <v>382</v>
      </c>
      <c r="I68" t="s">
        <v>382</v>
      </c>
      <c r="J68" t="s">
        <v>382</v>
      </c>
      <c r="K68" t="s">
        <v>382</v>
      </c>
      <c r="L68" t="s">
        <v>382</v>
      </c>
      <c r="M68" t="s">
        <v>382</v>
      </c>
      <c r="N68" t="s">
        <v>382</v>
      </c>
      <c r="O68" t="s">
        <v>382</v>
      </c>
      <c r="P68" t="s">
        <v>382</v>
      </c>
      <c r="Q68" t="s">
        <v>382</v>
      </c>
      <c r="R68" t="s">
        <v>382</v>
      </c>
      <c r="S68" t="s">
        <v>382</v>
      </c>
      <c r="T68" t="s">
        <v>382</v>
      </c>
      <c r="U68" t="s">
        <v>382</v>
      </c>
      <c r="V68" t="s">
        <v>382</v>
      </c>
      <c r="W68" t="s">
        <v>382</v>
      </c>
      <c r="X68" t="s">
        <v>382</v>
      </c>
      <c r="Y68" t="s">
        <v>382</v>
      </c>
      <c r="Z68" t="s">
        <v>382</v>
      </c>
      <c r="AA68" t="s">
        <v>382</v>
      </c>
      <c r="AB68" t="s">
        <v>382</v>
      </c>
      <c r="AC68">
        <v>5</v>
      </c>
      <c r="AD68">
        <v>2</v>
      </c>
      <c r="AE68">
        <v>1</v>
      </c>
      <c r="AF68" t="s">
        <v>389</v>
      </c>
      <c r="AH68" t="s">
        <v>35</v>
      </c>
      <c r="AI68" t="s">
        <v>97</v>
      </c>
      <c r="AK68">
        <v>1389</v>
      </c>
      <c r="AL68">
        <v>2329</v>
      </c>
    </row>
    <row r="69" spans="1:38">
      <c r="A69" t="s">
        <v>382</v>
      </c>
      <c r="B69" t="s">
        <v>382</v>
      </c>
      <c r="C69" t="s">
        <v>382</v>
      </c>
      <c r="D69" t="s">
        <v>382</v>
      </c>
      <c r="E69" t="s">
        <v>382</v>
      </c>
      <c r="F69" t="s">
        <v>382</v>
      </c>
      <c r="G69" t="s">
        <v>382</v>
      </c>
      <c r="H69" t="s">
        <v>382</v>
      </c>
      <c r="I69" t="s">
        <v>382</v>
      </c>
      <c r="J69" t="s">
        <v>382</v>
      </c>
      <c r="K69" t="s">
        <v>382</v>
      </c>
      <c r="L69" t="s">
        <v>382</v>
      </c>
      <c r="M69" t="s">
        <v>382</v>
      </c>
      <c r="N69" t="s">
        <v>382</v>
      </c>
      <c r="O69" t="s">
        <v>382</v>
      </c>
      <c r="P69" t="s">
        <v>382</v>
      </c>
      <c r="Q69" t="s">
        <v>382</v>
      </c>
      <c r="R69" t="s">
        <v>382</v>
      </c>
      <c r="S69" t="s">
        <v>382</v>
      </c>
      <c r="T69" t="s">
        <v>382</v>
      </c>
      <c r="U69" t="s">
        <v>382</v>
      </c>
      <c r="V69" t="s">
        <v>382</v>
      </c>
      <c r="W69" t="s">
        <v>382</v>
      </c>
      <c r="X69" t="s">
        <v>382</v>
      </c>
      <c r="Y69" t="s">
        <v>382</v>
      </c>
      <c r="Z69" t="s">
        <v>382</v>
      </c>
      <c r="AA69" t="s">
        <v>382</v>
      </c>
      <c r="AB69" t="s">
        <v>382</v>
      </c>
      <c r="AC69">
        <v>5</v>
      </c>
      <c r="AD69">
        <v>3</v>
      </c>
      <c r="AE69">
        <v>1</v>
      </c>
      <c r="AF69" t="s">
        <v>383</v>
      </c>
      <c r="AH69" t="s">
        <v>22</v>
      </c>
      <c r="AI69" t="s">
        <v>97</v>
      </c>
      <c r="AK69">
        <v>3020</v>
      </c>
      <c r="AL69">
        <v>1885</v>
      </c>
    </row>
    <row r="70" spans="1:38">
      <c r="A70" t="s">
        <v>382</v>
      </c>
      <c r="B70" t="s">
        <v>382</v>
      </c>
      <c r="C70" t="s">
        <v>382</v>
      </c>
      <c r="D70" t="s">
        <v>382</v>
      </c>
      <c r="E70" t="s">
        <v>382</v>
      </c>
      <c r="F70" t="s">
        <v>382</v>
      </c>
      <c r="G70" t="s">
        <v>382</v>
      </c>
      <c r="H70" t="s">
        <v>382</v>
      </c>
      <c r="I70" t="s">
        <v>382</v>
      </c>
      <c r="J70" t="s">
        <v>382</v>
      </c>
      <c r="K70" t="s">
        <v>382</v>
      </c>
      <c r="L70" t="s">
        <v>382</v>
      </c>
      <c r="M70" t="s">
        <v>382</v>
      </c>
      <c r="N70" t="s">
        <v>382</v>
      </c>
      <c r="O70" t="s">
        <v>382</v>
      </c>
      <c r="P70" t="s">
        <v>382</v>
      </c>
      <c r="Q70" t="s">
        <v>382</v>
      </c>
      <c r="R70" t="s">
        <v>382</v>
      </c>
      <c r="S70" t="s">
        <v>382</v>
      </c>
      <c r="T70" t="s">
        <v>382</v>
      </c>
      <c r="U70" t="s">
        <v>382</v>
      </c>
      <c r="V70" t="s">
        <v>382</v>
      </c>
      <c r="W70" t="s">
        <v>382</v>
      </c>
      <c r="X70" t="s">
        <v>382</v>
      </c>
      <c r="Y70" t="s">
        <v>382</v>
      </c>
      <c r="Z70" t="s">
        <v>382</v>
      </c>
      <c r="AA70" t="s">
        <v>382</v>
      </c>
      <c r="AB70" t="s">
        <v>382</v>
      </c>
      <c r="AC70">
        <v>5</v>
      </c>
      <c r="AD70">
        <v>4</v>
      </c>
      <c r="AE70">
        <v>1</v>
      </c>
      <c r="AF70" t="s">
        <v>389</v>
      </c>
      <c r="AH70" t="s">
        <v>35</v>
      </c>
      <c r="AI70" t="s">
        <v>97</v>
      </c>
      <c r="AK70">
        <v>566</v>
      </c>
      <c r="AL70">
        <v>26</v>
      </c>
    </row>
    <row r="71" spans="1:38">
      <c r="A71" t="s">
        <v>382</v>
      </c>
      <c r="B71" t="s">
        <v>382</v>
      </c>
      <c r="C71" t="s">
        <v>382</v>
      </c>
      <c r="D71" t="s">
        <v>382</v>
      </c>
      <c r="E71" t="s">
        <v>382</v>
      </c>
      <c r="F71" t="s">
        <v>382</v>
      </c>
      <c r="G71" t="s">
        <v>382</v>
      </c>
      <c r="H71" t="s">
        <v>382</v>
      </c>
      <c r="I71" t="s">
        <v>382</v>
      </c>
      <c r="J71" t="s">
        <v>382</v>
      </c>
      <c r="K71" t="s">
        <v>382</v>
      </c>
      <c r="L71" t="s">
        <v>382</v>
      </c>
      <c r="M71" t="s">
        <v>382</v>
      </c>
      <c r="N71" t="s">
        <v>382</v>
      </c>
      <c r="O71" t="s">
        <v>382</v>
      </c>
      <c r="P71" t="s">
        <v>382</v>
      </c>
      <c r="Q71" t="s">
        <v>382</v>
      </c>
      <c r="R71" t="s">
        <v>382</v>
      </c>
      <c r="S71" t="s">
        <v>382</v>
      </c>
      <c r="T71" t="s">
        <v>382</v>
      </c>
      <c r="U71" t="s">
        <v>382</v>
      </c>
      <c r="V71" t="s">
        <v>382</v>
      </c>
      <c r="W71" t="s">
        <v>382</v>
      </c>
      <c r="X71" t="s">
        <v>382</v>
      </c>
      <c r="Y71" t="s">
        <v>382</v>
      </c>
      <c r="Z71" t="s">
        <v>382</v>
      </c>
      <c r="AA71" t="s">
        <v>382</v>
      </c>
      <c r="AB71" t="s">
        <v>382</v>
      </c>
      <c r="AC71">
        <v>5</v>
      </c>
      <c r="AD71">
        <v>5</v>
      </c>
      <c r="AE71">
        <v>1</v>
      </c>
      <c r="AF71" t="s">
        <v>389</v>
      </c>
      <c r="AH71" t="s">
        <v>35</v>
      </c>
      <c r="AI71" t="s">
        <v>97</v>
      </c>
      <c r="AK71">
        <v>1173</v>
      </c>
      <c r="AL71">
        <v>680</v>
      </c>
    </row>
    <row r="72" spans="1:38">
      <c r="A72" t="s">
        <v>382</v>
      </c>
      <c r="B72" t="s">
        <v>382</v>
      </c>
      <c r="C72" t="s">
        <v>382</v>
      </c>
      <c r="D72" t="s">
        <v>382</v>
      </c>
      <c r="E72" t="s">
        <v>382</v>
      </c>
      <c r="F72" t="s">
        <v>382</v>
      </c>
      <c r="G72" t="s">
        <v>382</v>
      </c>
      <c r="H72" t="s">
        <v>382</v>
      </c>
      <c r="I72" t="s">
        <v>382</v>
      </c>
      <c r="J72" t="s">
        <v>382</v>
      </c>
      <c r="K72" t="s">
        <v>382</v>
      </c>
      <c r="L72" t="s">
        <v>382</v>
      </c>
      <c r="M72" t="s">
        <v>382</v>
      </c>
      <c r="N72" t="s">
        <v>382</v>
      </c>
      <c r="O72" t="s">
        <v>382</v>
      </c>
      <c r="P72" t="s">
        <v>382</v>
      </c>
      <c r="Q72" t="s">
        <v>382</v>
      </c>
      <c r="R72" t="s">
        <v>382</v>
      </c>
      <c r="S72" t="s">
        <v>382</v>
      </c>
      <c r="T72" t="s">
        <v>382</v>
      </c>
      <c r="U72" t="s">
        <v>382</v>
      </c>
      <c r="V72" t="s">
        <v>382</v>
      </c>
      <c r="W72" t="s">
        <v>382</v>
      </c>
      <c r="X72" t="s">
        <v>382</v>
      </c>
      <c r="Y72" t="s">
        <v>382</v>
      </c>
      <c r="Z72" t="s">
        <v>382</v>
      </c>
      <c r="AA72" t="s">
        <v>382</v>
      </c>
      <c r="AB72" t="s">
        <v>382</v>
      </c>
      <c r="AC72">
        <v>5</v>
      </c>
      <c r="AD72">
        <v>1</v>
      </c>
      <c r="AE72">
        <v>1</v>
      </c>
      <c r="AF72" t="s">
        <v>389</v>
      </c>
      <c r="AH72" t="s">
        <v>35</v>
      </c>
      <c r="AI72" t="s">
        <v>97</v>
      </c>
      <c r="AK72">
        <v>2345</v>
      </c>
      <c r="AL72">
        <v>241</v>
      </c>
    </row>
    <row r="73" spans="1:38">
      <c r="A73" t="s">
        <v>382</v>
      </c>
      <c r="B73" t="s">
        <v>382</v>
      </c>
      <c r="C73" t="s">
        <v>382</v>
      </c>
      <c r="D73" t="s">
        <v>382</v>
      </c>
      <c r="E73" t="s">
        <v>382</v>
      </c>
      <c r="F73" t="s">
        <v>382</v>
      </c>
      <c r="G73" t="s">
        <v>382</v>
      </c>
      <c r="H73" t="s">
        <v>382</v>
      </c>
      <c r="I73" t="s">
        <v>382</v>
      </c>
      <c r="J73" t="s">
        <v>382</v>
      </c>
      <c r="K73" t="s">
        <v>382</v>
      </c>
      <c r="L73" t="s">
        <v>382</v>
      </c>
      <c r="M73" t="s">
        <v>382</v>
      </c>
      <c r="N73" t="s">
        <v>382</v>
      </c>
      <c r="O73" t="s">
        <v>382</v>
      </c>
      <c r="P73" t="s">
        <v>382</v>
      </c>
      <c r="Q73" t="s">
        <v>382</v>
      </c>
      <c r="R73" t="s">
        <v>382</v>
      </c>
      <c r="S73" t="s">
        <v>382</v>
      </c>
      <c r="T73" t="s">
        <v>382</v>
      </c>
      <c r="U73" t="s">
        <v>382</v>
      </c>
      <c r="V73" t="s">
        <v>382</v>
      </c>
      <c r="W73" t="s">
        <v>382</v>
      </c>
      <c r="X73" t="s">
        <v>382</v>
      </c>
      <c r="Y73" t="s">
        <v>382</v>
      </c>
      <c r="Z73" t="s">
        <v>382</v>
      </c>
      <c r="AA73" t="s">
        <v>382</v>
      </c>
      <c r="AB73" t="s">
        <v>382</v>
      </c>
      <c r="AC73">
        <v>5</v>
      </c>
      <c r="AD73">
        <v>2</v>
      </c>
      <c r="AF73" t="s">
        <v>385</v>
      </c>
      <c r="AH73" t="s">
        <v>27</v>
      </c>
      <c r="AI73" t="s">
        <v>109</v>
      </c>
      <c r="AK73">
        <v>2400</v>
      </c>
      <c r="AL73">
        <v>1971</v>
      </c>
    </row>
    <row r="74" spans="1:38">
      <c r="A74" t="s">
        <v>382</v>
      </c>
      <c r="B74" t="s">
        <v>382</v>
      </c>
      <c r="C74" t="s">
        <v>382</v>
      </c>
      <c r="D74" t="s">
        <v>382</v>
      </c>
      <c r="E74" t="s">
        <v>382</v>
      </c>
      <c r="F74" t="s">
        <v>382</v>
      </c>
      <c r="G74" t="s">
        <v>382</v>
      </c>
      <c r="H74" t="s">
        <v>382</v>
      </c>
      <c r="I74" t="s">
        <v>382</v>
      </c>
      <c r="J74" t="s">
        <v>382</v>
      </c>
      <c r="K74" t="s">
        <v>382</v>
      </c>
      <c r="L74" t="s">
        <v>382</v>
      </c>
      <c r="M74" t="s">
        <v>382</v>
      </c>
      <c r="N74" t="s">
        <v>382</v>
      </c>
      <c r="O74" t="s">
        <v>382</v>
      </c>
      <c r="P74" t="s">
        <v>382</v>
      </c>
      <c r="Q74" t="s">
        <v>382</v>
      </c>
      <c r="R74" t="s">
        <v>382</v>
      </c>
      <c r="S74" t="s">
        <v>382</v>
      </c>
      <c r="T74" t="s">
        <v>382</v>
      </c>
      <c r="U74" t="s">
        <v>382</v>
      </c>
      <c r="V74" t="s">
        <v>382</v>
      </c>
      <c r="W74" t="s">
        <v>382</v>
      </c>
      <c r="X74" t="s">
        <v>382</v>
      </c>
      <c r="Y74" t="s">
        <v>382</v>
      </c>
      <c r="Z74" t="s">
        <v>382</v>
      </c>
      <c r="AA74" t="s">
        <v>382</v>
      </c>
      <c r="AB74" t="s">
        <v>382</v>
      </c>
      <c r="AC74">
        <v>5</v>
      </c>
      <c r="AD74">
        <v>3</v>
      </c>
      <c r="AE74">
        <v>1</v>
      </c>
      <c r="AF74" t="s">
        <v>389</v>
      </c>
      <c r="AH74" t="s">
        <v>35</v>
      </c>
      <c r="AI74" t="s">
        <v>97</v>
      </c>
      <c r="AK74">
        <v>724</v>
      </c>
      <c r="AL74">
        <v>533</v>
      </c>
    </row>
    <row r="75" spans="1:38">
      <c r="A75" t="s">
        <v>382</v>
      </c>
      <c r="B75" t="s">
        <v>382</v>
      </c>
      <c r="C75" t="s">
        <v>382</v>
      </c>
      <c r="D75" t="s">
        <v>382</v>
      </c>
      <c r="E75" t="s">
        <v>382</v>
      </c>
      <c r="F75" t="s">
        <v>382</v>
      </c>
      <c r="G75" t="s">
        <v>382</v>
      </c>
      <c r="H75" t="s">
        <v>382</v>
      </c>
      <c r="I75" t="s">
        <v>382</v>
      </c>
      <c r="J75" t="s">
        <v>382</v>
      </c>
      <c r="K75" t="s">
        <v>382</v>
      </c>
      <c r="L75" t="s">
        <v>382</v>
      </c>
      <c r="M75" t="s">
        <v>382</v>
      </c>
      <c r="N75" t="s">
        <v>382</v>
      </c>
      <c r="O75" t="s">
        <v>382</v>
      </c>
      <c r="P75" t="s">
        <v>382</v>
      </c>
      <c r="Q75" t="s">
        <v>382</v>
      </c>
      <c r="R75" t="s">
        <v>382</v>
      </c>
      <c r="S75" t="s">
        <v>382</v>
      </c>
      <c r="T75" t="s">
        <v>382</v>
      </c>
      <c r="U75" t="s">
        <v>382</v>
      </c>
      <c r="V75" t="s">
        <v>382</v>
      </c>
      <c r="W75" t="s">
        <v>382</v>
      </c>
      <c r="X75" t="s">
        <v>382</v>
      </c>
      <c r="Y75" t="s">
        <v>382</v>
      </c>
      <c r="Z75" t="s">
        <v>382</v>
      </c>
      <c r="AA75" t="s">
        <v>382</v>
      </c>
      <c r="AB75" t="s">
        <v>382</v>
      </c>
      <c r="AC75">
        <v>5</v>
      </c>
      <c r="AD75">
        <v>4</v>
      </c>
      <c r="AE75">
        <v>1</v>
      </c>
      <c r="AF75" t="s">
        <v>389</v>
      </c>
      <c r="AH75" t="s">
        <v>35</v>
      </c>
      <c r="AI75" t="s">
        <v>97</v>
      </c>
      <c r="AK75">
        <v>2755</v>
      </c>
      <c r="AL75">
        <v>1494</v>
      </c>
    </row>
    <row r="76" spans="1:38">
      <c r="A76" t="s">
        <v>382</v>
      </c>
      <c r="B76" t="s">
        <v>382</v>
      </c>
      <c r="C76" t="s">
        <v>382</v>
      </c>
      <c r="D76" t="s">
        <v>382</v>
      </c>
      <c r="E76" t="s">
        <v>382</v>
      </c>
      <c r="F76" t="s">
        <v>382</v>
      </c>
      <c r="G76" t="s">
        <v>382</v>
      </c>
      <c r="H76" t="s">
        <v>382</v>
      </c>
      <c r="I76" t="s">
        <v>382</v>
      </c>
      <c r="J76" t="s">
        <v>382</v>
      </c>
      <c r="K76" t="s">
        <v>382</v>
      </c>
      <c r="L76" t="s">
        <v>382</v>
      </c>
      <c r="M76" t="s">
        <v>382</v>
      </c>
      <c r="N76" t="s">
        <v>382</v>
      </c>
      <c r="O76" t="s">
        <v>382</v>
      </c>
      <c r="P76" t="s">
        <v>382</v>
      </c>
      <c r="Q76" t="s">
        <v>382</v>
      </c>
      <c r="R76" t="s">
        <v>382</v>
      </c>
      <c r="S76" t="s">
        <v>382</v>
      </c>
      <c r="T76" t="s">
        <v>382</v>
      </c>
      <c r="U76" t="s">
        <v>382</v>
      </c>
      <c r="V76" t="s">
        <v>382</v>
      </c>
      <c r="W76" t="s">
        <v>382</v>
      </c>
      <c r="X76" t="s">
        <v>382</v>
      </c>
      <c r="Y76" t="s">
        <v>382</v>
      </c>
      <c r="Z76" t="s">
        <v>382</v>
      </c>
      <c r="AA76" t="s">
        <v>382</v>
      </c>
      <c r="AB76" t="s">
        <v>382</v>
      </c>
      <c r="AC76">
        <v>5</v>
      </c>
      <c r="AD76">
        <v>5</v>
      </c>
      <c r="AF76" t="s">
        <v>386</v>
      </c>
      <c r="AH76" t="s">
        <v>29</v>
      </c>
      <c r="AI76" t="s">
        <v>103</v>
      </c>
      <c r="AK76">
        <v>2315</v>
      </c>
      <c r="AL76">
        <v>2361</v>
      </c>
    </row>
    <row r="77" spans="1:38">
      <c r="A77" t="s">
        <v>382</v>
      </c>
      <c r="B77" t="s">
        <v>382</v>
      </c>
      <c r="C77" t="s">
        <v>382</v>
      </c>
      <c r="D77" t="s">
        <v>382</v>
      </c>
      <c r="E77" t="s">
        <v>382</v>
      </c>
      <c r="F77" t="s">
        <v>382</v>
      </c>
      <c r="G77" t="s">
        <v>382</v>
      </c>
      <c r="H77" t="s">
        <v>382</v>
      </c>
      <c r="I77" t="s">
        <v>382</v>
      </c>
      <c r="J77" t="s">
        <v>382</v>
      </c>
      <c r="K77" t="s">
        <v>382</v>
      </c>
      <c r="L77" t="s">
        <v>382</v>
      </c>
      <c r="M77" t="s">
        <v>382</v>
      </c>
      <c r="N77" t="s">
        <v>382</v>
      </c>
      <c r="O77" t="s">
        <v>382</v>
      </c>
      <c r="P77" t="s">
        <v>382</v>
      </c>
      <c r="Q77" t="s">
        <v>382</v>
      </c>
      <c r="R77" t="s">
        <v>382</v>
      </c>
      <c r="S77" t="s">
        <v>382</v>
      </c>
      <c r="T77" t="s">
        <v>382</v>
      </c>
      <c r="U77" t="s">
        <v>382</v>
      </c>
      <c r="V77" t="s">
        <v>382</v>
      </c>
      <c r="W77" t="s">
        <v>382</v>
      </c>
      <c r="X77" t="s">
        <v>382</v>
      </c>
      <c r="Y77" t="s">
        <v>382</v>
      </c>
      <c r="Z77" t="s">
        <v>382</v>
      </c>
      <c r="AA77" t="s">
        <v>382</v>
      </c>
      <c r="AB77" t="s">
        <v>382</v>
      </c>
      <c r="AC77">
        <v>5</v>
      </c>
      <c r="AD77">
        <v>1</v>
      </c>
      <c r="AF77" t="s">
        <v>385</v>
      </c>
      <c r="AH77" t="s">
        <v>27</v>
      </c>
      <c r="AI77" t="s">
        <v>109</v>
      </c>
      <c r="AK77">
        <v>1249</v>
      </c>
      <c r="AL77">
        <v>1514</v>
      </c>
    </row>
    <row r="78" spans="1:38">
      <c r="A78" t="s">
        <v>382</v>
      </c>
      <c r="B78" t="s">
        <v>382</v>
      </c>
      <c r="C78" t="s">
        <v>382</v>
      </c>
      <c r="D78" t="s">
        <v>382</v>
      </c>
      <c r="E78" t="s">
        <v>382</v>
      </c>
      <c r="F78" t="s">
        <v>382</v>
      </c>
      <c r="G78" t="s">
        <v>382</v>
      </c>
      <c r="H78" t="s">
        <v>382</v>
      </c>
      <c r="I78" t="s">
        <v>382</v>
      </c>
      <c r="J78" t="s">
        <v>382</v>
      </c>
      <c r="K78" t="s">
        <v>382</v>
      </c>
      <c r="L78" t="s">
        <v>382</v>
      </c>
      <c r="M78" t="s">
        <v>382</v>
      </c>
      <c r="N78" t="s">
        <v>382</v>
      </c>
      <c r="O78" t="s">
        <v>382</v>
      </c>
      <c r="P78" t="s">
        <v>382</v>
      </c>
      <c r="Q78" t="s">
        <v>382</v>
      </c>
      <c r="R78" t="s">
        <v>382</v>
      </c>
      <c r="S78" t="s">
        <v>382</v>
      </c>
      <c r="T78" t="s">
        <v>382</v>
      </c>
      <c r="U78" t="s">
        <v>382</v>
      </c>
      <c r="V78" t="s">
        <v>382</v>
      </c>
      <c r="W78" t="s">
        <v>382</v>
      </c>
      <c r="X78" t="s">
        <v>382</v>
      </c>
      <c r="Y78" t="s">
        <v>382</v>
      </c>
      <c r="Z78" t="s">
        <v>382</v>
      </c>
      <c r="AA78" t="s">
        <v>382</v>
      </c>
      <c r="AB78" t="s">
        <v>382</v>
      </c>
      <c r="AC78">
        <v>5</v>
      </c>
      <c r="AD78">
        <v>2</v>
      </c>
      <c r="AE78">
        <v>1</v>
      </c>
      <c r="AF78" t="s">
        <v>387</v>
      </c>
      <c r="AH78" t="s">
        <v>31</v>
      </c>
      <c r="AI78" t="s">
        <v>97</v>
      </c>
      <c r="AK78">
        <v>3023</v>
      </c>
      <c r="AL78">
        <v>2493</v>
      </c>
    </row>
    <row r="79" spans="1:38">
      <c r="A79" t="s">
        <v>382</v>
      </c>
      <c r="B79" t="s">
        <v>382</v>
      </c>
      <c r="C79" t="s">
        <v>382</v>
      </c>
      <c r="D79" t="s">
        <v>382</v>
      </c>
      <c r="E79" t="s">
        <v>382</v>
      </c>
      <c r="F79" t="s">
        <v>382</v>
      </c>
      <c r="G79" t="s">
        <v>382</v>
      </c>
      <c r="H79" t="s">
        <v>382</v>
      </c>
      <c r="I79" t="s">
        <v>382</v>
      </c>
      <c r="J79" t="s">
        <v>382</v>
      </c>
      <c r="K79" t="s">
        <v>382</v>
      </c>
      <c r="L79" t="s">
        <v>382</v>
      </c>
      <c r="M79" t="s">
        <v>382</v>
      </c>
      <c r="N79" t="s">
        <v>382</v>
      </c>
      <c r="O79" t="s">
        <v>382</v>
      </c>
      <c r="P79" t="s">
        <v>382</v>
      </c>
      <c r="Q79" t="s">
        <v>382</v>
      </c>
      <c r="R79" t="s">
        <v>382</v>
      </c>
      <c r="S79" t="s">
        <v>382</v>
      </c>
      <c r="T79" t="s">
        <v>382</v>
      </c>
      <c r="U79" t="s">
        <v>382</v>
      </c>
      <c r="V79" t="s">
        <v>382</v>
      </c>
      <c r="W79" t="s">
        <v>382</v>
      </c>
      <c r="X79" t="s">
        <v>382</v>
      </c>
      <c r="Y79" t="s">
        <v>382</v>
      </c>
      <c r="Z79" t="s">
        <v>382</v>
      </c>
      <c r="AA79" t="s">
        <v>382</v>
      </c>
      <c r="AB79" t="s">
        <v>382</v>
      </c>
      <c r="AC79">
        <v>5</v>
      </c>
      <c r="AD79">
        <v>3</v>
      </c>
      <c r="AE79">
        <v>1</v>
      </c>
      <c r="AF79" t="s">
        <v>485</v>
      </c>
      <c r="AH79" t="s">
        <v>122</v>
      </c>
      <c r="AI79" t="s">
        <v>97</v>
      </c>
      <c r="AK79">
        <v>2329</v>
      </c>
      <c r="AL79">
        <v>198</v>
      </c>
    </row>
    <row r="80" spans="1:38">
      <c r="A80" t="s">
        <v>382</v>
      </c>
      <c r="B80" t="s">
        <v>382</v>
      </c>
      <c r="C80" t="s">
        <v>382</v>
      </c>
      <c r="D80" t="s">
        <v>382</v>
      </c>
      <c r="E80" t="s">
        <v>382</v>
      </c>
      <c r="F80" t="s">
        <v>382</v>
      </c>
      <c r="G80" t="s">
        <v>382</v>
      </c>
      <c r="H80" t="s">
        <v>382</v>
      </c>
      <c r="I80" t="s">
        <v>382</v>
      </c>
      <c r="J80" t="s">
        <v>382</v>
      </c>
      <c r="K80" t="s">
        <v>382</v>
      </c>
      <c r="L80" t="s">
        <v>382</v>
      </c>
      <c r="M80" t="s">
        <v>382</v>
      </c>
      <c r="N80" t="s">
        <v>382</v>
      </c>
      <c r="O80" t="s">
        <v>382</v>
      </c>
      <c r="P80" t="s">
        <v>382</v>
      </c>
      <c r="Q80" t="s">
        <v>382</v>
      </c>
      <c r="R80" t="s">
        <v>382</v>
      </c>
      <c r="S80" t="s">
        <v>382</v>
      </c>
      <c r="T80" t="s">
        <v>382</v>
      </c>
      <c r="U80" t="s">
        <v>382</v>
      </c>
      <c r="V80" t="s">
        <v>382</v>
      </c>
      <c r="W80" t="s">
        <v>382</v>
      </c>
      <c r="X80" t="s">
        <v>382</v>
      </c>
      <c r="Y80" t="s">
        <v>382</v>
      </c>
      <c r="Z80" t="s">
        <v>382</v>
      </c>
      <c r="AA80" t="s">
        <v>382</v>
      </c>
      <c r="AB80" t="s">
        <v>382</v>
      </c>
      <c r="AC80">
        <v>5</v>
      </c>
      <c r="AD80">
        <v>4</v>
      </c>
      <c r="AF80" t="s">
        <v>385</v>
      </c>
      <c r="AH80" t="s">
        <v>27</v>
      </c>
      <c r="AI80" t="s">
        <v>109</v>
      </c>
      <c r="AK80">
        <v>946</v>
      </c>
      <c r="AL80">
        <v>1920</v>
      </c>
    </row>
    <row r="81" spans="1:38">
      <c r="A81" t="s">
        <v>382</v>
      </c>
      <c r="B81" t="s">
        <v>382</v>
      </c>
      <c r="C81" t="s">
        <v>382</v>
      </c>
      <c r="D81" t="s">
        <v>382</v>
      </c>
      <c r="E81" t="s">
        <v>382</v>
      </c>
      <c r="F81" t="s">
        <v>382</v>
      </c>
      <c r="G81" t="s">
        <v>382</v>
      </c>
      <c r="H81" t="s">
        <v>382</v>
      </c>
      <c r="I81" t="s">
        <v>382</v>
      </c>
      <c r="J81" t="s">
        <v>382</v>
      </c>
      <c r="K81" t="s">
        <v>382</v>
      </c>
      <c r="L81" t="s">
        <v>382</v>
      </c>
      <c r="M81" t="s">
        <v>382</v>
      </c>
      <c r="N81" t="s">
        <v>382</v>
      </c>
      <c r="O81" t="s">
        <v>382</v>
      </c>
      <c r="P81" t="s">
        <v>382</v>
      </c>
      <c r="Q81" t="s">
        <v>382</v>
      </c>
      <c r="R81" t="s">
        <v>382</v>
      </c>
      <c r="S81" t="s">
        <v>382</v>
      </c>
      <c r="T81" t="s">
        <v>382</v>
      </c>
      <c r="U81" t="s">
        <v>382</v>
      </c>
      <c r="V81" t="s">
        <v>382</v>
      </c>
      <c r="W81" t="s">
        <v>382</v>
      </c>
      <c r="X81" t="s">
        <v>382</v>
      </c>
      <c r="Y81" t="s">
        <v>382</v>
      </c>
      <c r="Z81" t="s">
        <v>382</v>
      </c>
      <c r="AA81" t="s">
        <v>382</v>
      </c>
      <c r="AB81" t="s">
        <v>382</v>
      </c>
      <c r="AC81">
        <v>5</v>
      </c>
      <c r="AD81">
        <v>5</v>
      </c>
      <c r="AF81" t="s">
        <v>385</v>
      </c>
      <c r="AH81" t="s">
        <v>27</v>
      </c>
      <c r="AI81" t="s">
        <v>109</v>
      </c>
      <c r="AK81">
        <v>1358</v>
      </c>
      <c r="AL81">
        <v>1827</v>
      </c>
    </row>
    <row r="82" spans="1:38">
      <c r="A82" t="s">
        <v>382</v>
      </c>
      <c r="B82" t="s">
        <v>382</v>
      </c>
      <c r="C82" t="s">
        <v>382</v>
      </c>
      <c r="D82" t="s">
        <v>382</v>
      </c>
      <c r="E82" t="s">
        <v>382</v>
      </c>
      <c r="F82" t="s">
        <v>382</v>
      </c>
      <c r="G82" t="s">
        <v>382</v>
      </c>
      <c r="H82" t="s">
        <v>382</v>
      </c>
      <c r="I82" t="s">
        <v>382</v>
      </c>
      <c r="J82" t="s">
        <v>382</v>
      </c>
      <c r="K82" t="s">
        <v>382</v>
      </c>
      <c r="L82" t="s">
        <v>382</v>
      </c>
      <c r="M82" t="s">
        <v>382</v>
      </c>
      <c r="N82" t="s">
        <v>382</v>
      </c>
      <c r="O82" t="s">
        <v>382</v>
      </c>
      <c r="P82" t="s">
        <v>382</v>
      </c>
      <c r="Q82" t="s">
        <v>382</v>
      </c>
      <c r="R82" t="s">
        <v>382</v>
      </c>
      <c r="S82" t="s">
        <v>382</v>
      </c>
      <c r="T82" t="s">
        <v>382</v>
      </c>
      <c r="U82" t="s">
        <v>382</v>
      </c>
      <c r="V82" t="s">
        <v>382</v>
      </c>
      <c r="W82" t="s">
        <v>382</v>
      </c>
      <c r="X82" t="s">
        <v>382</v>
      </c>
      <c r="Y82" t="s">
        <v>382</v>
      </c>
      <c r="Z82" t="s">
        <v>382</v>
      </c>
      <c r="AA82" t="s">
        <v>382</v>
      </c>
      <c r="AB82" t="s">
        <v>382</v>
      </c>
      <c r="AC82">
        <v>5</v>
      </c>
      <c r="AD82">
        <v>1</v>
      </c>
      <c r="AE82">
        <v>1</v>
      </c>
      <c r="AF82" t="s">
        <v>383</v>
      </c>
      <c r="AH82" t="s">
        <v>22</v>
      </c>
      <c r="AI82" t="s">
        <v>97</v>
      </c>
      <c r="AK82">
        <v>1482</v>
      </c>
      <c r="AL82">
        <v>622</v>
      </c>
    </row>
    <row r="83" spans="1:38">
      <c r="A83" t="s">
        <v>382</v>
      </c>
      <c r="B83" t="s">
        <v>382</v>
      </c>
      <c r="C83" t="s">
        <v>382</v>
      </c>
      <c r="D83" t="s">
        <v>382</v>
      </c>
      <c r="E83" t="s">
        <v>382</v>
      </c>
      <c r="F83" t="s">
        <v>382</v>
      </c>
      <c r="G83" t="s">
        <v>382</v>
      </c>
      <c r="H83" t="s">
        <v>382</v>
      </c>
      <c r="I83" t="s">
        <v>382</v>
      </c>
      <c r="J83" t="s">
        <v>382</v>
      </c>
      <c r="K83" t="s">
        <v>382</v>
      </c>
      <c r="L83" t="s">
        <v>382</v>
      </c>
      <c r="M83" t="s">
        <v>382</v>
      </c>
      <c r="N83" t="s">
        <v>382</v>
      </c>
      <c r="O83" t="s">
        <v>382</v>
      </c>
      <c r="P83" t="s">
        <v>382</v>
      </c>
      <c r="Q83" t="s">
        <v>382</v>
      </c>
      <c r="R83" t="s">
        <v>382</v>
      </c>
      <c r="S83" t="s">
        <v>382</v>
      </c>
      <c r="T83" t="s">
        <v>382</v>
      </c>
      <c r="U83" t="s">
        <v>382</v>
      </c>
      <c r="V83" t="s">
        <v>382</v>
      </c>
      <c r="W83" t="s">
        <v>382</v>
      </c>
      <c r="X83" t="s">
        <v>382</v>
      </c>
      <c r="Y83" t="s">
        <v>382</v>
      </c>
      <c r="Z83" t="s">
        <v>382</v>
      </c>
      <c r="AA83" t="s">
        <v>382</v>
      </c>
      <c r="AB83" t="s">
        <v>382</v>
      </c>
      <c r="AC83">
        <v>5</v>
      </c>
      <c r="AD83">
        <v>2</v>
      </c>
      <c r="AF83" t="s">
        <v>386</v>
      </c>
      <c r="AH83" t="s">
        <v>29</v>
      </c>
      <c r="AI83" t="s">
        <v>103</v>
      </c>
      <c r="AK83">
        <v>2398</v>
      </c>
      <c r="AL83">
        <v>405</v>
      </c>
    </row>
    <row r="84" spans="1:38">
      <c r="A84" t="s">
        <v>382</v>
      </c>
      <c r="B84" t="s">
        <v>382</v>
      </c>
      <c r="C84" t="s">
        <v>382</v>
      </c>
      <c r="D84" t="s">
        <v>382</v>
      </c>
      <c r="E84" t="s">
        <v>382</v>
      </c>
      <c r="F84" t="s">
        <v>382</v>
      </c>
      <c r="G84" t="s">
        <v>382</v>
      </c>
      <c r="H84" t="s">
        <v>382</v>
      </c>
      <c r="I84" t="s">
        <v>382</v>
      </c>
      <c r="J84" t="s">
        <v>382</v>
      </c>
      <c r="K84" t="s">
        <v>382</v>
      </c>
      <c r="L84" t="s">
        <v>382</v>
      </c>
      <c r="M84" t="s">
        <v>382</v>
      </c>
      <c r="N84" t="s">
        <v>382</v>
      </c>
      <c r="O84" t="s">
        <v>382</v>
      </c>
      <c r="P84" t="s">
        <v>382</v>
      </c>
      <c r="Q84" t="s">
        <v>382</v>
      </c>
      <c r="R84" t="s">
        <v>382</v>
      </c>
      <c r="S84" t="s">
        <v>382</v>
      </c>
      <c r="T84" t="s">
        <v>382</v>
      </c>
      <c r="U84" t="s">
        <v>382</v>
      </c>
      <c r="V84" t="s">
        <v>382</v>
      </c>
      <c r="W84" t="s">
        <v>382</v>
      </c>
      <c r="X84" t="s">
        <v>382</v>
      </c>
      <c r="Y84" t="s">
        <v>382</v>
      </c>
      <c r="Z84" t="s">
        <v>382</v>
      </c>
      <c r="AA84" t="s">
        <v>382</v>
      </c>
      <c r="AB84" t="s">
        <v>382</v>
      </c>
      <c r="AC84">
        <v>5</v>
      </c>
      <c r="AD84">
        <v>3</v>
      </c>
      <c r="AE84">
        <v>1</v>
      </c>
      <c r="AF84" t="s">
        <v>383</v>
      </c>
      <c r="AH84" t="s">
        <v>22</v>
      </c>
      <c r="AI84" t="s">
        <v>97</v>
      </c>
      <c r="AK84">
        <v>938</v>
      </c>
      <c r="AL84">
        <v>1483</v>
      </c>
    </row>
    <row r="85" spans="1:38">
      <c r="A85" t="s">
        <v>382</v>
      </c>
      <c r="B85" t="s">
        <v>382</v>
      </c>
      <c r="C85" t="s">
        <v>382</v>
      </c>
      <c r="D85" t="s">
        <v>382</v>
      </c>
      <c r="E85" t="s">
        <v>382</v>
      </c>
      <c r="F85" t="s">
        <v>382</v>
      </c>
      <c r="G85" t="s">
        <v>382</v>
      </c>
      <c r="H85" t="s">
        <v>382</v>
      </c>
      <c r="I85" t="s">
        <v>382</v>
      </c>
      <c r="J85" t="s">
        <v>382</v>
      </c>
      <c r="K85" t="s">
        <v>382</v>
      </c>
      <c r="L85" t="s">
        <v>382</v>
      </c>
      <c r="M85" t="s">
        <v>382</v>
      </c>
      <c r="N85" t="s">
        <v>382</v>
      </c>
      <c r="O85" t="s">
        <v>382</v>
      </c>
      <c r="P85" t="s">
        <v>382</v>
      </c>
      <c r="Q85" t="s">
        <v>382</v>
      </c>
      <c r="R85" t="s">
        <v>382</v>
      </c>
      <c r="S85" t="s">
        <v>382</v>
      </c>
      <c r="T85" t="s">
        <v>382</v>
      </c>
      <c r="U85" t="s">
        <v>382</v>
      </c>
      <c r="V85" t="s">
        <v>382</v>
      </c>
      <c r="W85" t="s">
        <v>382</v>
      </c>
      <c r="X85" t="s">
        <v>382</v>
      </c>
      <c r="Y85" t="s">
        <v>382</v>
      </c>
      <c r="Z85" t="s">
        <v>382</v>
      </c>
      <c r="AA85" t="s">
        <v>382</v>
      </c>
      <c r="AB85" t="s">
        <v>382</v>
      </c>
      <c r="AC85">
        <v>5</v>
      </c>
      <c r="AD85">
        <v>4</v>
      </c>
      <c r="AF85" t="s">
        <v>385</v>
      </c>
      <c r="AH85" t="s">
        <v>27</v>
      </c>
      <c r="AI85" t="s">
        <v>109</v>
      </c>
      <c r="AK85">
        <v>1542</v>
      </c>
      <c r="AL85">
        <v>2255</v>
      </c>
    </row>
    <row r="86" spans="1:38">
      <c r="A86" t="s">
        <v>382</v>
      </c>
      <c r="B86" t="s">
        <v>382</v>
      </c>
      <c r="C86" t="s">
        <v>382</v>
      </c>
      <c r="D86" t="s">
        <v>382</v>
      </c>
      <c r="E86" t="s">
        <v>382</v>
      </c>
      <c r="F86" t="s">
        <v>382</v>
      </c>
      <c r="G86" t="s">
        <v>382</v>
      </c>
      <c r="H86" t="s">
        <v>382</v>
      </c>
      <c r="I86" t="s">
        <v>382</v>
      </c>
      <c r="J86" t="s">
        <v>382</v>
      </c>
      <c r="K86" t="s">
        <v>382</v>
      </c>
      <c r="L86" t="s">
        <v>382</v>
      </c>
      <c r="M86" t="s">
        <v>382</v>
      </c>
      <c r="N86" t="s">
        <v>382</v>
      </c>
      <c r="O86" t="s">
        <v>382</v>
      </c>
      <c r="P86" t="s">
        <v>382</v>
      </c>
      <c r="Q86" t="s">
        <v>382</v>
      </c>
      <c r="R86" t="s">
        <v>382</v>
      </c>
      <c r="S86" t="s">
        <v>382</v>
      </c>
      <c r="T86" t="s">
        <v>382</v>
      </c>
      <c r="U86" t="s">
        <v>382</v>
      </c>
      <c r="V86" t="s">
        <v>382</v>
      </c>
      <c r="W86" t="s">
        <v>382</v>
      </c>
      <c r="X86" t="s">
        <v>382</v>
      </c>
      <c r="Y86" t="s">
        <v>382</v>
      </c>
      <c r="Z86" t="s">
        <v>382</v>
      </c>
      <c r="AA86" t="s">
        <v>382</v>
      </c>
      <c r="AB86" t="s">
        <v>382</v>
      </c>
      <c r="AC86">
        <v>5</v>
      </c>
      <c r="AD86">
        <v>5</v>
      </c>
      <c r="AF86" t="s">
        <v>385</v>
      </c>
      <c r="AH86" t="s">
        <v>27</v>
      </c>
      <c r="AI86" t="s">
        <v>109</v>
      </c>
      <c r="AK86">
        <v>1154</v>
      </c>
      <c r="AL86">
        <v>1604</v>
      </c>
    </row>
    <row r="87" spans="1:38">
      <c r="A87" t="s">
        <v>382</v>
      </c>
      <c r="B87" t="s">
        <v>382</v>
      </c>
      <c r="C87" t="s">
        <v>382</v>
      </c>
      <c r="D87" t="s">
        <v>382</v>
      </c>
      <c r="E87" t="s">
        <v>382</v>
      </c>
      <c r="F87" t="s">
        <v>382</v>
      </c>
      <c r="G87" t="s">
        <v>382</v>
      </c>
      <c r="H87" t="s">
        <v>382</v>
      </c>
      <c r="I87" t="s">
        <v>382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>
        <v>5</v>
      </c>
      <c r="AD87">
        <v>1</v>
      </c>
      <c r="AE87">
        <v>1</v>
      </c>
      <c r="AF87" t="s">
        <v>383</v>
      </c>
      <c r="AH87" t="s">
        <v>22</v>
      </c>
      <c r="AI87" t="s">
        <v>97</v>
      </c>
      <c r="AK87">
        <v>1605</v>
      </c>
      <c r="AL87">
        <v>56</v>
      </c>
    </row>
    <row r="88" spans="1:38">
      <c r="A88" t="s">
        <v>382</v>
      </c>
      <c r="B88" t="s">
        <v>382</v>
      </c>
      <c r="C88" t="s">
        <v>382</v>
      </c>
      <c r="D88" t="s">
        <v>382</v>
      </c>
      <c r="E88" t="s">
        <v>382</v>
      </c>
      <c r="F88" t="s">
        <v>382</v>
      </c>
      <c r="G88" t="s">
        <v>382</v>
      </c>
      <c r="H88" t="s">
        <v>382</v>
      </c>
      <c r="I88" t="s">
        <v>382</v>
      </c>
      <c r="J88" t="s">
        <v>382</v>
      </c>
      <c r="K88" t="s">
        <v>382</v>
      </c>
      <c r="L88" t="s">
        <v>382</v>
      </c>
      <c r="M88" t="s">
        <v>382</v>
      </c>
      <c r="N88" t="s">
        <v>382</v>
      </c>
      <c r="O88" t="s">
        <v>382</v>
      </c>
      <c r="P88" t="s">
        <v>382</v>
      </c>
      <c r="Q88" t="s">
        <v>382</v>
      </c>
      <c r="R88" t="s">
        <v>382</v>
      </c>
      <c r="S88" t="s">
        <v>382</v>
      </c>
      <c r="T88" t="s">
        <v>382</v>
      </c>
      <c r="U88" t="s">
        <v>382</v>
      </c>
      <c r="V88" t="s">
        <v>382</v>
      </c>
      <c r="W88" t="s">
        <v>382</v>
      </c>
      <c r="X88" t="s">
        <v>382</v>
      </c>
      <c r="Y88" t="s">
        <v>382</v>
      </c>
      <c r="Z88" t="s">
        <v>382</v>
      </c>
      <c r="AA88" t="s">
        <v>382</v>
      </c>
      <c r="AB88" t="s">
        <v>382</v>
      </c>
      <c r="AC88">
        <v>5</v>
      </c>
      <c r="AD88">
        <v>2</v>
      </c>
      <c r="AE88">
        <v>1</v>
      </c>
      <c r="AF88" t="s">
        <v>383</v>
      </c>
      <c r="AH88" t="s">
        <v>22</v>
      </c>
      <c r="AI88" t="s">
        <v>97</v>
      </c>
      <c r="AK88">
        <v>1916</v>
      </c>
      <c r="AL88">
        <v>60</v>
      </c>
    </row>
    <row r="89" spans="1:38">
      <c r="A89" t="s">
        <v>382</v>
      </c>
      <c r="B89" t="s">
        <v>382</v>
      </c>
      <c r="C89" t="s">
        <v>382</v>
      </c>
      <c r="D89" t="s">
        <v>382</v>
      </c>
      <c r="E89" t="s">
        <v>382</v>
      </c>
      <c r="F89" t="s">
        <v>382</v>
      </c>
      <c r="G89" t="s">
        <v>382</v>
      </c>
      <c r="H89" t="s">
        <v>382</v>
      </c>
      <c r="I89" t="s">
        <v>382</v>
      </c>
      <c r="J89" t="s">
        <v>382</v>
      </c>
      <c r="K89" t="s">
        <v>382</v>
      </c>
      <c r="L89" t="s">
        <v>382</v>
      </c>
      <c r="M89" t="s">
        <v>382</v>
      </c>
      <c r="N89" t="s">
        <v>382</v>
      </c>
      <c r="O89" t="s">
        <v>382</v>
      </c>
      <c r="P89" t="s">
        <v>382</v>
      </c>
      <c r="Q89" t="s">
        <v>382</v>
      </c>
      <c r="R89" t="s">
        <v>382</v>
      </c>
      <c r="S89" t="s">
        <v>382</v>
      </c>
      <c r="T89" t="s">
        <v>382</v>
      </c>
      <c r="U89" t="s">
        <v>382</v>
      </c>
      <c r="V89" t="s">
        <v>382</v>
      </c>
      <c r="W89" t="s">
        <v>382</v>
      </c>
      <c r="X89" t="s">
        <v>382</v>
      </c>
      <c r="Y89" t="s">
        <v>382</v>
      </c>
      <c r="Z89" t="s">
        <v>382</v>
      </c>
      <c r="AA89" t="s">
        <v>382</v>
      </c>
      <c r="AB89" t="s">
        <v>382</v>
      </c>
      <c r="AC89">
        <v>5</v>
      </c>
      <c r="AD89">
        <v>3</v>
      </c>
      <c r="AE89">
        <v>1</v>
      </c>
      <c r="AF89" t="s">
        <v>383</v>
      </c>
      <c r="AH89" t="s">
        <v>22</v>
      </c>
      <c r="AI89" t="s">
        <v>97</v>
      </c>
      <c r="AK89">
        <v>2980</v>
      </c>
      <c r="AL89">
        <v>2185</v>
      </c>
    </row>
    <row r="90" spans="1:38">
      <c r="A90" t="s">
        <v>382</v>
      </c>
      <c r="B90" t="s">
        <v>382</v>
      </c>
      <c r="C90" t="s">
        <v>382</v>
      </c>
      <c r="D90" t="s">
        <v>382</v>
      </c>
      <c r="E90" t="s">
        <v>382</v>
      </c>
      <c r="F90" t="s">
        <v>382</v>
      </c>
      <c r="G90" t="s">
        <v>382</v>
      </c>
      <c r="H90" t="s">
        <v>382</v>
      </c>
      <c r="I90" t="s">
        <v>382</v>
      </c>
      <c r="J90" t="s">
        <v>382</v>
      </c>
      <c r="K90" t="s">
        <v>382</v>
      </c>
      <c r="L90" t="s">
        <v>382</v>
      </c>
      <c r="M90" t="s">
        <v>382</v>
      </c>
      <c r="N90" t="s">
        <v>382</v>
      </c>
      <c r="O90" t="s">
        <v>382</v>
      </c>
      <c r="P90" t="s">
        <v>382</v>
      </c>
      <c r="Q90" t="s">
        <v>382</v>
      </c>
      <c r="R90" t="s">
        <v>382</v>
      </c>
      <c r="S90" t="s">
        <v>382</v>
      </c>
      <c r="T90" t="s">
        <v>382</v>
      </c>
      <c r="U90" t="s">
        <v>382</v>
      </c>
      <c r="V90" t="s">
        <v>382</v>
      </c>
      <c r="W90" t="s">
        <v>382</v>
      </c>
      <c r="X90" t="s">
        <v>382</v>
      </c>
      <c r="Y90" t="s">
        <v>382</v>
      </c>
      <c r="Z90" t="s">
        <v>382</v>
      </c>
      <c r="AA90" t="s">
        <v>382</v>
      </c>
      <c r="AB90" t="s">
        <v>382</v>
      </c>
      <c r="AC90">
        <v>5</v>
      </c>
      <c r="AD90">
        <v>4</v>
      </c>
      <c r="AE90">
        <v>1</v>
      </c>
      <c r="AF90" t="s">
        <v>383</v>
      </c>
      <c r="AH90" t="s">
        <v>22</v>
      </c>
      <c r="AI90" t="s">
        <v>97</v>
      </c>
      <c r="AK90">
        <v>2032</v>
      </c>
      <c r="AL90">
        <v>449</v>
      </c>
    </row>
    <row r="91" spans="1:38">
      <c r="A91" t="s">
        <v>382</v>
      </c>
      <c r="B91" t="s">
        <v>382</v>
      </c>
      <c r="C91" t="s">
        <v>382</v>
      </c>
      <c r="D91" t="s">
        <v>382</v>
      </c>
      <c r="E91" t="s">
        <v>382</v>
      </c>
      <c r="F91" t="s">
        <v>382</v>
      </c>
      <c r="G91" t="s">
        <v>382</v>
      </c>
      <c r="H91" t="s">
        <v>382</v>
      </c>
      <c r="I91" t="s">
        <v>382</v>
      </c>
      <c r="J91" t="s">
        <v>382</v>
      </c>
      <c r="K91" t="s">
        <v>382</v>
      </c>
      <c r="L91" t="s">
        <v>382</v>
      </c>
      <c r="M91" t="s">
        <v>382</v>
      </c>
      <c r="N91" t="s">
        <v>382</v>
      </c>
      <c r="O91" t="s">
        <v>382</v>
      </c>
      <c r="P91" t="s">
        <v>382</v>
      </c>
      <c r="Q91" t="s">
        <v>382</v>
      </c>
      <c r="R91" t="s">
        <v>382</v>
      </c>
      <c r="S91" t="s">
        <v>382</v>
      </c>
      <c r="T91" t="s">
        <v>382</v>
      </c>
      <c r="U91" t="s">
        <v>382</v>
      </c>
      <c r="V91" t="s">
        <v>382</v>
      </c>
      <c r="W91" t="s">
        <v>382</v>
      </c>
      <c r="X91" t="s">
        <v>382</v>
      </c>
      <c r="Y91" t="s">
        <v>382</v>
      </c>
      <c r="Z91" t="s">
        <v>382</v>
      </c>
      <c r="AA91" t="s">
        <v>382</v>
      </c>
      <c r="AB91" t="s">
        <v>382</v>
      </c>
      <c r="AC91">
        <v>5</v>
      </c>
      <c r="AD91">
        <v>5</v>
      </c>
      <c r="AE91">
        <v>1</v>
      </c>
      <c r="AF91" t="s">
        <v>383</v>
      </c>
      <c r="AH91" t="s">
        <v>22</v>
      </c>
      <c r="AI91" t="s">
        <v>97</v>
      </c>
      <c r="AK91">
        <v>737</v>
      </c>
      <c r="AL91">
        <v>2060</v>
      </c>
    </row>
    <row r="92" spans="1:38">
      <c r="A92" t="s">
        <v>382</v>
      </c>
      <c r="B92" t="s">
        <v>382</v>
      </c>
      <c r="C92" t="s">
        <v>382</v>
      </c>
      <c r="D92" t="s">
        <v>382</v>
      </c>
      <c r="E92" t="s">
        <v>382</v>
      </c>
      <c r="F92" t="s">
        <v>382</v>
      </c>
      <c r="G92" t="s">
        <v>382</v>
      </c>
      <c r="H92" t="s">
        <v>382</v>
      </c>
      <c r="I92" t="s">
        <v>382</v>
      </c>
      <c r="J92" t="s">
        <v>382</v>
      </c>
      <c r="K92" t="s">
        <v>382</v>
      </c>
      <c r="L92" t="s">
        <v>382</v>
      </c>
      <c r="M92" t="s">
        <v>382</v>
      </c>
      <c r="N92" t="s">
        <v>382</v>
      </c>
      <c r="O92" t="s">
        <v>382</v>
      </c>
      <c r="P92" t="s">
        <v>382</v>
      </c>
      <c r="Q92" t="s">
        <v>382</v>
      </c>
      <c r="R92" t="s">
        <v>382</v>
      </c>
      <c r="S92" t="s">
        <v>382</v>
      </c>
      <c r="T92" t="s">
        <v>382</v>
      </c>
      <c r="U92" t="s">
        <v>382</v>
      </c>
      <c r="V92" t="s">
        <v>382</v>
      </c>
      <c r="W92" t="s">
        <v>382</v>
      </c>
      <c r="X92" t="s">
        <v>382</v>
      </c>
      <c r="Y92" t="s">
        <v>382</v>
      </c>
      <c r="Z92" t="s">
        <v>382</v>
      </c>
      <c r="AA92" t="s">
        <v>382</v>
      </c>
      <c r="AB92" t="s">
        <v>382</v>
      </c>
      <c r="AC92">
        <v>5</v>
      </c>
      <c r="AD92">
        <v>1</v>
      </c>
      <c r="AE92">
        <v>1</v>
      </c>
      <c r="AF92" t="s">
        <v>387</v>
      </c>
      <c r="AH92" t="s">
        <v>31</v>
      </c>
      <c r="AI92" t="s">
        <v>97</v>
      </c>
      <c r="AK92">
        <v>3185</v>
      </c>
      <c r="AL92">
        <v>1564</v>
      </c>
    </row>
    <row r="93" spans="1:38">
      <c r="A93" t="s">
        <v>382</v>
      </c>
      <c r="B93" t="s">
        <v>382</v>
      </c>
      <c r="C93" t="s">
        <v>382</v>
      </c>
      <c r="D93" t="s">
        <v>382</v>
      </c>
      <c r="E93" t="s">
        <v>382</v>
      </c>
      <c r="F93" t="s">
        <v>382</v>
      </c>
      <c r="G93" t="s">
        <v>382</v>
      </c>
      <c r="H93" t="s">
        <v>382</v>
      </c>
      <c r="I93" t="s">
        <v>382</v>
      </c>
      <c r="J93" t="s">
        <v>382</v>
      </c>
      <c r="K93" t="s">
        <v>382</v>
      </c>
      <c r="L93" t="s">
        <v>382</v>
      </c>
      <c r="M93" t="s">
        <v>382</v>
      </c>
      <c r="N93" t="s">
        <v>382</v>
      </c>
      <c r="O93" t="s">
        <v>382</v>
      </c>
      <c r="P93" t="s">
        <v>382</v>
      </c>
      <c r="Q93" t="s">
        <v>382</v>
      </c>
      <c r="R93" t="s">
        <v>382</v>
      </c>
      <c r="S93" t="s">
        <v>382</v>
      </c>
      <c r="T93" t="s">
        <v>382</v>
      </c>
      <c r="U93" t="s">
        <v>382</v>
      </c>
      <c r="V93" t="s">
        <v>382</v>
      </c>
      <c r="W93" t="s">
        <v>382</v>
      </c>
      <c r="X93" t="s">
        <v>382</v>
      </c>
      <c r="Y93" t="s">
        <v>382</v>
      </c>
      <c r="Z93" t="s">
        <v>382</v>
      </c>
      <c r="AA93" t="s">
        <v>382</v>
      </c>
      <c r="AB93" t="s">
        <v>382</v>
      </c>
      <c r="AC93">
        <v>5</v>
      </c>
      <c r="AD93">
        <v>2</v>
      </c>
      <c r="AF93" t="s">
        <v>385</v>
      </c>
      <c r="AH93" t="s">
        <v>27</v>
      </c>
      <c r="AI93" t="s">
        <v>109</v>
      </c>
      <c r="AK93">
        <v>725</v>
      </c>
      <c r="AL93">
        <v>462</v>
      </c>
    </row>
    <row r="94" spans="1:38">
      <c r="A94" t="s">
        <v>382</v>
      </c>
      <c r="B94" t="s">
        <v>382</v>
      </c>
      <c r="C94" t="s">
        <v>382</v>
      </c>
      <c r="D94" t="s">
        <v>382</v>
      </c>
      <c r="E94" t="s">
        <v>382</v>
      </c>
      <c r="F94" t="s">
        <v>382</v>
      </c>
      <c r="G94" t="s">
        <v>382</v>
      </c>
      <c r="H94" t="s">
        <v>382</v>
      </c>
      <c r="I94" t="s">
        <v>382</v>
      </c>
      <c r="J94" t="s">
        <v>382</v>
      </c>
      <c r="K94" t="s">
        <v>382</v>
      </c>
      <c r="L94" t="s">
        <v>382</v>
      </c>
      <c r="M94" t="s">
        <v>382</v>
      </c>
      <c r="N94" t="s">
        <v>382</v>
      </c>
      <c r="O94" t="s">
        <v>382</v>
      </c>
      <c r="P94" t="s">
        <v>382</v>
      </c>
      <c r="Q94" t="s">
        <v>382</v>
      </c>
      <c r="R94" t="s">
        <v>382</v>
      </c>
      <c r="S94" t="s">
        <v>382</v>
      </c>
      <c r="T94" t="s">
        <v>382</v>
      </c>
      <c r="U94" t="s">
        <v>382</v>
      </c>
      <c r="V94" t="s">
        <v>382</v>
      </c>
      <c r="W94" t="s">
        <v>382</v>
      </c>
      <c r="X94" t="s">
        <v>382</v>
      </c>
      <c r="Y94" t="s">
        <v>382</v>
      </c>
      <c r="Z94" t="s">
        <v>382</v>
      </c>
      <c r="AA94" t="s">
        <v>382</v>
      </c>
      <c r="AB94" t="s">
        <v>382</v>
      </c>
      <c r="AC94">
        <v>5</v>
      </c>
      <c r="AD94">
        <v>3</v>
      </c>
      <c r="AE94">
        <v>1</v>
      </c>
      <c r="AF94" t="s">
        <v>387</v>
      </c>
      <c r="AH94" t="s">
        <v>31</v>
      </c>
      <c r="AI94" t="s">
        <v>97</v>
      </c>
      <c r="AK94">
        <v>2573</v>
      </c>
      <c r="AL94">
        <v>1725</v>
      </c>
    </row>
    <row r="95" spans="1:38">
      <c r="A95" t="s">
        <v>382</v>
      </c>
      <c r="B95" t="s">
        <v>382</v>
      </c>
      <c r="C95" t="s">
        <v>382</v>
      </c>
      <c r="D95" t="s">
        <v>382</v>
      </c>
      <c r="E95" t="s">
        <v>382</v>
      </c>
      <c r="F95" t="s">
        <v>382</v>
      </c>
      <c r="G95" t="s">
        <v>382</v>
      </c>
      <c r="H95" t="s">
        <v>382</v>
      </c>
      <c r="I95" t="s">
        <v>382</v>
      </c>
      <c r="J95" t="s">
        <v>382</v>
      </c>
      <c r="K95" t="s">
        <v>382</v>
      </c>
      <c r="L95" t="s">
        <v>382</v>
      </c>
      <c r="M95" t="s">
        <v>382</v>
      </c>
      <c r="N95" t="s">
        <v>382</v>
      </c>
      <c r="O95" t="s">
        <v>382</v>
      </c>
      <c r="P95" t="s">
        <v>382</v>
      </c>
      <c r="Q95" t="s">
        <v>382</v>
      </c>
      <c r="R95" t="s">
        <v>382</v>
      </c>
      <c r="S95" t="s">
        <v>382</v>
      </c>
      <c r="T95" t="s">
        <v>382</v>
      </c>
      <c r="U95" t="s">
        <v>382</v>
      </c>
      <c r="V95" t="s">
        <v>382</v>
      </c>
      <c r="W95" t="s">
        <v>382</v>
      </c>
      <c r="X95" t="s">
        <v>382</v>
      </c>
      <c r="Y95" t="s">
        <v>382</v>
      </c>
      <c r="Z95" t="s">
        <v>382</v>
      </c>
      <c r="AA95" t="s">
        <v>382</v>
      </c>
      <c r="AB95" t="s">
        <v>382</v>
      </c>
      <c r="AC95">
        <v>5</v>
      </c>
      <c r="AD95">
        <v>4</v>
      </c>
      <c r="AF95" t="s">
        <v>384</v>
      </c>
      <c r="AH95" t="s">
        <v>25</v>
      </c>
      <c r="AI95" t="s">
        <v>106</v>
      </c>
      <c r="AK95">
        <v>841</v>
      </c>
      <c r="AL95">
        <v>2320</v>
      </c>
    </row>
    <row r="96" spans="1:38">
      <c r="A96" t="s">
        <v>382</v>
      </c>
      <c r="B96" t="s">
        <v>382</v>
      </c>
      <c r="C96" t="s">
        <v>382</v>
      </c>
      <c r="D96" t="s">
        <v>382</v>
      </c>
      <c r="E96" t="s">
        <v>382</v>
      </c>
      <c r="F96" t="s">
        <v>382</v>
      </c>
      <c r="G96" t="s">
        <v>382</v>
      </c>
      <c r="H96" t="s">
        <v>382</v>
      </c>
      <c r="I96" t="s">
        <v>382</v>
      </c>
      <c r="J96" t="s">
        <v>382</v>
      </c>
      <c r="K96" t="s">
        <v>382</v>
      </c>
      <c r="L96" t="s">
        <v>382</v>
      </c>
      <c r="M96" t="s">
        <v>382</v>
      </c>
      <c r="N96" t="s">
        <v>382</v>
      </c>
      <c r="O96" t="s">
        <v>382</v>
      </c>
      <c r="P96" t="s">
        <v>382</v>
      </c>
      <c r="Q96" t="s">
        <v>382</v>
      </c>
      <c r="R96" t="s">
        <v>382</v>
      </c>
      <c r="S96" t="s">
        <v>382</v>
      </c>
      <c r="T96" t="s">
        <v>382</v>
      </c>
      <c r="U96" t="s">
        <v>382</v>
      </c>
      <c r="V96" t="s">
        <v>382</v>
      </c>
      <c r="W96" t="s">
        <v>382</v>
      </c>
      <c r="X96" t="s">
        <v>382</v>
      </c>
      <c r="Y96" t="s">
        <v>382</v>
      </c>
      <c r="Z96" t="s">
        <v>382</v>
      </c>
      <c r="AA96" t="s">
        <v>382</v>
      </c>
      <c r="AB96" t="s">
        <v>382</v>
      </c>
      <c r="AC96">
        <v>5</v>
      </c>
      <c r="AD96">
        <v>5</v>
      </c>
      <c r="AE96">
        <v>1</v>
      </c>
      <c r="AF96" t="s">
        <v>387</v>
      </c>
      <c r="AH96" t="s">
        <v>31</v>
      </c>
      <c r="AI96" t="s">
        <v>97</v>
      </c>
      <c r="AK96">
        <v>3014</v>
      </c>
      <c r="AL96">
        <v>2115</v>
      </c>
    </row>
    <row r="97" spans="1:38">
      <c r="A97" t="s">
        <v>382</v>
      </c>
      <c r="B97" t="s">
        <v>382</v>
      </c>
      <c r="C97" t="s">
        <v>382</v>
      </c>
      <c r="D97" t="s">
        <v>382</v>
      </c>
      <c r="E97" t="s">
        <v>382</v>
      </c>
      <c r="F97" t="s">
        <v>382</v>
      </c>
      <c r="G97" t="s">
        <v>382</v>
      </c>
      <c r="H97" t="s">
        <v>382</v>
      </c>
      <c r="I97" t="s">
        <v>382</v>
      </c>
      <c r="J97" t="s">
        <v>382</v>
      </c>
      <c r="K97" t="s">
        <v>382</v>
      </c>
      <c r="L97" t="s">
        <v>382</v>
      </c>
      <c r="M97" t="s">
        <v>382</v>
      </c>
      <c r="N97" t="s">
        <v>382</v>
      </c>
      <c r="O97" t="s">
        <v>382</v>
      </c>
      <c r="P97" t="s">
        <v>382</v>
      </c>
      <c r="Q97" t="s">
        <v>382</v>
      </c>
      <c r="R97" t="s">
        <v>382</v>
      </c>
      <c r="S97" t="s">
        <v>382</v>
      </c>
      <c r="T97" t="s">
        <v>382</v>
      </c>
      <c r="U97" t="s">
        <v>382</v>
      </c>
      <c r="V97" t="s">
        <v>382</v>
      </c>
      <c r="W97" t="s">
        <v>382</v>
      </c>
      <c r="X97" t="s">
        <v>382</v>
      </c>
      <c r="Y97" t="s">
        <v>382</v>
      </c>
      <c r="Z97" t="s">
        <v>382</v>
      </c>
      <c r="AA97" t="s">
        <v>382</v>
      </c>
      <c r="AB97" t="s">
        <v>382</v>
      </c>
      <c r="AC97">
        <v>5</v>
      </c>
      <c r="AD97">
        <v>1</v>
      </c>
      <c r="AF97" t="s">
        <v>386</v>
      </c>
      <c r="AH97" t="s">
        <v>29</v>
      </c>
      <c r="AI97" t="s">
        <v>103</v>
      </c>
      <c r="AK97">
        <v>1582</v>
      </c>
      <c r="AL97">
        <v>352</v>
      </c>
    </row>
    <row r="98" spans="1:38">
      <c r="A98" t="s">
        <v>382</v>
      </c>
      <c r="B98" t="s">
        <v>382</v>
      </c>
      <c r="C98" t="s">
        <v>382</v>
      </c>
      <c r="D98" t="s">
        <v>382</v>
      </c>
      <c r="E98" t="s">
        <v>382</v>
      </c>
      <c r="F98" t="s">
        <v>382</v>
      </c>
      <c r="G98" t="s">
        <v>382</v>
      </c>
      <c r="H98" t="s">
        <v>382</v>
      </c>
      <c r="I98" t="s">
        <v>382</v>
      </c>
      <c r="J98" t="s">
        <v>382</v>
      </c>
      <c r="K98" t="s">
        <v>382</v>
      </c>
      <c r="L98" t="s">
        <v>382</v>
      </c>
      <c r="M98" t="s">
        <v>382</v>
      </c>
      <c r="N98" t="s">
        <v>382</v>
      </c>
      <c r="O98" t="s">
        <v>382</v>
      </c>
      <c r="P98" t="s">
        <v>382</v>
      </c>
      <c r="Q98" t="s">
        <v>382</v>
      </c>
      <c r="R98" t="s">
        <v>382</v>
      </c>
      <c r="S98" t="s">
        <v>382</v>
      </c>
      <c r="T98" t="s">
        <v>382</v>
      </c>
      <c r="U98" t="s">
        <v>382</v>
      </c>
      <c r="V98" t="s">
        <v>382</v>
      </c>
      <c r="W98" t="s">
        <v>382</v>
      </c>
      <c r="X98" t="s">
        <v>382</v>
      </c>
      <c r="Y98" t="s">
        <v>382</v>
      </c>
      <c r="Z98" t="s">
        <v>382</v>
      </c>
      <c r="AA98" t="s">
        <v>382</v>
      </c>
      <c r="AB98" t="s">
        <v>382</v>
      </c>
      <c r="AC98">
        <v>5</v>
      </c>
      <c r="AD98">
        <v>2</v>
      </c>
      <c r="AF98" t="s">
        <v>386</v>
      </c>
      <c r="AH98" t="s">
        <v>29</v>
      </c>
      <c r="AI98" t="s">
        <v>103</v>
      </c>
      <c r="AK98">
        <v>809</v>
      </c>
      <c r="AL98">
        <v>518</v>
      </c>
    </row>
    <row r="99" spans="1:38">
      <c r="A99" t="s">
        <v>382</v>
      </c>
      <c r="B99" t="s">
        <v>382</v>
      </c>
      <c r="C99" t="s">
        <v>382</v>
      </c>
      <c r="D99" t="s">
        <v>382</v>
      </c>
      <c r="E99" t="s">
        <v>382</v>
      </c>
      <c r="F99" t="s">
        <v>382</v>
      </c>
      <c r="G99" t="s">
        <v>382</v>
      </c>
      <c r="H99" t="s">
        <v>382</v>
      </c>
      <c r="I99" t="s">
        <v>382</v>
      </c>
      <c r="J99" t="s">
        <v>382</v>
      </c>
      <c r="K99" t="s">
        <v>382</v>
      </c>
      <c r="L99" t="s">
        <v>382</v>
      </c>
      <c r="M99" t="s">
        <v>382</v>
      </c>
      <c r="N99" t="s">
        <v>382</v>
      </c>
      <c r="O99" t="s">
        <v>382</v>
      </c>
      <c r="P99" t="s">
        <v>382</v>
      </c>
      <c r="Q99" t="s">
        <v>382</v>
      </c>
      <c r="R99" t="s">
        <v>382</v>
      </c>
      <c r="S99" t="s">
        <v>382</v>
      </c>
      <c r="T99" t="s">
        <v>382</v>
      </c>
      <c r="U99" t="s">
        <v>382</v>
      </c>
      <c r="V99" t="s">
        <v>382</v>
      </c>
      <c r="W99" t="s">
        <v>382</v>
      </c>
      <c r="X99" t="s">
        <v>382</v>
      </c>
      <c r="Y99" t="s">
        <v>382</v>
      </c>
      <c r="Z99" t="s">
        <v>382</v>
      </c>
      <c r="AA99" t="s">
        <v>382</v>
      </c>
      <c r="AB99" t="s">
        <v>382</v>
      </c>
      <c r="AC99">
        <v>5</v>
      </c>
      <c r="AD99">
        <v>3</v>
      </c>
      <c r="AE99">
        <v>1</v>
      </c>
      <c r="AF99" t="s">
        <v>390</v>
      </c>
      <c r="AH99" t="s">
        <v>37</v>
      </c>
      <c r="AI99" t="s">
        <v>97</v>
      </c>
      <c r="AK99">
        <v>2907</v>
      </c>
      <c r="AL99">
        <v>2216</v>
      </c>
    </row>
    <row r="100" spans="1:38">
      <c r="A100" t="s">
        <v>382</v>
      </c>
      <c r="B100" t="s">
        <v>382</v>
      </c>
      <c r="C100" t="s">
        <v>382</v>
      </c>
      <c r="D100" t="s">
        <v>382</v>
      </c>
      <c r="E100" t="s">
        <v>382</v>
      </c>
      <c r="F100" t="s">
        <v>382</v>
      </c>
      <c r="G100" t="s">
        <v>382</v>
      </c>
      <c r="H100" t="s">
        <v>382</v>
      </c>
      <c r="I100" t="s">
        <v>382</v>
      </c>
      <c r="J100" t="s">
        <v>382</v>
      </c>
      <c r="K100" t="s">
        <v>382</v>
      </c>
      <c r="L100" t="s">
        <v>382</v>
      </c>
      <c r="M100" t="s">
        <v>382</v>
      </c>
      <c r="N100" t="s">
        <v>382</v>
      </c>
      <c r="O100" t="s">
        <v>382</v>
      </c>
      <c r="P100" t="s">
        <v>382</v>
      </c>
      <c r="Q100" t="s">
        <v>382</v>
      </c>
      <c r="R100" t="s">
        <v>382</v>
      </c>
      <c r="S100" t="s">
        <v>382</v>
      </c>
      <c r="T100" t="s">
        <v>382</v>
      </c>
      <c r="U100" t="s">
        <v>382</v>
      </c>
      <c r="V100" t="s">
        <v>382</v>
      </c>
      <c r="W100" t="s">
        <v>382</v>
      </c>
      <c r="X100" t="s">
        <v>382</v>
      </c>
      <c r="Y100" t="s">
        <v>382</v>
      </c>
      <c r="Z100" t="s">
        <v>382</v>
      </c>
      <c r="AA100" t="s">
        <v>382</v>
      </c>
      <c r="AB100" t="s">
        <v>382</v>
      </c>
      <c r="AC100">
        <v>5</v>
      </c>
      <c r="AD100">
        <v>4</v>
      </c>
      <c r="AF100" t="s">
        <v>385</v>
      </c>
      <c r="AH100" t="s">
        <v>27</v>
      </c>
      <c r="AI100" t="s">
        <v>109</v>
      </c>
      <c r="AK100">
        <v>2515</v>
      </c>
      <c r="AL100">
        <v>1904</v>
      </c>
    </row>
    <row r="101" spans="1:38">
      <c r="A101" t="s">
        <v>382</v>
      </c>
      <c r="B101" t="s">
        <v>382</v>
      </c>
      <c r="C101" t="s">
        <v>382</v>
      </c>
      <c r="D101" t="s">
        <v>382</v>
      </c>
      <c r="E101" t="s">
        <v>382</v>
      </c>
      <c r="F101" t="s">
        <v>382</v>
      </c>
      <c r="G101" t="s">
        <v>382</v>
      </c>
      <c r="H101" t="s">
        <v>382</v>
      </c>
      <c r="I101" t="s">
        <v>382</v>
      </c>
      <c r="J101" t="s">
        <v>382</v>
      </c>
      <c r="K101" t="s">
        <v>382</v>
      </c>
      <c r="L101" t="s">
        <v>382</v>
      </c>
      <c r="M101" t="s">
        <v>382</v>
      </c>
      <c r="N101" t="s">
        <v>382</v>
      </c>
      <c r="O101" t="s">
        <v>382</v>
      </c>
      <c r="P101" t="s">
        <v>382</v>
      </c>
      <c r="Q101" t="s">
        <v>382</v>
      </c>
      <c r="R101" t="s">
        <v>382</v>
      </c>
      <c r="S101" t="s">
        <v>382</v>
      </c>
      <c r="T101" t="s">
        <v>382</v>
      </c>
      <c r="U101" t="s">
        <v>382</v>
      </c>
      <c r="V101" t="s">
        <v>382</v>
      </c>
      <c r="W101" t="s">
        <v>382</v>
      </c>
      <c r="X101" t="s">
        <v>382</v>
      </c>
      <c r="Y101" t="s">
        <v>382</v>
      </c>
      <c r="Z101" t="s">
        <v>382</v>
      </c>
      <c r="AA101" t="s">
        <v>382</v>
      </c>
      <c r="AB101" t="s">
        <v>382</v>
      </c>
      <c r="AC101">
        <v>5</v>
      </c>
      <c r="AD101">
        <v>5</v>
      </c>
      <c r="AF101" t="s">
        <v>385</v>
      </c>
      <c r="AH101" t="s">
        <v>27</v>
      </c>
      <c r="AI101" t="s">
        <v>109</v>
      </c>
      <c r="AK101">
        <v>1130</v>
      </c>
      <c r="AL101">
        <v>1134</v>
      </c>
    </row>
    <row r="102" spans="1:38">
      <c r="A102" t="s">
        <v>382</v>
      </c>
      <c r="B102" t="s">
        <v>382</v>
      </c>
      <c r="C102" t="s">
        <v>382</v>
      </c>
      <c r="D102" t="s">
        <v>382</v>
      </c>
      <c r="E102" t="s">
        <v>382</v>
      </c>
      <c r="F102" t="s">
        <v>382</v>
      </c>
      <c r="G102" t="s">
        <v>382</v>
      </c>
      <c r="H102" t="s">
        <v>382</v>
      </c>
      <c r="I102" t="s">
        <v>382</v>
      </c>
      <c r="J102" t="s">
        <v>382</v>
      </c>
      <c r="K102" t="s">
        <v>382</v>
      </c>
      <c r="L102" t="s">
        <v>382</v>
      </c>
      <c r="M102" t="s">
        <v>382</v>
      </c>
      <c r="N102" t="s">
        <v>382</v>
      </c>
      <c r="O102" t="s">
        <v>382</v>
      </c>
      <c r="P102" t="s">
        <v>382</v>
      </c>
      <c r="Q102" t="s">
        <v>382</v>
      </c>
      <c r="R102" t="s">
        <v>382</v>
      </c>
      <c r="S102" t="s">
        <v>382</v>
      </c>
      <c r="T102" t="s">
        <v>382</v>
      </c>
      <c r="U102" t="s">
        <v>382</v>
      </c>
      <c r="V102" t="s">
        <v>382</v>
      </c>
      <c r="W102" t="s">
        <v>382</v>
      </c>
      <c r="X102" t="s">
        <v>382</v>
      </c>
      <c r="Y102" t="s">
        <v>382</v>
      </c>
      <c r="Z102" t="s">
        <v>382</v>
      </c>
      <c r="AA102" t="s">
        <v>382</v>
      </c>
      <c r="AB102" t="s">
        <v>382</v>
      </c>
      <c r="AC102">
        <v>5</v>
      </c>
      <c r="AD102">
        <v>1</v>
      </c>
      <c r="AE102">
        <v>1</v>
      </c>
      <c r="AF102" t="s">
        <v>398</v>
      </c>
      <c r="AH102" t="s">
        <v>69</v>
      </c>
      <c r="AI102" t="s">
        <v>97</v>
      </c>
      <c r="AK102">
        <v>1988</v>
      </c>
      <c r="AL102">
        <v>216</v>
      </c>
    </row>
    <row r="103" spans="1:38">
      <c r="A103" t="s">
        <v>382</v>
      </c>
      <c r="B103" t="s">
        <v>382</v>
      </c>
      <c r="C103" t="s">
        <v>382</v>
      </c>
      <c r="D103" t="s">
        <v>382</v>
      </c>
      <c r="E103" t="s">
        <v>382</v>
      </c>
      <c r="F103" t="s">
        <v>382</v>
      </c>
      <c r="G103" t="s">
        <v>382</v>
      </c>
      <c r="H103" t="s">
        <v>382</v>
      </c>
      <c r="I103" t="s">
        <v>382</v>
      </c>
      <c r="J103" t="s">
        <v>382</v>
      </c>
      <c r="K103" t="s">
        <v>382</v>
      </c>
      <c r="L103" t="s">
        <v>382</v>
      </c>
      <c r="M103" t="s">
        <v>382</v>
      </c>
      <c r="N103" t="s">
        <v>382</v>
      </c>
      <c r="O103" t="s">
        <v>382</v>
      </c>
      <c r="P103" t="s">
        <v>382</v>
      </c>
      <c r="Q103" t="s">
        <v>382</v>
      </c>
      <c r="R103" t="s">
        <v>382</v>
      </c>
      <c r="S103" t="s">
        <v>382</v>
      </c>
      <c r="T103" t="s">
        <v>382</v>
      </c>
      <c r="U103" t="s">
        <v>382</v>
      </c>
      <c r="V103" t="s">
        <v>382</v>
      </c>
      <c r="W103" t="s">
        <v>382</v>
      </c>
      <c r="X103" t="s">
        <v>382</v>
      </c>
      <c r="Y103" t="s">
        <v>382</v>
      </c>
      <c r="Z103" t="s">
        <v>382</v>
      </c>
      <c r="AA103" t="s">
        <v>382</v>
      </c>
      <c r="AB103" t="s">
        <v>382</v>
      </c>
      <c r="AC103">
        <v>5</v>
      </c>
      <c r="AD103">
        <v>2</v>
      </c>
      <c r="AF103" t="s">
        <v>385</v>
      </c>
      <c r="AH103" t="s">
        <v>27</v>
      </c>
      <c r="AI103" t="s">
        <v>109</v>
      </c>
      <c r="AK103">
        <v>1482</v>
      </c>
      <c r="AL103">
        <v>593</v>
      </c>
    </row>
    <row r="104" spans="1:38">
      <c r="A104" t="s">
        <v>382</v>
      </c>
      <c r="B104" t="s">
        <v>382</v>
      </c>
      <c r="C104" t="s">
        <v>382</v>
      </c>
      <c r="D104" t="s">
        <v>382</v>
      </c>
      <c r="E104" t="s">
        <v>382</v>
      </c>
      <c r="F104" t="s">
        <v>382</v>
      </c>
      <c r="G104" t="s">
        <v>382</v>
      </c>
      <c r="H104" t="s">
        <v>382</v>
      </c>
      <c r="I104" t="s">
        <v>382</v>
      </c>
      <c r="J104" t="s">
        <v>382</v>
      </c>
      <c r="K104" t="s">
        <v>382</v>
      </c>
      <c r="L104" t="s">
        <v>382</v>
      </c>
      <c r="M104" t="s">
        <v>382</v>
      </c>
      <c r="N104" t="s">
        <v>382</v>
      </c>
      <c r="O104" t="s">
        <v>382</v>
      </c>
      <c r="P104" t="s">
        <v>382</v>
      </c>
      <c r="Q104" t="s">
        <v>382</v>
      </c>
      <c r="R104" t="s">
        <v>382</v>
      </c>
      <c r="S104" t="s">
        <v>382</v>
      </c>
      <c r="T104" t="s">
        <v>382</v>
      </c>
      <c r="U104" t="s">
        <v>382</v>
      </c>
      <c r="V104" t="s">
        <v>382</v>
      </c>
      <c r="W104" t="s">
        <v>382</v>
      </c>
      <c r="X104" t="s">
        <v>382</v>
      </c>
      <c r="Y104" t="s">
        <v>382</v>
      </c>
      <c r="Z104" t="s">
        <v>382</v>
      </c>
      <c r="AA104" t="s">
        <v>382</v>
      </c>
      <c r="AB104" t="s">
        <v>382</v>
      </c>
      <c r="AC104">
        <v>5</v>
      </c>
      <c r="AD104">
        <v>3</v>
      </c>
      <c r="AF104" t="s">
        <v>385</v>
      </c>
      <c r="AH104" t="s">
        <v>27</v>
      </c>
      <c r="AI104" t="s">
        <v>109</v>
      </c>
      <c r="AK104">
        <v>2731</v>
      </c>
      <c r="AL104">
        <v>479</v>
      </c>
    </row>
    <row r="105" spans="1:38">
      <c r="A105" t="s">
        <v>382</v>
      </c>
      <c r="B105" t="s">
        <v>382</v>
      </c>
      <c r="C105" t="s">
        <v>382</v>
      </c>
      <c r="D105" t="s">
        <v>382</v>
      </c>
      <c r="E105" t="s">
        <v>382</v>
      </c>
      <c r="F105" t="s">
        <v>382</v>
      </c>
      <c r="G105" t="s">
        <v>382</v>
      </c>
      <c r="H105" t="s">
        <v>382</v>
      </c>
      <c r="I105" t="s">
        <v>382</v>
      </c>
      <c r="J105" t="s">
        <v>382</v>
      </c>
      <c r="K105" t="s">
        <v>382</v>
      </c>
      <c r="L105" t="s">
        <v>382</v>
      </c>
      <c r="M105" t="s">
        <v>382</v>
      </c>
      <c r="N105" t="s">
        <v>382</v>
      </c>
      <c r="O105" t="s">
        <v>382</v>
      </c>
      <c r="P105" t="s">
        <v>382</v>
      </c>
      <c r="Q105" t="s">
        <v>382</v>
      </c>
      <c r="R105" t="s">
        <v>382</v>
      </c>
      <c r="S105" t="s">
        <v>382</v>
      </c>
      <c r="T105" t="s">
        <v>382</v>
      </c>
      <c r="U105" t="s">
        <v>382</v>
      </c>
      <c r="V105" t="s">
        <v>382</v>
      </c>
      <c r="W105" t="s">
        <v>382</v>
      </c>
      <c r="X105" t="s">
        <v>382</v>
      </c>
      <c r="Y105" t="s">
        <v>382</v>
      </c>
      <c r="Z105" t="s">
        <v>382</v>
      </c>
      <c r="AA105" t="s">
        <v>382</v>
      </c>
      <c r="AB105" t="s">
        <v>382</v>
      </c>
      <c r="AC105">
        <v>5</v>
      </c>
      <c r="AD105">
        <v>4</v>
      </c>
      <c r="AE105">
        <v>1</v>
      </c>
      <c r="AF105" t="s">
        <v>488</v>
      </c>
      <c r="AH105" t="s">
        <v>187</v>
      </c>
      <c r="AI105" t="s">
        <v>97</v>
      </c>
      <c r="AK105">
        <v>647</v>
      </c>
      <c r="AL105">
        <v>822</v>
      </c>
    </row>
    <row r="106" spans="1:38">
      <c r="A106" t="s">
        <v>382</v>
      </c>
      <c r="B106" t="s">
        <v>382</v>
      </c>
      <c r="C106" t="s">
        <v>382</v>
      </c>
      <c r="D106" t="s">
        <v>382</v>
      </c>
      <c r="E106" t="s">
        <v>382</v>
      </c>
      <c r="F106" t="s">
        <v>382</v>
      </c>
      <c r="G106" t="s">
        <v>382</v>
      </c>
      <c r="H106" t="s">
        <v>382</v>
      </c>
      <c r="I106" t="s">
        <v>382</v>
      </c>
      <c r="J106" t="s">
        <v>382</v>
      </c>
      <c r="K106" t="s">
        <v>382</v>
      </c>
      <c r="L106" t="s">
        <v>382</v>
      </c>
      <c r="M106" t="s">
        <v>382</v>
      </c>
      <c r="N106" t="s">
        <v>382</v>
      </c>
      <c r="O106" t="s">
        <v>382</v>
      </c>
      <c r="P106" t="s">
        <v>382</v>
      </c>
      <c r="Q106" t="s">
        <v>382</v>
      </c>
      <c r="R106" t="s">
        <v>382</v>
      </c>
      <c r="S106" t="s">
        <v>382</v>
      </c>
      <c r="T106" t="s">
        <v>382</v>
      </c>
      <c r="U106" t="s">
        <v>382</v>
      </c>
      <c r="V106" t="s">
        <v>382</v>
      </c>
      <c r="W106" t="s">
        <v>382</v>
      </c>
      <c r="X106" t="s">
        <v>382</v>
      </c>
      <c r="Y106" t="s">
        <v>382</v>
      </c>
      <c r="Z106" t="s">
        <v>382</v>
      </c>
      <c r="AA106" t="s">
        <v>382</v>
      </c>
      <c r="AB106" t="s">
        <v>382</v>
      </c>
      <c r="AC106">
        <v>5</v>
      </c>
      <c r="AD106">
        <v>5</v>
      </c>
      <c r="AE106">
        <v>1</v>
      </c>
      <c r="AF106" t="s">
        <v>398</v>
      </c>
      <c r="AH106" t="s">
        <v>69</v>
      </c>
      <c r="AI106" t="s">
        <v>97</v>
      </c>
      <c r="AK106">
        <v>2136</v>
      </c>
      <c r="AL106">
        <v>127</v>
      </c>
    </row>
    <row r="107" spans="1:38">
      <c r="A107" t="s">
        <v>382</v>
      </c>
      <c r="B107" t="s">
        <v>382</v>
      </c>
      <c r="C107" t="s">
        <v>382</v>
      </c>
      <c r="D107" t="s">
        <v>382</v>
      </c>
      <c r="E107" t="s">
        <v>382</v>
      </c>
      <c r="F107" t="s">
        <v>382</v>
      </c>
      <c r="G107" t="s">
        <v>382</v>
      </c>
      <c r="H107" t="s">
        <v>382</v>
      </c>
      <c r="I107" t="s">
        <v>382</v>
      </c>
      <c r="J107" t="s">
        <v>382</v>
      </c>
      <c r="K107" t="s">
        <v>382</v>
      </c>
      <c r="L107" t="s">
        <v>382</v>
      </c>
      <c r="M107" t="s">
        <v>382</v>
      </c>
      <c r="N107" t="s">
        <v>382</v>
      </c>
      <c r="O107" t="s">
        <v>382</v>
      </c>
      <c r="P107" t="s">
        <v>382</v>
      </c>
      <c r="Q107" t="s">
        <v>382</v>
      </c>
      <c r="R107" t="s">
        <v>382</v>
      </c>
      <c r="S107" t="s">
        <v>382</v>
      </c>
      <c r="T107" t="s">
        <v>382</v>
      </c>
      <c r="U107" t="s">
        <v>382</v>
      </c>
      <c r="V107" t="s">
        <v>382</v>
      </c>
      <c r="W107" t="s">
        <v>382</v>
      </c>
      <c r="X107" t="s">
        <v>382</v>
      </c>
      <c r="Y107" t="s">
        <v>382</v>
      </c>
      <c r="Z107" t="s">
        <v>382</v>
      </c>
      <c r="AA107" t="s">
        <v>382</v>
      </c>
      <c r="AB107" t="s">
        <v>382</v>
      </c>
      <c r="AC107">
        <v>5</v>
      </c>
      <c r="AD107">
        <v>1</v>
      </c>
      <c r="AE107">
        <v>1</v>
      </c>
      <c r="AF107" t="s">
        <v>400</v>
      </c>
      <c r="AH107" t="s">
        <v>89</v>
      </c>
      <c r="AI107" t="s">
        <v>97</v>
      </c>
      <c r="AK107">
        <v>1172</v>
      </c>
      <c r="AL107">
        <v>2116</v>
      </c>
    </row>
    <row r="108" spans="1:38">
      <c r="A108" t="s">
        <v>382</v>
      </c>
      <c r="B108" t="s">
        <v>382</v>
      </c>
      <c r="C108" t="s">
        <v>382</v>
      </c>
      <c r="D108" t="s">
        <v>382</v>
      </c>
      <c r="E108" t="s">
        <v>382</v>
      </c>
      <c r="F108" t="s">
        <v>382</v>
      </c>
      <c r="G108" t="s">
        <v>382</v>
      </c>
      <c r="H108" t="s">
        <v>382</v>
      </c>
      <c r="I108" t="s">
        <v>382</v>
      </c>
      <c r="J108" t="s">
        <v>382</v>
      </c>
      <c r="K108" t="s">
        <v>382</v>
      </c>
      <c r="L108" t="s">
        <v>382</v>
      </c>
      <c r="M108" t="s">
        <v>382</v>
      </c>
      <c r="N108" t="s">
        <v>382</v>
      </c>
      <c r="O108" t="s">
        <v>382</v>
      </c>
      <c r="P108" t="s">
        <v>382</v>
      </c>
      <c r="Q108" t="s">
        <v>382</v>
      </c>
      <c r="R108" t="s">
        <v>382</v>
      </c>
      <c r="S108" t="s">
        <v>382</v>
      </c>
      <c r="T108" t="s">
        <v>382</v>
      </c>
      <c r="U108" t="s">
        <v>382</v>
      </c>
      <c r="V108" t="s">
        <v>382</v>
      </c>
      <c r="W108" t="s">
        <v>382</v>
      </c>
      <c r="X108" t="s">
        <v>382</v>
      </c>
      <c r="Y108" t="s">
        <v>382</v>
      </c>
      <c r="Z108" t="s">
        <v>382</v>
      </c>
      <c r="AA108" t="s">
        <v>382</v>
      </c>
      <c r="AB108" t="s">
        <v>382</v>
      </c>
      <c r="AC108">
        <v>5</v>
      </c>
      <c r="AD108">
        <v>2</v>
      </c>
      <c r="AF108" t="s">
        <v>385</v>
      </c>
      <c r="AH108" t="s">
        <v>27</v>
      </c>
      <c r="AI108" t="s">
        <v>109</v>
      </c>
      <c r="AK108">
        <v>2481</v>
      </c>
      <c r="AL108">
        <v>2169</v>
      </c>
    </row>
    <row r="109" spans="1:38">
      <c r="A109" t="s">
        <v>382</v>
      </c>
      <c r="B109" t="s">
        <v>382</v>
      </c>
      <c r="C109" t="s">
        <v>382</v>
      </c>
      <c r="D109" t="s">
        <v>382</v>
      </c>
      <c r="E109" t="s">
        <v>382</v>
      </c>
      <c r="F109" t="s">
        <v>382</v>
      </c>
      <c r="G109" t="s">
        <v>382</v>
      </c>
      <c r="H109" t="s">
        <v>382</v>
      </c>
      <c r="I109" t="s">
        <v>382</v>
      </c>
      <c r="J109" t="s">
        <v>382</v>
      </c>
      <c r="K109" t="s">
        <v>382</v>
      </c>
      <c r="L109" t="s">
        <v>382</v>
      </c>
      <c r="M109" t="s">
        <v>382</v>
      </c>
      <c r="N109" t="s">
        <v>382</v>
      </c>
      <c r="O109" t="s">
        <v>382</v>
      </c>
      <c r="P109" t="s">
        <v>382</v>
      </c>
      <c r="Q109" t="s">
        <v>382</v>
      </c>
      <c r="R109" t="s">
        <v>382</v>
      </c>
      <c r="S109" t="s">
        <v>382</v>
      </c>
      <c r="T109" t="s">
        <v>382</v>
      </c>
      <c r="U109" t="s">
        <v>382</v>
      </c>
      <c r="V109" t="s">
        <v>382</v>
      </c>
      <c r="W109" t="s">
        <v>382</v>
      </c>
      <c r="X109" t="s">
        <v>382</v>
      </c>
      <c r="Y109" t="s">
        <v>382</v>
      </c>
      <c r="Z109" t="s">
        <v>382</v>
      </c>
      <c r="AA109" t="s">
        <v>382</v>
      </c>
      <c r="AB109" t="s">
        <v>382</v>
      </c>
      <c r="AC109">
        <v>5</v>
      </c>
      <c r="AD109">
        <v>3</v>
      </c>
      <c r="AF109" t="s">
        <v>386</v>
      </c>
      <c r="AH109" t="s">
        <v>29</v>
      </c>
      <c r="AI109" t="s">
        <v>103</v>
      </c>
      <c r="AK109">
        <v>740</v>
      </c>
      <c r="AL109">
        <v>40</v>
      </c>
    </row>
    <row r="110" spans="1:38">
      <c r="A110" t="s">
        <v>382</v>
      </c>
      <c r="B110" t="s">
        <v>382</v>
      </c>
      <c r="C110" t="s">
        <v>382</v>
      </c>
      <c r="D110" t="s">
        <v>382</v>
      </c>
      <c r="E110" t="s">
        <v>382</v>
      </c>
      <c r="F110" t="s">
        <v>382</v>
      </c>
      <c r="G110" t="s">
        <v>382</v>
      </c>
      <c r="H110" t="s">
        <v>382</v>
      </c>
      <c r="I110" t="s">
        <v>382</v>
      </c>
      <c r="J110" t="s">
        <v>382</v>
      </c>
      <c r="K110" t="s">
        <v>382</v>
      </c>
      <c r="L110" t="s">
        <v>382</v>
      </c>
      <c r="M110" t="s">
        <v>382</v>
      </c>
      <c r="N110" t="s">
        <v>382</v>
      </c>
      <c r="O110" t="s">
        <v>382</v>
      </c>
      <c r="P110" t="s">
        <v>382</v>
      </c>
      <c r="Q110" t="s">
        <v>382</v>
      </c>
      <c r="R110" t="s">
        <v>382</v>
      </c>
      <c r="S110" t="s">
        <v>382</v>
      </c>
      <c r="T110" t="s">
        <v>382</v>
      </c>
      <c r="U110" t="s">
        <v>382</v>
      </c>
      <c r="V110" t="s">
        <v>382</v>
      </c>
      <c r="W110" t="s">
        <v>382</v>
      </c>
      <c r="X110" t="s">
        <v>382</v>
      </c>
      <c r="Y110" t="s">
        <v>382</v>
      </c>
      <c r="Z110" t="s">
        <v>382</v>
      </c>
      <c r="AA110" t="s">
        <v>382</v>
      </c>
      <c r="AB110" t="s">
        <v>382</v>
      </c>
      <c r="AC110">
        <v>5</v>
      </c>
      <c r="AD110">
        <v>4</v>
      </c>
      <c r="AE110">
        <v>1</v>
      </c>
      <c r="AF110" t="s">
        <v>400</v>
      </c>
      <c r="AH110" t="s">
        <v>89</v>
      </c>
      <c r="AI110" t="s">
        <v>97</v>
      </c>
      <c r="AK110">
        <v>1199</v>
      </c>
      <c r="AL110">
        <v>1762</v>
      </c>
    </row>
    <row r="111" spans="1:38">
      <c r="A111" t="s">
        <v>382</v>
      </c>
      <c r="B111" t="s">
        <v>382</v>
      </c>
      <c r="C111" t="s">
        <v>382</v>
      </c>
      <c r="D111" t="s">
        <v>382</v>
      </c>
      <c r="E111" t="s">
        <v>382</v>
      </c>
      <c r="F111" t="s">
        <v>382</v>
      </c>
      <c r="G111" t="s">
        <v>382</v>
      </c>
      <c r="H111" t="s">
        <v>382</v>
      </c>
      <c r="I111" t="s">
        <v>382</v>
      </c>
      <c r="J111" t="s">
        <v>382</v>
      </c>
      <c r="K111" t="s">
        <v>382</v>
      </c>
      <c r="L111" t="s">
        <v>382</v>
      </c>
      <c r="M111" t="s">
        <v>382</v>
      </c>
      <c r="N111" t="s">
        <v>382</v>
      </c>
      <c r="O111" t="s">
        <v>382</v>
      </c>
      <c r="P111" t="s">
        <v>382</v>
      </c>
      <c r="Q111" t="s">
        <v>382</v>
      </c>
      <c r="R111" t="s">
        <v>382</v>
      </c>
      <c r="S111" t="s">
        <v>382</v>
      </c>
      <c r="T111" t="s">
        <v>382</v>
      </c>
      <c r="U111" t="s">
        <v>382</v>
      </c>
      <c r="V111" t="s">
        <v>382</v>
      </c>
      <c r="W111" t="s">
        <v>382</v>
      </c>
      <c r="X111" t="s">
        <v>382</v>
      </c>
      <c r="Y111" t="s">
        <v>382</v>
      </c>
      <c r="Z111" t="s">
        <v>382</v>
      </c>
      <c r="AA111" t="s">
        <v>382</v>
      </c>
      <c r="AB111" t="s">
        <v>382</v>
      </c>
      <c r="AC111">
        <v>5</v>
      </c>
      <c r="AD111">
        <v>5</v>
      </c>
      <c r="AE111">
        <v>1</v>
      </c>
      <c r="AF111" t="s">
        <v>488</v>
      </c>
      <c r="AH111" t="s">
        <v>187</v>
      </c>
      <c r="AI111" t="s">
        <v>97</v>
      </c>
      <c r="AK111">
        <v>1592</v>
      </c>
      <c r="AL111">
        <v>247</v>
      </c>
    </row>
    <row r="112" spans="1:38">
      <c r="A112" t="s">
        <v>382</v>
      </c>
      <c r="B112" t="s">
        <v>382</v>
      </c>
      <c r="C112" t="s">
        <v>382</v>
      </c>
      <c r="D112" t="s">
        <v>382</v>
      </c>
      <c r="E112" t="s">
        <v>382</v>
      </c>
      <c r="F112" t="s">
        <v>382</v>
      </c>
      <c r="G112" t="s">
        <v>382</v>
      </c>
      <c r="H112" t="s">
        <v>382</v>
      </c>
      <c r="I112" t="s">
        <v>382</v>
      </c>
      <c r="J112" t="s">
        <v>382</v>
      </c>
      <c r="K112" t="s">
        <v>382</v>
      </c>
      <c r="L112" t="s">
        <v>382</v>
      </c>
      <c r="M112" t="s">
        <v>382</v>
      </c>
      <c r="N112" t="s">
        <v>382</v>
      </c>
      <c r="O112" t="s">
        <v>382</v>
      </c>
      <c r="P112" t="s">
        <v>382</v>
      </c>
      <c r="Q112" t="s">
        <v>382</v>
      </c>
      <c r="R112" t="s">
        <v>382</v>
      </c>
      <c r="S112" t="s">
        <v>382</v>
      </c>
      <c r="T112" t="s">
        <v>382</v>
      </c>
      <c r="U112" t="s">
        <v>382</v>
      </c>
      <c r="V112" t="s">
        <v>382</v>
      </c>
      <c r="W112" t="s">
        <v>382</v>
      </c>
      <c r="X112" t="s">
        <v>382</v>
      </c>
      <c r="Y112" t="s">
        <v>382</v>
      </c>
      <c r="Z112" t="s">
        <v>382</v>
      </c>
      <c r="AA112" t="s">
        <v>382</v>
      </c>
      <c r="AB112" t="s">
        <v>382</v>
      </c>
      <c r="AC112">
        <v>5</v>
      </c>
      <c r="AD112">
        <v>1</v>
      </c>
      <c r="AF112" t="s">
        <v>386</v>
      </c>
      <c r="AH112" t="s">
        <v>29</v>
      </c>
      <c r="AI112" t="s">
        <v>103</v>
      </c>
      <c r="AK112">
        <v>3226</v>
      </c>
      <c r="AL112">
        <v>1688</v>
      </c>
    </row>
    <row r="113" spans="1:38">
      <c r="A113" t="s">
        <v>382</v>
      </c>
      <c r="B113" t="s">
        <v>382</v>
      </c>
      <c r="C113" t="s">
        <v>382</v>
      </c>
      <c r="D113" t="s">
        <v>382</v>
      </c>
      <c r="E113" t="s">
        <v>382</v>
      </c>
      <c r="F113" t="s">
        <v>382</v>
      </c>
      <c r="G113" t="s">
        <v>382</v>
      </c>
      <c r="H113" t="s">
        <v>382</v>
      </c>
      <c r="I113" t="s">
        <v>382</v>
      </c>
      <c r="J113" t="s">
        <v>382</v>
      </c>
      <c r="K113" t="s">
        <v>382</v>
      </c>
      <c r="L113" t="s">
        <v>382</v>
      </c>
      <c r="M113" t="s">
        <v>382</v>
      </c>
      <c r="N113" t="s">
        <v>382</v>
      </c>
      <c r="O113" t="s">
        <v>382</v>
      </c>
      <c r="P113" t="s">
        <v>382</v>
      </c>
      <c r="Q113" t="s">
        <v>382</v>
      </c>
      <c r="R113" t="s">
        <v>382</v>
      </c>
      <c r="S113" t="s">
        <v>382</v>
      </c>
      <c r="T113" t="s">
        <v>382</v>
      </c>
      <c r="U113" t="s">
        <v>382</v>
      </c>
      <c r="V113" t="s">
        <v>382</v>
      </c>
      <c r="W113" t="s">
        <v>382</v>
      </c>
      <c r="X113" t="s">
        <v>382</v>
      </c>
      <c r="Y113" t="s">
        <v>382</v>
      </c>
      <c r="Z113" t="s">
        <v>382</v>
      </c>
      <c r="AA113" t="s">
        <v>382</v>
      </c>
      <c r="AB113" t="s">
        <v>382</v>
      </c>
      <c r="AC113">
        <v>5</v>
      </c>
      <c r="AD113">
        <v>2</v>
      </c>
      <c r="AF113" t="s">
        <v>385</v>
      </c>
      <c r="AH113" t="s">
        <v>27</v>
      </c>
      <c r="AI113" t="s">
        <v>109</v>
      </c>
      <c r="AK113">
        <v>2158</v>
      </c>
      <c r="AL113">
        <v>159</v>
      </c>
    </row>
    <row r="114" spans="1:38">
      <c r="A114" t="s">
        <v>382</v>
      </c>
      <c r="B114" t="s">
        <v>382</v>
      </c>
      <c r="C114" t="s">
        <v>382</v>
      </c>
      <c r="D114" t="s">
        <v>382</v>
      </c>
      <c r="E114" t="s">
        <v>382</v>
      </c>
      <c r="F114" t="s">
        <v>382</v>
      </c>
      <c r="G114" t="s">
        <v>382</v>
      </c>
      <c r="H114" t="s">
        <v>382</v>
      </c>
      <c r="I114" t="s">
        <v>382</v>
      </c>
      <c r="J114" t="s">
        <v>382</v>
      </c>
      <c r="K114" t="s">
        <v>382</v>
      </c>
      <c r="L114" t="s">
        <v>382</v>
      </c>
      <c r="M114" t="s">
        <v>382</v>
      </c>
      <c r="N114" t="s">
        <v>382</v>
      </c>
      <c r="O114" t="s">
        <v>382</v>
      </c>
      <c r="P114" t="s">
        <v>382</v>
      </c>
      <c r="Q114" t="s">
        <v>382</v>
      </c>
      <c r="R114" t="s">
        <v>382</v>
      </c>
      <c r="S114" t="s">
        <v>382</v>
      </c>
      <c r="T114" t="s">
        <v>382</v>
      </c>
      <c r="U114" t="s">
        <v>382</v>
      </c>
      <c r="V114" t="s">
        <v>382</v>
      </c>
      <c r="W114" t="s">
        <v>382</v>
      </c>
      <c r="X114" t="s">
        <v>382</v>
      </c>
      <c r="Y114" t="s">
        <v>382</v>
      </c>
      <c r="Z114" t="s">
        <v>382</v>
      </c>
      <c r="AA114" t="s">
        <v>382</v>
      </c>
      <c r="AB114" t="s">
        <v>382</v>
      </c>
      <c r="AC114">
        <v>5</v>
      </c>
      <c r="AD114">
        <v>3</v>
      </c>
      <c r="AE114">
        <v>1</v>
      </c>
      <c r="AF114" t="s">
        <v>481</v>
      </c>
      <c r="AH114" t="s">
        <v>139</v>
      </c>
      <c r="AI114" t="s">
        <v>97</v>
      </c>
      <c r="AK114">
        <v>824</v>
      </c>
      <c r="AL114">
        <v>1103</v>
      </c>
    </row>
    <row r="115" spans="1:38">
      <c r="A115" t="s">
        <v>382</v>
      </c>
      <c r="B115" t="s">
        <v>382</v>
      </c>
      <c r="C115" t="s">
        <v>382</v>
      </c>
      <c r="D115" t="s">
        <v>382</v>
      </c>
      <c r="E115" t="s">
        <v>382</v>
      </c>
      <c r="F115" t="s">
        <v>382</v>
      </c>
      <c r="G115" t="s">
        <v>382</v>
      </c>
      <c r="H115" t="s">
        <v>382</v>
      </c>
      <c r="I115" t="s">
        <v>382</v>
      </c>
      <c r="J115" t="s">
        <v>382</v>
      </c>
      <c r="K115" t="s">
        <v>382</v>
      </c>
      <c r="L115" t="s">
        <v>382</v>
      </c>
      <c r="M115" t="s">
        <v>382</v>
      </c>
      <c r="N115" t="s">
        <v>382</v>
      </c>
      <c r="O115" t="s">
        <v>382</v>
      </c>
      <c r="P115" t="s">
        <v>382</v>
      </c>
      <c r="Q115" t="s">
        <v>382</v>
      </c>
      <c r="R115" t="s">
        <v>382</v>
      </c>
      <c r="S115" t="s">
        <v>382</v>
      </c>
      <c r="T115" t="s">
        <v>382</v>
      </c>
      <c r="U115" t="s">
        <v>382</v>
      </c>
      <c r="V115" t="s">
        <v>382</v>
      </c>
      <c r="W115" t="s">
        <v>382</v>
      </c>
      <c r="X115" t="s">
        <v>382</v>
      </c>
      <c r="Y115" t="s">
        <v>382</v>
      </c>
      <c r="Z115" t="s">
        <v>382</v>
      </c>
      <c r="AA115" t="s">
        <v>382</v>
      </c>
      <c r="AB115" t="s">
        <v>382</v>
      </c>
      <c r="AC115">
        <v>5</v>
      </c>
      <c r="AD115">
        <v>4</v>
      </c>
      <c r="AE115">
        <v>1</v>
      </c>
      <c r="AF115" t="s">
        <v>393</v>
      </c>
      <c r="AH115" t="s">
        <v>51</v>
      </c>
      <c r="AI115" t="s">
        <v>97</v>
      </c>
      <c r="AK115">
        <v>2728</v>
      </c>
      <c r="AL115">
        <v>384</v>
      </c>
    </row>
    <row r="116" spans="1:38">
      <c r="A116" t="s">
        <v>382</v>
      </c>
      <c r="B116" t="s">
        <v>382</v>
      </c>
      <c r="C116" t="s">
        <v>382</v>
      </c>
      <c r="D116" t="s">
        <v>382</v>
      </c>
      <c r="E116" t="s">
        <v>382</v>
      </c>
      <c r="F116" t="s">
        <v>382</v>
      </c>
      <c r="G116" t="s">
        <v>382</v>
      </c>
      <c r="H116" t="s">
        <v>382</v>
      </c>
      <c r="I116" t="s">
        <v>382</v>
      </c>
      <c r="J116" t="s">
        <v>382</v>
      </c>
      <c r="K116" t="s">
        <v>382</v>
      </c>
      <c r="L116" t="s">
        <v>382</v>
      </c>
      <c r="M116" t="s">
        <v>382</v>
      </c>
      <c r="N116" t="s">
        <v>382</v>
      </c>
      <c r="O116" t="s">
        <v>382</v>
      </c>
      <c r="P116" t="s">
        <v>382</v>
      </c>
      <c r="Q116" t="s">
        <v>382</v>
      </c>
      <c r="R116" t="s">
        <v>382</v>
      </c>
      <c r="S116" t="s">
        <v>382</v>
      </c>
      <c r="T116" t="s">
        <v>382</v>
      </c>
      <c r="U116" t="s">
        <v>382</v>
      </c>
      <c r="V116" t="s">
        <v>382</v>
      </c>
      <c r="W116" t="s">
        <v>382</v>
      </c>
      <c r="X116" t="s">
        <v>382</v>
      </c>
      <c r="Y116" t="s">
        <v>382</v>
      </c>
      <c r="Z116" t="s">
        <v>382</v>
      </c>
      <c r="AA116" t="s">
        <v>382</v>
      </c>
      <c r="AB116" t="s">
        <v>382</v>
      </c>
      <c r="AC116">
        <v>5</v>
      </c>
      <c r="AD116">
        <v>5</v>
      </c>
      <c r="AF116" t="s">
        <v>385</v>
      </c>
      <c r="AH116" t="s">
        <v>27</v>
      </c>
      <c r="AI116" t="s">
        <v>109</v>
      </c>
      <c r="AK116">
        <v>2804</v>
      </c>
      <c r="AL116">
        <v>950</v>
      </c>
    </row>
    <row r="117" spans="1:38">
      <c r="A117" t="s">
        <v>382</v>
      </c>
      <c r="B117" t="s">
        <v>382</v>
      </c>
      <c r="C117" t="s">
        <v>382</v>
      </c>
      <c r="D117" t="s">
        <v>382</v>
      </c>
      <c r="E117" t="s">
        <v>382</v>
      </c>
      <c r="F117" t="s">
        <v>382</v>
      </c>
      <c r="G117" t="s">
        <v>382</v>
      </c>
      <c r="H117" t="s">
        <v>382</v>
      </c>
      <c r="I117" t="s">
        <v>382</v>
      </c>
      <c r="J117" t="s">
        <v>382</v>
      </c>
      <c r="K117" t="s">
        <v>382</v>
      </c>
      <c r="L117" t="s">
        <v>382</v>
      </c>
      <c r="M117" t="s">
        <v>382</v>
      </c>
      <c r="N117" t="s">
        <v>382</v>
      </c>
      <c r="O117" t="s">
        <v>382</v>
      </c>
      <c r="P117" t="s">
        <v>382</v>
      </c>
      <c r="Q117" t="s">
        <v>382</v>
      </c>
      <c r="R117" t="s">
        <v>382</v>
      </c>
      <c r="S117" t="s">
        <v>382</v>
      </c>
      <c r="T117" t="s">
        <v>382</v>
      </c>
      <c r="U117" t="s">
        <v>382</v>
      </c>
      <c r="V117" t="s">
        <v>382</v>
      </c>
      <c r="W117" t="s">
        <v>382</v>
      </c>
      <c r="X117" t="s">
        <v>382</v>
      </c>
      <c r="Y117" t="s">
        <v>382</v>
      </c>
      <c r="Z117" t="s">
        <v>382</v>
      </c>
      <c r="AA117" t="s">
        <v>382</v>
      </c>
      <c r="AB117" t="s">
        <v>382</v>
      </c>
      <c r="AC117">
        <v>5</v>
      </c>
      <c r="AD117">
        <v>1</v>
      </c>
      <c r="AF117" t="s">
        <v>385</v>
      </c>
      <c r="AH117" t="s">
        <v>27</v>
      </c>
      <c r="AI117" t="s">
        <v>109</v>
      </c>
      <c r="AK117">
        <v>2811</v>
      </c>
      <c r="AL117">
        <v>1110</v>
      </c>
    </row>
    <row r="118" spans="1:38">
      <c r="A118" t="s">
        <v>382</v>
      </c>
      <c r="B118" t="s">
        <v>382</v>
      </c>
      <c r="C118" t="s">
        <v>382</v>
      </c>
      <c r="D118" t="s">
        <v>382</v>
      </c>
      <c r="E118" t="s">
        <v>382</v>
      </c>
      <c r="F118" t="s">
        <v>382</v>
      </c>
      <c r="G118" t="s">
        <v>382</v>
      </c>
      <c r="H118" t="s">
        <v>382</v>
      </c>
      <c r="I118" t="s">
        <v>382</v>
      </c>
      <c r="J118" t="s">
        <v>382</v>
      </c>
      <c r="K118" t="s">
        <v>382</v>
      </c>
      <c r="L118" t="s">
        <v>382</v>
      </c>
      <c r="M118" t="s">
        <v>382</v>
      </c>
      <c r="N118" t="s">
        <v>382</v>
      </c>
      <c r="O118" t="s">
        <v>382</v>
      </c>
      <c r="P118" t="s">
        <v>382</v>
      </c>
      <c r="Q118" t="s">
        <v>382</v>
      </c>
      <c r="R118" t="s">
        <v>382</v>
      </c>
      <c r="S118" t="s">
        <v>382</v>
      </c>
      <c r="T118" t="s">
        <v>382</v>
      </c>
      <c r="U118" t="s">
        <v>382</v>
      </c>
      <c r="V118" t="s">
        <v>382</v>
      </c>
      <c r="W118" t="s">
        <v>382</v>
      </c>
      <c r="X118" t="s">
        <v>382</v>
      </c>
      <c r="Y118" t="s">
        <v>382</v>
      </c>
      <c r="Z118" t="s">
        <v>382</v>
      </c>
      <c r="AA118" t="s">
        <v>382</v>
      </c>
      <c r="AB118" t="s">
        <v>382</v>
      </c>
      <c r="AC118">
        <v>5</v>
      </c>
      <c r="AD118">
        <v>2</v>
      </c>
      <c r="AF118" t="s">
        <v>386</v>
      </c>
      <c r="AH118" t="s">
        <v>29</v>
      </c>
      <c r="AI118" t="s">
        <v>103</v>
      </c>
      <c r="AK118">
        <v>1333</v>
      </c>
      <c r="AL118">
        <v>408</v>
      </c>
    </row>
    <row r="119" spans="1:38">
      <c r="A119" t="s">
        <v>382</v>
      </c>
      <c r="B119" t="s">
        <v>382</v>
      </c>
      <c r="C119" t="s">
        <v>382</v>
      </c>
      <c r="D119" t="s">
        <v>382</v>
      </c>
      <c r="E119" t="s">
        <v>382</v>
      </c>
      <c r="F119" t="s">
        <v>382</v>
      </c>
      <c r="G119" t="s">
        <v>382</v>
      </c>
      <c r="H119" t="s">
        <v>382</v>
      </c>
      <c r="I119" t="s">
        <v>382</v>
      </c>
      <c r="J119" t="s">
        <v>382</v>
      </c>
      <c r="K119" t="s">
        <v>382</v>
      </c>
      <c r="L119" t="s">
        <v>382</v>
      </c>
      <c r="M119" t="s">
        <v>382</v>
      </c>
      <c r="N119" t="s">
        <v>382</v>
      </c>
      <c r="O119" t="s">
        <v>382</v>
      </c>
      <c r="P119" t="s">
        <v>382</v>
      </c>
      <c r="Q119" t="s">
        <v>382</v>
      </c>
      <c r="R119" t="s">
        <v>382</v>
      </c>
      <c r="S119" t="s">
        <v>382</v>
      </c>
      <c r="T119" t="s">
        <v>382</v>
      </c>
      <c r="U119" t="s">
        <v>382</v>
      </c>
      <c r="V119" t="s">
        <v>382</v>
      </c>
      <c r="W119" t="s">
        <v>382</v>
      </c>
      <c r="X119" t="s">
        <v>382</v>
      </c>
      <c r="Y119" t="s">
        <v>382</v>
      </c>
      <c r="Z119" t="s">
        <v>382</v>
      </c>
      <c r="AA119" t="s">
        <v>382</v>
      </c>
      <c r="AB119" t="s">
        <v>382</v>
      </c>
      <c r="AC119">
        <v>5</v>
      </c>
      <c r="AD119">
        <v>3</v>
      </c>
      <c r="AF119" t="s">
        <v>384</v>
      </c>
      <c r="AH119" t="s">
        <v>25</v>
      </c>
      <c r="AI119" t="s">
        <v>106</v>
      </c>
      <c r="AK119">
        <v>1690</v>
      </c>
      <c r="AL119">
        <v>1089</v>
      </c>
    </row>
    <row r="120" spans="1:38">
      <c r="A120" t="s">
        <v>382</v>
      </c>
      <c r="B120" t="s">
        <v>382</v>
      </c>
      <c r="C120" t="s">
        <v>382</v>
      </c>
      <c r="D120" t="s">
        <v>382</v>
      </c>
      <c r="E120" t="s">
        <v>382</v>
      </c>
      <c r="F120" t="s">
        <v>382</v>
      </c>
      <c r="G120" t="s">
        <v>382</v>
      </c>
      <c r="H120" t="s">
        <v>382</v>
      </c>
      <c r="I120" t="s">
        <v>382</v>
      </c>
      <c r="J120" t="s">
        <v>382</v>
      </c>
      <c r="K120" t="s">
        <v>382</v>
      </c>
      <c r="L120" t="s">
        <v>382</v>
      </c>
      <c r="M120" t="s">
        <v>382</v>
      </c>
      <c r="N120" t="s">
        <v>382</v>
      </c>
      <c r="O120" t="s">
        <v>382</v>
      </c>
      <c r="P120" t="s">
        <v>382</v>
      </c>
      <c r="Q120" t="s">
        <v>382</v>
      </c>
      <c r="R120" t="s">
        <v>382</v>
      </c>
      <c r="S120" t="s">
        <v>382</v>
      </c>
      <c r="T120" t="s">
        <v>382</v>
      </c>
      <c r="U120" t="s">
        <v>382</v>
      </c>
      <c r="V120" t="s">
        <v>382</v>
      </c>
      <c r="W120" t="s">
        <v>382</v>
      </c>
      <c r="X120" t="s">
        <v>382</v>
      </c>
      <c r="Y120" t="s">
        <v>382</v>
      </c>
      <c r="Z120" t="s">
        <v>382</v>
      </c>
      <c r="AA120" t="s">
        <v>382</v>
      </c>
      <c r="AB120" t="s">
        <v>382</v>
      </c>
      <c r="AC120">
        <v>5</v>
      </c>
      <c r="AD120">
        <v>4</v>
      </c>
      <c r="AF120" t="s">
        <v>386</v>
      </c>
      <c r="AH120" t="s">
        <v>29</v>
      </c>
      <c r="AI120" t="s">
        <v>103</v>
      </c>
      <c r="AK120">
        <v>710</v>
      </c>
      <c r="AL120">
        <v>2388</v>
      </c>
    </row>
    <row r="121" spans="1:38">
      <c r="A121" t="s">
        <v>382</v>
      </c>
      <c r="B121" t="s">
        <v>382</v>
      </c>
      <c r="C121" t="s">
        <v>382</v>
      </c>
      <c r="D121" t="s">
        <v>382</v>
      </c>
      <c r="E121" t="s">
        <v>382</v>
      </c>
      <c r="F121" t="s">
        <v>382</v>
      </c>
      <c r="G121" t="s">
        <v>382</v>
      </c>
      <c r="H121" t="s">
        <v>382</v>
      </c>
      <c r="I121" t="s">
        <v>382</v>
      </c>
      <c r="J121" t="s">
        <v>382</v>
      </c>
      <c r="K121" t="s">
        <v>382</v>
      </c>
      <c r="L121" t="s">
        <v>382</v>
      </c>
      <c r="M121" t="s">
        <v>382</v>
      </c>
      <c r="N121" t="s">
        <v>382</v>
      </c>
      <c r="O121" t="s">
        <v>382</v>
      </c>
      <c r="P121" t="s">
        <v>382</v>
      </c>
      <c r="Q121" t="s">
        <v>382</v>
      </c>
      <c r="R121" t="s">
        <v>382</v>
      </c>
      <c r="S121" t="s">
        <v>382</v>
      </c>
      <c r="T121" t="s">
        <v>382</v>
      </c>
      <c r="U121" t="s">
        <v>382</v>
      </c>
      <c r="V121" t="s">
        <v>382</v>
      </c>
      <c r="W121" t="s">
        <v>382</v>
      </c>
      <c r="X121" t="s">
        <v>382</v>
      </c>
      <c r="Y121" t="s">
        <v>382</v>
      </c>
      <c r="Z121" t="s">
        <v>382</v>
      </c>
      <c r="AA121" t="s">
        <v>382</v>
      </c>
      <c r="AB121" t="s">
        <v>382</v>
      </c>
      <c r="AC121">
        <v>5</v>
      </c>
      <c r="AD121">
        <v>5</v>
      </c>
      <c r="AF121" t="s">
        <v>386</v>
      </c>
      <c r="AH121" t="s">
        <v>29</v>
      </c>
      <c r="AI121" t="s">
        <v>103</v>
      </c>
      <c r="AK121">
        <v>2034</v>
      </c>
      <c r="AL121">
        <v>1488</v>
      </c>
    </row>
    <row r="122" spans="1:38">
      <c r="A122" t="s">
        <v>382</v>
      </c>
      <c r="B122" t="s">
        <v>382</v>
      </c>
      <c r="C122" t="s">
        <v>382</v>
      </c>
      <c r="D122" t="s">
        <v>382</v>
      </c>
      <c r="E122" t="s">
        <v>382</v>
      </c>
      <c r="F122" t="s">
        <v>382</v>
      </c>
      <c r="G122" t="s">
        <v>382</v>
      </c>
      <c r="H122" t="s">
        <v>382</v>
      </c>
      <c r="I122" t="s">
        <v>382</v>
      </c>
      <c r="J122" t="s">
        <v>382</v>
      </c>
      <c r="K122" t="s">
        <v>382</v>
      </c>
      <c r="L122" t="s">
        <v>382</v>
      </c>
      <c r="M122" t="s">
        <v>382</v>
      </c>
      <c r="N122" t="s">
        <v>382</v>
      </c>
      <c r="O122" t="s">
        <v>382</v>
      </c>
      <c r="P122" t="s">
        <v>382</v>
      </c>
      <c r="Q122" t="s">
        <v>382</v>
      </c>
      <c r="R122" t="s">
        <v>382</v>
      </c>
      <c r="S122" t="s">
        <v>382</v>
      </c>
      <c r="T122" t="s">
        <v>382</v>
      </c>
      <c r="U122" t="s">
        <v>382</v>
      </c>
      <c r="V122" t="s">
        <v>382</v>
      </c>
      <c r="W122" t="s">
        <v>382</v>
      </c>
      <c r="X122" t="s">
        <v>382</v>
      </c>
      <c r="Y122" t="s">
        <v>382</v>
      </c>
      <c r="Z122" t="s">
        <v>382</v>
      </c>
      <c r="AA122" t="s">
        <v>382</v>
      </c>
      <c r="AB122" t="s">
        <v>382</v>
      </c>
      <c r="AC122">
        <v>5</v>
      </c>
      <c r="AD122">
        <v>1</v>
      </c>
      <c r="AE122">
        <v>1</v>
      </c>
      <c r="AF122" t="s">
        <v>389</v>
      </c>
      <c r="AH122" t="s">
        <v>35</v>
      </c>
      <c r="AI122" t="s">
        <v>97</v>
      </c>
      <c r="AK122">
        <v>1274</v>
      </c>
      <c r="AL122">
        <v>792</v>
      </c>
    </row>
    <row r="123" spans="1:38">
      <c r="A123" t="s">
        <v>382</v>
      </c>
      <c r="B123" t="s">
        <v>382</v>
      </c>
      <c r="C123" t="s">
        <v>382</v>
      </c>
      <c r="D123" t="s">
        <v>382</v>
      </c>
      <c r="E123" t="s">
        <v>382</v>
      </c>
      <c r="F123" t="s">
        <v>382</v>
      </c>
      <c r="G123" t="s">
        <v>382</v>
      </c>
      <c r="H123" t="s">
        <v>382</v>
      </c>
      <c r="I123" t="s">
        <v>382</v>
      </c>
      <c r="J123" t="s">
        <v>382</v>
      </c>
      <c r="K123" t="s">
        <v>382</v>
      </c>
      <c r="L123" t="s">
        <v>382</v>
      </c>
      <c r="M123" t="s">
        <v>382</v>
      </c>
      <c r="N123" t="s">
        <v>382</v>
      </c>
      <c r="O123" t="s">
        <v>382</v>
      </c>
      <c r="P123" t="s">
        <v>382</v>
      </c>
      <c r="Q123" t="s">
        <v>382</v>
      </c>
      <c r="R123" t="s">
        <v>382</v>
      </c>
      <c r="S123" t="s">
        <v>382</v>
      </c>
      <c r="T123" t="s">
        <v>382</v>
      </c>
      <c r="U123" t="s">
        <v>382</v>
      </c>
      <c r="V123" t="s">
        <v>382</v>
      </c>
      <c r="W123" t="s">
        <v>382</v>
      </c>
      <c r="X123" t="s">
        <v>382</v>
      </c>
      <c r="Y123" t="s">
        <v>382</v>
      </c>
      <c r="Z123" t="s">
        <v>382</v>
      </c>
      <c r="AA123" t="s">
        <v>382</v>
      </c>
      <c r="AB123" t="s">
        <v>382</v>
      </c>
      <c r="AC123">
        <v>5</v>
      </c>
      <c r="AD123">
        <v>2</v>
      </c>
      <c r="AE123">
        <v>1</v>
      </c>
      <c r="AF123" t="s">
        <v>389</v>
      </c>
      <c r="AH123" t="s">
        <v>35</v>
      </c>
      <c r="AI123" t="s">
        <v>97</v>
      </c>
      <c r="AK123">
        <v>1682</v>
      </c>
      <c r="AL123">
        <v>2062</v>
      </c>
    </row>
    <row r="124" spans="1:38">
      <c r="A124" t="s">
        <v>382</v>
      </c>
      <c r="B124" t="s">
        <v>382</v>
      </c>
      <c r="C124" t="s">
        <v>382</v>
      </c>
      <c r="D124" t="s">
        <v>382</v>
      </c>
      <c r="E124" t="s">
        <v>382</v>
      </c>
      <c r="F124" t="s">
        <v>382</v>
      </c>
      <c r="G124" t="s">
        <v>382</v>
      </c>
      <c r="H124" t="s">
        <v>382</v>
      </c>
      <c r="I124" t="s">
        <v>382</v>
      </c>
      <c r="J124" t="s">
        <v>382</v>
      </c>
      <c r="K124" t="s">
        <v>382</v>
      </c>
      <c r="L124" t="s">
        <v>382</v>
      </c>
      <c r="M124" t="s">
        <v>382</v>
      </c>
      <c r="N124" t="s">
        <v>382</v>
      </c>
      <c r="O124" t="s">
        <v>382</v>
      </c>
      <c r="P124" t="s">
        <v>382</v>
      </c>
      <c r="Q124" t="s">
        <v>382</v>
      </c>
      <c r="R124" t="s">
        <v>382</v>
      </c>
      <c r="S124" t="s">
        <v>382</v>
      </c>
      <c r="T124" t="s">
        <v>382</v>
      </c>
      <c r="U124" t="s">
        <v>382</v>
      </c>
      <c r="V124" t="s">
        <v>382</v>
      </c>
      <c r="W124" t="s">
        <v>382</v>
      </c>
      <c r="X124" t="s">
        <v>382</v>
      </c>
      <c r="Y124" t="s">
        <v>382</v>
      </c>
      <c r="Z124" t="s">
        <v>382</v>
      </c>
      <c r="AA124" t="s">
        <v>382</v>
      </c>
      <c r="AB124" t="s">
        <v>382</v>
      </c>
      <c r="AC124">
        <v>5</v>
      </c>
      <c r="AD124">
        <v>3</v>
      </c>
      <c r="AE124">
        <v>1</v>
      </c>
      <c r="AF124" t="s">
        <v>389</v>
      </c>
      <c r="AH124" t="s">
        <v>35</v>
      </c>
      <c r="AI124" t="s">
        <v>97</v>
      </c>
      <c r="AK124">
        <v>1727</v>
      </c>
      <c r="AL124">
        <v>1653</v>
      </c>
    </row>
    <row r="125" spans="1:38">
      <c r="A125" t="s">
        <v>382</v>
      </c>
      <c r="B125" t="s">
        <v>382</v>
      </c>
      <c r="C125" t="s">
        <v>382</v>
      </c>
      <c r="D125" t="s">
        <v>382</v>
      </c>
      <c r="E125" t="s">
        <v>382</v>
      </c>
      <c r="F125" t="s">
        <v>382</v>
      </c>
      <c r="G125" t="s">
        <v>382</v>
      </c>
      <c r="H125" t="s">
        <v>382</v>
      </c>
      <c r="I125" t="s">
        <v>382</v>
      </c>
      <c r="J125" t="s">
        <v>382</v>
      </c>
      <c r="K125" t="s">
        <v>382</v>
      </c>
      <c r="L125" t="s">
        <v>382</v>
      </c>
      <c r="M125" t="s">
        <v>382</v>
      </c>
      <c r="N125" t="s">
        <v>382</v>
      </c>
      <c r="O125" t="s">
        <v>382</v>
      </c>
      <c r="P125" t="s">
        <v>382</v>
      </c>
      <c r="Q125" t="s">
        <v>382</v>
      </c>
      <c r="R125" t="s">
        <v>382</v>
      </c>
      <c r="S125" t="s">
        <v>382</v>
      </c>
      <c r="T125" t="s">
        <v>382</v>
      </c>
      <c r="U125" t="s">
        <v>382</v>
      </c>
      <c r="V125" t="s">
        <v>382</v>
      </c>
      <c r="W125" t="s">
        <v>382</v>
      </c>
      <c r="X125" t="s">
        <v>382</v>
      </c>
      <c r="Y125" t="s">
        <v>382</v>
      </c>
      <c r="Z125" t="s">
        <v>382</v>
      </c>
      <c r="AA125" t="s">
        <v>382</v>
      </c>
      <c r="AB125" t="s">
        <v>382</v>
      </c>
      <c r="AC125">
        <v>5</v>
      </c>
      <c r="AD125">
        <v>4</v>
      </c>
      <c r="AE125">
        <v>1</v>
      </c>
      <c r="AF125" t="s">
        <v>389</v>
      </c>
      <c r="AH125" t="s">
        <v>35</v>
      </c>
      <c r="AI125" t="s">
        <v>97</v>
      </c>
      <c r="AK125">
        <v>1360</v>
      </c>
      <c r="AL125">
        <v>1136</v>
      </c>
    </row>
    <row r="126" spans="1:38">
      <c r="A126" t="s">
        <v>382</v>
      </c>
      <c r="B126" t="s">
        <v>382</v>
      </c>
      <c r="C126" t="s">
        <v>382</v>
      </c>
      <c r="D126" t="s">
        <v>382</v>
      </c>
      <c r="E126" t="s">
        <v>382</v>
      </c>
      <c r="F126" t="s">
        <v>382</v>
      </c>
      <c r="G126" t="s">
        <v>382</v>
      </c>
      <c r="H126" t="s">
        <v>382</v>
      </c>
      <c r="I126" t="s">
        <v>382</v>
      </c>
      <c r="J126" t="s">
        <v>382</v>
      </c>
      <c r="K126" t="s">
        <v>382</v>
      </c>
      <c r="L126" t="s">
        <v>382</v>
      </c>
      <c r="M126" t="s">
        <v>382</v>
      </c>
      <c r="N126" t="s">
        <v>382</v>
      </c>
      <c r="O126" t="s">
        <v>382</v>
      </c>
      <c r="P126" t="s">
        <v>382</v>
      </c>
      <c r="Q126" t="s">
        <v>382</v>
      </c>
      <c r="R126" t="s">
        <v>382</v>
      </c>
      <c r="S126" t="s">
        <v>382</v>
      </c>
      <c r="T126" t="s">
        <v>382</v>
      </c>
      <c r="U126" t="s">
        <v>382</v>
      </c>
      <c r="V126" t="s">
        <v>382</v>
      </c>
      <c r="W126" t="s">
        <v>382</v>
      </c>
      <c r="X126" t="s">
        <v>382</v>
      </c>
      <c r="Y126" t="s">
        <v>382</v>
      </c>
      <c r="Z126" t="s">
        <v>382</v>
      </c>
      <c r="AA126" t="s">
        <v>382</v>
      </c>
      <c r="AB126" t="s">
        <v>382</v>
      </c>
      <c r="AC126">
        <v>5</v>
      </c>
      <c r="AD126">
        <v>5</v>
      </c>
      <c r="AF126" t="s">
        <v>386</v>
      </c>
      <c r="AH126" t="s">
        <v>29</v>
      </c>
      <c r="AI126" t="s">
        <v>103</v>
      </c>
      <c r="AK126">
        <v>2834</v>
      </c>
      <c r="AL126">
        <v>855</v>
      </c>
    </row>
    <row r="127" spans="1:38">
      <c r="A127" t="s">
        <v>382</v>
      </c>
      <c r="B127" t="s">
        <v>382</v>
      </c>
      <c r="C127" t="s">
        <v>382</v>
      </c>
      <c r="D127" t="s">
        <v>382</v>
      </c>
      <c r="E127" t="s">
        <v>382</v>
      </c>
      <c r="F127" t="s">
        <v>382</v>
      </c>
      <c r="G127" t="s">
        <v>382</v>
      </c>
      <c r="H127" t="s">
        <v>382</v>
      </c>
      <c r="I127" t="s">
        <v>382</v>
      </c>
      <c r="J127" t="s">
        <v>382</v>
      </c>
      <c r="K127" t="s">
        <v>382</v>
      </c>
      <c r="L127" t="s">
        <v>382</v>
      </c>
      <c r="M127" t="s">
        <v>382</v>
      </c>
      <c r="N127" t="s">
        <v>382</v>
      </c>
      <c r="O127" t="s">
        <v>382</v>
      </c>
      <c r="P127" t="s">
        <v>382</v>
      </c>
      <c r="Q127" t="s">
        <v>382</v>
      </c>
      <c r="R127" t="s">
        <v>382</v>
      </c>
      <c r="S127" t="s">
        <v>382</v>
      </c>
      <c r="T127" t="s">
        <v>382</v>
      </c>
      <c r="U127" t="s">
        <v>382</v>
      </c>
      <c r="V127" t="s">
        <v>382</v>
      </c>
      <c r="W127" t="s">
        <v>382</v>
      </c>
      <c r="X127" t="s">
        <v>382</v>
      </c>
      <c r="Y127" t="s">
        <v>382</v>
      </c>
      <c r="Z127" t="s">
        <v>382</v>
      </c>
      <c r="AA127" t="s">
        <v>382</v>
      </c>
      <c r="AB127" t="s">
        <v>382</v>
      </c>
      <c r="AC127">
        <v>5</v>
      </c>
      <c r="AD127">
        <v>1</v>
      </c>
      <c r="AE127">
        <v>1</v>
      </c>
      <c r="AF127" t="s">
        <v>389</v>
      </c>
      <c r="AH127" t="s">
        <v>35</v>
      </c>
      <c r="AI127" t="s">
        <v>97</v>
      </c>
      <c r="AK127">
        <v>2174</v>
      </c>
      <c r="AL127">
        <v>1632</v>
      </c>
    </row>
    <row r="128" spans="1:38">
      <c r="A128" t="s">
        <v>382</v>
      </c>
      <c r="B128" t="s">
        <v>382</v>
      </c>
      <c r="C128" t="s">
        <v>382</v>
      </c>
      <c r="D128" t="s">
        <v>382</v>
      </c>
      <c r="E128" t="s">
        <v>382</v>
      </c>
      <c r="F128" t="s">
        <v>382</v>
      </c>
      <c r="G128" t="s">
        <v>382</v>
      </c>
      <c r="H128" t="s">
        <v>382</v>
      </c>
      <c r="I128" t="s">
        <v>382</v>
      </c>
      <c r="J128" t="s">
        <v>382</v>
      </c>
      <c r="K128" t="s">
        <v>382</v>
      </c>
      <c r="L128" t="s">
        <v>382</v>
      </c>
      <c r="M128" t="s">
        <v>382</v>
      </c>
      <c r="N128" t="s">
        <v>382</v>
      </c>
      <c r="O128" t="s">
        <v>382</v>
      </c>
      <c r="P128" t="s">
        <v>382</v>
      </c>
      <c r="Q128" t="s">
        <v>382</v>
      </c>
      <c r="R128" t="s">
        <v>382</v>
      </c>
      <c r="S128" t="s">
        <v>382</v>
      </c>
      <c r="T128" t="s">
        <v>382</v>
      </c>
      <c r="U128" t="s">
        <v>382</v>
      </c>
      <c r="V128" t="s">
        <v>382</v>
      </c>
      <c r="W128" t="s">
        <v>382</v>
      </c>
      <c r="X128" t="s">
        <v>382</v>
      </c>
      <c r="Y128" t="s">
        <v>382</v>
      </c>
      <c r="Z128" t="s">
        <v>382</v>
      </c>
      <c r="AA128" t="s">
        <v>382</v>
      </c>
      <c r="AB128" t="s">
        <v>382</v>
      </c>
      <c r="AC128">
        <v>5</v>
      </c>
      <c r="AD128">
        <v>2</v>
      </c>
      <c r="AE128">
        <v>1</v>
      </c>
      <c r="AF128" t="s">
        <v>389</v>
      </c>
      <c r="AH128" t="s">
        <v>35</v>
      </c>
      <c r="AI128" t="s">
        <v>97</v>
      </c>
      <c r="AK128">
        <v>903</v>
      </c>
      <c r="AL128">
        <v>1221</v>
      </c>
    </row>
    <row r="129" spans="1:38">
      <c r="A129" t="s">
        <v>382</v>
      </c>
      <c r="B129" t="s">
        <v>382</v>
      </c>
      <c r="C129" t="s">
        <v>382</v>
      </c>
      <c r="D129" t="s">
        <v>382</v>
      </c>
      <c r="E129" t="s">
        <v>382</v>
      </c>
      <c r="F129" t="s">
        <v>382</v>
      </c>
      <c r="G129" t="s">
        <v>382</v>
      </c>
      <c r="H129" t="s">
        <v>382</v>
      </c>
      <c r="I129" t="s">
        <v>382</v>
      </c>
      <c r="J129" t="s">
        <v>382</v>
      </c>
      <c r="K129" t="s">
        <v>382</v>
      </c>
      <c r="L129" t="s">
        <v>382</v>
      </c>
      <c r="M129" t="s">
        <v>382</v>
      </c>
      <c r="N129" t="s">
        <v>382</v>
      </c>
      <c r="O129" t="s">
        <v>382</v>
      </c>
      <c r="P129" t="s">
        <v>382</v>
      </c>
      <c r="Q129" t="s">
        <v>382</v>
      </c>
      <c r="R129" t="s">
        <v>382</v>
      </c>
      <c r="S129" t="s">
        <v>382</v>
      </c>
      <c r="T129" t="s">
        <v>382</v>
      </c>
      <c r="U129" t="s">
        <v>382</v>
      </c>
      <c r="V129" t="s">
        <v>382</v>
      </c>
      <c r="W129" t="s">
        <v>382</v>
      </c>
      <c r="X129" t="s">
        <v>382</v>
      </c>
      <c r="Y129" t="s">
        <v>382</v>
      </c>
      <c r="Z129" t="s">
        <v>382</v>
      </c>
      <c r="AA129" t="s">
        <v>382</v>
      </c>
      <c r="AB129" t="s">
        <v>382</v>
      </c>
      <c r="AC129">
        <v>5</v>
      </c>
      <c r="AD129">
        <v>3</v>
      </c>
      <c r="AE129">
        <v>1</v>
      </c>
      <c r="AF129" t="s">
        <v>389</v>
      </c>
      <c r="AH129" t="s">
        <v>35</v>
      </c>
      <c r="AI129" t="s">
        <v>97</v>
      </c>
      <c r="AK129">
        <v>710</v>
      </c>
      <c r="AL129">
        <v>1415</v>
      </c>
    </row>
    <row r="130" spans="1:38">
      <c r="A130" t="s">
        <v>382</v>
      </c>
      <c r="B130" t="s">
        <v>382</v>
      </c>
      <c r="C130" t="s">
        <v>382</v>
      </c>
      <c r="D130" t="s">
        <v>382</v>
      </c>
      <c r="E130" t="s">
        <v>382</v>
      </c>
      <c r="F130" t="s">
        <v>382</v>
      </c>
      <c r="G130" t="s">
        <v>382</v>
      </c>
      <c r="H130" t="s">
        <v>382</v>
      </c>
      <c r="I130" t="s">
        <v>382</v>
      </c>
      <c r="J130" t="s">
        <v>382</v>
      </c>
      <c r="K130" t="s">
        <v>382</v>
      </c>
      <c r="L130" t="s">
        <v>382</v>
      </c>
      <c r="M130" t="s">
        <v>382</v>
      </c>
      <c r="N130" t="s">
        <v>382</v>
      </c>
      <c r="O130" t="s">
        <v>382</v>
      </c>
      <c r="P130" t="s">
        <v>382</v>
      </c>
      <c r="Q130" t="s">
        <v>382</v>
      </c>
      <c r="R130" t="s">
        <v>382</v>
      </c>
      <c r="S130" t="s">
        <v>382</v>
      </c>
      <c r="T130" t="s">
        <v>382</v>
      </c>
      <c r="U130" t="s">
        <v>382</v>
      </c>
      <c r="V130" t="s">
        <v>382</v>
      </c>
      <c r="W130" t="s">
        <v>382</v>
      </c>
      <c r="X130" t="s">
        <v>382</v>
      </c>
      <c r="Y130" t="s">
        <v>382</v>
      </c>
      <c r="Z130" t="s">
        <v>382</v>
      </c>
      <c r="AA130" t="s">
        <v>382</v>
      </c>
      <c r="AB130" t="s">
        <v>382</v>
      </c>
      <c r="AC130">
        <v>5</v>
      </c>
      <c r="AD130">
        <v>4</v>
      </c>
      <c r="AE130">
        <v>1</v>
      </c>
      <c r="AF130" t="s">
        <v>389</v>
      </c>
      <c r="AH130" t="s">
        <v>35</v>
      </c>
      <c r="AI130" t="s">
        <v>97</v>
      </c>
      <c r="AK130">
        <v>1329</v>
      </c>
      <c r="AL130">
        <v>1270</v>
      </c>
    </row>
    <row r="131" spans="1:38">
      <c r="A131" t="s">
        <v>382</v>
      </c>
      <c r="B131" t="s">
        <v>382</v>
      </c>
      <c r="C131" t="s">
        <v>382</v>
      </c>
      <c r="D131" t="s">
        <v>382</v>
      </c>
      <c r="E131" t="s">
        <v>382</v>
      </c>
      <c r="F131" t="s">
        <v>382</v>
      </c>
      <c r="G131" t="s">
        <v>382</v>
      </c>
      <c r="H131" t="s">
        <v>382</v>
      </c>
      <c r="I131" t="s">
        <v>382</v>
      </c>
      <c r="J131" t="s">
        <v>382</v>
      </c>
      <c r="K131" t="s">
        <v>382</v>
      </c>
      <c r="L131" t="s">
        <v>382</v>
      </c>
      <c r="M131" t="s">
        <v>382</v>
      </c>
      <c r="N131" t="s">
        <v>382</v>
      </c>
      <c r="O131" t="s">
        <v>382</v>
      </c>
      <c r="P131" t="s">
        <v>382</v>
      </c>
      <c r="Q131" t="s">
        <v>382</v>
      </c>
      <c r="R131" t="s">
        <v>382</v>
      </c>
      <c r="S131" t="s">
        <v>382</v>
      </c>
      <c r="T131" t="s">
        <v>382</v>
      </c>
      <c r="U131" t="s">
        <v>382</v>
      </c>
      <c r="V131" t="s">
        <v>382</v>
      </c>
      <c r="W131" t="s">
        <v>382</v>
      </c>
      <c r="X131" t="s">
        <v>382</v>
      </c>
      <c r="Y131" t="s">
        <v>382</v>
      </c>
      <c r="Z131" t="s">
        <v>382</v>
      </c>
      <c r="AA131" t="s">
        <v>382</v>
      </c>
      <c r="AB131" t="s">
        <v>382</v>
      </c>
      <c r="AC131">
        <v>5</v>
      </c>
      <c r="AD131">
        <v>5</v>
      </c>
      <c r="AF131" t="s">
        <v>386</v>
      </c>
      <c r="AH131" t="s">
        <v>29</v>
      </c>
      <c r="AI131" t="s">
        <v>103</v>
      </c>
      <c r="AK131">
        <v>1717</v>
      </c>
      <c r="AL131">
        <v>1314</v>
      </c>
    </row>
    <row r="132" spans="1:38">
      <c r="A132" t="s">
        <v>382</v>
      </c>
      <c r="B132" t="s">
        <v>382</v>
      </c>
      <c r="C132" t="s">
        <v>382</v>
      </c>
      <c r="D132" t="s">
        <v>382</v>
      </c>
      <c r="E132" t="s">
        <v>382</v>
      </c>
      <c r="F132" t="s">
        <v>382</v>
      </c>
      <c r="G132" t="s">
        <v>382</v>
      </c>
      <c r="H132" t="s">
        <v>382</v>
      </c>
      <c r="I132" t="s">
        <v>382</v>
      </c>
      <c r="J132" t="s">
        <v>382</v>
      </c>
      <c r="K132" t="s">
        <v>382</v>
      </c>
      <c r="L132" t="s">
        <v>382</v>
      </c>
      <c r="M132" t="s">
        <v>382</v>
      </c>
      <c r="N132" t="s">
        <v>382</v>
      </c>
      <c r="O132" t="s">
        <v>382</v>
      </c>
      <c r="P132" t="s">
        <v>382</v>
      </c>
      <c r="Q132" t="s">
        <v>382</v>
      </c>
      <c r="R132" t="s">
        <v>382</v>
      </c>
      <c r="S132" t="s">
        <v>382</v>
      </c>
      <c r="T132" t="s">
        <v>382</v>
      </c>
      <c r="U132" t="s">
        <v>382</v>
      </c>
      <c r="V132" t="s">
        <v>382</v>
      </c>
      <c r="W132" t="s">
        <v>382</v>
      </c>
      <c r="X132" t="s">
        <v>382</v>
      </c>
      <c r="Y132" t="s">
        <v>382</v>
      </c>
      <c r="Z132" t="s">
        <v>382</v>
      </c>
      <c r="AA132" t="s">
        <v>382</v>
      </c>
      <c r="AB132" t="s">
        <v>382</v>
      </c>
      <c r="AC132">
        <v>5</v>
      </c>
      <c r="AD132">
        <v>1</v>
      </c>
      <c r="AE132">
        <v>1</v>
      </c>
      <c r="AF132" t="s">
        <v>387</v>
      </c>
      <c r="AH132" t="s">
        <v>31</v>
      </c>
      <c r="AI132" t="s">
        <v>97</v>
      </c>
      <c r="AK132">
        <v>1452</v>
      </c>
      <c r="AL132">
        <v>2133</v>
      </c>
    </row>
    <row r="133" spans="1:38">
      <c r="A133" t="s">
        <v>382</v>
      </c>
      <c r="B133" t="s">
        <v>382</v>
      </c>
      <c r="C133" t="s">
        <v>382</v>
      </c>
      <c r="D133" t="s">
        <v>382</v>
      </c>
      <c r="E133" t="s">
        <v>382</v>
      </c>
      <c r="F133" t="s">
        <v>382</v>
      </c>
      <c r="G133" t="s">
        <v>382</v>
      </c>
      <c r="H133" t="s">
        <v>382</v>
      </c>
      <c r="I133" t="s">
        <v>382</v>
      </c>
      <c r="J133" t="s">
        <v>382</v>
      </c>
      <c r="K133" t="s">
        <v>382</v>
      </c>
      <c r="L133" t="s">
        <v>382</v>
      </c>
      <c r="M133" t="s">
        <v>382</v>
      </c>
      <c r="N133" t="s">
        <v>382</v>
      </c>
      <c r="O133" t="s">
        <v>382</v>
      </c>
      <c r="P133" t="s">
        <v>382</v>
      </c>
      <c r="Q133" t="s">
        <v>382</v>
      </c>
      <c r="R133" t="s">
        <v>382</v>
      </c>
      <c r="S133" t="s">
        <v>382</v>
      </c>
      <c r="T133" t="s">
        <v>382</v>
      </c>
      <c r="U133" t="s">
        <v>382</v>
      </c>
      <c r="V133" t="s">
        <v>382</v>
      </c>
      <c r="W133" t="s">
        <v>382</v>
      </c>
      <c r="X133" t="s">
        <v>382</v>
      </c>
      <c r="Y133" t="s">
        <v>382</v>
      </c>
      <c r="Z133" t="s">
        <v>382</v>
      </c>
      <c r="AA133" t="s">
        <v>382</v>
      </c>
      <c r="AB133" t="s">
        <v>382</v>
      </c>
      <c r="AC133">
        <v>5</v>
      </c>
      <c r="AD133">
        <v>2</v>
      </c>
      <c r="AF133" t="s">
        <v>385</v>
      </c>
      <c r="AH133" t="s">
        <v>27</v>
      </c>
      <c r="AI133" t="s">
        <v>109</v>
      </c>
      <c r="AK133">
        <v>694</v>
      </c>
      <c r="AL133">
        <v>866</v>
      </c>
    </row>
    <row r="134" spans="1:38">
      <c r="A134" t="s">
        <v>382</v>
      </c>
      <c r="B134" t="s">
        <v>382</v>
      </c>
      <c r="C134" t="s">
        <v>382</v>
      </c>
      <c r="D134" t="s">
        <v>382</v>
      </c>
      <c r="E134" t="s">
        <v>382</v>
      </c>
      <c r="F134" t="s">
        <v>382</v>
      </c>
      <c r="G134" t="s">
        <v>382</v>
      </c>
      <c r="H134" t="s">
        <v>382</v>
      </c>
      <c r="I134" t="s">
        <v>382</v>
      </c>
      <c r="J134" t="s">
        <v>382</v>
      </c>
      <c r="K134" t="s">
        <v>382</v>
      </c>
      <c r="L134" t="s">
        <v>382</v>
      </c>
      <c r="M134" t="s">
        <v>382</v>
      </c>
      <c r="N134" t="s">
        <v>382</v>
      </c>
      <c r="O134" t="s">
        <v>382</v>
      </c>
      <c r="P134" t="s">
        <v>382</v>
      </c>
      <c r="Q134" t="s">
        <v>382</v>
      </c>
      <c r="R134" t="s">
        <v>382</v>
      </c>
      <c r="S134" t="s">
        <v>382</v>
      </c>
      <c r="T134" t="s">
        <v>382</v>
      </c>
      <c r="U134" t="s">
        <v>382</v>
      </c>
      <c r="V134" t="s">
        <v>382</v>
      </c>
      <c r="W134" t="s">
        <v>382</v>
      </c>
      <c r="X134" t="s">
        <v>382</v>
      </c>
      <c r="Y134" t="s">
        <v>382</v>
      </c>
      <c r="Z134" t="s">
        <v>382</v>
      </c>
      <c r="AA134" t="s">
        <v>382</v>
      </c>
      <c r="AB134" t="s">
        <v>382</v>
      </c>
      <c r="AC134">
        <v>5</v>
      </c>
      <c r="AD134">
        <v>3</v>
      </c>
      <c r="AF134" t="s">
        <v>386</v>
      </c>
      <c r="AH134" t="s">
        <v>29</v>
      </c>
      <c r="AI134" t="s">
        <v>103</v>
      </c>
      <c r="AK134">
        <v>3069</v>
      </c>
      <c r="AL134">
        <v>675</v>
      </c>
    </row>
    <row r="135" spans="1:38">
      <c r="A135" t="s">
        <v>382</v>
      </c>
      <c r="B135" t="s">
        <v>382</v>
      </c>
      <c r="C135" t="s">
        <v>382</v>
      </c>
      <c r="D135" t="s">
        <v>382</v>
      </c>
      <c r="E135" t="s">
        <v>382</v>
      </c>
      <c r="F135" t="s">
        <v>382</v>
      </c>
      <c r="G135" t="s">
        <v>382</v>
      </c>
      <c r="H135" t="s">
        <v>382</v>
      </c>
      <c r="I135" t="s">
        <v>382</v>
      </c>
      <c r="J135" t="s">
        <v>382</v>
      </c>
      <c r="K135" t="s">
        <v>382</v>
      </c>
      <c r="L135" t="s">
        <v>382</v>
      </c>
      <c r="M135" t="s">
        <v>382</v>
      </c>
      <c r="N135" t="s">
        <v>382</v>
      </c>
      <c r="O135" t="s">
        <v>382</v>
      </c>
      <c r="P135" t="s">
        <v>382</v>
      </c>
      <c r="Q135" t="s">
        <v>382</v>
      </c>
      <c r="R135" t="s">
        <v>382</v>
      </c>
      <c r="S135" t="s">
        <v>382</v>
      </c>
      <c r="T135" t="s">
        <v>382</v>
      </c>
      <c r="U135" t="s">
        <v>382</v>
      </c>
      <c r="V135" t="s">
        <v>382</v>
      </c>
      <c r="W135" t="s">
        <v>382</v>
      </c>
      <c r="X135" t="s">
        <v>382</v>
      </c>
      <c r="Y135" t="s">
        <v>382</v>
      </c>
      <c r="Z135" t="s">
        <v>382</v>
      </c>
      <c r="AA135" t="s">
        <v>382</v>
      </c>
      <c r="AB135" t="s">
        <v>382</v>
      </c>
      <c r="AC135">
        <v>5</v>
      </c>
      <c r="AD135">
        <v>4</v>
      </c>
      <c r="AF135" t="s">
        <v>386</v>
      </c>
      <c r="AH135" t="s">
        <v>29</v>
      </c>
      <c r="AI135" t="s">
        <v>103</v>
      </c>
      <c r="AK135">
        <v>2967</v>
      </c>
      <c r="AL135">
        <v>1030</v>
      </c>
    </row>
    <row r="136" spans="1:38">
      <c r="A136" t="s">
        <v>382</v>
      </c>
      <c r="B136" t="s">
        <v>382</v>
      </c>
      <c r="C136" t="s">
        <v>382</v>
      </c>
      <c r="D136" t="s">
        <v>382</v>
      </c>
      <c r="E136" t="s">
        <v>382</v>
      </c>
      <c r="F136" t="s">
        <v>382</v>
      </c>
      <c r="G136" t="s">
        <v>382</v>
      </c>
      <c r="H136" t="s">
        <v>382</v>
      </c>
      <c r="I136" t="s">
        <v>382</v>
      </c>
      <c r="J136" t="s">
        <v>382</v>
      </c>
      <c r="K136" t="s">
        <v>382</v>
      </c>
      <c r="L136" t="s">
        <v>382</v>
      </c>
      <c r="M136" t="s">
        <v>382</v>
      </c>
      <c r="N136" t="s">
        <v>382</v>
      </c>
      <c r="O136" t="s">
        <v>382</v>
      </c>
      <c r="P136" t="s">
        <v>382</v>
      </c>
      <c r="Q136" t="s">
        <v>382</v>
      </c>
      <c r="R136" t="s">
        <v>382</v>
      </c>
      <c r="S136" t="s">
        <v>382</v>
      </c>
      <c r="T136" t="s">
        <v>382</v>
      </c>
      <c r="U136" t="s">
        <v>382</v>
      </c>
      <c r="V136" t="s">
        <v>382</v>
      </c>
      <c r="W136" t="s">
        <v>382</v>
      </c>
      <c r="X136" t="s">
        <v>382</v>
      </c>
      <c r="Y136" t="s">
        <v>382</v>
      </c>
      <c r="Z136" t="s">
        <v>382</v>
      </c>
      <c r="AA136" t="s">
        <v>382</v>
      </c>
      <c r="AB136" t="s">
        <v>382</v>
      </c>
      <c r="AC136">
        <v>5</v>
      </c>
      <c r="AD136">
        <v>5</v>
      </c>
      <c r="AF136" t="s">
        <v>386</v>
      </c>
      <c r="AH136" t="s">
        <v>29</v>
      </c>
      <c r="AI136" t="s">
        <v>103</v>
      </c>
      <c r="AK136">
        <v>1595</v>
      </c>
      <c r="AL136">
        <v>1152</v>
      </c>
    </row>
    <row r="137" spans="1:38">
      <c r="A137" t="s">
        <v>382</v>
      </c>
      <c r="B137" t="s">
        <v>382</v>
      </c>
      <c r="C137" t="s">
        <v>382</v>
      </c>
      <c r="D137" t="s">
        <v>382</v>
      </c>
      <c r="E137" t="s">
        <v>382</v>
      </c>
      <c r="F137" t="s">
        <v>382</v>
      </c>
      <c r="G137" t="s">
        <v>382</v>
      </c>
      <c r="H137" t="s">
        <v>382</v>
      </c>
      <c r="I137" t="s">
        <v>382</v>
      </c>
      <c r="J137" t="s">
        <v>382</v>
      </c>
      <c r="K137" t="s">
        <v>382</v>
      </c>
      <c r="L137" t="s">
        <v>382</v>
      </c>
      <c r="M137" t="s">
        <v>382</v>
      </c>
      <c r="N137" t="s">
        <v>382</v>
      </c>
      <c r="O137" t="s">
        <v>382</v>
      </c>
      <c r="P137" t="s">
        <v>382</v>
      </c>
      <c r="Q137" t="s">
        <v>382</v>
      </c>
      <c r="R137" t="s">
        <v>382</v>
      </c>
      <c r="S137" t="s">
        <v>382</v>
      </c>
      <c r="T137" t="s">
        <v>382</v>
      </c>
      <c r="U137" t="s">
        <v>382</v>
      </c>
      <c r="V137" t="s">
        <v>382</v>
      </c>
      <c r="W137" t="s">
        <v>382</v>
      </c>
      <c r="X137" t="s">
        <v>382</v>
      </c>
      <c r="Y137" t="s">
        <v>382</v>
      </c>
      <c r="Z137" t="s">
        <v>382</v>
      </c>
      <c r="AA137" t="s">
        <v>382</v>
      </c>
      <c r="AB137" t="s">
        <v>382</v>
      </c>
      <c r="AC137">
        <v>5</v>
      </c>
      <c r="AD137">
        <v>1</v>
      </c>
      <c r="AE137">
        <v>1</v>
      </c>
      <c r="AF137" t="s">
        <v>393</v>
      </c>
      <c r="AH137" t="s">
        <v>51</v>
      </c>
      <c r="AI137" t="s">
        <v>97</v>
      </c>
      <c r="AK137">
        <v>654</v>
      </c>
      <c r="AL137">
        <v>1338</v>
      </c>
    </row>
    <row r="138" spans="1:38">
      <c r="A138" t="s">
        <v>382</v>
      </c>
      <c r="B138" t="s">
        <v>382</v>
      </c>
      <c r="C138" t="s">
        <v>382</v>
      </c>
      <c r="D138" t="s">
        <v>382</v>
      </c>
      <c r="E138" t="s">
        <v>382</v>
      </c>
      <c r="F138" t="s">
        <v>382</v>
      </c>
      <c r="G138" t="s">
        <v>382</v>
      </c>
      <c r="H138" t="s">
        <v>382</v>
      </c>
      <c r="I138" t="s">
        <v>382</v>
      </c>
      <c r="J138" t="s">
        <v>382</v>
      </c>
      <c r="K138" t="s">
        <v>382</v>
      </c>
      <c r="L138" t="s">
        <v>382</v>
      </c>
      <c r="M138" t="s">
        <v>382</v>
      </c>
      <c r="N138" t="s">
        <v>382</v>
      </c>
      <c r="O138" t="s">
        <v>382</v>
      </c>
      <c r="P138" t="s">
        <v>382</v>
      </c>
      <c r="Q138" t="s">
        <v>382</v>
      </c>
      <c r="R138" t="s">
        <v>382</v>
      </c>
      <c r="S138" t="s">
        <v>382</v>
      </c>
      <c r="T138" t="s">
        <v>382</v>
      </c>
      <c r="U138" t="s">
        <v>382</v>
      </c>
      <c r="V138" t="s">
        <v>382</v>
      </c>
      <c r="W138" t="s">
        <v>382</v>
      </c>
      <c r="X138" t="s">
        <v>382</v>
      </c>
      <c r="Y138" t="s">
        <v>382</v>
      </c>
      <c r="Z138" t="s">
        <v>382</v>
      </c>
      <c r="AA138" t="s">
        <v>382</v>
      </c>
      <c r="AB138" t="s">
        <v>382</v>
      </c>
      <c r="AC138">
        <v>5</v>
      </c>
      <c r="AD138">
        <v>2</v>
      </c>
      <c r="AE138">
        <v>1</v>
      </c>
      <c r="AF138" t="s">
        <v>400</v>
      </c>
      <c r="AH138" t="s">
        <v>89</v>
      </c>
      <c r="AI138" t="s">
        <v>97</v>
      </c>
      <c r="AK138">
        <v>2437</v>
      </c>
      <c r="AL138">
        <v>1415</v>
      </c>
    </row>
    <row r="139" spans="1:38">
      <c r="A139" t="s">
        <v>382</v>
      </c>
      <c r="B139" t="s">
        <v>382</v>
      </c>
      <c r="C139" t="s">
        <v>382</v>
      </c>
      <c r="D139" t="s">
        <v>382</v>
      </c>
      <c r="E139" t="s">
        <v>382</v>
      </c>
      <c r="F139" t="s">
        <v>382</v>
      </c>
      <c r="G139" t="s">
        <v>382</v>
      </c>
      <c r="H139" t="s">
        <v>382</v>
      </c>
      <c r="I139" t="s">
        <v>382</v>
      </c>
      <c r="J139" t="s">
        <v>382</v>
      </c>
      <c r="K139" t="s">
        <v>382</v>
      </c>
      <c r="L139" t="s">
        <v>382</v>
      </c>
      <c r="M139" t="s">
        <v>382</v>
      </c>
      <c r="N139" t="s">
        <v>382</v>
      </c>
      <c r="O139" t="s">
        <v>382</v>
      </c>
      <c r="P139" t="s">
        <v>382</v>
      </c>
      <c r="Q139" t="s">
        <v>382</v>
      </c>
      <c r="R139" t="s">
        <v>382</v>
      </c>
      <c r="S139" t="s">
        <v>382</v>
      </c>
      <c r="T139" t="s">
        <v>382</v>
      </c>
      <c r="U139" t="s">
        <v>382</v>
      </c>
      <c r="V139" t="s">
        <v>382</v>
      </c>
      <c r="W139" t="s">
        <v>382</v>
      </c>
      <c r="X139" t="s">
        <v>382</v>
      </c>
      <c r="Y139" t="s">
        <v>382</v>
      </c>
      <c r="Z139" t="s">
        <v>382</v>
      </c>
      <c r="AA139" t="s">
        <v>382</v>
      </c>
      <c r="AB139" t="s">
        <v>382</v>
      </c>
      <c r="AC139">
        <v>5</v>
      </c>
      <c r="AD139">
        <v>3</v>
      </c>
      <c r="AF139" t="s">
        <v>386</v>
      </c>
      <c r="AH139" t="s">
        <v>29</v>
      </c>
      <c r="AI139" t="s">
        <v>103</v>
      </c>
      <c r="AK139">
        <v>742</v>
      </c>
      <c r="AL139">
        <v>2091</v>
      </c>
    </row>
    <row r="140" spans="1:38">
      <c r="A140" t="s">
        <v>382</v>
      </c>
      <c r="B140" t="s">
        <v>382</v>
      </c>
      <c r="C140" t="s">
        <v>382</v>
      </c>
      <c r="D140" t="s">
        <v>382</v>
      </c>
      <c r="E140" t="s">
        <v>382</v>
      </c>
      <c r="F140" t="s">
        <v>382</v>
      </c>
      <c r="G140" t="s">
        <v>382</v>
      </c>
      <c r="H140" t="s">
        <v>382</v>
      </c>
      <c r="I140" t="s">
        <v>382</v>
      </c>
      <c r="J140" t="s">
        <v>382</v>
      </c>
      <c r="K140" t="s">
        <v>382</v>
      </c>
      <c r="L140" t="s">
        <v>382</v>
      </c>
      <c r="M140" t="s">
        <v>382</v>
      </c>
      <c r="N140" t="s">
        <v>382</v>
      </c>
      <c r="O140" t="s">
        <v>382</v>
      </c>
      <c r="P140" t="s">
        <v>382</v>
      </c>
      <c r="Q140" t="s">
        <v>382</v>
      </c>
      <c r="R140" t="s">
        <v>382</v>
      </c>
      <c r="S140" t="s">
        <v>382</v>
      </c>
      <c r="T140" t="s">
        <v>382</v>
      </c>
      <c r="U140" t="s">
        <v>382</v>
      </c>
      <c r="V140" t="s">
        <v>382</v>
      </c>
      <c r="W140" t="s">
        <v>382</v>
      </c>
      <c r="X140" t="s">
        <v>382</v>
      </c>
      <c r="Y140" t="s">
        <v>382</v>
      </c>
      <c r="Z140" t="s">
        <v>382</v>
      </c>
      <c r="AA140" t="s">
        <v>382</v>
      </c>
      <c r="AB140" t="s">
        <v>382</v>
      </c>
      <c r="AC140">
        <v>5</v>
      </c>
      <c r="AD140">
        <v>4</v>
      </c>
      <c r="AE140">
        <v>1</v>
      </c>
      <c r="AF140" t="s">
        <v>393</v>
      </c>
      <c r="AH140" t="s">
        <v>51</v>
      </c>
      <c r="AI140" t="s">
        <v>97</v>
      </c>
      <c r="AK140">
        <v>1488</v>
      </c>
      <c r="AL140">
        <v>739</v>
      </c>
    </row>
    <row r="141" spans="1:38">
      <c r="A141" t="s">
        <v>382</v>
      </c>
      <c r="B141" t="s">
        <v>382</v>
      </c>
      <c r="C141" t="s">
        <v>382</v>
      </c>
      <c r="D141" t="s">
        <v>382</v>
      </c>
      <c r="E141" t="s">
        <v>382</v>
      </c>
      <c r="F141" t="s">
        <v>382</v>
      </c>
      <c r="G141" t="s">
        <v>382</v>
      </c>
      <c r="H141" t="s">
        <v>382</v>
      </c>
      <c r="I141" t="s">
        <v>382</v>
      </c>
      <c r="J141" t="s">
        <v>382</v>
      </c>
      <c r="K141" t="s">
        <v>382</v>
      </c>
      <c r="L141" t="s">
        <v>382</v>
      </c>
      <c r="M141" t="s">
        <v>382</v>
      </c>
      <c r="N141" t="s">
        <v>382</v>
      </c>
      <c r="O141" t="s">
        <v>382</v>
      </c>
      <c r="P141" t="s">
        <v>382</v>
      </c>
      <c r="Q141" t="s">
        <v>382</v>
      </c>
      <c r="R141" t="s">
        <v>382</v>
      </c>
      <c r="S141" t="s">
        <v>382</v>
      </c>
      <c r="T141" t="s">
        <v>382</v>
      </c>
      <c r="U141" t="s">
        <v>382</v>
      </c>
      <c r="V141" t="s">
        <v>382</v>
      </c>
      <c r="W141" t="s">
        <v>382</v>
      </c>
      <c r="X141" t="s">
        <v>382</v>
      </c>
      <c r="Y141" t="s">
        <v>382</v>
      </c>
      <c r="Z141" t="s">
        <v>382</v>
      </c>
      <c r="AA141" t="s">
        <v>382</v>
      </c>
      <c r="AB141" t="s">
        <v>382</v>
      </c>
      <c r="AC141">
        <v>5</v>
      </c>
      <c r="AD141">
        <v>5</v>
      </c>
      <c r="AE141">
        <v>1</v>
      </c>
      <c r="AF141" t="s">
        <v>400</v>
      </c>
      <c r="AH141" t="s">
        <v>89</v>
      </c>
      <c r="AI141" t="s">
        <v>97</v>
      </c>
      <c r="AK141">
        <v>2979</v>
      </c>
      <c r="AL141">
        <v>2425</v>
      </c>
    </row>
    <row r="142" spans="1:38">
      <c r="A142" t="s">
        <v>382</v>
      </c>
      <c r="B142" t="s">
        <v>382</v>
      </c>
      <c r="C142" t="s">
        <v>382</v>
      </c>
      <c r="D142" t="s">
        <v>382</v>
      </c>
      <c r="E142" t="s">
        <v>382</v>
      </c>
      <c r="F142" t="s">
        <v>382</v>
      </c>
      <c r="G142" t="s">
        <v>382</v>
      </c>
      <c r="H142" t="s">
        <v>382</v>
      </c>
      <c r="I142" t="s">
        <v>382</v>
      </c>
      <c r="J142" t="s">
        <v>382</v>
      </c>
      <c r="K142" t="s">
        <v>382</v>
      </c>
      <c r="L142" t="s">
        <v>382</v>
      </c>
      <c r="M142" t="s">
        <v>382</v>
      </c>
      <c r="N142" t="s">
        <v>382</v>
      </c>
      <c r="O142" t="s">
        <v>382</v>
      </c>
      <c r="P142" t="s">
        <v>382</v>
      </c>
      <c r="Q142" t="s">
        <v>382</v>
      </c>
      <c r="R142" t="s">
        <v>382</v>
      </c>
      <c r="S142" t="s">
        <v>382</v>
      </c>
      <c r="T142" t="s">
        <v>382</v>
      </c>
      <c r="U142" t="s">
        <v>382</v>
      </c>
      <c r="V142" t="s">
        <v>382</v>
      </c>
      <c r="W142" t="s">
        <v>382</v>
      </c>
      <c r="X142" t="s">
        <v>382</v>
      </c>
      <c r="Y142" t="s">
        <v>382</v>
      </c>
      <c r="Z142" t="s">
        <v>382</v>
      </c>
      <c r="AA142" t="s">
        <v>382</v>
      </c>
      <c r="AB142" t="s">
        <v>382</v>
      </c>
      <c r="AC142">
        <v>5</v>
      </c>
      <c r="AD142">
        <v>1</v>
      </c>
      <c r="AE142">
        <v>1</v>
      </c>
      <c r="AF142" t="s">
        <v>387</v>
      </c>
      <c r="AH142" t="s">
        <v>31</v>
      </c>
      <c r="AI142" t="s">
        <v>97</v>
      </c>
      <c r="AK142">
        <v>2877</v>
      </c>
      <c r="AL142">
        <v>1055</v>
      </c>
    </row>
    <row r="143" spans="1:38">
      <c r="A143" t="s">
        <v>382</v>
      </c>
      <c r="B143" t="s">
        <v>382</v>
      </c>
      <c r="C143" t="s">
        <v>382</v>
      </c>
      <c r="D143" t="s">
        <v>382</v>
      </c>
      <c r="E143" t="s">
        <v>382</v>
      </c>
      <c r="F143" t="s">
        <v>382</v>
      </c>
      <c r="G143" t="s">
        <v>382</v>
      </c>
      <c r="H143" t="s">
        <v>382</v>
      </c>
      <c r="I143" t="s">
        <v>382</v>
      </c>
      <c r="J143" t="s">
        <v>382</v>
      </c>
      <c r="K143" t="s">
        <v>382</v>
      </c>
      <c r="L143" t="s">
        <v>382</v>
      </c>
      <c r="M143" t="s">
        <v>382</v>
      </c>
      <c r="N143" t="s">
        <v>382</v>
      </c>
      <c r="O143" t="s">
        <v>382</v>
      </c>
      <c r="P143" t="s">
        <v>382</v>
      </c>
      <c r="Q143" t="s">
        <v>382</v>
      </c>
      <c r="R143" t="s">
        <v>382</v>
      </c>
      <c r="S143" t="s">
        <v>382</v>
      </c>
      <c r="T143" t="s">
        <v>382</v>
      </c>
      <c r="U143" t="s">
        <v>382</v>
      </c>
      <c r="V143" t="s">
        <v>382</v>
      </c>
      <c r="W143" t="s">
        <v>382</v>
      </c>
      <c r="X143" t="s">
        <v>382</v>
      </c>
      <c r="Y143" t="s">
        <v>382</v>
      </c>
      <c r="Z143" t="s">
        <v>382</v>
      </c>
      <c r="AA143" t="s">
        <v>382</v>
      </c>
      <c r="AB143" t="s">
        <v>382</v>
      </c>
      <c r="AC143">
        <v>5</v>
      </c>
      <c r="AD143">
        <v>2</v>
      </c>
      <c r="AF143" t="s">
        <v>386</v>
      </c>
      <c r="AH143" t="s">
        <v>29</v>
      </c>
      <c r="AI143" t="s">
        <v>103</v>
      </c>
      <c r="AK143">
        <v>579</v>
      </c>
      <c r="AL143">
        <v>957</v>
      </c>
    </row>
    <row r="144" spans="1:38">
      <c r="A144" t="s">
        <v>382</v>
      </c>
      <c r="B144" t="s">
        <v>382</v>
      </c>
      <c r="C144" t="s">
        <v>382</v>
      </c>
      <c r="D144" t="s">
        <v>382</v>
      </c>
      <c r="E144" t="s">
        <v>382</v>
      </c>
      <c r="F144" t="s">
        <v>382</v>
      </c>
      <c r="G144" t="s">
        <v>382</v>
      </c>
      <c r="H144" t="s">
        <v>382</v>
      </c>
      <c r="I144" t="s">
        <v>382</v>
      </c>
      <c r="J144" t="s">
        <v>382</v>
      </c>
      <c r="K144" t="s">
        <v>382</v>
      </c>
      <c r="L144" t="s">
        <v>382</v>
      </c>
      <c r="M144" t="s">
        <v>382</v>
      </c>
      <c r="N144" t="s">
        <v>382</v>
      </c>
      <c r="O144" t="s">
        <v>382</v>
      </c>
      <c r="P144" t="s">
        <v>382</v>
      </c>
      <c r="Q144" t="s">
        <v>382</v>
      </c>
      <c r="R144" t="s">
        <v>382</v>
      </c>
      <c r="S144" t="s">
        <v>382</v>
      </c>
      <c r="T144" t="s">
        <v>382</v>
      </c>
      <c r="U144" t="s">
        <v>382</v>
      </c>
      <c r="V144" t="s">
        <v>382</v>
      </c>
      <c r="W144" t="s">
        <v>382</v>
      </c>
      <c r="X144" t="s">
        <v>382</v>
      </c>
      <c r="Y144" t="s">
        <v>382</v>
      </c>
      <c r="Z144" t="s">
        <v>382</v>
      </c>
      <c r="AA144" t="s">
        <v>382</v>
      </c>
      <c r="AB144" t="s">
        <v>382</v>
      </c>
      <c r="AC144">
        <v>5</v>
      </c>
      <c r="AD144">
        <v>3</v>
      </c>
      <c r="AF144" t="s">
        <v>386</v>
      </c>
      <c r="AH144" t="s">
        <v>29</v>
      </c>
      <c r="AI144" t="s">
        <v>103</v>
      </c>
      <c r="AK144">
        <v>1259</v>
      </c>
      <c r="AL144">
        <v>1015</v>
      </c>
    </row>
    <row r="145" spans="1:38">
      <c r="A145" t="s">
        <v>382</v>
      </c>
      <c r="B145" t="s">
        <v>382</v>
      </c>
      <c r="C145" t="s">
        <v>382</v>
      </c>
      <c r="D145" t="s">
        <v>382</v>
      </c>
      <c r="E145" t="s">
        <v>382</v>
      </c>
      <c r="F145" t="s">
        <v>382</v>
      </c>
      <c r="G145" t="s">
        <v>382</v>
      </c>
      <c r="H145" t="s">
        <v>382</v>
      </c>
      <c r="I145" t="s">
        <v>382</v>
      </c>
      <c r="J145" t="s">
        <v>382</v>
      </c>
      <c r="K145" t="s">
        <v>382</v>
      </c>
      <c r="L145" t="s">
        <v>382</v>
      </c>
      <c r="M145" t="s">
        <v>382</v>
      </c>
      <c r="N145" t="s">
        <v>382</v>
      </c>
      <c r="O145" t="s">
        <v>382</v>
      </c>
      <c r="P145" t="s">
        <v>382</v>
      </c>
      <c r="Q145" t="s">
        <v>382</v>
      </c>
      <c r="R145" t="s">
        <v>382</v>
      </c>
      <c r="S145" t="s">
        <v>382</v>
      </c>
      <c r="T145" t="s">
        <v>382</v>
      </c>
      <c r="U145" t="s">
        <v>382</v>
      </c>
      <c r="V145" t="s">
        <v>382</v>
      </c>
      <c r="W145" t="s">
        <v>382</v>
      </c>
      <c r="X145" t="s">
        <v>382</v>
      </c>
      <c r="Y145" t="s">
        <v>382</v>
      </c>
      <c r="Z145" t="s">
        <v>382</v>
      </c>
      <c r="AA145" t="s">
        <v>382</v>
      </c>
      <c r="AB145" t="s">
        <v>382</v>
      </c>
      <c r="AC145">
        <v>5</v>
      </c>
      <c r="AD145">
        <v>4</v>
      </c>
      <c r="AF145" t="s">
        <v>386</v>
      </c>
      <c r="AH145" t="s">
        <v>29</v>
      </c>
      <c r="AI145" t="s">
        <v>103</v>
      </c>
      <c r="AK145">
        <v>1303</v>
      </c>
      <c r="AL145">
        <v>527</v>
      </c>
    </row>
    <row r="146" spans="1:38">
      <c r="A146" t="s">
        <v>382</v>
      </c>
      <c r="B146" t="s">
        <v>382</v>
      </c>
      <c r="C146" t="s">
        <v>382</v>
      </c>
      <c r="D146" t="s">
        <v>382</v>
      </c>
      <c r="E146" t="s">
        <v>382</v>
      </c>
      <c r="F146" t="s">
        <v>382</v>
      </c>
      <c r="G146" t="s">
        <v>382</v>
      </c>
      <c r="H146" t="s">
        <v>382</v>
      </c>
      <c r="I146" t="s">
        <v>382</v>
      </c>
      <c r="J146" t="s">
        <v>382</v>
      </c>
      <c r="K146" t="s">
        <v>382</v>
      </c>
      <c r="L146" t="s">
        <v>382</v>
      </c>
      <c r="M146" t="s">
        <v>382</v>
      </c>
      <c r="N146" t="s">
        <v>382</v>
      </c>
      <c r="O146" t="s">
        <v>382</v>
      </c>
      <c r="P146" t="s">
        <v>382</v>
      </c>
      <c r="Q146" t="s">
        <v>382</v>
      </c>
      <c r="R146" t="s">
        <v>382</v>
      </c>
      <c r="S146" t="s">
        <v>382</v>
      </c>
      <c r="T146" t="s">
        <v>382</v>
      </c>
      <c r="U146" t="s">
        <v>382</v>
      </c>
      <c r="V146" t="s">
        <v>382</v>
      </c>
      <c r="W146" t="s">
        <v>382</v>
      </c>
      <c r="X146" t="s">
        <v>382</v>
      </c>
      <c r="Y146" t="s">
        <v>382</v>
      </c>
      <c r="Z146" t="s">
        <v>382</v>
      </c>
      <c r="AA146" t="s">
        <v>382</v>
      </c>
      <c r="AB146" t="s">
        <v>382</v>
      </c>
      <c r="AC146">
        <v>5</v>
      </c>
      <c r="AD146">
        <v>5</v>
      </c>
      <c r="AF146" t="s">
        <v>385</v>
      </c>
      <c r="AH146" t="s">
        <v>27</v>
      </c>
      <c r="AI146" t="s">
        <v>109</v>
      </c>
      <c r="AK146">
        <v>1359</v>
      </c>
      <c r="AL146">
        <v>633</v>
      </c>
    </row>
    <row r="147" spans="1:38">
      <c r="A147" t="s">
        <v>382</v>
      </c>
      <c r="B147" t="s">
        <v>382</v>
      </c>
      <c r="C147" t="s">
        <v>382</v>
      </c>
      <c r="D147" t="s">
        <v>382</v>
      </c>
      <c r="E147" t="s">
        <v>382</v>
      </c>
      <c r="F147" t="s">
        <v>382</v>
      </c>
      <c r="G147" t="s">
        <v>382</v>
      </c>
      <c r="H147" t="s">
        <v>382</v>
      </c>
      <c r="I147" t="s">
        <v>382</v>
      </c>
      <c r="J147" t="s">
        <v>382</v>
      </c>
      <c r="K147" t="s">
        <v>382</v>
      </c>
      <c r="L147" t="s">
        <v>382</v>
      </c>
      <c r="M147" t="s">
        <v>382</v>
      </c>
      <c r="N147" t="s">
        <v>382</v>
      </c>
      <c r="O147" t="s">
        <v>382</v>
      </c>
      <c r="P147" t="s">
        <v>382</v>
      </c>
      <c r="Q147" t="s">
        <v>382</v>
      </c>
      <c r="R147" t="s">
        <v>382</v>
      </c>
      <c r="S147" t="s">
        <v>382</v>
      </c>
      <c r="T147" t="s">
        <v>382</v>
      </c>
      <c r="U147" t="s">
        <v>382</v>
      </c>
      <c r="V147" t="s">
        <v>382</v>
      </c>
      <c r="W147" t="s">
        <v>382</v>
      </c>
      <c r="X147" t="s">
        <v>382</v>
      </c>
      <c r="Y147" t="s">
        <v>382</v>
      </c>
      <c r="Z147" t="s">
        <v>382</v>
      </c>
      <c r="AA147" t="s">
        <v>382</v>
      </c>
      <c r="AB147" t="s">
        <v>382</v>
      </c>
      <c r="AC147">
        <v>5</v>
      </c>
      <c r="AD147">
        <v>1</v>
      </c>
      <c r="AF147" t="s">
        <v>385</v>
      </c>
      <c r="AH147" t="s">
        <v>27</v>
      </c>
      <c r="AI147" t="s">
        <v>109</v>
      </c>
      <c r="AK147">
        <v>2283</v>
      </c>
      <c r="AL147">
        <v>1458</v>
      </c>
    </row>
    <row r="148" spans="1:38">
      <c r="A148" t="s">
        <v>382</v>
      </c>
      <c r="B148" t="s">
        <v>382</v>
      </c>
      <c r="C148" t="s">
        <v>382</v>
      </c>
      <c r="D148" t="s">
        <v>382</v>
      </c>
      <c r="E148" t="s">
        <v>382</v>
      </c>
      <c r="F148" t="s">
        <v>382</v>
      </c>
      <c r="G148" t="s">
        <v>382</v>
      </c>
      <c r="H148" t="s">
        <v>382</v>
      </c>
      <c r="I148" t="s">
        <v>382</v>
      </c>
      <c r="J148" t="s">
        <v>382</v>
      </c>
      <c r="K148" t="s">
        <v>382</v>
      </c>
      <c r="L148" t="s">
        <v>382</v>
      </c>
      <c r="M148" t="s">
        <v>382</v>
      </c>
      <c r="N148" t="s">
        <v>382</v>
      </c>
      <c r="O148" t="s">
        <v>382</v>
      </c>
      <c r="P148" t="s">
        <v>382</v>
      </c>
      <c r="Q148" t="s">
        <v>382</v>
      </c>
      <c r="R148" t="s">
        <v>382</v>
      </c>
      <c r="S148" t="s">
        <v>382</v>
      </c>
      <c r="T148" t="s">
        <v>382</v>
      </c>
      <c r="U148" t="s">
        <v>382</v>
      </c>
      <c r="V148" t="s">
        <v>382</v>
      </c>
      <c r="W148" t="s">
        <v>382</v>
      </c>
      <c r="X148" t="s">
        <v>382</v>
      </c>
      <c r="Y148" t="s">
        <v>382</v>
      </c>
      <c r="Z148" t="s">
        <v>382</v>
      </c>
      <c r="AA148" t="s">
        <v>382</v>
      </c>
      <c r="AB148" t="s">
        <v>382</v>
      </c>
      <c r="AC148">
        <v>5</v>
      </c>
      <c r="AD148">
        <v>2</v>
      </c>
      <c r="AF148" t="s">
        <v>384</v>
      </c>
      <c r="AH148" t="s">
        <v>25</v>
      </c>
      <c r="AI148" t="s">
        <v>106</v>
      </c>
      <c r="AK148">
        <v>1572</v>
      </c>
      <c r="AL148">
        <v>1907</v>
      </c>
    </row>
    <row r="149" spans="1:38">
      <c r="A149" t="s">
        <v>382</v>
      </c>
      <c r="B149" t="s">
        <v>382</v>
      </c>
      <c r="C149" t="s">
        <v>382</v>
      </c>
      <c r="D149" t="s">
        <v>382</v>
      </c>
      <c r="E149" t="s">
        <v>382</v>
      </c>
      <c r="F149" t="s">
        <v>382</v>
      </c>
      <c r="G149" t="s">
        <v>382</v>
      </c>
      <c r="H149" t="s">
        <v>382</v>
      </c>
      <c r="I149" t="s">
        <v>382</v>
      </c>
      <c r="J149" t="s">
        <v>382</v>
      </c>
      <c r="K149" t="s">
        <v>382</v>
      </c>
      <c r="L149" t="s">
        <v>382</v>
      </c>
      <c r="M149" t="s">
        <v>382</v>
      </c>
      <c r="N149" t="s">
        <v>382</v>
      </c>
      <c r="O149" t="s">
        <v>382</v>
      </c>
      <c r="P149" t="s">
        <v>382</v>
      </c>
      <c r="Q149" t="s">
        <v>382</v>
      </c>
      <c r="R149" t="s">
        <v>382</v>
      </c>
      <c r="S149" t="s">
        <v>382</v>
      </c>
      <c r="T149" t="s">
        <v>382</v>
      </c>
      <c r="U149" t="s">
        <v>382</v>
      </c>
      <c r="V149" t="s">
        <v>382</v>
      </c>
      <c r="W149" t="s">
        <v>382</v>
      </c>
      <c r="X149" t="s">
        <v>382</v>
      </c>
      <c r="Y149" t="s">
        <v>382</v>
      </c>
      <c r="Z149" t="s">
        <v>382</v>
      </c>
      <c r="AA149" t="s">
        <v>382</v>
      </c>
      <c r="AB149" t="s">
        <v>382</v>
      </c>
      <c r="AC149">
        <v>5</v>
      </c>
      <c r="AD149">
        <v>3</v>
      </c>
      <c r="AE149">
        <v>1</v>
      </c>
      <c r="AF149" t="s">
        <v>398</v>
      </c>
      <c r="AH149" t="s">
        <v>69</v>
      </c>
      <c r="AI149" t="s">
        <v>97</v>
      </c>
      <c r="AK149">
        <v>1115</v>
      </c>
      <c r="AL149">
        <v>334</v>
      </c>
    </row>
    <row r="150" spans="1:38">
      <c r="A150" t="s">
        <v>382</v>
      </c>
      <c r="B150" t="s">
        <v>382</v>
      </c>
      <c r="C150" t="s">
        <v>382</v>
      </c>
      <c r="D150" t="s">
        <v>382</v>
      </c>
      <c r="E150" t="s">
        <v>382</v>
      </c>
      <c r="F150" t="s">
        <v>382</v>
      </c>
      <c r="G150" t="s">
        <v>382</v>
      </c>
      <c r="H150" t="s">
        <v>382</v>
      </c>
      <c r="I150" t="s">
        <v>382</v>
      </c>
      <c r="J150" t="s">
        <v>382</v>
      </c>
      <c r="K150" t="s">
        <v>382</v>
      </c>
      <c r="L150" t="s">
        <v>382</v>
      </c>
      <c r="M150" t="s">
        <v>382</v>
      </c>
      <c r="N150" t="s">
        <v>382</v>
      </c>
      <c r="O150" t="s">
        <v>382</v>
      </c>
      <c r="P150" t="s">
        <v>382</v>
      </c>
      <c r="Q150" t="s">
        <v>382</v>
      </c>
      <c r="R150" t="s">
        <v>382</v>
      </c>
      <c r="S150" t="s">
        <v>382</v>
      </c>
      <c r="T150" t="s">
        <v>382</v>
      </c>
      <c r="U150" t="s">
        <v>382</v>
      </c>
      <c r="V150" t="s">
        <v>382</v>
      </c>
      <c r="W150" t="s">
        <v>382</v>
      </c>
      <c r="X150" t="s">
        <v>382</v>
      </c>
      <c r="Y150" t="s">
        <v>382</v>
      </c>
      <c r="Z150" t="s">
        <v>382</v>
      </c>
      <c r="AA150" t="s">
        <v>382</v>
      </c>
      <c r="AB150" t="s">
        <v>382</v>
      </c>
      <c r="AC150">
        <v>5</v>
      </c>
      <c r="AD150">
        <v>4</v>
      </c>
      <c r="AE150">
        <v>1</v>
      </c>
      <c r="AF150" t="s">
        <v>398</v>
      </c>
      <c r="AH150" t="s">
        <v>69</v>
      </c>
      <c r="AI150" t="s">
        <v>97</v>
      </c>
      <c r="AK150">
        <v>2044</v>
      </c>
      <c r="AL150">
        <v>1875</v>
      </c>
    </row>
    <row r="151" spans="1:38">
      <c r="A151" t="s">
        <v>382</v>
      </c>
      <c r="B151" t="s">
        <v>382</v>
      </c>
      <c r="C151" t="s">
        <v>382</v>
      </c>
      <c r="D151" t="s">
        <v>382</v>
      </c>
      <c r="E151" t="s">
        <v>382</v>
      </c>
      <c r="F151" t="s">
        <v>382</v>
      </c>
      <c r="G151" t="s">
        <v>382</v>
      </c>
      <c r="H151" t="s">
        <v>382</v>
      </c>
      <c r="I151" t="s">
        <v>382</v>
      </c>
      <c r="J151" t="s">
        <v>382</v>
      </c>
      <c r="K151" t="s">
        <v>382</v>
      </c>
      <c r="L151" t="s">
        <v>382</v>
      </c>
      <c r="M151" t="s">
        <v>382</v>
      </c>
      <c r="N151" t="s">
        <v>382</v>
      </c>
      <c r="O151" t="s">
        <v>382</v>
      </c>
      <c r="P151" t="s">
        <v>382</v>
      </c>
      <c r="Q151" t="s">
        <v>382</v>
      </c>
      <c r="R151" t="s">
        <v>382</v>
      </c>
      <c r="S151" t="s">
        <v>382</v>
      </c>
      <c r="T151" t="s">
        <v>382</v>
      </c>
      <c r="U151" t="s">
        <v>382</v>
      </c>
      <c r="V151" t="s">
        <v>382</v>
      </c>
      <c r="W151" t="s">
        <v>382</v>
      </c>
      <c r="X151" t="s">
        <v>382</v>
      </c>
      <c r="Y151" t="s">
        <v>382</v>
      </c>
      <c r="Z151" t="s">
        <v>382</v>
      </c>
      <c r="AA151" t="s">
        <v>382</v>
      </c>
      <c r="AB151" t="s">
        <v>382</v>
      </c>
      <c r="AC151">
        <v>5</v>
      </c>
      <c r="AD151">
        <v>5</v>
      </c>
      <c r="AF151" t="s">
        <v>385</v>
      </c>
      <c r="AH151" t="s">
        <v>27</v>
      </c>
      <c r="AI151" t="s">
        <v>109</v>
      </c>
      <c r="AK151">
        <v>3070</v>
      </c>
      <c r="AL151">
        <v>694</v>
      </c>
    </row>
    <row r="152" spans="1:38">
      <c r="A152" t="s">
        <v>382</v>
      </c>
      <c r="B152" t="s">
        <v>382</v>
      </c>
      <c r="C152" t="s">
        <v>382</v>
      </c>
      <c r="D152" t="s">
        <v>382</v>
      </c>
      <c r="E152" t="s">
        <v>382</v>
      </c>
      <c r="F152" t="s">
        <v>382</v>
      </c>
      <c r="G152" t="s">
        <v>382</v>
      </c>
      <c r="H152" t="s">
        <v>382</v>
      </c>
      <c r="I152" t="s">
        <v>382</v>
      </c>
      <c r="J152" t="s">
        <v>382</v>
      </c>
      <c r="K152" t="s">
        <v>382</v>
      </c>
      <c r="L152" t="s">
        <v>382</v>
      </c>
      <c r="M152" t="s">
        <v>382</v>
      </c>
      <c r="N152" t="s">
        <v>382</v>
      </c>
      <c r="O152" t="s">
        <v>382</v>
      </c>
      <c r="P152" t="s">
        <v>382</v>
      </c>
      <c r="Q152" t="s">
        <v>382</v>
      </c>
      <c r="R152" t="s">
        <v>382</v>
      </c>
      <c r="S152" t="s">
        <v>382</v>
      </c>
      <c r="T152" t="s">
        <v>382</v>
      </c>
      <c r="U152" t="s">
        <v>382</v>
      </c>
      <c r="V152" t="s">
        <v>382</v>
      </c>
      <c r="W152" t="s">
        <v>382</v>
      </c>
      <c r="X152" t="s">
        <v>382</v>
      </c>
      <c r="Y152" t="s">
        <v>382</v>
      </c>
      <c r="Z152" t="s">
        <v>382</v>
      </c>
      <c r="AA152" t="s">
        <v>382</v>
      </c>
      <c r="AB152" t="s">
        <v>382</v>
      </c>
      <c r="AC152">
        <v>5</v>
      </c>
      <c r="AD152">
        <v>1</v>
      </c>
      <c r="AE152">
        <v>1</v>
      </c>
      <c r="AF152" t="s">
        <v>389</v>
      </c>
      <c r="AH152" t="s">
        <v>35</v>
      </c>
      <c r="AI152" t="s">
        <v>97</v>
      </c>
      <c r="AK152">
        <v>2109</v>
      </c>
      <c r="AL152">
        <v>1845</v>
      </c>
    </row>
    <row r="153" spans="1:38">
      <c r="A153" t="s">
        <v>382</v>
      </c>
      <c r="B153" t="s">
        <v>382</v>
      </c>
      <c r="C153" t="s">
        <v>382</v>
      </c>
      <c r="D153" t="s">
        <v>382</v>
      </c>
      <c r="E153" t="s">
        <v>382</v>
      </c>
      <c r="F153" t="s">
        <v>382</v>
      </c>
      <c r="G153" t="s">
        <v>382</v>
      </c>
      <c r="H153" t="s">
        <v>382</v>
      </c>
      <c r="I153" t="s">
        <v>382</v>
      </c>
      <c r="J153" t="s">
        <v>382</v>
      </c>
      <c r="K153" t="s">
        <v>382</v>
      </c>
      <c r="L153" t="s">
        <v>382</v>
      </c>
      <c r="M153" t="s">
        <v>382</v>
      </c>
      <c r="N153" t="s">
        <v>382</v>
      </c>
      <c r="O153" t="s">
        <v>382</v>
      </c>
      <c r="P153" t="s">
        <v>382</v>
      </c>
      <c r="Q153" t="s">
        <v>382</v>
      </c>
      <c r="R153" t="s">
        <v>382</v>
      </c>
      <c r="S153" t="s">
        <v>382</v>
      </c>
      <c r="T153" t="s">
        <v>382</v>
      </c>
      <c r="U153" t="s">
        <v>382</v>
      </c>
      <c r="V153" t="s">
        <v>382</v>
      </c>
      <c r="W153" t="s">
        <v>382</v>
      </c>
      <c r="X153" t="s">
        <v>382</v>
      </c>
      <c r="Y153" t="s">
        <v>382</v>
      </c>
      <c r="Z153" t="s">
        <v>382</v>
      </c>
      <c r="AA153" t="s">
        <v>382</v>
      </c>
      <c r="AB153" t="s">
        <v>382</v>
      </c>
      <c r="AC153">
        <v>5</v>
      </c>
      <c r="AD153">
        <v>2</v>
      </c>
      <c r="AE153">
        <v>1</v>
      </c>
      <c r="AF153" t="s">
        <v>389</v>
      </c>
      <c r="AH153" t="s">
        <v>35</v>
      </c>
      <c r="AI153" t="s">
        <v>97</v>
      </c>
      <c r="AK153">
        <v>3021</v>
      </c>
      <c r="AL153">
        <v>381</v>
      </c>
    </row>
    <row r="154" spans="1:38">
      <c r="A154" t="s">
        <v>382</v>
      </c>
      <c r="B154" t="s">
        <v>382</v>
      </c>
      <c r="C154" t="s">
        <v>382</v>
      </c>
      <c r="D154" t="s">
        <v>382</v>
      </c>
      <c r="E154" t="s">
        <v>382</v>
      </c>
      <c r="F154" t="s">
        <v>382</v>
      </c>
      <c r="G154" t="s">
        <v>382</v>
      </c>
      <c r="H154" t="s">
        <v>382</v>
      </c>
      <c r="I154" t="s">
        <v>382</v>
      </c>
      <c r="J154" t="s">
        <v>382</v>
      </c>
      <c r="K154" t="s">
        <v>382</v>
      </c>
      <c r="L154" t="s">
        <v>382</v>
      </c>
      <c r="M154" t="s">
        <v>382</v>
      </c>
      <c r="N154" t="s">
        <v>382</v>
      </c>
      <c r="O154" t="s">
        <v>382</v>
      </c>
      <c r="P154" t="s">
        <v>382</v>
      </c>
      <c r="Q154" t="s">
        <v>382</v>
      </c>
      <c r="R154" t="s">
        <v>382</v>
      </c>
      <c r="S154" t="s">
        <v>382</v>
      </c>
      <c r="T154" t="s">
        <v>382</v>
      </c>
      <c r="U154" t="s">
        <v>382</v>
      </c>
      <c r="V154" t="s">
        <v>382</v>
      </c>
      <c r="W154" t="s">
        <v>382</v>
      </c>
      <c r="X154" t="s">
        <v>382</v>
      </c>
      <c r="Y154" t="s">
        <v>382</v>
      </c>
      <c r="Z154" t="s">
        <v>382</v>
      </c>
      <c r="AA154" t="s">
        <v>382</v>
      </c>
      <c r="AB154" t="s">
        <v>382</v>
      </c>
      <c r="AC154">
        <v>5</v>
      </c>
      <c r="AD154">
        <v>3</v>
      </c>
      <c r="AE154">
        <v>1</v>
      </c>
      <c r="AF154" t="s">
        <v>389</v>
      </c>
      <c r="AH154" t="s">
        <v>35</v>
      </c>
      <c r="AI154" t="s">
        <v>97</v>
      </c>
      <c r="AK154">
        <v>1554</v>
      </c>
      <c r="AL154">
        <v>889</v>
      </c>
    </row>
    <row r="155" spans="1:38">
      <c r="A155" t="s">
        <v>382</v>
      </c>
      <c r="B155" t="s">
        <v>382</v>
      </c>
      <c r="C155" t="s">
        <v>382</v>
      </c>
      <c r="D155" t="s">
        <v>382</v>
      </c>
      <c r="E155" t="s">
        <v>382</v>
      </c>
      <c r="F155" t="s">
        <v>382</v>
      </c>
      <c r="G155" t="s">
        <v>382</v>
      </c>
      <c r="H155" t="s">
        <v>382</v>
      </c>
      <c r="I155" t="s">
        <v>382</v>
      </c>
      <c r="J155" t="s">
        <v>382</v>
      </c>
      <c r="K155" t="s">
        <v>382</v>
      </c>
      <c r="L155" t="s">
        <v>382</v>
      </c>
      <c r="M155" t="s">
        <v>382</v>
      </c>
      <c r="N155" t="s">
        <v>382</v>
      </c>
      <c r="O155" t="s">
        <v>382</v>
      </c>
      <c r="P155" t="s">
        <v>382</v>
      </c>
      <c r="Q155" t="s">
        <v>382</v>
      </c>
      <c r="R155" t="s">
        <v>382</v>
      </c>
      <c r="S155" t="s">
        <v>382</v>
      </c>
      <c r="T155" t="s">
        <v>382</v>
      </c>
      <c r="U155" t="s">
        <v>382</v>
      </c>
      <c r="V155" t="s">
        <v>382</v>
      </c>
      <c r="W155" t="s">
        <v>382</v>
      </c>
      <c r="X155" t="s">
        <v>382</v>
      </c>
      <c r="Y155" t="s">
        <v>382</v>
      </c>
      <c r="Z155" t="s">
        <v>382</v>
      </c>
      <c r="AA155" t="s">
        <v>382</v>
      </c>
      <c r="AB155" t="s">
        <v>382</v>
      </c>
      <c r="AC155">
        <v>5</v>
      </c>
      <c r="AD155">
        <v>4</v>
      </c>
      <c r="AE155">
        <v>1</v>
      </c>
      <c r="AF155" t="s">
        <v>389</v>
      </c>
      <c r="AH155" t="s">
        <v>35</v>
      </c>
      <c r="AI155" t="s">
        <v>97</v>
      </c>
      <c r="AK155">
        <v>2226</v>
      </c>
      <c r="AL155">
        <v>881</v>
      </c>
    </row>
    <row r="156" spans="1:38">
      <c r="A156" t="s">
        <v>382</v>
      </c>
      <c r="B156" t="s">
        <v>382</v>
      </c>
      <c r="C156" t="s">
        <v>382</v>
      </c>
      <c r="D156" t="s">
        <v>382</v>
      </c>
      <c r="E156" t="s">
        <v>382</v>
      </c>
      <c r="F156" t="s">
        <v>382</v>
      </c>
      <c r="G156" t="s">
        <v>382</v>
      </c>
      <c r="H156" t="s">
        <v>382</v>
      </c>
      <c r="I156" t="s">
        <v>382</v>
      </c>
      <c r="J156" t="s">
        <v>382</v>
      </c>
      <c r="K156" t="s">
        <v>382</v>
      </c>
      <c r="L156" t="s">
        <v>382</v>
      </c>
      <c r="M156" t="s">
        <v>382</v>
      </c>
      <c r="N156" t="s">
        <v>382</v>
      </c>
      <c r="O156" t="s">
        <v>382</v>
      </c>
      <c r="P156" t="s">
        <v>382</v>
      </c>
      <c r="Q156" t="s">
        <v>382</v>
      </c>
      <c r="R156" t="s">
        <v>382</v>
      </c>
      <c r="S156" t="s">
        <v>382</v>
      </c>
      <c r="T156" t="s">
        <v>382</v>
      </c>
      <c r="U156" t="s">
        <v>382</v>
      </c>
      <c r="V156" t="s">
        <v>382</v>
      </c>
      <c r="W156" t="s">
        <v>382</v>
      </c>
      <c r="X156" t="s">
        <v>382</v>
      </c>
      <c r="Y156" t="s">
        <v>382</v>
      </c>
      <c r="Z156" t="s">
        <v>382</v>
      </c>
      <c r="AA156" t="s">
        <v>382</v>
      </c>
      <c r="AB156" t="s">
        <v>382</v>
      </c>
      <c r="AC156">
        <v>5</v>
      </c>
      <c r="AD156">
        <v>5</v>
      </c>
      <c r="AF156" t="s">
        <v>386</v>
      </c>
      <c r="AH156" t="s">
        <v>29</v>
      </c>
      <c r="AI156" t="s">
        <v>103</v>
      </c>
      <c r="AK156">
        <v>1533</v>
      </c>
      <c r="AL156">
        <v>2218</v>
      </c>
    </row>
    <row r="157" spans="1:38">
      <c r="A157" t="s">
        <v>382</v>
      </c>
      <c r="B157" t="s">
        <v>382</v>
      </c>
      <c r="C157" t="s">
        <v>382</v>
      </c>
      <c r="D157" t="s">
        <v>382</v>
      </c>
      <c r="E157" t="s">
        <v>382</v>
      </c>
      <c r="F157" t="s">
        <v>382</v>
      </c>
      <c r="G157" t="s">
        <v>382</v>
      </c>
      <c r="H157" t="s">
        <v>382</v>
      </c>
      <c r="I157" t="s">
        <v>382</v>
      </c>
      <c r="J157" t="s">
        <v>382</v>
      </c>
      <c r="K157" t="s">
        <v>382</v>
      </c>
      <c r="L157" t="s">
        <v>382</v>
      </c>
      <c r="M157" t="s">
        <v>382</v>
      </c>
      <c r="N157" t="s">
        <v>382</v>
      </c>
      <c r="O157" t="s">
        <v>382</v>
      </c>
      <c r="P157" t="s">
        <v>382</v>
      </c>
      <c r="Q157" t="s">
        <v>382</v>
      </c>
      <c r="R157" t="s">
        <v>382</v>
      </c>
      <c r="S157" t="s">
        <v>382</v>
      </c>
      <c r="T157" t="s">
        <v>382</v>
      </c>
      <c r="U157" t="s">
        <v>382</v>
      </c>
      <c r="V157" t="s">
        <v>382</v>
      </c>
      <c r="W157" t="s">
        <v>382</v>
      </c>
      <c r="X157" t="s">
        <v>382</v>
      </c>
      <c r="Y157" t="s">
        <v>382</v>
      </c>
      <c r="Z157" t="s">
        <v>382</v>
      </c>
      <c r="AA157" t="s">
        <v>382</v>
      </c>
      <c r="AB157" t="s">
        <v>382</v>
      </c>
      <c r="AC157">
        <v>5</v>
      </c>
      <c r="AD157">
        <v>1</v>
      </c>
      <c r="AE157">
        <v>1</v>
      </c>
      <c r="AF157" t="s">
        <v>383</v>
      </c>
      <c r="AH157" t="s">
        <v>22</v>
      </c>
      <c r="AI157" t="s">
        <v>97</v>
      </c>
      <c r="AK157">
        <v>3041</v>
      </c>
      <c r="AL157">
        <v>1246</v>
      </c>
    </row>
    <row r="158" spans="1:38">
      <c r="A158" t="s">
        <v>382</v>
      </c>
      <c r="B158" t="s">
        <v>382</v>
      </c>
      <c r="C158" t="s">
        <v>382</v>
      </c>
      <c r="D158" t="s">
        <v>382</v>
      </c>
      <c r="E158" t="s">
        <v>382</v>
      </c>
      <c r="F158" t="s">
        <v>382</v>
      </c>
      <c r="G158" t="s">
        <v>382</v>
      </c>
      <c r="H158" t="s">
        <v>382</v>
      </c>
      <c r="I158" t="s">
        <v>382</v>
      </c>
      <c r="J158" t="s">
        <v>382</v>
      </c>
      <c r="K158" t="s">
        <v>382</v>
      </c>
      <c r="L158" t="s">
        <v>382</v>
      </c>
      <c r="M158" t="s">
        <v>382</v>
      </c>
      <c r="N158" t="s">
        <v>382</v>
      </c>
      <c r="O158" t="s">
        <v>382</v>
      </c>
      <c r="P158" t="s">
        <v>382</v>
      </c>
      <c r="Q158" t="s">
        <v>382</v>
      </c>
      <c r="R158" t="s">
        <v>382</v>
      </c>
      <c r="S158" t="s">
        <v>382</v>
      </c>
      <c r="T158" t="s">
        <v>382</v>
      </c>
      <c r="U158" t="s">
        <v>382</v>
      </c>
      <c r="V158" t="s">
        <v>382</v>
      </c>
      <c r="W158" t="s">
        <v>382</v>
      </c>
      <c r="X158" t="s">
        <v>382</v>
      </c>
      <c r="Y158" t="s">
        <v>382</v>
      </c>
      <c r="Z158" t="s">
        <v>382</v>
      </c>
      <c r="AA158" t="s">
        <v>382</v>
      </c>
      <c r="AB158" t="s">
        <v>382</v>
      </c>
      <c r="AC158">
        <v>5</v>
      </c>
      <c r="AD158">
        <v>2</v>
      </c>
      <c r="AE158">
        <v>1</v>
      </c>
      <c r="AF158" t="s">
        <v>383</v>
      </c>
      <c r="AH158" t="s">
        <v>22</v>
      </c>
      <c r="AI158" t="s">
        <v>97</v>
      </c>
      <c r="AK158">
        <v>2259</v>
      </c>
      <c r="AL158">
        <v>1436</v>
      </c>
    </row>
    <row r="159" spans="1:38">
      <c r="A159" t="s">
        <v>382</v>
      </c>
      <c r="B159" t="s">
        <v>382</v>
      </c>
      <c r="C159" t="s">
        <v>382</v>
      </c>
      <c r="D159" t="s">
        <v>382</v>
      </c>
      <c r="E159" t="s">
        <v>382</v>
      </c>
      <c r="F159" t="s">
        <v>382</v>
      </c>
      <c r="G159" t="s">
        <v>382</v>
      </c>
      <c r="H159" t="s">
        <v>382</v>
      </c>
      <c r="I159" t="s">
        <v>382</v>
      </c>
      <c r="J159" t="s">
        <v>382</v>
      </c>
      <c r="K159" t="s">
        <v>382</v>
      </c>
      <c r="L159" t="s">
        <v>382</v>
      </c>
      <c r="M159" t="s">
        <v>382</v>
      </c>
      <c r="N159" t="s">
        <v>382</v>
      </c>
      <c r="O159" t="s">
        <v>382</v>
      </c>
      <c r="P159" t="s">
        <v>382</v>
      </c>
      <c r="Q159" t="s">
        <v>382</v>
      </c>
      <c r="R159" t="s">
        <v>382</v>
      </c>
      <c r="S159" t="s">
        <v>382</v>
      </c>
      <c r="T159" t="s">
        <v>382</v>
      </c>
      <c r="U159" t="s">
        <v>382</v>
      </c>
      <c r="V159" t="s">
        <v>382</v>
      </c>
      <c r="W159" t="s">
        <v>382</v>
      </c>
      <c r="X159" t="s">
        <v>382</v>
      </c>
      <c r="Y159" t="s">
        <v>382</v>
      </c>
      <c r="Z159" t="s">
        <v>382</v>
      </c>
      <c r="AA159" t="s">
        <v>382</v>
      </c>
      <c r="AB159" t="s">
        <v>382</v>
      </c>
      <c r="AC159">
        <v>5</v>
      </c>
      <c r="AD159">
        <v>3</v>
      </c>
      <c r="AE159">
        <v>1</v>
      </c>
      <c r="AF159" t="s">
        <v>383</v>
      </c>
      <c r="AH159" t="s">
        <v>22</v>
      </c>
      <c r="AI159" t="s">
        <v>97</v>
      </c>
      <c r="AK159">
        <v>2191</v>
      </c>
      <c r="AL159">
        <v>1405</v>
      </c>
    </row>
    <row r="160" spans="1:38">
      <c r="A160" t="s">
        <v>382</v>
      </c>
      <c r="B160" t="s">
        <v>382</v>
      </c>
      <c r="C160" t="s">
        <v>382</v>
      </c>
      <c r="D160" t="s">
        <v>382</v>
      </c>
      <c r="E160" t="s">
        <v>382</v>
      </c>
      <c r="F160" t="s">
        <v>382</v>
      </c>
      <c r="G160" t="s">
        <v>382</v>
      </c>
      <c r="H160" t="s">
        <v>382</v>
      </c>
      <c r="I160" t="s">
        <v>382</v>
      </c>
      <c r="J160" t="s">
        <v>382</v>
      </c>
      <c r="K160" t="s">
        <v>382</v>
      </c>
      <c r="L160" t="s">
        <v>382</v>
      </c>
      <c r="M160" t="s">
        <v>382</v>
      </c>
      <c r="N160" t="s">
        <v>382</v>
      </c>
      <c r="O160" t="s">
        <v>382</v>
      </c>
      <c r="P160" t="s">
        <v>382</v>
      </c>
      <c r="Q160" t="s">
        <v>382</v>
      </c>
      <c r="R160" t="s">
        <v>382</v>
      </c>
      <c r="S160" t="s">
        <v>382</v>
      </c>
      <c r="T160" t="s">
        <v>382</v>
      </c>
      <c r="U160" t="s">
        <v>382</v>
      </c>
      <c r="V160" t="s">
        <v>382</v>
      </c>
      <c r="W160" t="s">
        <v>382</v>
      </c>
      <c r="X160" t="s">
        <v>382</v>
      </c>
      <c r="Y160" t="s">
        <v>382</v>
      </c>
      <c r="Z160" t="s">
        <v>382</v>
      </c>
      <c r="AA160" t="s">
        <v>382</v>
      </c>
      <c r="AB160" t="s">
        <v>382</v>
      </c>
      <c r="AC160">
        <v>5</v>
      </c>
      <c r="AD160">
        <v>4</v>
      </c>
      <c r="AE160">
        <v>1</v>
      </c>
      <c r="AF160" t="s">
        <v>383</v>
      </c>
      <c r="AH160" t="s">
        <v>22</v>
      </c>
      <c r="AI160" t="s">
        <v>97</v>
      </c>
      <c r="AK160">
        <v>1222</v>
      </c>
      <c r="AL160">
        <v>1870</v>
      </c>
    </row>
    <row r="161" spans="1:38">
      <c r="A161" t="s">
        <v>382</v>
      </c>
      <c r="B161" t="s">
        <v>382</v>
      </c>
      <c r="C161" t="s">
        <v>382</v>
      </c>
      <c r="D161" t="s">
        <v>382</v>
      </c>
      <c r="E161" t="s">
        <v>382</v>
      </c>
      <c r="F161" t="s">
        <v>382</v>
      </c>
      <c r="G161" t="s">
        <v>382</v>
      </c>
      <c r="H161" t="s">
        <v>382</v>
      </c>
      <c r="I161" t="s">
        <v>382</v>
      </c>
      <c r="J161" t="s">
        <v>382</v>
      </c>
      <c r="K161" t="s">
        <v>382</v>
      </c>
      <c r="L161" t="s">
        <v>382</v>
      </c>
      <c r="M161" t="s">
        <v>382</v>
      </c>
      <c r="N161" t="s">
        <v>382</v>
      </c>
      <c r="O161" t="s">
        <v>382</v>
      </c>
      <c r="P161" t="s">
        <v>382</v>
      </c>
      <c r="Q161" t="s">
        <v>382</v>
      </c>
      <c r="R161" t="s">
        <v>382</v>
      </c>
      <c r="S161" t="s">
        <v>382</v>
      </c>
      <c r="T161" t="s">
        <v>382</v>
      </c>
      <c r="U161" t="s">
        <v>382</v>
      </c>
      <c r="V161" t="s">
        <v>382</v>
      </c>
      <c r="W161" t="s">
        <v>382</v>
      </c>
      <c r="X161" t="s">
        <v>382</v>
      </c>
      <c r="Y161" t="s">
        <v>382</v>
      </c>
      <c r="Z161" t="s">
        <v>382</v>
      </c>
      <c r="AA161" t="s">
        <v>382</v>
      </c>
      <c r="AB161" t="s">
        <v>382</v>
      </c>
      <c r="AC161">
        <v>5</v>
      </c>
      <c r="AD161">
        <v>5</v>
      </c>
      <c r="AE161">
        <v>1</v>
      </c>
      <c r="AF161" t="s">
        <v>383</v>
      </c>
      <c r="AH161" t="s">
        <v>22</v>
      </c>
      <c r="AI161" t="s">
        <v>97</v>
      </c>
      <c r="AK161">
        <v>3123</v>
      </c>
      <c r="AL161">
        <v>1259</v>
      </c>
    </row>
    <row r="162" spans="1:38">
      <c r="A162" t="s">
        <v>382</v>
      </c>
      <c r="B162" t="s">
        <v>382</v>
      </c>
      <c r="C162" t="s">
        <v>382</v>
      </c>
      <c r="D162" t="s">
        <v>382</v>
      </c>
      <c r="E162" t="s">
        <v>382</v>
      </c>
      <c r="F162" t="s">
        <v>382</v>
      </c>
      <c r="G162" t="s">
        <v>382</v>
      </c>
      <c r="H162" t="s">
        <v>382</v>
      </c>
      <c r="I162" t="s">
        <v>382</v>
      </c>
      <c r="J162" t="s">
        <v>382</v>
      </c>
      <c r="K162" t="s">
        <v>382</v>
      </c>
      <c r="L162" t="s">
        <v>382</v>
      </c>
      <c r="M162" t="s">
        <v>382</v>
      </c>
      <c r="N162" t="s">
        <v>382</v>
      </c>
      <c r="O162" t="s">
        <v>382</v>
      </c>
      <c r="P162" t="s">
        <v>382</v>
      </c>
      <c r="Q162" t="s">
        <v>382</v>
      </c>
      <c r="R162" t="s">
        <v>382</v>
      </c>
      <c r="S162" t="s">
        <v>382</v>
      </c>
      <c r="T162" t="s">
        <v>382</v>
      </c>
      <c r="U162" t="s">
        <v>382</v>
      </c>
      <c r="V162" t="s">
        <v>382</v>
      </c>
      <c r="W162" t="s">
        <v>382</v>
      </c>
      <c r="X162" t="s">
        <v>382</v>
      </c>
      <c r="Y162" t="s">
        <v>382</v>
      </c>
      <c r="Z162" t="s">
        <v>382</v>
      </c>
      <c r="AA162" t="s">
        <v>382</v>
      </c>
      <c r="AB162" t="s">
        <v>382</v>
      </c>
      <c r="AC162">
        <v>5</v>
      </c>
      <c r="AD162">
        <v>1</v>
      </c>
      <c r="AF162" t="s">
        <v>386</v>
      </c>
      <c r="AH162" t="s">
        <v>29</v>
      </c>
      <c r="AI162" t="s">
        <v>103</v>
      </c>
      <c r="AK162">
        <v>3153</v>
      </c>
      <c r="AL162">
        <v>1963</v>
      </c>
    </row>
    <row r="163" spans="1:38">
      <c r="A163" t="s">
        <v>382</v>
      </c>
      <c r="B163" t="s">
        <v>382</v>
      </c>
      <c r="C163" t="s">
        <v>382</v>
      </c>
      <c r="D163" t="s">
        <v>382</v>
      </c>
      <c r="E163" t="s">
        <v>382</v>
      </c>
      <c r="F163" t="s">
        <v>382</v>
      </c>
      <c r="G163" t="s">
        <v>382</v>
      </c>
      <c r="H163" t="s">
        <v>382</v>
      </c>
      <c r="I163" t="s">
        <v>382</v>
      </c>
      <c r="J163" t="s">
        <v>382</v>
      </c>
      <c r="K163" t="s">
        <v>382</v>
      </c>
      <c r="L163" t="s">
        <v>382</v>
      </c>
      <c r="M163" t="s">
        <v>382</v>
      </c>
      <c r="N163" t="s">
        <v>382</v>
      </c>
      <c r="O163" t="s">
        <v>382</v>
      </c>
      <c r="P163" t="s">
        <v>382</v>
      </c>
      <c r="Q163" t="s">
        <v>382</v>
      </c>
      <c r="R163" t="s">
        <v>382</v>
      </c>
      <c r="S163" t="s">
        <v>382</v>
      </c>
      <c r="T163" t="s">
        <v>382</v>
      </c>
      <c r="U163" t="s">
        <v>382</v>
      </c>
      <c r="V163" t="s">
        <v>382</v>
      </c>
      <c r="W163" t="s">
        <v>382</v>
      </c>
      <c r="X163" t="s">
        <v>382</v>
      </c>
      <c r="Y163" t="s">
        <v>382</v>
      </c>
      <c r="Z163" t="s">
        <v>382</v>
      </c>
      <c r="AA163" t="s">
        <v>382</v>
      </c>
      <c r="AB163" t="s">
        <v>382</v>
      </c>
      <c r="AC163">
        <v>5</v>
      </c>
      <c r="AD163">
        <v>2</v>
      </c>
      <c r="AF163" t="s">
        <v>386</v>
      </c>
      <c r="AH163" t="s">
        <v>29</v>
      </c>
      <c r="AI163" t="s">
        <v>103</v>
      </c>
      <c r="AK163">
        <v>3129</v>
      </c>
      <c r="AL163">
        <v>2486</v>
      </c>
    </row>
    <row r="164" spans="1:38">
      <c r="A164" t="s">
        <v>382</v>
      </c>
      <c r="B164" t="s">
        <v>382</v>
      </c>
      <c r="C164" t="s">
        <v>382</v>
      </c>
      <c r="D164" t="s">
        <v>382</v>
      </c>
      <c r="E164" t="s">
        <v>382</v>
      </c>
      <c r="F164" t="s">
        <v>382</v>
      </c>
      <c r="G164" t="s">
        <v>382</v>
      </c>
      <c r="H164" t="s">
        <v>382</v>
      </c>
      <c r="I164" t="s">
        <v>382</v>
      </c>
      <c r="J164" t="s">
        <v>382</v>
      </c>
      <c r="K164" t="s">
        <v>382</v>
      </c>
      <c r="L164" t="s">
        <v>382</v>
      </c>
      <c r="M164" t="s">
        <v>382</v>
      </c>
      <c r="N164" t="s">
        <v>382</v>
      </c>
      <c r="O164" t="s">
        <v>382</v>
      </c>
      <c r="P164" t="s">
        <v>382</v>
      </c>
      <c r="Q164" t="s">
        <v>382</v>
      </c>
      <c r="R164" t="s">
        <v>382</v>
      </c>
      <c r="S164" t="s">
        <v>382</v>
      </c>
      <c r="T164" t="s">
        <v>382</v>
      </c>
      <c r="U164" t="s">
        <v>382</v>
      </c>
      <c r="V164" t="s">
        <v>382</v>
      </c>
      <c r="W164" t="s">
        <v>382</v>
      </c>
      <c r="X164" t="s">
        <v>382</v>
      </c>
      <c r="Y164" t="s">
        <v>382</v>
      </c>
      <c r="Z164" t="s">
        <v>382</v>
      </c>
      <c r="AA164" t="s">
        <v>382</v>
      </c>
      <c r="AB164" t="s">
        <v>382</v>
      </c>
      <c r="AC164">
        <v>5</v>
      </c>
      <c r="AD164">
        <v>3</v>
      </c>
      <c r="AE164">
        <v>1</v>
      </c>
      <c r="AF164" t="s">
        <v>481</v>
      </c>
      <c r="AH164" t="s">
        <v>139</v>
      </c>
      <c r="AI164" t="s">
        <v>97</v>
      </c>
      <c r="AK164">
        <v>1634</v>
      </c>
      <c r="AL164">
        <v>205</v>
      </c>
    </row>
    <row r="165" spans="1:38">
      <c r="A165" t="s">
        <v>382</v>
      </c>
      <c r="B165" t="s">
        <v>382</v>
      </c>
      <c r="C165" t="s">
        <v>382</v>
      </c>
      <c r="D165" t="s">
        <v>382</v>
      </c>
      <c r="E165" t="s">
        <v>382</v>
      </c>
      <c r="F165" t="s">
        <v>382</v>
      </c>
      <c r="G165" t="s">
        <v>382</v>
      </c>
      <c r="H165" t="s">
        <v>382</v>
      </c>
      <c r="I165" t="s">
        <v>382</v>
      </c>
      <c r="J165" t="s">
        <v>382</v>
      </c>
      <c r="K165" t="s">
        <v>382</v>
      </c>
      <c r="L165" t="s">
        <v>382</v>
      </c>
      <c r="M165" t="s">
        <v>382</v>
      </c>
      <c r="N165" t="s">
        <v>382</v>
      </c>
      <c r="O165" t="s">
        <v>382</v>
      </c>
      <c r="P165" t="s">
        <v>382</v>
      </c>
      <c r="Q165" t="s">
        <v>382</v>
      </c>
      <c r="R165" t="s">
        <v>382</v>
      </c>
      <c r="S165" t="s">
        <v>382</v>
      </c>
      <c r="T165" t="s">
        <v>382</v>
      </c>
      <c r="U165" t="s">
        <v>382</v>
      </c>
      <c r="V165" t="s">
        <v>382</v>
      </c>
      <c r="W165" t="s">
        <v>382</v>
      </c>
      <c r="X165" t="s">
        <v>382</v>
      </c>
      <c r="Y165" t="s">
        <v>382</v>
      </c>
      <c r="Z165" t="s">
        <v>382</v>
      </c>
      <c r="AA165" t="s">
        <v>382</v>
      </c>
      <c r="AB165" t="s">
        <v>382</v>
      </c>
      <c r="AC165">
        <v>5</v>
      </c>
      <c r="AD165">
        <v>4</v>
      </c>
      <c r="AE165">
        <v>1</v>
      </c>
      <c r="AF165" t="s">
        <v>481</v>
      </c>
      <c r="AH165" t="s">
        <v>139</v>
      </c>
      <c r="AI165" t="s">
        <v>97</v>
      </c>
      <c r="AK165">
        <v>1936</v>
      </c>
      <c r="AL165">
        <v>406</v>
      </c>
    </row>
    <row r="166" spans="1:38">
      <c r="A166" t="s">
        <v>382</v>
      </c>
      <c r="B166" t="s">
        <v>382</v>
      </c>
      <c r="C166" t="s">
        <v>382</v>
      </c>
      <c r="D166" t="s">
        <v>382</v>
      </c>
      <c r="E166" t="s">
        <v>382</v>
      </c>
      <c r="F166" t="s">
        <v>382</v>
      </c>
      <c r="G166" t="s">
        <v>382</v>
      </c>
      <c r="H166" t="s">
        <v>382</v>
      </c>
      <c r="I166" t="s">
        <v>382</v>
      </c>
      <c r="J166" t="s">
        <v>382</v>
      </c>
      <c r="K166" t="s">
        <v>382</v>
      </c>
      <c r="L166" t="s">
        <v>382</v>
      </c>
      <c r="M166" t="s">
        <v>382</v>
      </c>
      <c r="N166" t="s">
        <v>382</v>
      </c>
      <c r="O166" t="s">
        <v>382</v>
      </c>
      <c r="P166" t="s">
        <v>382</v>
      </c>
      <c r="Q166" t="s">
        <v>382</v>
      </c>
      <c r="R166" t="s">
        <v>382</v>
      </c>
      <c r="S166" t="s">
        <v>382</v>
      </c>
      <c r="T166" t="s">
        <v>382</v>
      </c>
      <c r="U166" t="s">
        <v>382</v>
      </c>
      <c r="V166" t="s">
        <v>382</v>
      </c>
      <c r="W166" t="s">
        <v>382</v>
      </c>
      <c r="X166" t="s">
        <v>382</v>
      </c>
      <c r="Y166" t="s">
        <v>382</v>
      </c>
      <c r="Z166" t="s">
        <v>382</v>
      </c>
      <c r="AA166" t="s">
        <v>382</v>
      </c>
      <c r="AB166" t="s">
        <v>382</v>
      </c>
      <c r="AC166">
        <v>5</v>
      </c>
      <c r="AD166">
        <v>5</v>
      </c>
      <c r="AF166" t="s">
        <v>386</v>
      </c>
      <c r="AH166" t="s">
        <v>29</v>
      </c>
      <c r="AI166" t="s">
        <v>103</v>
      </c>
      <c r="AK166">
        <v>789</v>
      </c>
      <c r="AL166">
        <v>670</v>
      </c>
    </row>
    <row r="167" spans="1:38">
      <c r="A167" t="s">
        <v>382</v>
      </c>
      <c r="B167" t="s">
        <v>382</v>
      </c>
      <c r="C167" t="s">
        <v>382</v>
      </c>
      <c r="D167" t="s">
        <v>382</v>
      </c>
      <c r="E167" t="s">
        <v>382</v>
      </c>
      <c r="F167" t="s">
        <v>382</v>
      </c>
      <c r="G167" t="s">
        <v>382</v>
      </c>
      <c r="H167" t="s">
        <v>382</v>
      </c>
      <c r="I167" t="s">
        <v>382</v>
      </c>
      <c r="J167" t="s">
        <v>382</v>
      </c>
      <c r="K167" t="s">
        <v>382</v>
      </c>
      <c r="L167" t="s">
        <v>382</v>
      </c>
      <c r="M167" t="s">
        <v>382</v>
      </c>
      <c r="N167" t="s">
        <v>382</v>
      </c>
      <c r="O167" t="s">
        <v>382</v>
      </c>
      <c r="P167" t="s">
        <v>382</v>
      </c>
      <c r="Q167" t="s">
        <v>382</v>
      </c>
      <c r="R167" t="s">
        <v>382</v>
      </c>
      <c r="S167" t="s">
        <v>382</v>
      </c>
      <c r="T167" t="s">
        <v>382</v>
      </c>
      <c r="U167" t="s">
        <v>382</v>
      </c>
      <c r="V167" t="s">
        <v>382</v>
      </c>
      <c r="W167" t="s">
        <v>382</v>
      </c>
      <c r="X167" t="s">
        <v>382</v>
      </c>
      <c r="Y167" t="s">
        <v>382</v>
      </c>
      <c r="Z167" t="s">
        <v>382</v>
      </c>
      <c r="AA167" t="s">
        <v>382</v>
      </c>
      <c r="AB167" t="s">
        <v>382</v>
      </c>
      <c r="AC167">
        <v>5</v>
      </c>
      <c r="AD167">
        <v>1</v>
      </c>
      <c r="AE167">
        <v>1</v>
      </c>
      <c r="AF167" t="s">
        <v>383</v>
      </c>
      <c r="AH167" t="s">
        <v>22</v>
      </c>
      <c r="AI167" t="s">
        <v>97</v>
      </c>
      <c r="AK167">
        <v>2696</v>
      </c>
      <c r="AL167">
        <v>717</v>
      </c>
    </row>
    <row r="168" spans="1:38">
      <c r="A168" t="s">
        <v>382</v>
      </c>
      <c r="B168" t="s">
        <v>382</v>
      </c>
      <c r="C168" t="s">
        <v>382</v>
      </c>
      <c r="D168" t="s">
        <v>382</v>
      </c>
      <c r="E168" t="s">
        <v>382</v>
      </c>
      <c r="F168" t="s">
        <v>382</v>
      </c>
      <c r="G168" t="s">
        <v>382</v>
      </c>
      <c r="H168" t="s">
        <v>382</v>
      </c>
      <c r="I168" t="s">
        <v>382</v>
      </c>
      <c r="J168" t="s">
        <v>382</v>
      </c>
      <c r="K168" t="s">
        <v>382</v>
      </c>
      <c r="L168" t="s">
        <v>382</v>
      </c>
      <c r="M168" t="s">
        <v>382</v>
      </c>
      <c r="N168" t="s">
        <v>382</v>
      </c>
      <c r="O168" t="s">
        <v>382</v>
      </c>
      <c r="P168" t="s">
        <v>382</v>
      </c>
      <c r="Q168" t="s">
        <v>382</v>
      </c>
      <c r="R168" t="s">
        <v>382</v>
      </c>
      <c r="S168" t="s">
        <v>382</v>
      </c>
      <c r="T168" t="s">
        <v>382</v>
      </c>
      <c r="U168" t="s">
        <v>382</v>
      </c>
      <c r="V168" t="s">
        <v>382</v>
      </c>
      <c r="W168" t="s">
        <v>382</v>
      </c>
      <c r="X168" t="s">
        <v>382</v>
      </c>
      <c r="Y168" t="s">
        <v>382</v>
      </c>
      <c r="Z168" t="s">
        <v>382</v>
      </c>
      <c r="AA168" t="s">
        <v>382</v>
      </c>
      <c r="AB168" t="s">
        <v>382</v>
      </c>
      <c r="AC168">
        <v>5</v>
      </c>
      <c r="AD168">
        <v>2</v>
      </c>
      <c r="AF168" t="s">
        <v>386</v>
      </c>
      <c r="AH168" t="s">
        <v>29</v>
      </c>
      <c r="AI168" t="s">
        <v>103</v>
      </c>
      <c r="AK168">
        <v>2298</v>
      </c>
      <c r="AL168">
        <v>2090</v>
      </c>
    </row>
    <row r="169" spans="1:38">
      <c r="A169" t="s">
        <v>382</v>
      </c>
      <c r="B169" t="s">
        <v>382</v>
      </c>
      <c r="C169" t="s">
        <v>382</v>
      </c>
      <c r="D169" t="s">
        <v>382</v>
      </c>
      <c r="E169" t="s">
        <v>382</v>
      </c>
      <c r="F169" t="s">
        <v>382</v>
      </c>
      <c r="G169" t="s">
        <v>382</v>
      </c>
      <c r="H169" t="s">
        <v>382</v>
      </c>
      <c r="I169" t="s">
        <v>382</v>
      </c>
      <c r="J169" t="s">
        <v>382</v>
      </c>
      <c r="K169" t="s">
        <v>382</v>
      </c>
      <c r="L169" t="s">
        <v>382</v>
      </c>
      <c r="M169" t="s">
        <v>382</v>
      </c>
      <c r="N169" t="s">
        <v>382</v>
      </c>
      <c r="O169" t="s">
        <v>382</v>
      </c>
      <c r="P169" t="s">
        <v>382</v>
      </c>
      <c r="Q169" t="s">
        <v>382</v>
      </c>
      <c r="R169" t="s">
        <v>382</v>
      </c>
      <c r="S169" t="s">
        <v>382</v>
      </c>
      <c r="T169" t="s">
        <v>382</v>
      </c>
      <c r="U169" t="s">
        <v>382</v>
      </c>
      <c r="V169" t="s">
        <v>382</v>
      </c>
      <c r="W169" t="s">
        <v>382</v>
      </c>
      <c r="X169" t="s">
        <v>382</v>
      </c>
      <c r="Y169" t="s">
        <v>382</v>
      </c>
      <c r="Z169" t="s">
        <v>382</v>
      </c>
      <c r="AA169" t="s">
        <v>382</v>
      </c>
      <c r="AB169" t="s">
        <v>382</v>
      </c>
      <c r="AC169">
        <v>5</v>
      </c>
      <c r="AD169">
        <v>3</v>
      </c>
      <c r="AF169" t="s">
        <v>386</v>
      </c>
      <c r="AH169" t="s">
        <v>29</v>
      </c>
      <c r="AI169" t="s">
        <v>103</v>
      </c>
      <c r="AK169">
        <v>782</v>
      </c>
      <c r="AL169">
        <v>1961</v>
      </c>
    </row>
    <row r="170" spans="1:38">
      <c r="A170" t="s">
        <v>382</v>
      </c>
      <c r="B170" t="s">
        <v>382</v>
      </c>
      <c r="C170" t="s">
        <v>382</v>
      </c>
      <c r="D170" t="s">
        <v>382</v>
      </c>
      <c r="E170" t="s">
        <v>382</v>
      </c>
      <c r="F170" t="s">
        <v>382</v>
      </c>
      <c r="G170" t="s">
        <v>382</v>
      </c>
      <c r="H170" t="s">
        <v>382</v>
      </c>
      <c r="I170" t="s">
        <v>382</v>
      </c>
      <c r="J170" t="s">
        <v>382</v>
      </c>
      <c r="K170" t="s">
        <v>382</v>
      </c>
      <c r="L170" t="s">
        <v>382</v>
      </c>
      <c r="M170" t="s">
        <v>382</v>
      </c>
      <c r="N170" t="s">
        <v>382</v>
      </c>
      <c r="O170" t="s">
        <v>382</v>
      </c>
      <c r="P170" t="s">
        <v>382</v>
      </c>
      <c r="Q170" t="s">
        <v>382</v>
      </c>
      <c r="R170" t="s">
        <v>382</v>
      </c>
      <c r="S170" t="s">
        <v>382</v>
      </c>
      <c r="T170" t="s">
        <v>382</v>
      </c>
      <c r="U170" t="s">
        <v>382</v>
      </c>
      <c r="V170" t="s">
        <v>382</v>
      </c>
      <c r="W170" t="s">
        <v>382</v>
      </c>
      <c r="X170" t="s">
        <v>382</v>
      </c>
      <c r="Y170" t="s">
        <v>382</v>
      </c>
      <c r="Z170" t="s">
        <v>382</v>
      </c>
      <c r="AA170" t="s">
        <v>382</v>
      </c>
      <c r="AB170" t="s">
        <v>382</v>
      </c>
      <c r="AC170">
        <v>5</v>
      </c>
      <c r="AD170">
        <v>4</v>
      </c>
      <c r="AE170">
        <v>1</v>
      </c>
      <c r="AF170" t="s">
        <v>383</v>
      </c>
      <c r="AH170" t="s">
        <v>22</v>
      </c>
      <c r="AI170" t="s">
        <v>97</v>
      </c>
      <c r="AK170">
        <v>3194</v>
      </c>
      <c r="AL170">
        <v>918</v>
      </c>
    </row>
    <row r="171" spans="1:38">
      <c r="A171" t="s">
        <v>382</v>
      </c>
      <c r="B171" t="s">
        <v>382</v>
      </c>
      <c r="C171" t="s">
        <v>382</v>
      </c>
      <c r="D171" t="s">
        <v>382</v>
      </c>
      <c r="E171" t="s">
        <v>382</v>
      </c>
      <c r="F171" t="s">
        <v>382</v>
      </c>
      <c r="G171" t="s">
        <v>382</v>
      </c>
      <c r="H171" t="s">
        <v>382</v>
      </c>
      <c r="I171" t="s">
        <v>382</v>
      </c>
      <c r="J171" t="s">
        <v>382</v>
      </c>
      <c r="K171" t="s">
        <v>382</v>
      </c>
      <c r="L171" t="s">
        <v>382</v>
      </c>
      <c r="M171" t="s">
        <v>382</v>
      </c>
      <c r="N171" t="s">
        <v>382</v>
      </c>
      <c r="O171" t="s">
        <v>382</v>
      </c>
      <c r="P171" t="s">
        <v>382</v>
      </c>
      <c r="Q171" t="s">
        <v>382</v>
      </c>
      <c r="R171" t="s">
        <v>382</v>
      </c>
      <c r="S171" t="s">
        <v>382</v>
      </c>
      <c r="T171" t="s">
        <v>382</v>
      </c>
      <c r="U171" t="s">
        <v>382</v>
      </c>
      <c r="V171" t="s">
        <v>382</v>
      </c>
      <c r="W171" t="s">
        <v>382</v>
      </c>
      <c r="X171" t="s">
        <v>382</v>
      </c>
      <c r="Y171" t="s">
        <v>382</v>
      </c>
      <c r="Z171" t="s">
        <v>382</v>
      </c>
      <c r="AA171" t="s">
        <v>382</v>
      </c>
      <c r="AB171" t="s">
        <v>382</v>
      </c>
      <c r="AC171">
        <v>5</v>
      </c>
      <c r="AD171">
        <v>5</v>
      </c>
      <c r="AE171">
        <v>1</v>
      </c>
      <c r="AF171" t="s">
        <v>383</v>
      </c>
      <c r="AH171" t="s">
        <v>22</v>
      </c>
      <c r="AI171" t="s">
        <v>97</v>
      </c>
      <c r="AK171">
        <v>1513</v>
      </c>
      <c r="AL171">
        <v>831</v>
      </c>
    </row>
    <row r="172" spans="1:38">
      <c r="A172" t="s">
        <v>382</v>
      </c>
      <c r="B172" t="s">
        <v>382</v>
      </c>
      <c r="C172" t="s">
        <v>382</v>
      </c>
      <c r="D172" t="s">
        <v>382</v>
      </c>
      <c r="E172" t="s">
        <v>382</v>
      </c>
      <c r="F172" t="s">
        <v>382</v>
      </c>
      <c r="G172" t="s">
        <v>382</v>
      </c>
      <c r="H172" t="s">
        <v>382</v>
      </c>
      <c r="I172" t="s">
        <v>382</v>
      </c>
      <c r="J172" t="s">
        <v>382</v>
      </c>
      <c r="K172" t="s">
        <v>382</v>
      </c>
      <c r="L172" t="s">
        <v>382</v>
      </c>
      <c r="M172" t="s">
        <v>382</v>
      </c>
      <c r="N172" t="s">
        <v>382</v>
      </c>
      <c r="O172" t="s">
        <v>382</v>
      </c>
      <c r="P172" t="s">
        <v>382</v>
      </c>
      <c r="Q172" t="s">
        <v>382</v>
      </c>
      <c r="R172" t="s">
        <v>382</v>
      </c>
      <c r="S172" t="s">
        <v>382</v>
      </c>
      <c r="T172" t="s">
        <v>382</v>
      </c>
      <c r="U172" t="s">
        <v>382</v>
      </c>
      <c r="V172" t="s">
        <v>382</v>
      </c>
      <c r="W172" t="s">
        <v>382</v>
      </c>
      <c r="X172" t="s">
        <v>382</v>
      </c>
      <c r="Y172" t="s">
        <v>382</v>
      </c>
      <c r="Z172" t="s">
        <v>382</v>
      </c>
      <c r="AA172" t="s">
        <v>382</v>
      </c>
      <c r="AB172" t="s">
        <v>382</v>
      </c>
      <c r="AC172">
        <v>5</v>
      </c>
      <c r="AD172">
        <v>1</v>
      </c>
      <c r="AF172" t="s">
        <v>386</v>
      </c>
      <c r="AH172" t="s">
        <v>29</v>
      </c>
      <c r="AI172" t="s">
        <v>103</v>
      </c>
      <c r="AK172">
        <v>1403</v>
      </c>
      <c r="AL172">
        <v>49</v>
      </c>
    </row>
    <row r="173" spans="1:38">
      <c r="A173" t="s">
        <v>382</v>
      </c>
      <c r="B173" t="s">
        <v>382</v>
      </c>
      <c r="C173" t="s">
        <v>382</v>
      </c>
      <c r="D173" t="s">
        <v>382</v>
      </c>
      <c r="E173" t="s">
        <v>382</v>
      </c>
      <c r="F173" t="s">
        <v>382</v>
      </c>
      <c r="G173" t="s">
        <v>382</v>
      </c>
      <c r="H173" t="s">
        <v>382</v>
      </c>
      <c r="I173" t="s">
        <v>382</v>
      </c>
      <c r="J173" t="s">
        <v>382</v>
      </c>
      <c r="K173" t="s">
        <v>382</v>
      </c>
      <c r="L173" t="s">
        <v>382</v>
      </c>
      <c r="M173" t="s">
        <v>382</v>
      </c>
      <c r="N173" t="s">
        <v>382</v>
      </c>
      <c r="O173" t="s">
        <v>382</v>
      </c>
      <c r="P173" t="s">
        <v>382</v>
      </c>
      <c r="Q173" t="s">
        <v>382</v>
      </c>
      <c r="R173" t="s">
        <v>382</v>
      </c>
      <c r="S173" t="s">
        <v>382</v>
      </c>
      <c r="T173" t="s">
        <v>382</v>
      </c>
      <c r="U173" t="s">
        <v>382</v>
      </c>
      <c r="V173" t="s">
        <v>382</v>
      </c>
      <c r="W173" t="s">
        <v>382</v>
      </c>
      <c r="X173" t="s">
        <v>382</v>
      </c>
      <c r="Y173" t="s">
        <v>382</v>
      </c>
      <c r="Z173" t="s">
        <v>382</v>
      </c>
      <c r="AA173" t="s">
        <v>382</v>
      </c>
      <c r="AB173" t="s">
        <v>382</v>
      </c>
      <c r="AC173">
        <v>5</v>
      </c>
      <c r="AD173">
        <v>2</v>
      </c>
      <c r="AE173">
        <v>1</v>
      </c>
      <c r="AF173" t="s">
        <v>389</v>
      </c>
      <c r="AH173" t="s">
        <v>35</v>
      </c>
      <c r="AI173" t="s">
        <v>97</v>
      </c>
      <c r="AK173">
        <v>1381</v>
      </c>
      <c r="AL173">
        <v>1684</v>
      </c>
    </row>
    <row r="174" spans="1:38">
      <c r="A174" t="s">
        <v>382</v>
      </c>
      <c r="B174" t="s">
        <v>382</v>
      </c>
      <c r="C174" t="s">
        <v>382</v>
      </c>
      <c r="D174" t="s">
        <v>382</v>
      </c>
      <c r="E174" t="s">
        <v>382</v>
      </c>
      <c r="F174" t="s">
        <v>382</v>
      </c>
      <c r="G174" t="s">
        <v>382</v>
      </c>
      <c r="H174" t="s">
        <v>382</v>
      </c>
      <c r="I174" t="s">
        <v>382</v>
      </c>
      <c r="J174" t="s">
        <v>382</v>
      </c>
      <c r="K174" t="s">
        <v>382</v>
      </c>
      <c r="L174" t="s">
        <v>382</v>
      </c>
      <c r="M174" t="s">
        <v>382</v>
      </c>
      <c r="N174" t="s">
        <v>382</v>
      </c>
      <c r="O174" t="s">
        <v>382</v>
      </c>
      <c r="P174" t="s">
        <v>382</v>
      </c>
      <c r="Q174" t="s">
        <v>382</v>
      </c>
      <c r="R174" t="s">
        <v>382</v>
      </c>
      <c r="S174" t="s">
        <v>382</v>
      </c>
      <c r="T174" t="s">
        <v>382</v>
      </c>
      <c r="U174" t="s">
        <v>382</v>
      </c>
      <c r="V174" t="s">
        <v>382</v>
      </c>
      <c r="W174" t="s">
        <v>382</v>
      </c>
      <c r="X174" t="s">
        <v>382</v>
      </c>
      <c r="Y174" t="s">
        <v>382</v>
      </c>
      <c r="Z174" t="s">
        <v>382</v>
      </c>
      <c r="AA174" t="s">
        <v>382</v>
      </c>
      <c r="AB174" t="s">
        <v>382</v>
      </c>
      <c r="AC174">
        <v>5</v>
      </c>
      <c r="AD174">
        <v>3</v>
      </c>
      <c r="AF174" t="s">
        <v>386</v>
      </c>
      <c r="AH174" t="s">
        <v>29</v>
      </c>
      <c r="AI174" t="s">
        <v>103</v>
      </c>
      <c r="AK174">
        <v>2640</v>
      </c>
      <c r="AL174">
        <v>1328</v>
      </c>
    </row>
    <row r="175" spans="1:38">
      <c r="A175" t="s">
        <v>382</v>
      </c>
      <c r="B175" t="s">
        <v>382</v>
      </c>
      <c r="C175" t="s">
        <v>382</v>
      </c>
      <c r="D175" t="s">
        <v>382</v>
      </c>
      <c r="E175" t="s">
        <v>382</v>
      </c>
      <c r="F175" t="s">
        <v>382</v>
      </c>
      <c r="G175" t="s">
        <v>382</v>
      </c>
      <c r="H175" t="s">
        <v>382</v>
      </c>
      <c r="I175" t="s">
        <v>382</v>
      </c>
      <c r="J175" t="s">
        <v>382</v>
      </c>
      <c r="K175" t="s">
        <v>382</v>
      </c>
      <c r="L175" t="s">
        <v>382</v>
      </c>
      <c r="M175" t="s">
        <v>382</v>
      </c>
      <c r="N175" t="s">
        <v>382</v>
      </c>
      <c r="O175" t="s">
        <v>382</v>
      </c>
      <c r="P175" t="s">
        <v>382</v>
      </c>
      <c r="Q175" t="s">
        <v>382</v>
      </c>
      <c r="R175" t="s">
        <v>382</v>
      </c>
      <c r="S175" t="s">
        <v>382</v>
      </c>
      <c r="T175" t="s">
        <v>382</v>
      </c>
      <c r="U175" t="s">
        <v>382</v>
      </c>
      <c r="V175" t="s">
        <v>382</v>
      </c>
      <c r="W175" t="s">
        <v>382</v>
      </c>
      <c r="X175" t="s">
        <v>382</v>
      </c>
      <c r="Y175" t="s">
        <v>382</v>
      </c>
      <c r="Z175" t="s">
        <v>382</v>
      </c>
      <c r="AA175" t="s">
        <v>382</v>
      </c>
      <c r="AB175" t="s">
        <v>382</v>
      </c>
      <c r="AC175">
        <v>5</v>
      </c>
      <c r="AD175">
        <v>4</v>
      </c>
      <c r="AF175" t="s">
        <v>386</v>
      </c>
      <c r="AH175" t="s">
        <v>29</v>
      </c>
      <c r="AI175" t="s">
        <v>103</v>
      </c>
      <c r="AK175">
        <v>1247</v>
      </c>
      <c r="AL175">
        <v>2202</v>
      </c>
    </row>
    <row r="176" spans="1:38">
      <c r="A176" t="s">
        <v>382</v>
      </c>
      <c r="B176" t="s">
        <v>382</v>
      </c>
      <c r="C176" t="s">
        <v>382</v>
      </c>
      <c r="D176" t="s">
        <v>382</v>
      </c>
      <c r="E176" t="s">
        <v>382</v>
      </c>
      <c r="F176" t="s">
        <v>382</v>
      </c>
      <c r="G176" t="s">
        <v>382</v>
      </c>
      <c r="H176" t="s">
        <v>382</v>
      </c>
      <c r="I176" t="s">
        <v>382</v>
      </c>
      <c r="J176" t="s">
        <v>382</v>
      </c>
      <c r="K176" t="s">
        <v>382</v>
      </c>
      <c r="L176" t="s">
        <v>382</v>
      </c>
      <c r="M176" t="s">
        <v>382</v>
      </c>
      <c r="N176" t="s">
        <v>382</v>
      </c>
      <c r="O176" t="s">
        <v>382</v>
      </c>
      <c r="P176" t="s">
        <v>382</v>
      </c>
      <c r="Q176" t="s">
        <v>382</v>
      </c>
      <c r="R176" t="s">
        <v>382</v>
      </c>
      <c r="S176" t="s">
        <v>382</v>
      </c>
      <c r="T176" t="s">
        <v>382</v>
      </c>
      <c r="U176" t="s">
        <v>382</v>
      </c>
      <c r="V176" t="s">
        <v>382</v>
      </c>
      <c r="W176" t="s">
        <v>382</v>
      </c>
      <c r="X176" t="s">
        <v>382</v>
      </c>
      <c r="Y176" t="s">
        <v>382</v>
      </c>
      <c r="Z176" t="s">
        <v>382</v>
      </c>
      <c r="AA176" t="s">
        <v>382</v>
      </c>
      <c r="AB176" t="s">
        <v>382</v>
      </c>
      <c r="AC176">
        <v>5</v>
      </c>
      <c r="AD176">
        <v>5</v>
      </c>
      <c r="AF176" t="s">
        <v>385</v>
      </c>
      <c r="AH176" t="s">
        <v>27</v>
      </c>
      <c r="AI176" t="s">
        <v>109</v>
      </c>
      <c r="AK176">
        <v>2481</v>
      </c>
      <c r="AL176">
        <v>2036</v>
      </c>
    </row>
    <row r="177" spans="1:38">
      <c r="A177" t="s">
        <v>382</v>
      </c>
      <c r="B177" t="s">
        <v>382</v>
      </c>
      <c r="C177" t="s">
        <v>382</v>
      </c>
      <c r="D177" t="s">
        <v>382</v>
      </c>
      <c r="E177" t="s">
        <v>382</v>
      </c>
      <c r="F177" t="s">
        <v>382</v>
      </c>
      <c r="G177" t="s">
        <v>382</v>
      </c>
      <c r="H177" t="s">
        <v>382</v>
      </c>
      <c r="I177" t="s">
        <v>382</v>
      </c>
      <c r="J177" t="s">
        <v>382</v>
      </c>
      <c r="K177" t="s">
        <v>382</v>
      </c>
      <c r="L177" t="s">
        <v>382</v>
      </c>
      <c r="M177" t="s">
        <v>382</v>
      </c>
      <c r="N177" t="s">
        <v>382</v>
      </c>
      <c r="O177" t="s">
        <v>382</v>
      </c>
      <c r="P177" t="s">
        <v>382</v>
      </c>
      <c r="Q177" t="s">
        <v>382</v>
      </c>
      <c r="R177" t="s">
        <v>382</v>
      </c>
      <c r="S177" t="s">
        <v>382</v>
      </c>
      <c r="T177" t="s">
        <v>382</v>
      </c>
      <c r="U177" t="s">
        <v>382</v>
      </c>
      <c r="V177" t="s">
        <v>382</v>
      </c>
      <c r="W177" t="s">
        <v>382</v>
      </c>
      <c r="X177" t="s">
        <v>382</v>
      </c>
      <c r="Y177" t="s">
        <v>382</v>
      </c>
      <c r="Z177" t="s">
        <v>382</v>
      </c>
      <c r="AA177" t="s">
        <v>382</v>
      </c>
      <c r="AB177" t="s">
        <v>382</v>
      </c>
      <c r="AC177">
        <v>5</v>
      </c>
      <c r="AD177">
        <v>1</v>
      </c>
      <c r="AE177">
        <v>1</v>
      </c>
      <c r="AF177" t="s">
        <v>387</v>
      </c>
      <c r="AH177" t="s">
        <v>31</v>
      </c>
      <c r="AI177" t="s">
        <v>97</v>
      </c>
      <c r="AK177">
        <v>1878</v>
      </c>
      <c r="AL177">
        <v>2462</v>
      </c>
    </row>
    <row r="178" spans="1:38">
      <c r="A178" t="s">
        <v>382</v>
      </c>
      <c r="B178" t="s">
        <v>382</v>
      </c>
      <c r="C178" t="s">
        <v>382</v>
      </c>
      <c r="D178" t="s">
        <v>382</v>
      </c>
      <c r="E178" t="s">
        <v>382</v>
      </c>
      <c r="F178" t="s">
        <v>382</v>
      </c>
      <c r="G178" t="s">
        <v>382</v>
      </c>
      <c r="H178" t="s">
        <v>382</v>
      </c>
      <c r="I178" t="s">
        <v>382</v>
      </c>
      <c r="J178" t="s">
        <v>382</v>
      </c>
      <c r="K178" t="s">
        <v>382</v>
      </c>
      <c r="L178" t="s">
        <v>382</v>
      </c>
      <c r="M178" t="s">
        <v>382</v>
      </c>
      <c r="N178" t="s">
        <v>382</v>
      </c>
      <c r="O178" t="s">
        <v>382</v>
      </c>
      <c r="P178" t="s">
        <v>382</v>
      </c>
      <c r="Q178" t="s">
        <v>382</v>
      </c>
      <c r="R178" t="s">
        <v>382</v>
      </c>
      <c r="S178" t="s">
        <v>382</v>
      </c>
      <c r="T178" t="s">
        <v>382</v>
      </c>
      <c r="U178" t="s">
        <v>382</v>
      </c>
      <c r="V178" t="s">
        <v>382</v>
      </c>
      <c r="W178" t="s">
        <v>382</v>
      </c>
      <c r="X178" t="s">
        <v>382</v>
      </c>
      <c r="Y178" t="s">
        <v>382</v>
      </c>
      <c r="Z178" t="s">
        <v>382</v>
      </c>
      <c r="AA178" t="s">
        <v>382</v>
      </c>
      <c r="AB178" t="s">
        <v>382</v>
      </c>
      <c r="AC178">
        <v>5</v>
      </c>
      <c r="AD178">
        <v>2</v>
      </c>
      <c r="AF178" t="s">
        <v>386</v>
      </c>
      <c r="AH178" t="s">
        <v>29</v>
      </c>
      <c r="AI178" t="s">
        <v>103</v>
      </c>
      <c r="AK178">
        <v>1342</v>
      </c>
      <c r="AL178">
        <v>335</v>
      </c>
    </row>
    <row r="179" spans="1:38">
      <c r="A179" t="s">
        <v>382</v>
      </c>
      <c r="B179" t="s">
        <v>382</v>
      </c>
      <c r="C179" t="s">
        <v>382</v>
      </c>
      <c r="D179" t="s">
        <v>382</v>
      </c>
      <c r="E179" t="s">
        <v>382</v>
      </c>
      <c r="F179" t="s">
        <v>382</v>
      </c>
      <c r="G179" t="s">
        <v>382</v>
      </c>
      <c r="H179" t="s">
        <v>382</v>
      </c>
      <c r="I179" t="s">
        <v>382</v>
      </c>
      <c r="J179" t="s">
        <v>382</v>
      </c>
      <c r="K179" t="s">
        <v>382</v>
      </c>
      <c r="L179" t="s">
        <v>382</v>
      </c>
      <c r="M179" t="s">
        <v>382</v>
      </c>
      <c r="N179" t="s">
        <v>382</v>
      </c>
      <c r="O179" t="s">
        <v>382</v>
      </c>
      <c r="P179" t="s">
        <v>382</v>
      </c>
      <c r="Q179" t="s">
        <v>382</v>
      </c>
      <c r="R179" t="s">
        <v>382</v>
      </c>
      <c r="S179" t="s">
        <v>382</v>
      </c>
      <c r="T179" t="s">
        <v>382</v>
      </c>
      <c r="U179" t="s">
        <v>382</v>
      </c>
      <c r="V179" t="s">
        <v>382</v>
      </c>
      <c r="W179" t="s">
        <v>382</v>
      </c>
      <c r="X179" t="s">
        <v>382</v>
      </c>
      <c r="Y179" t="s">
        <v>382</v>
      </c>
      <c r="Z179" t="s">
        <v>382</v>
      </c>
      <c r="AA179" t="s">
        <v>382</v>
      </c>
      <c r="AB179" t="s">
        <v>382</v>
      </c>
      <c r="AC179">
        <v>5</v>
      </c>
      <c r="AD179">
        <v>3</v>
      </c>
      <c r="AF179" t="s">
        <v>386</v>
      </c>
      <c r="AH179" t="s">
        <v>29</v>
      </c>
      <c r="AI179" t="s">
        <v>103</v>
      </c>
      <c r="AK179">
        <v>2386</v>
      </c>
      <c r="AL179">
        <v>1711</v>
      </c>
    </row>
    <row r="180" spans="1:38">
      <c r="A180" t="s">
        <v>382</v>
      </c>
      <c r="B180" t="s">
        <v>382</v>
      </c>
      <c r="C180" t="s">
        <v>382</v>
      </c>
      <c r="D180" t="s">
        <v>382</v>
      </c>
      <c r="E180" t="s">
        <v>382</v>
      </c>
      <c r="F180" t="s">
        <v>382</v>
      </c>
      <c r="G180" t="s">
        <v>382</v>
      </c>
      <c r="H180" t="s">
        <v>382</v>
      </c>
      <c r="I180" t="s">
        <v>382</v>
      </c>
      <c r="J180" t="s">
        <v>382</v>
      </c>
      <c r="K180" t="s">
        <v>382</v>
      </c>
      <c r="L180" t="s">
        <v>382</v>
      </c>
      <c r="M180" t="s">
        <v>382</v>
      </c>
      <c r="N180" t="s">
        <v>382</v>
      </c>
      <c r="O180" t="s">
        <v>382</v>
      </c>
      <c r="P180" t="s">
        <v>382</v>
      </c>
      <c r="Q180" t="s">
        <v>382</v>
      </c>
      <c r="R180" t="s">
        <v>382</v>
      </c>
      <c r="S180" t="s">
        <v>382</v>
      </c>
      <c r="T180" t="s">
        <v>382</v>
      </c>
      <c r="U180" t="s">
        <v>382</v>
      </c>
      <c r="V180" t="s">
        <v>382</v>
      </c>
      <c r="W180" t="s">
        <v>382</v>
      </c>
      <c r="X180" t="s">
        <v>382</v>
      </c>
      <c r="Y180" t="s">
        <v>382</v>
      </c>
      <c r="Z180" t="s">
        <v>382</v>
      </c>
      <c r="AA180" t="s">
        <v>382</v>
      </c>
      <c r="AB180" t="s">
        <v>382</v>
      </c>
      <c r="AC180">
        <v>5</v>
      </c>
      <c r="AD180">
        <v>4</v>
      </c>
      <c r="AF180" t="s">
        <v>386</v>
      </c>
      <c r="AH180" t="s">
        <v>29</v>
      </c>
      <c r="AI180" t="s">
        <v>103</v>
      </c>
      <c r="AK180">
        <v>1106</v>
      </c>
      <c r="AL180">
        <v>1368</v>
      </c>
    </row>
    <row r="181" spans="1:38">
      <c r="A181" t="s">
        <v>382</v>
      </c>
      <c r="B181" t="s">
        <v>382</v>
      </c>
      <c r="C181" t="s">
        <v>382</v>
      </c>
      <c r="D181" t="s">
        <v>382</v>
      </c>
      <c r="E181" t="s">
        <v>382</v>
      </c>
      <c r="F181" t="s">
        <v>382</v>
      </c>
      <c r="G181" t="s">
        <v>382</v>
      </c>
      <c r="H181" t="s">
        <v>382</v>
      </c>
      <c r="I181" t="s">
        <v>382</v>
      </c>
      <c r="J181" t="s">
        <v>382</v>
      </c>
      <c r="K181" t="s">
        <v>382</v>
      </c>
      <c r="L181" t="s">
        <v>382</v>
      </c>
      <c r="M181" t="s">
        <v>382</v>
      </c>
      <c r="N181" t="s">
        <v>382</v>
      </c>
      <c r="O181" t="s">
        <v>382</v>
      </c>
      <c r="P181" t="s">
        <v>382</v>
      </c>
      <c r="Q181" t="s">
        <v>382</v>
      </c>
      <c r="R181" t="s">
        <v>382</v>
      </c>
      <c r="S181" t="s">
        <v>382</v>
      </c>
      <c r="T181" t="s">
        <v>382</v>
      </c>
      <c r="U181" t="s">
        <v>382</v>
      </c>
      <c r="V181" t="s">
        <v>382</v>
      </c>
      <c r="W181" t="s">
        <v>382</v>
      </c>
      <c r="X181" t="s">
        <v>382</v>
      </c>
      <c r="Y181" t="s">
        <v>382</v>
      </c>
      <c r="Z181" t="s">
        <v>382</v>
      </c>
      <c r="AA181" t="s">
        <v>382</v>
      </c>
      <c r="AB181" t="s">
        <v>382</v>
      </c>
      <c r="AC181">
        <v>5</v>
      </c>
      <c r="AD181">
        <v>5</v>
      </c>
      <c r="AF181" t="s">
        <v>386</v>
      </c>
      <c r="AH181" t="s">
        <v>29</v>
      </c>
      <c r="AI181" t="s">
        <v>103</v>
      </c>
      <c r="AK181">
        <v>1237</v>
      </c>
      <c r="AL181">
        <v>255</v>
      </c>
    </row>
    <row r="182" spans="1:38">
      <c r="A182" t="s">
        <v>382</v>
      </c>
      <c r="B182" t="s">
        <v>382</v>
      </c>
      <c r="C182" t="s">
        <v>382</v>
      </c>
      <c r="D182" t="s">
        <v>382</v>
      </c>
      <c r="E182" t="s">
        <v>382</v>
      </c>
      <c r="F182" t="s">
        <v>382</v>
      </c>
      <c r="G182" t="s">
        <v>382</v>
      </c>
      <c r="H182" t="s">
        <v>382</v>
      </c>
      <c r="I182" t="s">
        <v>382</v>
      </c>
      <c r="J182" t="s">
        <v>382</v>
      </c>
      <c r="K182" t="s">
        <v>382</v>
      </c>
      <c r="L182" t="s">
        <v>382</v>
      </c>
      <c r="M182" t="s">
        <v>382</v>
      </c>
      <c r="N182" t="s">
        <v>382</v>
      </c>
      <c r="O182" t="s">
        <v>382</v>
      </c>
      <c r="P182" t="s">
        <v>382</v>
      </c>
      <c r="Q182" t="s">
        <v>382</v>
      </c>
      <c r="R182" t="s">
        <v>382</v>
      </c>
      <c r="S182" t="s">
        <v>382</v>
      </c>
      <c r="T182" t="s">
        <v>382</v>
      </c>
      <c r="U182" t="s">
        <v>382</v>
      </c>
      <c r="V182" t="s">
        <v>382</v>
      </c>
      <c r="W182" t="s">
        <v>382</v>
      </c>
      <c r="X182" t="s">
        <v>382</v>
      </c>
      <c r="Y182" t="s">
        <v>382</v>
      </c>
      <c r="Z182" t="s">
        <v>382</v>
      </c>
      <c r="AA182" t="s">
        <v>382</v>
      </c>
      <c r="AB182" t="s">
        <v>382</v>
      </c>
      <c r="AC182">
        <v>5</v>
      </c>
      <c r="AD182">
        <v>1</v>
      </c>
      <c r="AE182">
        <v>1</v>
      </c>
      <c r="AF182" t="s">
        <v>393</v>
      </c>
      <c r="AH182" t="s">
        <v>51</v>
      </c>
      <c r="AI182" t="s">
        <v>97</v>
      </c>
      <c r="AK182">
        <v>2517</v>
      </c>
      <c r="AL182">
        <v>2134</v>
      </c>
    </row>
    <row r="183" spans="1:38">
      <c r="A183" t="s">
        <v>382</v>
      </c>
      <c r="B183" t="s">
        <v>382</v>
      </c>
      <c r="C183" t="s">
        <v>382</v>
      </c>
      <c r="D183" t="s">
        <v>382</v>
      </c>
      <c r="E183" t="s">
        <v>382</v>
      </c>
      <c r="F183" t="s">
        <v>382</v>
      </c>
      <c r="G183" t="s">
        <v>382</v>
      </c>
      <c r="H183" t="s">
        <v>382</v>
      </c>
      <c r="I183" t="s">
        <v>382</v>
      </c>
      <c r="J183" t="s">
        <v>382</v>
      </c>
      <c r="K183" t="s">
        <v>382</v>
      </c>
      <c r="L183" t="s">
        <v>382</v>
      </c>
      <c r="M183" t="s">
        <v>382</v>
      </c>
      <c r="N183" t="s">
        <v>382</v>
      </c>
      <c r="O183" t="s">
        <v>382</v>
      </c>
      <c r="P183" t="s">
        <v>382</v>
      </c>
      <c r="Q183" t="s">
        <v>382</v>
      </c>
      <c r="R183" t="s">
        <v>382</v>
      </c>
      <c r="S183" t="s">
        <v>382</v>
      </c>
      <c r="T183" t="s">
        <v>382</v>
      </c>
      <c r="U183" t="s">
        <v>382</v>
      </c>
      <c r="V183" t="s">
        <v>382</v>
      </c>
      <c r="W183" t="s">
        <v>382</v>
      </c>
      <c r="X183" t="s">
        <v>382</v>
      </c>
      <c r="Y183" t="s">
        <v>382</v>
      </c>
      <c r="Z183" t="s">
        <v>382</v>
      </c>
      <c r="AA183" t="s">
        <v>382</v>
      </c>
      <c r="AB183" t="s">
        <v>382</v>
      </c>
      <c r="AC183">
        <v>5</v>
      </c>
      <c r="AD183">
        <v>2</v>
      </c>
      <c r="AF183" t="s">
        <v>386</v>
      </c>
      <c r="AH183" t="s">
        <v>29</v>
      </c>
      <c r="AI183" t="s">
        <v>103</v>
      </c>
      <c r="AK183">
        <v>3185</v>
      </c>
      <c r="AL183">
        <v>1680</v>
      </c>
    </row>
    <row r="184" spans="1:38">
      <c r="A184" t="s">
        <v>382</v>
      </c>
      <c r="B184" t="s">
        <v>382</v>
      </c>
      <c r="C184" t="s">
        <v>382</v>
      </c>
      <c r="D184" t="s">
        <v>382</v>
      </c>
      <c r="E184" t="s">
        <v>382</v>
      </c>
      <c r="F184" t="s">
        <v>382</v>
      </c>
      <c r="G184" t="s">
        <v>382</v>
      </c>
      <c r="H184" t="s">
        <v>382</v>
      </c>
      <c r="I184" t="s">
        <v>382</v>
      </c>
      <c r="J184" t="s">
        <v>382</v>
      </c>
      <c r="K184" t="s">
        <v>382</v>
      </c>
      <c r="L184" t="s">
        <v>382</v>
      </c>
      <c r="M184" t="s">
        <v>382</v>
      </c>
      <c r="N184" t="s">
        <v>382</v>
      </c>
      <c r="O184" t="s">
        <v>382</v>
      </c>
      <c r="P184" t="s">
        <v>382</v>
      </c>
      <c r="Q184" t="s">
        <v>382</v>
      </c>
      <c r="R184" t="s">
        <v>382</v>
      </c>
      <c r="S184" t="s">
        <v>382</v>
      </c>
      <c r="T184" t="s">
        <v>382</v>
      </c>
      <c r="U184" t="s">
        <v>382</v>
      </c>
      <c r="V184" t="s">
        <v>382</v>
      </c>
      <c r="W184" t="s">
        <v>382</v>
      </c>
      <c r="X184" t="s">
        <v>382</v>
      </c>
      <c r="Y184" t="s">
        <v>382</v>
      </c>
      <c r="Z184" t="s">
        <v>382</v>
      </c>
      <c r="AA184" t="s">
        <v>382</v>
      </c>
      <c r="AB184" t="s">
        <v>382</v>
      </c>
      <c r="AC184">
        <v>5</v>
      </c>
      <c r="AD184">
        <v>3</v>
      </c>
      <c r="AE184">
        <v>1</v>
      </c>
      <c r="AF184" t="s">
        <v>383</v>
      </c>
      <c r="AH184" t="s">
        <v>22</v>
      </c>
      <c r="AI184" t="s">
        <v>97</v>
      </c>
      <c r="AK184">
        <v>1330</v>
      </c>
      <c r="AL184">
        <v>534</v>
      </c>
    </row>
    <row r="185" spans="1:38">
      <c r="A185" t="s">
        <v>382</v>
      </c>
      <c r="B185" t="s">
        <v>382</v>
      </c>
      <c r="C185" t="s">
        <v>382</v>
      </c>
      <c r="D185" t="s">
        <v>382</v>
      </c>
      <c r="E185" t="s">
        <v>382</v>
      </c>
      <c r="F185" t="s">
        <v>382</v>
      </c>
      <c r="G185" t="s">
        <v>382</v>
      </c>
      <c r="H185" t="s">
        <v>382</v>
      </c>
      <c r="I185" t="s">
        <v>382</v>
      </c>
      <c r="J185" t="s">
        <v>382</v>
      </c>
      <c r="K185" t="s">
        <v>382</v>
      </c>
      <c r="L185" t="s">
        <v>382</v>
      </c>
      <c r="M185" t="s">
        <v>382</v>
      </c>
      <c r="N185" t="s">
        <v>382</v>
      </c>
      <c r="O185" t="s">
        <v>382</v>
      </c>
      <c r="P185" t="s">
        <v>382</v>
      </c>
      <c r="Q185" t="s">
        <v>382</v>
      </c>
      <c r="R185" t="s">
        <v>382</v>
      </c>
      <c r="S185" t="s">
        <v>382</v>
      </c>
      <c r="T185" t="s">
        <v>382</v>
      </c>
      <c r="U185" t="s">
        <v>382</v>
      </c>
      <c r="V185" t="s">
        <v>382</v>
      </c>
      <c r="W185" t="s">
        <v>382</v>
      </c>
      <c r="X185" t="s">
        <v>382</v>
      </c>
      <c r="Y185" t="s">
        <v>382</v>
      </c>
      <c r="Z185" t="s">
        <v>382</v>
      </c>
      <c r="AA185" t="s">
        <v>382</v>
      </c>
      <c r="AB185" t="s">
        <v>382</v>
      </c>
      <c r="AC185">
        <v>5</v>
      </c>
      <c r="AD185">
        <v>4</v>
      </c>
      <c r="AE185">
        <v>1</v>
      </c>
      <c r="AF185" t="s">
        <v>389</v>
      </c>
      <c r="AH185" t="s">
        <v>35</v>
      </c>
      <c r="AI185" t="s">
        <v>97</v>
      </c>
      <c r="AK185">
        <v>1506</v>
      </c>
      <c r="AL185">
        <v>1526</v>
      </c>
    </row>
    <row r="186" spans="1:38">
      <c r="A186" t="s">
        <v>382</v>
      </c>
      <c r="B186" t="s">
        <v>382</v>
      </c>
      <c r="C186" t="s">
        <v>382</v>
      </c>
      <c r="D186" t="s">
        <v>382</v>
      </c>
      <c r="E186" t="s">
        <v>382</v>
      </c>
      <c r="F186" t="s">
        <v>382</v>
      </c>
      <c r="G186" t="s">
        <v>382</v>
      </c>
      <c r="H186" t="s">
        <v>382</v>
      </c>
      <c r="I186" t="s">
        <v>382</v>
      </c>
      <c r="J186" t="s">
        <v>382</v>
      </c>
      <c r="K186" t="s">
        <v>382</v>
      </c>
      <c r="L186" t="s">
        <v>382</v>
      </c>
      <c r="M186" t="s">
        <v>382</v>
      </c>
      <c r="N186" t="s">
        <v>382</v>
      </c>
      <c r="O186" t="s">
        <v>382</v>
      </c>
      <c r="P186" t="s">
        <v>382</v>
      </c>
      <c r="Q186" t="s">
        <v>382</v>
      </c>
      <c r="R186" t="s">
        <v>382</v>
      </c>
      <c r="S186" t="s">
        <v>382</v>
      </c>
      <c r="T186" t="s">
        <v>382</v>
      </c>
      <c r="U186" t="s">
        <v>382</v>
      </c>
      <c r="V186" t="s">
        <v>382</v>
      </c>
      <c r="W186" t="s">
        <v>382</v>
      </c>
      <c r="X186" t="s">
        <v>382</v>
      </c>
      <c r="Y186" t="s">
        <v>382</v>
      </c>
      <c r="Z186" t="s">
        <v>382</v>
      </c>
      <c r="AA186" t="s">
        <v>382</v>
      </c>
      <c r="AB186" t="s">
        <v>382</v>
      </c>
      <c r="AC186">
        <v>5</v>
      </c>
      <c r="AD186">
        <v>5</v>
      </c>
      <c r="AE186">
        <v>1</v>
      </c>
      <c r="AF186" t="s">
        <v>383</v>
      </c>
      <c r="AH186" t="s">
        <v>22</v>
      </c>
      <c r="AI186" t="s">
        <v>97</v>
      </c>
      <c r="AK186">
        <v>2079</v>
      </c>
      <c r="AL186">
        <v>604</v>
      </c>
    </row>
    <row r="187" spans="1:38">
      <c r="A187" t="s">
        <v>382</v>
      </c>
      <c r="B187" t="s">
        <v>382</v>
      </c>
      <c r="C187" t="s">
        <v>382</v>
      </c>
      <c r="D187" t="s">
        <v>382</v>
      </c>
      <c r="E187" t="s">
        <v>382</v>
      </c>
      <c r="F187" t="s">
        <v>382</v>
      </c>
      <c r="G187" t="s">
        <v>382</v>
      </c>
      <c r="H187" t="s">
        <v>382</v>
      </c>
      <c r="I187" t="s">
        <v>382</v>
      </c>
      <c r="J187" t="s">
        <v>382</v>
      </c>
      <c r="K187" t="s">
        <v>382</v>
      </c>
      <c r="L187" t="s">
        <v>382</v>
      </c>
      <c r="M187" t="s">
        <v>382</v>
      </c>
      <c r="N187" t="s">
        <v>382</v>
      </c>
      <c r="O187" t="s">
        <v>382</v>
      </c>
      <c r="P187" t="s">
        <v>382</v>
      </c>
      <c r="Q187" t="s">
        <v>382</v>
      </c>
      <c r="R187" t="s">
        <v>382</v>
      </c>
      <c r="S187" t="s">
        <v>382</v>
      </c>
      <c r="T187" t="s">
        <v>382</v>
      </c>
      <c r="U187" t="s">
        <v>382</v>
      </c>
      <c r="V187" t="s">
        <v>382</v>
      </c>
      <c r="W187" t="s">
        <v>382</v>
      </c>
      <c r="X187" t="s">
        <v>382</v>
      </c>
      <c r="Y187" t="s">
        <v>382</v>
      </c>
      <c r="Z187" t="s">
        <v>382</v>
      </c>
      <c r="AA187" t="s">
        <v>382</v>
      </c>
      <c r="AB187" t="s">
        <v>382</v>
      </c>
      <c r="AC187">
        <v>5</v>
      </c>
      <c r="AD187">
        <v>1</v>
      </c>
      <c r="AE187">
        <v>1</v>
      </c>
      <c r="AF187" t="s">
        <v>389</v>
      </c>
      <c r="AH187" t="s">
        <v>35</v>
      </c>
      <c r="AI187" t="s">
        <v>97</v>
      </c>
      <c r="AK187">
        <v>823</v>
      </c>
      <c r="AL187">
        <v>863</v>
      </c>
    </row>
    <row r="188" spans="1:38">
      <c r="A188" t="s">
        <v>382</v>
      </c>
      <c r="B188" t="s">
        <v>382</v>
      </c>
      <c r="C188" t="s">
        <v>382</v>
      </c>
      <c r="D188" t="s">
        <v>382</v>
      </c>
      <c r="E188" t="s">
        <v>382</v>
      </c>
      <c r="F188" t="s">
        <v>382</v>
      </c>
      <c r="G188" t="s">
        <v>382</v>
      </c>
      <c r="H188" t="s">
        <v>382</v>
      </c>
      <c r="I188" t="s">
        <v>382</v>
      </c>
      <c r="J188" t="s">
        <v>382</v>
      </c>
      <c r="K188" t="s">
        <v>382</v>
      </c>
      <c r="L188" t="s">
        <v>382</v>
      </c>
      <c r="M188" t="s">
        <v>382</v>
      </c>
      <c r="N188" t="s">
        <v>382</v>
      </c>
      <c r="O188" t="s">
        <v>382</v>
      </c>
      <c r="P188" t="s">
        <v>382</v>
      </c>
      <c r="Q188" t="s">
        <v>382</v>
      </c>
      <c r="R188" t="s">
        <v>382</v>
      </c>
      <c r="S188" t="s">
        <v>382</v>
      </c>
      <c r="T188" t="s">
        <v>382</v>
      </c>
      <c r="U188" t="s">
        <v>382</v>
      </c>
      <c r="V188" t="s">
        <v>382</v>
      </c>
      <c r="W188" t="s">
        <v>382</v>
      </c>
      <c r="X188" t="s">
        <v>382</v>
      </c>
      <c r="Y188" t="s">
        <v>382</v>
      </c>
      <c r="Z188" t="s">
        <v>382</v>
      </c>
      <c r="AA188" t="s">
        <v>382</v>
      </c>
      <c r="AB188" t="s">
        <v>382</v>
      </c>
      <c r="AC188">
        <v>5</v>
      </c>
      <c r="AD188">
        <v>2</v>
      </c>
      <c r="AE188">
        <v>1</v>
      </c>
      <c r="AF188" t="s">
        <v>389</v>
      </c>
      <c r="AH188" t="s">
        <v>35</v>
      </c>
      <c r="AI188" t="s">
        <v>97</v>
      </c>
      <c r="AK188">
        <v>948</v>
      </c>
      <c r="AL188">
        <v>872</v>
      </c>
    </row>
    <row r="189" spans="1:38">
      <c r="A189" t="s">
        <v>382</v>
      </c>
      <c r="B189" t="s">
        <v>382</v>
      </c>
      <c r="C189" t="s">
        <v>382</v>
      </c>
      <c r="D189" t="s">
        <v>382</v>
      </c>
      <c r="E189" t="s">
        <v>382</v>
      </c>
      <c r="F189" t="s">
        <v>382</v>
      </c>
      <c r="G189" t="s">
        <v>382</v>
      </c>
      <c r="H189" t="s">
        <v>382</v>
      </c>
      <c r="I189" t="s">
        <v>382</v>
      </c>
      <c r="J189" t="s">
        <v>382</v>
      </c>
      <c r="K189" t="s">
        <v>382</v>
      </c>
      <c r="L189" t="s">
        <v>382</v>
      </c>
      <c r="M189" t="s">
        <v>382</v>
      </c>
      <c r="N189" t="s">
        <v>382</v>
      </c>
      <c r="O189" t="s">
        <v>382</v>
      </c>
      <c r="P189" t="s">
        <v>382</v>
      </c>
      <c r="Q189" t="s">
        <v>382</v>
      </c>
      <c r="R189" t="s">
        <v>382</v>
      </c>
      <c r="S189" t="s">
        <v>382</v>
      </c>
      <c r="T189" t="s">
        <v>382</v>
      </c>
      <c r="U189" t="s">
        <v>382</v>
      </c>
      <c r="V189" t="s">
        <v>382</v>
      </c>
      <c r="W189" t="s">
        <v>382</v>
      </c>
      <c r="X189" t="s">
        <v>382</v>
      </c>
      <c r="Y189" t="s">
        <v>382</v>
      </c>
      <c r="Z189" t="s">
        <v>382</v>
      </c>
      <c r="AA189" t="s">
        <v>382</v>
      </c>
      <c r="AB189" t="s">
        <v>382</v>
      </c>
      <c r="AC189">
        <v>5</v>
      </c>
      <c r="AD189">
        <v>3</v>
      </c>
      <c r="AF189" t="s">
        <v>385</v>
      </c>
      <c r="AH189" t="s">
        <v>27</v>
      </c>
      <c r="AI189" t="s">
        <v>109</v>
      </c>
      <c r="AK189">
        <v>2546</v>
      </c>
      <c r="AL189">
        <v>862</v>
      </c>
    </row>
    <row r="190" spans="1:38">
      <c r="A190" t="s">
        <v>382</v>
      </c>
      <c r="B190" t="s">
        <v>382</v>
      </c>
      <c r="C190" t="s">
        <v>382</v>
      </c>
      <c r="D190" t="s">
        <v>382</v>
      </c>
      <c r="E190" t="s">
        <v>382</v>
      </c>
      <c r="F190" t="s">
        <v>382</v>
      </c>
      <c r="G190" t="s">
        <v>382</v>
      </c>
      <c r="H190" t="s">
        <v>382</v>
      </c>
      <c r="I190" t="s">
        <v>382</v>
      </c>
      <c r="J190" t="s">
        <v>382</v>
      </c>
      <c r="K190" t="s">
        <v>382</v>
      </c>
      <c r="L190" t="s">
        <v>382</v>
      </c>
      <c r="M190" t="s">
        <v>382</v>
      </c>
      <c r="N190" t="s">
        <v>382</v>
      </c>
      <c r="O190" t="s">
        <v>382</v>
      </c>
      <c r="P190" t="s">
        <v>382</v>
      </c>
      <c r="Q190" t="s">
        <v>382</v>
      </c>
      <c r="R190" t="s">
        <v>382</v>
      </c>
      <c r="S190" t="s">
        <v>382</v>
      </c>
      <c r="T190" t="s">
        <v>382</v>
      </c>
      <c r="U190" t="s">
        <v>382</v>
      </c>
      <c r="V190" t="s">
        <v>382</v>
      </c>
      <c r="W190" t="s">
        <v>382</v>
      </c>
      <c r="X190" t="s">
        <v>382</v>
      </c>
      <c r="Y190" t="s">
        <v>382</v>
      </c>
      <c r="Z190" t="s">
        <v>382</v>
      </c>
      <c r="AA190" t="s">
        <v>382</v>
      </c>
      <c r="AB190" t="s">
        <v>382</v>
      </c>
      <c r="AC190">
        <v>5</v>
      </c>
      <c r="AD190">
        <v>4</v>
      </c>
      <c r="AF190" t="s">
        <v>385</v>
      </c>
      <c r="AH190" t="s">
        <v>27</v>
      </c>
      <c r="AI190" t="s">
        <v>109</v>
      </c>
      <c r="AK190">
        <v>2738</v>
      </c>
      <c r="AL190">
        <v>1560</v>
      </c>
    </row>
    <row r="191" spans="1:38">
      <c r="A191" t="s">
        <v>382</v>
      </c>
      <c r="B191" t="s">
        <v>382</v>
      </c>
      <c r="C191" t="s">
        <v>382</v>
      </c>
      <c r="D191" t="s">
        <v>382</v>
      </c>
      <c r="E191" t="s">
        <v>382</v>
      </c>
      <c r="F191" t="s">
        <v>382</v>
      </c>
      <c r="G191" t="s">
        <v>382</v>
      </c>
      <c r="H191" t="s">
        <v>382</v>
      </c>
      <c r="I191" t="s">
        <v>382</v>
      </c>
      <c r="J191" t="s">
        <v>382</v>
      </c>
      <c r="K191" t="s">
        <v>382</v>
      </c>
      <c r="L191" t="s">
        <v>382</v>
      </c>
      <c r="M191" t="s">
        <v>382</v>
      </c>
      <c r="N191" t="s">
        <v>382</v>
      </c>
      <c r="O191" t="s">
        <v>382</v>
      </c>
      <c r="P191" t="s">
        <v>382</v>
      </c>
      <c r="Q191" t="s">
        <v>382</v>
      </c>
      <c r="R191" t="s">
        <v>382</v>
      </c>
      <c r="S191" t="s">
        <v>382</v>
      </c>
      <c r="T191" t="s">
        <v>382</v>
      </c>
      <c r="U191" t="s">
        <v>382</v>
      </c>
      <c r="V191" t="s">
        <v>382</v>
      </c>
      <c r="W191" t="s">
        <v>382</v>
      </c>
      <c r="X191" t="s">
        <v>382</v>
      </c>
      <c r="Y191" t="s">
        <v>382</v>
      </c>
      <c r="Z191" t="s">
        <v>382</v>
      </c>
      <c r="AA191" t="s">
        <v>382</v>
      </c>
      <c r="AB191" t="s">
        <v>382</v>
      </c>
      <c r="AC191">
        <v>5</v>
      </c>
      <c r="AD191">
        <v>5</v>
      </c>
      <c r="AE191">
        <v>1</v>
      </c>
      <c r="AF191" t="s">
        <v>389</v>
      </c>
      <c r="AH191" t="s">
        <v>35</v>
      </c>
      <c r="AI191" t="s">
        <v>97</v>
      </c>
      <c r="AK191">
        <v>1052</v>
      </c>
      <c r="AL191">
        <v>1930</v>
      </c>
    </row>
    <row r="192" spans="1:38">
      <c r="A192" t="s">
        <v>382</v>
      </c>
      <c r="B192" t="s">
        <v>382</v>
      </c>
      <c r="C192" t="s">
        <v>382</v>
      </c>
      <c r="D192" t="s">
        <v>382</v>
      </c>
      <c r="E192" t="s">
        <v>382</v>
      </c>
      <c r="F192" t="s">
        <v>382</v>
      </c>
      <c r="G192" t="s">
        <v>382</v>
      </c>
      <c r="H192" t="s">
        <v>382</v>
      </c>
      <c r="I192" t="s">
        <v>382</v>
      </c>
      <c r="J192" t="s">
        <v>382</v>
      </c>
      <c r="K192" t="s">
        <v>382</v>
      </c>
      <c r="L192" t="s">
        <v>382</v>
      </c>
      <c r="M192" t="s">
        <v>382</v>
      </c>
      <c r="N192" t="s">
        <v>382</v>
      </c>
      <c r="O192" t="s">
        <v>382</v>
      </c>
      <c r="P192" t="s">
        <v>382</v>
      </c>
      <c r="Q192" t="s">
        <v>382</v>
      </c>
      <c r="R192" t="s">
        <v>382</v>
      </c>
      <c r="S192" t="s">
        <v>382</v>
      </c>
      <c r="T192" t="s">
        <v>382</v>
      </c>
      <c r="U192" t="s">
        <v>382</v>
      </c>
      <c r="V192" t="s">
        <v>382</v>
      </c>
      <c r="W192" t="s">
        <v>382</v>
      </c>
      <c r="X192" t="s">
        <v>382</v>
      </c>
      <c r="Y192" t="s">
        <v>382</v>
      </c>
      <c r="Z192" t="s">
        <v>382</v>
      </c>
      <c r="AA192" t="s">
        <v>382</v>
      </c>
      <c r="AB192" t="s">
        <v>382</v>
      </c>
      <c r="AC192">
        <v>5</v>
      </c>
      <c r="AD192">
        <v>1</v>
      </c>
      <c r="AF192" t="s">
        <v>386</v>
      </c>
      <c r="AH192" t="s">
        <v>29</v>
      </c>
      <c r="AI192" t="s">
        <v>103</v>
      </c>
      <c r="AK192">
        <v>1561</v>
      </c>
      <c r="AL192">
        <v>584</v>
      </c>
    </row>
    <row r="193" spans="1:38">
      <c r="A193" t="s">
        <v>382</v>
      </c>
      <c r="B193" t="s">
        <v>382</v>
      </c>
      <c r="C193" t="s">
        <v>382</v>
      </c>
      <c r="D193" t="s">
        <v>382</v>
      </c>
      <c r="E193" t="s">
        <v>382</v>
      </c>
      <c r="F193" t="s">
        <v>382</v>
      </c>
      <c r="G193" t="s">
        <v>382</v>
      </c>
      <c r="H193" t="s">
        <v>382</v>
      </c>
      <c r="I193" t="s">
        <v>382</v>
      </c>
      <c r="J193" t="s">
        <v>382</v>
      </c>
      <c r="K193" t="s">
        <v>382</v>
      </c>
      <c r="L193" t="s">
        <v>382</v>
      </c>
      <c r="M193" t="s">
        <v>382</v>
      </c>
      <c r="N193" t="s">
        <v>382</v>
      </c>
      <c r="O193" t="s">
        <v>382</v>
      </c>
      <c r="P193" t="s">
        <v>382</v>
      </c>
      <c r="Q193" t="s">
        <v>382</v>
      </c>
      <c r="R193" t="s">
        <v>382</v>
      </c>
      <c r="S193" t="s">
        <v>382</v>
      </c>
      <c r="T193" t="s">
        <v>382</v>
      </c>
      <c r="U193" t="s">
        <v>382</v>
      </c>
      <c r="V193" t="s">
        <v>382</v>
      </c>
      <c r="W193" t="s">
        <v>382</v>
      </c>
      <c r="X193" t="s">
        <v>382</v>
      </c>
      <c r="Y193" t="s">
        <v>382</v>
      </c>
      <c r="Z193" t="s">
        <v>382</v>
      </c>
      <c r="AA193" t="s">
        <v>382</v>
      </c>
      <c r="AB193" t="s">
        <v>382</v>
      </c>
      <c r="AC193">
        <v>5</v>
      </c>
      <c r="AD193">
        <v>2</v>
      </c>
      <c r="AE193">
        <v>1</v>
      </c>
      <c r="AF193" t="s">
        <v>389</v>
      </c>
      <c r="AH193" t="s">
        <v>35</v>
      </c>
      <c r="AI193" t="s">
        <v>97</v>
      </c>
      <c r="AK193">
        <v>1510</v>
      </c>
      <c r="AL193">
        <v>1676</v>
      </c>
    </row>
    <row r="194" spans="1:38">
      <c r="A194" t="s">
        <v>382</v>
      </c>
      <c r="B194" t="s">
        <v>382</v>
      </c>
      <c r="C194" t="s">
        <v>382</v>
      </c>
      <c r="D194" t="s">
        <v>382</v>
      </c>
      <c r="E194" t="s">
        <v>382</v>
      </c>
      <c r="F194" t="s">
        <v>382</v>
      </c>
      <c r="G194" t="s">
        <v>382</v>
      </c>
      <c r="H194" t="s">
        <v>382</v>
      </c>
      <c r="I194" t="s">
        <v>382</v>
      </c>
      <c r="J194" t="s">
        <v>382</v>
      </c>
      <c r="K194" t="s">
        <v>382</v>
      </c>
      <c r="L194" t="s">
        <v>382</v>
      </c>
      <c r="M194" t="s">
        <v>382</v>
      </c>
      <c r="N194" t="s">
        <v>382</v>
      </c>
      <c r="O194" t="s">
        <v>382</v>
      </c>
      <c r="P194" t="s">
        <v>382</v>
      </c>
      <c r="Q194" t="s">
        <v>382</v>
      </c>
      <c r="R194" t="s">
        <v>382</v>
      </c>
      <c r="S194" t="s">
        <v>382</v>
      </c>
      <c r="T194" t="s">
        <v>382</v>
      </c>
      <c r="U194" t="s">
        <v>382</v>
      </c>
      <c r="V194" t="s">
        <v>382</v>
      </c>
      <c r="W194" t="s">
        <v>382</v>
      </c>
      <c r="X194" t="s">
        <v>382</v>
      </c>
      <c r="Y194" t="s">
        <v>382</v>
      </c>
      <c r="Z194" t="s">
        <v>382</v>
      </c>
      <c r="AA194" t="s">
        <v>382</v>
      </c>
      <c r="AB194" t="s">
        <v>382</v>
      </c>
      <c r="AC194">
        <v>5</v>
      </c>
      <c r="AD194">
        <v>3</v>
      </c>
      <c r="AF194" t="s">
        <v>385</v>
      </c>
      <c r="AH194" t="s">
        <v>27</v>
      </c>
      <c r="AI194" t="s">
        <v>109</v>
      </c>
      <c r="AK194">
        <v>1368</v>
      </c>
      <c r="AL194">
        <v>2449</v>
      </c>
    </row>
    <row r="195" spans="1:38">
      <c r="A195" t="s">
        <v>382</v>
      </c>
      <c r="B195" t="s">
        <v>382</v>
      </c>
      <c r="C195" t="s">
        <v>382</v>
      </c>
      <c r="D195" t="s">
        <v>382</v>
      </c>
      <c r="E195" t="s">
        <v>382</v>
      </c>
      <c r="F195" t="s">
        <v>382</v>
      </c>
      <c r="G195" t="s">
        <v>382</v>
      </c>
      <c r="H195" t="s">
        <v>382</v>
      </c>
      <c r="I195" t="s">
        <v>382</v>
      </c>
      <c r="J195" t="s">
        <v>382</v>
      </c>
      <c r="K195" t="s">
        <v>382</v>
      </c>
      <c r="L195" t="s">
        <v>382</v>
      </c>
      <c r="M195" t="s">
        <v>382</v>
      </c>
      <c r="N195" t="s">
        <v>382</v>
      </c>
      <c r="O195" t="s">
        <v>382</v>
      </c>
      <c r="P195" t="s">
        <v>382</v>
      </c>
      <c r="Q195" t="s">
        <v>382</v>
      </c>
      <c r="R195" t="s">
        <v>382</v>
      </c>
      <c r="S195" t="s">
        <v>382</v>
      </c>
      <c r="T195" t="s">
        <v>382</v>
      </c>
      <c r="U195" t="s">
        <v>382</v>
      </c>
      <c r="V195" t="s">
        <v>382</v>
      </c>
      <c r="W195" t="s">
        <v>382</v>
      </c>
      <c r="X195" t="s">
        <v>382</v>
      </c>
      <c r="Y195" t="s">
        <v>382</v>
      </c>
      <c r="Z195" t="s">
        <v>382</v>
      </c>
      <c r="AA195" t="s">
        <v>382</v>
      </c>
      <c r="AB195" t="s">
        <v>382</v>
      </c>
      <c r="AC195">
        <v>5</v>
      </c>
      <c r="AD195">
        <v>4</v>
      </c>
      <c r="AE195">
        <v>1</v>
      </c>
      <c r="AF195" t="s">
        <v>387</v>
      </c>
      <c r="AH195" t="s">
        <v>31</v>
      </c>
      <c r="AI195" t="s">
        <v>97</v>
      </c>
      <c r="AK195">
        <v>2222</v>
      </c>
      <c r="AL195">
        <v>2396</v>
      </c>
    </row>
    <row r="196" spans="1:38">
      <c r="A196" t="s">
        <v>382</v>
      </c>
      <c r="B196" t="s">
        <v>382</v>
      </c>
      <c r="C196" t="s">
        <v>382</v>
      </c>
      <c r="D196" t="s">
        <v>382</v>
      </c>
      <c r="E196" t="s">
        <v>382</v>
      </c>
      <c r="F196" t="s">
        <v>382</v>
      </c>
      <c r="G196" t="s">
        <v>382</v>
      </c>
      <c r="H196" t="s">
        <v>382</v>
      </c>
      <c r="I196" t="s">
        <v>382</v>
      </c>
      <c r="J196" t="s">
        <v>382</v>
      </c>
      <c r="K196" t="s">
        <v>382</v>
      </c>
      <c r="L196" t="s">
        <v>382</v>
      </c>
      <c r="M196" t="s">
        <v>382</v>
      </c>
      <c r="N196" t="s">
        <v>382</v>
      </c>
      <c r="O196" t="s">
        <v>382</v>
      </c>
      <c r="P196" t="s">
        <v>382</v>
      </c>
      <c r="Q196" t="s">
        <v>382</v>
      </c>
      <c r="R196" t="s">
        <v>382</v>
      </c>
      <c r="S196" t="s">
        <v>382</v>
      </c>
      <c r="T196" t="s">
        <v>382</v>
      </c>
      <c r="U196" t="s">
        <v>382</v>
      </c>
      <c r="V196" t="s">
        <v>382</v>
      </c>
      <c r="W196" t="s">
        <v>382</v>
      </c>
      <c r="X196" t="s">
        <v>382</v>
      </c>
      <c r="Y196" t="s">
        <v>382</v>
      </c>
      <c r="Z196" t="s">
        <v>382</v>
      </c>
      <c r="AA196" t="s">
        <v>382</v>
      </c>
      <c r="AB196" t="s">
        <v>382</v>
      </c>
      <c r="AC196">
        <v>5</v>
      </c>
      <c r="AD196">
        <v>5</v>
      </c>
      <c r="AF196" t="s">
        <v>386</v>
      </c>
      <c r="AH196" t="s">
        <v>29</v>
      </c>
      <c r="AI196" t="s">
        <v>103</v>
      </c>
      <c r="AK196">
        <v>1119</v>
      </c>
      <c r="AL196">
        <v>604</v>
      </c>
    </row>
    <row r="197" spans="1:38">
      <c r="A197" t="s">
        <v>382</v>
      </c>
      <c r="B197" t="s">
        <v>382</v>
      </c>
      <c r="C197" t="s">
        <v>382</v>
      </c>
      <c r="D197" t="s">
        <v>382</v>
      </c>
      <c r="E197" t="s">
        <v>382</v>
      </c>
      <c r="F197" t="s">
        <v>382</v>
      </c>
      <c r="G197" t="s">
        <v>382</v>
      </c>
      <c r="H197" t="s">
        <v>382</v>
      </c>
      <c r="I197" t="s">
        <v>382</v>
      </c>
      <c r="J197" t="s">
        <v>382</v>
      </c>
      <c r="K197" t="s">
        <v>382</v>
      </c>
      <c r="L197" t="s">
        <v>382</v>
      </c>
      <c r="M197" t="s">
        <v>382</v>
      </c>
      <c r="N197" t="s">
        <v>382</v>
      </c>
      <c r="O197" t="s">
        <v>382</v>
      </c>
      <c r="P197" t="s">
        <v>382</v>
      </c>
      <c r="Q197" t="s">
        <v>382</v>
      </c>
      <c r="R197" t="s">
        <v>382</v>
      </c>
      <c r="S197" t="s">
        <v>382</v>
      </c>
      <c r="T197" t="s">
        <v>382</v>
      </c>
      <c r="U197" t="s">
        <v>382</v>
      </c>
      <c r="V197" t="s">
        <v>382</v>
      </c>
      <c r="W197" t="s">
        <v>382</v>
      </c>
      <c r="X197" t="s">
        <v>382</v>
      </c>
      <c r="Y197" t="s">
        <v>382</v>
      </c>
      <c r="Z197" t="s">
        <v>382</v>
      </c>
      <c r="AA197" t="s">
        <v>382</v>
      </c>
      <c r="AB197" t="s">
        <v>382</v>
      </c>
      <c r="AC197">
        <v>5</v>
      </c>
      <c r="AD197">
        <v>1</v>
      </c>
      <c r="AE197">
        <v>1</v>
      </c>
      <c r="AF197" t="s">
        <v>396</v>
      </c>
      <c r="AH197" t="s">
        <v>64</v>
      </c>
      <c r="AI197" t="s">
        <v>97</v>
      </c>
      <c r="AK197">
        <v>986</v>
      </c>
      <c r="AL197">
        <v>1049</v>
      </c>
    </row>
    <row r="198" spans="1:38">
      <c r="A198" t="s">
        <v>382</v>
      </c>
      <c r="B198" t="s">
        <v>382</v>
      </c>
      <c r="C198" t="s">
        <v>382</v>
      </c>
      <c r="D198" t="s">
        <v>382</v>
      </c>
      <c r="E198" t="s">
        <v>382</v>
      </c>
      <c r="F198" t="s">
        <v>382</v>
      </c>
      <c r="G198" t="s">
        <v>382</v>
      </c>
      <c r="H198" t="s">
        <v>382</v>
      </c>
      <c r="I198" t="s">
        <v>382</v>
      </c>
      <c r="J198" t="s">
        <v>382</v>
      </c>
      <c r="K198" t="s">
        <v>382</v>
      </c>
      <c r="L198" t="s">
        <v>382</v>
      </c>
      <c r="M198" t="s">
        <v>382</v>
      </c>
      <c r="N198" t="s">
        <v>382</v>
      </c>
      <c r="O198" t="s">
        <v>382</v>
      </c>
      <c r="P198" t="s">
        <v>382</v>
      </c>
      <c r="Q198" t="s">
        <v>382</v>
      </c>
      <c r="R198" t="s">
        <v>382</v>
      </c>
      <c r="S198" t="s">
        <v>382</v>
      </c>
      <c r="T198" t="s">
        <v>382</v>
      </c>
      <c r="U198" t="s">
        <v>382</v>
      </c>
      <c r="V198" t="s">
        <v>382</v>
      </c>
      <c r="W198" t="s">
        <v>382</v>
      </c>
      <c r="X198" t="s">
        <v>382</v>
      </c>
      <c r="Y198" t="s">
        <v>382</v>
      </c>
      <c r="Z198" t="s">
        <v>382</v>
      </c>
      <c r="AA198" t="s">
        <v>382</v>
      </c>
      <c r="AB198" t="s">
        <v>382</v>
      </c>
      <c r="AC198">
        <v>5</v>
      </c>
      <c r="AD198">
        <v>2</v>
      </c>
      <c r="AE198">
        <v>1</v>
      </c>
      <c r="AF198" t="s">
        <v>396</v>
      </c>
      <c r="AH198" t="s">
        <v>64</v>
      </c>
      <c r="AI198" t="s">
        <v>97</v>
      </c>
      <c r="AK198">
        <v>983</v>
      </c>
      <c r="AL198">
        <v>1249</v>
      </c>
    </row>
    <row r="199" spans="1:38">
      <c r="A199" t="s">
        <v>382</v>
      </c>
      <c r="B199" t="s">
        <v>382</v>
      </c>
      <c r="C199" t="s">
        <v>382</v>
      </c>
      <c r="D199" t="s">
        <v>382</v>
      </c>
      <c r="E199" t="s">
        <v>382</v>
      </c>
      <c r="F199" t="s">
        <v>382</v>
      </c>
      <c r="G199" t="s">
        <v>382</v>
      </c>
      <c r="H199" t="s">
        <v>382</v>
      </c>
      <c r="I199" t="s">
        <v>382</v>
      </c>
      <c r="J199" t="s">
        <v>382</v>
      </c>
      <c r="K199" t="s">
        <v>382</v>
      </c>
      <c r="L199" t="s">
        <v>382</v>
      </c>
      <c r="M199" t="s">
        <v>382</v>
      </c>
      <c r="N199" t="s">
        <v>382</v>
      </c>
      <c r="O199" t="s">
        <v>382</v>
      </c>
      <c r="P199" t="s">
        <v>382</v>
      </c>
      <c r="Q199" t="s">
        <v>382</v>
      </c>
      <c r="R199" t="s">
        <v>382</v>
      </c>
      <c r="S199" t="s">
        <v>382</v>
      </c>
      <c r="T199" t="s">
        <v>382</v>
      </c>
      <c r="U199" t="s">
        <v>382</v>
      </c>
      <c r="V199" t="s">
        <v>382</v>
      </c>
      <c r="W199" t="s">
        <v>382</v>
      </c>
      <c r="X199" t="s">
        <v>382</v>
      </c>
      <c r="Y199" t="s">
        <v>382</v>
      </c>
      <c r="Z199" t="s">
        <v>382</v>
      </c>
      <c r="AA199" t="s">
        <v>382</v>
      </c>
      <c r="AB199" t="s">
        <v>382</v>
      </c>
      <c r="AC199">
        <v>5</v>
      </c>
      <c r="AD199">
        <v>3</v>
      </c>
      <c r="AE199">
        <v>1</v>
      </c>
      <c r="AF199" t="s">
        <v>383</v>
      </c>
      <c r="AH199" t="s">
        <v>22</v>
      </c>
      <c r="AI199" t="s">
        <v>97</v>
      </c>
      <c r="AK199">
        <v>2539</v>
      </c>
      <c r="AL199">
        <v>1691</v>
      </c>
    </row>
    <row r="200" spans="1:38">
      <c r="A200" t="s">
        <v>382</v>
      </c>
      <c r="B200" t="s">
        <v>382</v>
      </c>
      <c r="C200" t="s">
        <v>382</v>
      </c>
      <c r="D200" t="s">
        <v>382</v>
      </c>
      <c r="E200" t="s">
        <v>382</v>
      </c>
      <c r="F200" t="s">
        <v>382</v>
      </c>
      <c r="G200" t="s">
        <v>382</v>
      </c>
      <c r="H200" t="s">
        <v>382</v>
      </c>
      <c r="I200" t="s">
        <v>382</v>
      </c>
      <c r="J200" t="s">
        <v>382</v>
      </c>
      <c r="K200" t="s">
        <v>382</v>
      </c>
      <c r="L200" t="s">
        <v>382</v>
      </c>
      <c r="M200" t="s">
        <v>382</v>
      </c>
      <c r="N200" t="s">
        <v>382</v>
      </c>
      <c r="O200" t="s">
        <v>382</v>
      </c>
      <c r="P200" t="s">
        <v>382</v>
      </c>
      <c r="Q200" t="s">
        <v>382</v>
      </c>
      <c r="R200" t="s">
        <v>382</v>
      </c>
      <c r="S200" t="s">
        <v>382</v>
      </c>
      <c r="T200" t="s">
        <v>382</v>
      </c>
      <c r="U200" t="s">
        <v>382</v>
      </c>
      <c r="V200" t="s">
        <v>382</v>
      </c>
      <c r="W200" t="s">
        <v>382</v>
      </c>
      <c r="X200" t="s">
        <v>382</v>
      </c>
      <c r="Y200" t="s">
        <v>382</v>
      </c>
      <c r="Z200" t="s">
        <v>382</v>
      </c>
      <c r="AA200" t="s">
        <v>382</v>
      </c>
      <c r="AB200" t="s">
        <v>382</v>
      </c>
      <c r="AC200">
        <v>5</v>
      </c>
      <c r="AD200">
        <v>4</v>
      </c>
      <c r="AE200">
        <v>1</v>
      </c>
      <c r="AF200" t="s">
        <v>393</v>
      </c>
      <c r="AH200" t="s">
        <v>51</v>
      </c>
      <c r="AI200" t="s">
        <v>97</v>
      </c>
      <c r="AK200">
        <v>2010</v>
      </c>
      <c r="AL200">
        <v>1873</v>
      </c>
    </row>
    <row r="201" spans="1:38">
      <c r="A201" t="s">
        <v>382</v>
      </c>
      <c r="B201" t="s">
        <v>382</v>
      </c>
      <c r="C201" t="s">
        <v>382</v>
      </c>
      <c r="D201" t="s">
        <v>382</v>
      </c>
      <c r="E201" t="s">
        <v>382</v>
      </c>
      <c r="F201" t="s">
        <v>382</v>
      </c>
      <c r="G201" t="s">
        <v>382</v>
      </c>
      <c r="H201" t="s">
        <v>382</v>
      </c>
      <c r="I201" t="s">
        <v>382</v>
      </c>
      <c r="J201" t="s">
        <v>382</v>
      </c>
      <c r="K201" t="s">
        <v>382</v>
      </c>
      <c r="L201" t="s">
        <v>382</v>
      </c>
      <c r="M201" t="s">
        <v>382</v>
      </c>
      <c r="N201" t="s">
        <v>382</v>
      </c>
      <c r="O201" t="s">
        <v>382</v>
      </c>
      <c r="P201" t="s">
        <v>382</v>
      </c>
      <c r="Q201" t="s">
        <v>382</v>
      </c>
      <c r="R201" t="s">
        <v>382</v>
      </c>
      <c r="S201" t="s">
        <v>382</v>
      </c>
      <c r="T201" t="s">
        <v>382</v>
      </c>
      <c r="U201" t="s">
        <v>382</v>
      </c>
      <c r="V201" t="s">
        <v>382</v>
      </c>
      <c r="W201" t="s">
        <v>382</v>
      </c>
      <c r="X201" t="s">
        <v>382</v>
      </c>
      <c r="Y201" t="s">
        <v>382</v>
      </c>
      <c r="Z201" t="s">
        <v>382</v>
      </c>
      <c r="AA201" t="s">
        <v>382</v>
      </c>
      <c r="AB201" t="s">
        <v>382</v>
      </c>
      <c r="AC201">
        <v>5</v>
      </c>
      <c r="AD201">
        <v>5</v>
      </c>
      <c r="AF201" t="s">
        <v>385</v>
      </c>
      <c r="AH201" t="s">
        <v>27</v>
      </c>
      <c r="AI201" t="s">
        <v>109</v>
      </c>
      <c r="AK201">
        <v>2969</v>
      </c>
      <c r="AL201">
        <v>535</v>
      </c>
    </row>
    <row r="202" spans="1:38">
      <c r="A202" t="s">
        <v>382</v>
      </c>
      <c r="B202" t="s">
        <v>382</v>
      </c>
      <c r="C202" t="s">
        <v>382</v>
      </c>
      <c r="D202" t="s">
        <v>382</v>
      </c>
      <c r="E202" t="s">
        <v>382</v>
      </c>
      <c r="F202" t="s">
        <v>382</v>
      </c>
      <c r="G202" t="s">
        <v>382</v>
      </c>
      <c r="H202" t="s">
        <v>382</v>
      </c>
      <c r="I202" t="s">
        <v>382</v>
      </c>
      <c r="J202" t="s">
        <v>382</v>
      </c>
      <c r="K202" t="s">
        <v>382</v>
      </c>
      <c r="L202" t="s">
        <v>382</v>
      </c>
      <c r="M202" t="s">
        <v>382</v>
      </c>
      <c r="N202" t="s">
        <v>382</v>
      </c>
      <c r="O202" t="s">
        <v>382</v>
      </c>
      <c r="P202" t="s">
        <v>382</v>
      </c>
      <c r="Q202" t="s">
        <v>382</v>
      </c>
      <c r="R202" t="s">
        <v>382</v>
      </c>
      <c r="S202" t="s">
        <v>382</v>
      </c>
      <c r="T202" t="s">
        <v>382</v>
      </c>
      <c r="U202" t="s">
        <v>382</v>
      </c>
      <c r="V202" t="s">
        <v>382</v>
      </c>
      <c r="W202" t="s">
        <v>382</v>
      </c>
      <c r="X202" t="s">
        <v>382</v>
      </c>
      <c r="Y202" t="s">
        <v>382</v>
      </c>
      <c r="Z202" t="s">
        <v>382</v>
      </c>
      <c r="AA202" t="s">
        <v>382</v>
      </c>
      <c r="AB202" t="s">
        <v>382</v>
      </c>
      <c r="AC202">
        <v>5</v>
      </c>
      <c r="AD202">
        <v>1</v>
      </c>
      <c r="AE202">
        <v>1</v>
      </c>
      <c r="AF202" t="s">
        <v>389</v>
      </c>
      <c r="AH202" t="s">
        <v>35</v>
      </c>
      <c r="AI202" t="s">
        <v>97</v>
      </c>
      <c r="AK202">
        <v>3045</v>
      </c>
      <c r="AL202">
        <v>1424</v>
      </c>
    </row>
    <row r="203" spans="1:38">
      <c r="A203" t="s">
        <v>382</v>
      </c>
      <c r="B203" t="s">
        <v>382</v>
      </c>
      <c r="C203" t="s">
        <v>382</v>
      </c>
      <c r="D203" t="s">
        <v>382</v>
      </c>
      <c r="E203" t="s">
        <v>382</v>
      </c>
      <c r="F203" t="s">
        <v>382</v>
      </c>
      <c r="G203" t="s">
        <v>382</v>
      </c>
      <c r="H203" t="s">
        <v>382</v>
      </c>
      <c r="I203" t="s">
        <v>382</v>
      </c>
      <c r="J203" t="s">
        <v>382</v>
      </c>
      <c r="K203" t="s">
        <v>382</v>
      </c>
      <c r="L203" t="s">
        <v>382</v>
      </c>
      <c r="M203" t="s">
        <v>382</v>
      </c>
      <c r="N203" t="s">
        <v>382</v>
      </c>
      <c r="O203" t="s">
        <v>382</v>
      </c>
      <c r="P203" t="s">
        <v>382</v>
      </c>
      <c r="Q203" t="s">
        <v>382</v>
      </c>
      <c r="R203" t="s">
        <v>382</v>
      </c>
      <c r="S203" t="s">
        <v>382</v>
      </c>
      <c r="T203" t="s">
        <v>382</v>
      </c>
      <c r="U203" t="s">
        <v>382</v>
      </c>
      <c r="V203" t="s">
        <v>382</v>
      </c>
      <c r="W203" t="s">
        <v>382</v>
      </c>
      <c r="X203" t="s">
        <v>382</v>
      </c>
      <c r="Y203" t="s">
        <v>382</v>
      </c>
      <c r="Z203" t="s">
        <v>382</v>
      </c>
      <c r="AA203" t="s">
        <v>382</v>
      </c>
      <c r="AB203" t="s">
        <v>382</v>
      </c>
      <c r="AC203">
        <v>5</v>
      </c>
      <c r="AD203">
        <v>2</v>
      </c>
      <c r="AE203">
        <v>1</v>
      </c>
      <c r="AF203" t="s">
        <v>389</v>
      </c>
      <c r="AH203" t="s">
        <v>35</v>
      </c>
      <c r="AI203" t="s">
        <v>97</v>
      </c>
      <c r="AK203">
        <v>693</v>
      </c>
      <c r="AL203">
        <v>795</v>
      </c>
    </row>
    <row r="204" spans="1:38">
      <c r="A204" t="s">
        <v>382</v>
      </c>
      <c r="B204" t="s">
        <v>382</v>
      </c>
      <c r="C204" t="s">
        <v>382</v>
      </c>
      <c r="D204" t="s">
        <v>382</v>
      </c>
      <c r="E204" t="s">
        <v>382</v>
      </c>
      <c r="F204" t="s">
        <v>382</v>
      </c>
      <c r="G204" t="s">
        <v>382</v>
      </c>
      <c r="H204" t="s">
        <v>382</v>
      </c>
      <c r="I204" t="s">
        <v>382</v>
      </c>
      <c r="J204" t="s">
        <v>382</v>
      </c>
      <c r="K204" t="s">
        <v>382</v>
      </c>
      <c r="L204" t="s">
        <v>382</v>
      </c>
      <c r="M204" t="s">
        <v>382</v>
      </c>
      <c r="N204" t="s">
        <v>382</v>
      </c>
      <c r="O204" t="s">
        <v>382</v>
      </c>
      <c r="P204" t="s">
        <v>382</v>
      </c>
      <c r="Q204" t="s">
        <v>382</v>
      </c>
      <c r="R204" t="s">
        <v>382</v>
      </c>
      <c r="S204" t="s">
        <v>382</v>
      </c>
      <c r="T204" t="s">
        <v>382</v>
      </c>
      <c r="U204" t="s">
        <v>382</v>
      </c>
      <c r="V204" t="s">
        <v>382</v>
      </c>
      <c r="W204" t="s">
        <v>382</v>
      </c>
      <c r="X204" t="s">
        <v>382</v>
      </c>
      <c r="Y204" t="s">
        <v>382</v>
      </c>
      <c r="Z204" t="s">
        <v>382</v>
      </c>
      <c r="AA204" t="s">
        <v>382</v>
      </c>
      <c r="AB204" t="s">
        <v>382</v>
      </c>
      <c r="AC204">
        <v>5</v>
      </c>
      <c r="AD204">
        <v>3</v>
      </c>
      <c r="AE204">
        <v>1</v>
      </c>
      <c r="AF204" t="s">
        <v>389</v>
      </c>
      <c r="AH204" t="s">
        <v>35</v>
      </c>
      <c r="AI204" t="s">
        <v>97</v>
      </c>
      <c r="AK204">
        <v>1340</v>
      </c>
      <c r="AL204">
        <v>398</v>
      </c>
    </row>
    <row r="205" spans="1:38">
      <c r="A205" t="s">
        <v>382</v>
      </c>
      <c r="B205" t="s">
        <v>382</v>
      </c>
      <c r="C205" t="s">
        <v>382</v>
      </c>
      <c r="D205" t="s">
        <v>382</v>
      </c>
      <c r="E205" t="s">
        <v>382</v>
      </c>
      <c r="F205" t="s">
        <v>382</v>
      </c>
      <c r="G205" t="s">
        <v>382</v>
      </c>
      <c r="H205" t="s">
        <v>382</v>
      </c>
      <c r="I205" t="s">
        <v>382</v>
      </c>
      <c r="J205" t="s">
        <v>382</v>
      </c>
      <c r="K205" t="s">
        <v>382</v>
      </c>
      <c r="L205" t="s">
        <v>382</v>
      </c>
      <c r="M205" t="s">
        <v>382</v>
      </c>
      <c r="N205" t="s">
        <v>382</v>
      </c>
      <c r="O205" t="s">
        <v>382</v>
      </c>
      <c r="P205" t="s">
        <v>382</v>
      </c>
      <c r="Q205" t="s">
        <v>382</v>
      </c>
      <c r="R205" t="s">
        <v>382</v>
      </c>
      <c r="S205" t="s">
        <v>382</v>
      </c>
      <c r="T205" t="s">
        <v>382</v>
      </c>
      <c r="U205" t="s">
        <v>382</v>
      </c>
      <c r="V205" t="s">
        <v>382</v>
      </c>
      <c r="W205" t="s">
        <v>382</v>
      </c>
      <c r="X205" t="s">
        <v>382</v>
      </c>
      <c r="Y205" t="s">
        <v>382</v>
      </c>
      <c r="Z205" t="s">
        <v>382</v>
      </c>
      <c r="AA205" t="s">
        <v>382</v>
      </c>
      <c r="AB205" t="s">
        <v>382</v>
      </c>
      <c r="AC205">
        <v>5</v>
      </c>
      <c r="AD205">
        <v>4</v>
      </c>
      <c r="AE205">
        <v>1</v>
      </c>
      <c r="AF205" t="s">
        <v>389</v>
      </c>
      <c r="AH205" t="s">
        <v>35</v>
      </c>
      <c r="AI205" t="s">
        <v>97</v>
      </c>
      <c r="AK205">
        <v>899</v>
      </c>
      <c r="AL205">
        <v>694</v>
      </c>
    </row>
    <row r="206" spans="1:38">
      <c r="A206" t="s">
        <v>382</v>
      </c>
      <c r="B206" t="s">
        <v>382</v>
      </c>
      <c r="C206" t="s">
        <v>382</v>
      </c>
      <c r="D206" t="s">
        <v>382</v>
      </c>
      <c r="E206" t="s">
        <v>382</v>
      </c>
      <c r="F206" t="s">
        <v>382</v>
      </c>
      <c r="G206" t="s">
        <v>382</v>
      </c>
      <c r="H206" t="s">
        <v>382</v>
      </c>
      <c r="I206" t="s">
        <v>382</v>
      </c>
      <c r="J206" t="s">
        <v>382</v>
      </c>
      <c r="K206" t="s">
        <v>382</v>
      </c>
      <c r="L206" t="s">
        <v>382</v>
      </c>
      <c r="M206" t="s">
        <v>382</v>
      </c>
      <c r="N206" t="s">
        <v>382</v>
      </c>
      <c r="O206" t="s">
        <v>382</v>
      </c>
      <c r="P206" t="s">
        <v>382</v>
      </c>
      <c r="Q206" t="s">
        <v>382</v>
      </c>
      <c r="R206" t="s">
        <v>382</v>
      </c>
      <c r="S206" t="s">
        <v>382</v>
      </c>
      <c r="T206" t="s">
        <v>382</v>
      </c>
      <c r="U206" t="s">
        <v>382</v>
      </c>
      <c r="V206" t="s">
        <v>382</v>
      </c>
      <c r="W206" t="s">
        <v>382</v>
      </c>
      <c r="X206" t="s">
        <v>382</v>
      </c>
      <c r="Y206" t="s">
        <v>382</v>
      </c>
      <c r="Z206" t="s">
        <v>382</v>
      </c>
      <c r="AA206" t="s">
        <v>382</v>
      </c>
      <c r="AB206" t="s">
        <v>382</v>
      </c>
      <c r="AC206">
        <v>5</v>
      </c>
      <c r="AD206">
        <v>5</v>
      </c>
      <c r="AE206">
        <v>1</v>
      </c>
      <c r="AF206" t="s">
        <v>389</v>
      </c>
      <c r="AH206" t="s">
        <v>35</v>
      </c>
      <c r="AI206" t="s">
        <v>97</v>
      </c>
      <c r="AK206">
        <v>2662</v>
      </c>
      <c r="AL206">
        <v>324</v>
      </c>
    </row>
    <row r="207" spans="1:38">
      <c r="A207" t="s">
        <v>382</v>
      </c>
      <c r="B207" t="s">
        <v>382</v>
      </c>
      <c r="C207" t="s">
        <v>382</v>
      </c>
      <c r="D207" t="s">
        <v>382</v>
      </c>
      <c r="E207" t="s">
        <v>382</v>
      </c>
      <c r="F207" t="s">
        <v>382</v>
      </c>
      <c r="G207" t="s">
        <v>382</v>
      </c>
      <c r="H207" t="s">
        <v>382</v>
      </c>
      <c r="I207" t="s">
        <v>382</v>
      </c>
      <c r="J207" t="s">
        <v>382</v>
      </c>
      <c r="K207" t="s">
        <v>382</v>
      </c>
      <c r="L207" t="s">
        <v>382</v>
      </c>
      <c r="M207" t="s">
        <v>382</v>
      </c>
      <c r="N207" t="s">
        <v>382</v>
      </c>
      <c r="O207" t="s">
        <v>382</v>
      </c>
      <c r="P207" t="s">
        <v>382</v>
      </c>
      <c r="Q207" t="s">
        <v>382</v>
      </c>
      <c r="R207" t="s">
        <v>382</v>
      </c>
      <c r="S207" t="s">
        <v>382</v>
      </c>
      <c r="T207" t="s">
        <v>382</v>
      </c>
      <c r="U207" t="s">
        <v>382</v>
      </c>
      <c r="V207" t="s">
        <v>382</v>
      </c>
      <c r="W207" t="s">
        <v>382</v>
      </c>
      <c r="X207" t="s">
        <v>382</v>
      </c>
      <c r="Y207" t="s">
        <v>382</v>
      </c>
      <c r="Z207" t="s">
        <v>382</v>
      </c>
      <c r="AA207" t="s">
        <v>382</v>
      </c>
      <c r="AB207" t="s">
        <v>382</v>
      </c>
      <c r="AC207">
        <v>5</v>
      </c>
      <c r="AD207">
        <v>1</v>
      </c>
      <c r="AE207">
        <v>1</v>
      </c>
      <c r="AF207" t="s">
        <v>389</v>
      </c>
      <c r="AH207" t="s">
        <v>35</v>
      </c>
      <c r="AI207" t="s">
        <v>97</v>
      </c>
      <c r="AK207">
        <v>2614</v>
      </c>
      <c r="AL207">
        <v>2306</v>
      </c>
    </row>
    <row r="208" spans="1:38">
      <c r="A208" t="s">
        <v>382</v>
      </c>
      <c r="B208" t="s">
        <v>382</v>
      </c>
      <c r="C208" t="s">
        <v>382</v>
      </c>
      <c r="D208" t="s">
        <v>382</v>
      </c>
      <c r="E208" t="s">
        <v>382</v>
      </c>
      <c r="F208" t="s">
        <v>382</v>
      </c>
      <c r="G208" t="s">
        <v>382</v>
      </c>
      <c r="H208" t="s">
        <v>382</v>
      </c>
      <c r="I208" t="s">
        <v>382</v>
      </c>
      <c r="J208" t="s">
        <v>382</v>
      </c>
      <c r="K208" t="s">
        <v>382</v>
      </c>
      <c r="L208" t="s">
        <v>382</v>
      </c>
      <c r="M208" t="s">
        <v>382</v>
      </c>
      <c r="N208" t="s">
        <v>382</v>
      </c>
      <c r="O208" t="s">
        <v>382</v>
      </c>
      <c r="P208" t="s">
        <v>382</v>
      </c>
      <c r="Q208" t="s">
        <v>382</v>
      </c>
      <c r="R208" t="s">
        <v>382</v>
      </c>
      <c r="S208" t="s">
        <v>382</v>
      </c>
      <c r="T208" t="s">
        <v>382</v>
      </c>
      <c r="U208" t="s">
        <v>382</v>
      </c>
      <c r="V208" t="s">
        <v>382</v>
      </c>
      <c r="W208" t="s">
        <v>382</v>
      </c>
      <c r="X208" t="s">
        <v>382</v>
      </c>
      <c r="Y208" t="s">
        <v>382</v>
      </c>
      <c r="Z208" t="s">
        <v>382</v>
      </c>
      <c r="AA208" t="s">
        <v>382</v>
      </c>
      <c r="AB208" t="s">
        <v>382</v>
      </c>
      <c r="AC208">
        <v>5</v>
      </c>
      <c r="AD208">
        <v>2</v>
      </c>
      <c r="AE208">
        <v>1</v>
      </c>
      <c r="AF208" t="s">
        <v>389</v>
      </c>
      <c r="AH208" t="s">
        <v>35</v>
      </c>
      <c r="AI208" t="s">
        <v>97</v>
      </c>
      <c r="AK208">
        <v>3216</v>
      </c>
      <c r="AL208">
        <v>1229</v>
      </c>
    </row>
    <row r="209" spans="1:38">
      <c r="A209" t="s">
        <v>382</v>
      </c>
      <c r="B209" t="s">
        <v>382</v>
      </c>
      <c r="C209" t="s">
        <v>382</v>
      </c>
      <c r="D209" t="s">
        <v>382</v>
      </c>
      <c r="E209" t="s">
        <v>382</v>
      </c>
      <c r="F209" t="s">
        <v>382</v>
      </c>
      <c r="G209" t="s">
        <v>382</v>
      </c>
      <c r="H209" t="s">
        <v>382</v>
      </c>
      <c r="I209" t="s">
        <v>382</v>
      </c>
      <c r="J209" t="s">
        <v>382</v>
      </c>
      <c r="K209" t="s">
        <v>382</v>
      </c>
      <c r="L209" t="s">
        <v>382</v>
      </c>
      <c r="M209" t="s">
        <v>382</v>
      </c>
      <c r="N209" t="s">
        <v>382</v>
      </c>
      <c r="O209" t="s">
        <v>382</v>
      </c>
      <c r="P209" t="s">
        <v>382</v>
      </c>
      <c r="Q209" t="s">
        <v>382</v>
      </c>
      <c r="R209" t="s">
        <v>382</v>
      </c>
      <c r="S209" t="s">
        <v>382</v>
      </c>
      <c r="T209" t="s">
        <v>382</v>
      </c>
      <c r="U209" t="s">
        <v>382</v>
      </c>
      <c r="V209" t="s">
        <v>382</v>
      </c>
      <c r="W209" t="s">
        <v>382</v>
      </c>
      <c r="X209" t="s">
        <v>382</v>
      </c>
      <c r="Y209" t="s">
        <v>382</v>
      </c>
      <c r="Z209" t="s">
        <v>382</v>
      </c>
      <c r="AA209" t="s">
        <v>382</v>
      </c>
      <c r="AB209" t="s">
        <v>382</v>
      </c>
      <c r="AC209">
        <v>5</v>
      </c>
      <c r="AD209">
        <v>3</v>
      </c>
      <c r="AE209">
        <v>1</v>
      </c>
      <c r="AF209" t="s">
        <v>389</v>
      </c>
      <c r="AH209" t="s">
        <v>35</v>
      </c>
      <c r="AI209" t="s">
        <v>97</v>
      </c>
      <c r="AK209">
        <v>3008</v>
      </c>
      <c r="AL209">
        <v>776</v>
      </c>
    </row>
    <row r="210" spans="1:38">
      <c r="A210" t="s">
        <v>382</v>
      </c>
      <c r="B210" t="s">
        <v>382</v>
      </c>
      <c r="C210" t="s">
        <v>382</v>
      </c>
      <c r="D210" t="s">
        <v>382</v>
      </c>
      <c r="E210" t="s">
        <v>382</v>
      </c>
      <c r="F210" t="s">
        <v>382</v>
      </c>
      <c r="G210" t="s">
        <v>382</v>
      </c>
      <c r="H210" t="s">
        <v>382</v>
      </c>
      <c r="I210" t="s">
        <v>382</v>
      </c>
      <c r="J210" t="s">
        <v>382</v>
      </c>
      <c r="K210" t="s">
        <v>382</v>
      </c>
      <c r="L210" t="s">
        <v>382</v>
      </c>
      <c r="M210" t="s">
        <v>382</v>
      </c>
      <c r="N210" t="s">
        <v>382</v>
      </c>
      <c r="O210" t="s">
        <v>382</v>
      </c>
      <c r="P210" t="s">
        <v>382</v>
      </c>
      <c r="Q210" t="s">
        <v>382</v>
      </c>
      <c r="R210" t="s">
        <v>382</v>
      </c>
      <c r="S210" t="s">
        <v>382</v>
      </c>
      <c r="T210" t="s">
        <v>382</v>
      </c>
      <c r="U210" t="s">
        <v>382</v>
      </c>
      <c r="V210" t="s">
        <v>382</v>
      </c>
      <c r="W210" t="s">
        <v>382</v>
      </c>
      <c r="X210" t="s">
        <v>382</v>
      </c>
      <c r="Y210" t="s">
        <v>382</v>
      </c>
      <c r="Z210" t="s">
        <v>382</v>
      </c>
      <c r="AA210" t="s">
        <v>382</v>
      </c>
      <c r="AB210" t="s">
        <v>382</v>
      </c>
      <c r="AC210">
        <v>5</v>
      </c>
      <c r="AD210">
        <v>4</v>
      </c>
      <c r="AE210">
        <v>1</v>
      </c>
      <c r="AF210" t="s">
        <v>389</v>
      </c>
      <c r="AH210" t="s">
        <v>35</v>
      </c>
      <c r="AI210" t="s">
        <v>97</v>
      </c>
      <c r="AK210">
        <v>2932</v>
      </c>
      <c r="AL210">
        <v>1742</v>
      </c>
    </row>
    <row r="211" spans="1:38">
      <c r="A211" t="s">
        <v>382</v>
      </c>
      <c r="B211" t="s">
        <v>382</v>
      </c>
      <c r="C211" t="s">
        <v>382</v>
      </c>
      <c r="D211" t="s">
        <v>382</v>
      </c>
      <c r="E211" t="s">
        <v>382</v>
      </c>
      <c r="F211" t="s">
        <v>382</v>
      </c>
      <c r="G211" t="s">
        <v>382</v>
      </c>
      <c r="H211" t="s">
        <v>382</v>
      </c>
      <c r="I211" t="s">
        <v>382</v>
      </c>
      <c r="J211" t="s">
        <v>382</v>
      </c>
      <c r="K211" t="s">
        <v>382</v>
      </c>
      <c r="L211" t="s">
        <v>382</v>
      </c>
      <c r="M211" t="s">
        <v>382</v>
      </c>
      <c r="N211" t="s">
        <v>382</v>
      </c>
      <c r="O211" t="s">
        <v>382</v>
      </c>
      <c r="P211" t="s">
        <v>382</v>
      </c>
      <c r="Q211" t="s">
        <v>382</v>
      </c>
      <c r="R211" t="s">
        <v>382</v>
      </c>
      <c r="S211" t="s">
        <v>382</v>
      </c>
      <c r="T211" t="s">
        <v>382</v>
      </c>
      <c r="U211" t="s">
        <v>382</v>
      </c>
      <c r="V211" t="s">
        <v>382</v>
      </c>
      <c r="W211" t="s">
        <v>382</v>
      </c>
      <c r="X211" t="s">
        <v>382</v>
      </c>
      <c r="Y211" t="s">
        <v>382</v>
      </c>
      <c r="Z211" t="s">
        <v>382</v>
      </c>
      <c r="AA211" t="s">
        <v>382</v>
      </c>
      <c r="AB211" t="s">
        <v>382</v>
      </c>
      <c r="AC211">
        <v>5</v>
      </c>
      <c r="AD211">
        <v>5</v>
      </c>
      <c r="AE211">
        <v>1</v>
      </c>
      <c r="AF211" t="s">
        <v>487</v>
      </c>
      <c r="AH211" t="s">
        <v>153</v>
      </c>
      <c r="AI211" t="s">
        <v>97</v>
      </c>
      <c r="AK211">
        <v>1520</v>
      </c>
      <c r="AL211">
        <v>294</v>
      </c>
    </row>
    <row r="212" spans="1:38">
      <c r="A212" t="s">
        <v>382</v>
      </c>
      <c r="B212" t="s">
        <v>382</v>
      </c>
      <c r="C212" t="s">
        <v>382</v>
      </c>
      <c r="D212" t="s">
        <v>382</v>
      </c>
      <c r="E212" t="s">
        <v>382</v>
      </c>
      <c r="F212" t="s">
        <v>382</v>
      </c>
      <c r="G212" t="s">
        <v>382</v>
      </c>
      <c r="H212" t="s">
        <v>382</v>
      </c>
      <c r="I212" t="s">
        <v>382</v>
      </c>
      <c r="J212" t="s">
        <v>382</v>
      </c>
      <c r="K212" t="s">
        <v>382</v>
      </c>
      <c r="L212" t="s">
        <v>382</v>
      </c>
      <c r="M212" t="s">
        <v>382</v>
      </c>
      <c r="N212" t="s">
        <v>382</v>
      </c>
      <c r="O212" t="s">
        <v>382</v>
      </c>
      <c r="P212" t="s">
        <v>382</v>
      </c>
      <c r="Q212" t="s">
        <v>382</v>
      </c>
      <c r="R212" t="s">
        <v>382</v>
      </c>
      <c r="S212" t="s">
        <v>382</v>
      </c>
      <c r="T212" t="s">
        <v>382</v>
      </c>
      <c r="U212" t="s">
        <v>382</v>
      </c>
      <c r="V212" t="s">
        <v>382</v>
      </c>
      <c r="W212" t="s">
        <v>382</v>
      </c>
      <c r="X212" t="s">
        <v>382</v>
      </c>
      <c r="Y212" t="s">
        <v>382</v>
      </c>
      <c r="Z212" t="s">
        <v>382</v>
      </c>
      <c r="AA212" t="s">
        <v>382</v>
      </c>
      <c r="AB212" t="s">
        <v>382</v>
      </c>
      <c r="AC212">
        <v>5</v>
      </c>
      <c r="AD212">
        <v>1</v>
      </c>
      <c r="AF212" t="s">
        <v>385</v>
      </c>
      <c r="AH212" t="s">
        <v>27</v>
      </c>
      <c r="AI212" t="s">
        <v>109</v>
      </c>
      <c r="AK212">
        <v>2065</v>
      </c>
      <c r="AL212">
        <v>76</v>
      </c>
    </row>
    <row r="213" spans="1:38">
      <c r="A213" t="s">
        <v>382</v>
      </c>
      <c r="B213" t="s">
        <v>382</v>
      </c>
      <c r="C213" t="s">
        <v>382</v>
      </c>
      <c r="D213" t="s">
        <v>382</v>
      </c>
      <c r="E213" t="s">
        <v>382</v>
      </c>
      <c r="F213" t="s">
        <v>382</v>
      </c>
      <c r="G213" t="s">
        <v>382</v>
      </c>
      <c r="H213" t="s">
        <v>382</v>
      </c>
      <c r="I213" t="s">
        <v>382</v>
      </c>
      <c r="J213" t="s">
        <v>382</v>
      </c>
      <c r="K213" t="s">
        <v>382</v>
      </c>
      <c r="L213" t="s">
        <v>382</v>
      </c>
      <c r="M213" t="s">
        <v>382</v>
      </c>
      <c r="N213" t="s">
        <v>382</v>
      </c>
      <c r="O213" t="s">
        <v>382</v>
      </c>
      <c r="P213" t="s">
        <v>382</v>
      </c>
      <c r="Q213" t="s">
        <v>382</v>
      </c>
      <c r="R213" t="s">
        <v>382</v>
      </c>
      <c r="S213" t="s">
        <v>382</v>
      </c>
      <c r="T213" t="s">
        <v>382</v>
      </c>
      <c r="U213" t="s">
        <v>382</v>
      </c>
      <c r="V213" t="s">
        <v>382</v>
      </c>
      <c r="W213" t="s">
        <v>382</v>
      </c>
      <c r="X213" t="s">
        <v>382</v>
      </c>
      <c r="Y213" t="s">
        <v>382</v>
      </c>
      <c r="Z213" t="s">
        <v>382</v>
      </c>
      <c r="AA213" t="s">
        <v>382</v>
      </c>
      <c r="AB213" t="s">
        <v>382</v>
      </c>
      <c r="AC213">
        <v>5</v>
      </c>
      <c r="AD213">
        <v>2</v>
      </c>
      <c r="AF213" t="s">
        <v>386</v>
      </c>
      <c r="AH213" t="s">
        <v>29</v>
      </c>
      <c r="AI213" t="s">
        <v>103</v>
      </c>
      <c r="AK213">
        <v>2306</v>
      </c>
      <c r="AL213">
        <v>860</v>
      </c>
    </row>
    <row r="214" spans="1:38">
      <c r="A214" t="s">
        <v>382</v>
      </c>
      <c r="B214" t="s">
        <v>382</v>
      </c>
      <c r="C214" t="s">
        <v>382</v>
      </c>
      <c r="D214" t="s">
        <v>382</v>
      </c>
      <c r="E214" t="s">
        <v>382</v>
      </c>
      <c r="F214" t="s">
        <v>382</v>
      </c>
      <c r="G214" t="s">
        <v>382</v>
      </c>
      <c r="H214" t="s">
        <v>382</v>
      </c>
      <c r="I214" t="s">
        <v>382</v>
      </c>
      <c r="J214" t="s">
        <v>382</v>
      </c>
      <c r="K214" t="s">
        <v>382</v>
      </c>
      <c r="L214" t="s">
        <v>382</v>
      </c>
      <c r="M214" t="s">
        <v>382</v>
      </c>
      <c r="N214" t="s">
        <v>382</v>
      </c>
      <c r="O214" t="s">
        <v>382</v>
      </c>
      <c r="P214" t="s">
        <v>382</v>
      </c>
      <c r="Q214" t="s">
        <v>382</v>
      </c>
      <c r="R214" t="s">
        <v>382</v>
      </c>
      <c r="S214" t="s">
        <v>382</v>
      </c>
      <c r="T214" t="s">
        <v>382</v>
      </c>
      <c r="U214" t="s">
        <v>382</v>
      </c>
      <c r="V214" t="s">
        <v>382</v>
      </c>
      <c r="W214" t="s">
        <v>382</v>
      </c>
      <c r="X214" t="s">
        <v>382</v>
      </c>
      <c r="Y214" t="s">
        <v>382</v>
      </c>
      <c r="Z214" t="s">
        <v>382</v>
      </c>
      <c r="AA214" t="s">
        <v>382</v>
      </c>
      <c r="AB214" t="s">
        <v>382</v>
      </c>
      <c r="AC214">
        <v>5</v>
      </c>
      <c r="AD214">
        <v>3</v>
      </c>
      <c r="AF214" t="s">
        <v>386</v>
      </c>
      <c r="AH214" t="s">
        <v>29</v>
      </c>
      <c r="AI214" t="s">
        <v>103</v>
      </c>
      <c r="AK214">
        <v>705</v>
      </c>
      <c r="AL214">
        <v>377</v>
      </c>
    </row>
    <row r="215" spans="1:38">
      <c r="A215" t="s">
        <v>382</v>
      </c>
      <c r="B215" t="s">
        <v>382</v>
      </c>
      <c r="C215" t="s">
        <v>382</v>
      </c>
      <c r="D215" t="s">
        <v>382</v>
      </c>
      <c r="E215" t="s">
        <v>382</v>
      </c>
      <c r="F215" t="s">
        <v>382</v>
      </c>
      <c r="G215" t="s">
        <v>382</v>
      </c>
      <c r="H215" t="s">
        <v>382</v>
      </c>
      <c r="I215" t="s">
        <v>382</v>
      </c>
      <c r="J215" t="s">
        <v>382</v>
      </c>
      <c r="K215" t="s">
        <v>382</v>
      </c>
      <c r="L215" t="s">
        <v>382</v>
      </c>
      <c r="M215" t="s">
        <v>382</v>
      </c>
      <c r="N215" t="s">
        <v>382</v>
      </c>
      <c r="O215" t="s">
        <v>382</v>
      </c>
      <c r="P215" t="s">
        <v>382</v>
      </c>
      <c r="Q215" t="s">
        <v>382</v>
      </c>
      <c r="R215" t="s">
        <v>382</v>
      </c>
      <c r="S215" t="s">
        <v>382</v>
      </c>
      <c r="T215" t="s">
        <v>382</v>
      </c>
      <c r="U215" t="s">
        <v>382</v>
      </c>
      <c r="V215" t="s">
        <v>382</v>
      </c>
      <c r="W215" t="s">
        <v>382</v>
      </c>
      <c r="X215" t="s">
        <v>382</v>
      </c>
      <c r="Y215" t="s">
        <v>382</v>
      </c>
      <c r="Z215" t="s">
        <v>382</v>
      </c>
      <c r="AA215" t="s">
        <v>382</v>
      </c>
      <c r="AB215" t="s">
        <v>382</v>
      </c>
      <c r="AC215">
        <v>5</v>
      </c>
      <c r="AD215">
        <v>4</v>
      </c>
      <c r="AE215">
        <v>1</v>
      </c>
      <c r="AF215" t="s">
        <v>401</v>
      </c>
      <c r="AH215" t="s">
        <v>95</v>
      </c>
      <c r="AI215" t="s">
        <v>97</v>
      </c>
      <c r="AK215">
        <v>1038</v>
      </c>
      <c r="AL215">
        <v>2061</v>
      </c>
    </row>
    <row r="216" spans="1:38">
      <c r="A216" t="s">
        <v>382</v>
      </c>
      <c r="B216" t="s">
        <v>382</v>
      </c>
      <c r="C216" t="s">
        <v>382</v>
      </c>
      <c r="D216" t="s">
        <v>382</v>
      </c>
      <c r="E216" t="s">
        <v>382</v>
      </c>
      <c r="F216" t="s">
        <v>382</v>
      </c>
      <c r="G216" t="s">
        <v>382</v>
      </c>
      <c r="H216" t="s">
        <v>382</v>
      </c>
      <c r="I216" t="s">
        <v>382</v>
      </c>
      <c r="J216" t="s">
        <v>382</v>
      </c>
      <c r="K216" t="s">
        <v>382</v>
      </c>
      <c r="L216" t="s">
        <v>382</v>
      </c>
      <c r="M216" t="s">
        <v>382</v>
      </c>
      <c r="N216" t="s">
        <v>382</v>
      </c>
      <c r="O216" t="s">
        <v>382</v>
      </c>
      <c r="P216" t="s">
        <v>382</v>
      </c>
      <c r="Q216" t="s">
        <v>382</v>
      </c>
      <c r="R216" t="s">
        <v>382</v>
      </c>
      <c r="S216" t="s">
        <v>382</v>
      </c>
      <c r="T216" t="s">
        <v>382</v>
      </c>
      <c r="U216" t="s">
        <v>382</v>
      </c>
      <c r="V216" t="s">
        <v>382</v>
      </c>
      <c r="W216" t="s">
        <v>382</v>
      </c>
      <c r="X216" t="s">
        <v>382</v>
      </c>
      <c r="Y216" t="s">
        <v>382</v>
      </c>
      <c r="Z216" t="s">
        <v>382</v>
      </c>
      <c r="AA216" t="s">
        <v>382</v>
      </c>
      <c r="AB216" t="s">
        <v>382</v>
      </c>
      <c r="AC216">
        <v>5</v>
      </c>
      <c r="AD216">
        <v>5</v>
      </c>
      <c r="AE216">
        <v>1</v>
      </c>
      <c r="AF216" t="s">
        <v>401</v>
      </c>
      <c r="AH216" t="s">
        <v>95</v>
      </c>
      <c r="AI216" t="s">
        <v>97</v>
      </c>
      <c r="AK216">
        <v>790</v>
      </c>
      <c r="AL216">
        <v>2466</v>
      </c>
    </row>
    <row r="217" spans="1:38">
      <c r="A217" t="s">
        <v>382</v>
      </c>
      <c r="B217" t="s">
        <v>382</v>
      </c>
      <c r="C217" t="s">
        <v>382</v>
      </c>
      <c r="D217" t="s">
        <v>382</v>
      </c>
      <c r="E217" t="s">
        <v>382</v>
      </c>
      <c r="F217" t="s">
        <v>382</v>
      </c>
      <c r="G217" t="s">
        <v>382</v>
      </c>
      <c r="H217" t="s">
        <v>382</v>
      </c>
      <c r="I217" t="s">
        <v>382</v>
      </c>
      <c r="J217" t="s">
        <v>382</v>
      </c>
      <c r="K217" t="s">
        <v>382</v>
      </c>
      <c r="L217" t="s">
        <v>382</v>
      </c>
      <c r="M217" t="s">
        <v>382</v>
      </c>
      <c r="N217" t="s">
        <v>382</v>
      </c>
      <c r="O217" t="s">
        <v>382</v>
      </c>
      <c r="P217" t="s">
        <v>382</v>
      </c>
      <c r="Q217" t="s">
        <v>382</v>
      </c>
      <c r="R217" t="s">
        <v>382</v>
      </c>
      <c r="S217" t="s">
        <v>382</v>
      </c>
      <c r="T217" t="s">
        <v>382</v>
      </c>
      <c r="U217" t="s">
        <v>382</v>
      </c>
      <c r="V217" t="s">
        <v>382</v>
      </c>
      <c r="W217" t="s">
        <v>382</v>
      </c>
      <c r="X217" t="s">
        <v>382</v>
      </c>
      <c r="Y217" t="s">
        <v>382</v>
      </c>
      <c r="Z217" t="s">
        <v>382</v>
      </c>
      <c r="AA217" t="s">
        <v>382</v>
      </c>
      <c r="AB217" t="s">
        <v>382</v>
      </c>
      <c r="AC217">
        <v>5</v>
      </c>
      <c r="AD217">
        <v>1</v>
      </c>
      <c r="AE217">
        <v>1</v>
      </c>
      <c r="AF217" t="s">
        <v>400</v>
      </c>
      <c r="AH217" t="s">
        <v>89</v>
      </c>
      <c r="AI217" t="s">
        <v>97</v>
      </c>
      <c r="AK217">
        <v>1907</v>
      </c>
      <c r="AL217">
        <v>2364</v>
      </c>
    </row>
    <row r="218" spans="1:38">
      <c r="A218" t="s">
        <v>382</v>
      </c>
      <c r="B218" t="s">
        <v>382</v>
      </c>
      <c r="C218" t="s">
        <v>382</v>
      </c>
      <c r="D218" t="s">
        <v>382</v>
      </c>
      <c r="E218" t="s">
        <v>382</v>
      </c>
      <c r="F218" t="s">
        <v>382</v>
      </c>
      <c r="G218" t="s">
        <v>382</v>
      </c>
      <c r="H218" t="s">
        <v>382</v>
      </c>
      <c r="I218" t="s">
        <v>382</v>
      </c>
      <c r="J218" t="s">
        <v>382</v>
      </c>
      <c r="K218" t="s">
        <v>382</v>
      </c>
      <c r="L218" t="s">
        <v>382</v>
      </c>
      <c r="M218" t="s">
        <v>382</v>
      </c>
      <c r="N218" t="s">
        <v>382</v>
      </c>
      <c r="O218" t="s">
        <v>382</v>
      </c>
      <c r="P218" t="s">
        <v>382</v>
      </c>
      <c r="Q218" t="s">
        <v>382</v>
      </c>
      <c r="R218" t="s">
        <v>382</v>
      </c>
      <c r="S218" t="s">
        <v>382</v>
      </c>
      <c r="T218" t="s">
        <v>382</v>
      </c>
      <c r="U218" t="s">
        <v>382</v>
      </c>
      <c r="V218" t="s">
        <v>382</v>
      </c>
      <c r="W218" t="s">
        <v>382</v>
      </c>
      <c r="X218" t="s">
        <v>382</v>
      </c>
      <c r="Y218" t="s">
        <v>382</v>
      </c>
      <c r="Z218" t="s">
        <v>382</v>
      </c>
      <c r="AA218" t="s">
        <v>382</v>
      </c>
      <c r="AB218" t="s">
        <v>382</v>
      </c>
      <c r="AC218">
        <v>5</v>
      </c>
      <c r="AD218">
        <v>2</v>
      </c>
      <c r="AF218" t="s">
        <v>385</v>
      </c>
      <c r="AH218" t="s">
        <v>27</v>
      </c>
      <c r="AI218" t="s">
        <v>109</v>
      </c>
      <c r="AK218">
        <v>1902</v>
      </c>
      <c r="AL218">
        <v>2415</v>
      </c>
    </row>
    <row r="219" spans="1:38">
      <c r="A219" t="s">
        <v>382</v>
      </c>
      <c r="B219" t="s">
        <v>382</v>
      </c>
      <c r="C219" t="s">
        <v>382</v>
      </c>
      <c r="D219" t="s">
        <v>382</v>
      </c>
      <c r="E219" t="s">
        <v>382</v>
      </c>
      <c r="F219" t="s">
        <v>382</v>
      </c>
      <c r="G219" t="s">
        <v>382</v>
      </c>
      <c r="H219" t="s">
        <v>382</v>
      </c>
      <c r="I219" t="s">
        <v>382</v>
      </c>
      <c r="J219" t="s">
        <v>382</v>
      </c>
      <c r="K219" t="s">
        <v>382</v>
      </c>
      <c r="L219" t="s">
        <v>382</v>
      </c>
      <c r="M219" t="s">
        <v>382</v>
      </c>
      <c r="N219" t="s">
        <v>382</v>
      </c>
      <c r="O219" t="s">
        <v>382</v>
      </c>
      <c r="P219" t="s">
        <v>382</v>
      </c>
      <c r="Q219" t="s">
        <v>382</v>
      </c>
      <c r="R219" t="s">
        <v>382</v>
      </c>
      <c r="S219" t="s">
        <v>382</v>
      </c>
      <c r="T219" t="s">
        <v>382</v>
      </c>
      <c r="U219" t="s">
        <v>382</v>
      </c>
      <c r="V219" t="s">
        <v>382</v>
      </c>
      <c r="W219" t="s">
        <v>382</v>
      </c>
      <c r="X219" t="s">
        <v>382</v>
      </c>
      <c r="Y219" t="s">
        <v>382</v>
      </c>
      <c r="Z219" t="s">
        <v>382</v>
      </c>
      <c r="AA219" t="s">
        <v>382</v>
      </c>
      <c r="AB219" t="s">
        <v>382</v>
      </c>
      <c r="AC219">
        <v>5</v>
      </c>
      <c r="AD219">
        <v>3</v>
      </c>
      <c r="AE219">
        <v>1</v>
      </c>
      <c r="AF219" t="s">
        <v>401</v>
      </c>
      <c r="AH219" t="s">
        <v>95</v>
      </c>
      <c r="AI219" t="s">
        <v>97</v>
      </c>
      <c r="AK219">
        <v>1095</v>
      </c>
      <c r="AL219">
        <v>1604</v>
      </c>
    </row>
    <row r="220" spans="1:38">
      <c r="A220" t="s">
        <v>382</v>
      </c>
      <c r="B220" t="s">
        <v>382</v>
      </c>
      <c r="C220" t="s">
        <v>382</v>
      </c>
      <c r="D220" t="s">
        <v>382</v>
      </c>
      <c r="E220" t="s">
        <v>382</v>
      </c>
      <c r="F220" t="s">
        <v>382</v>
      </c>
      <c r="G220" t="s">
        <v>382</v>
      </c>
      <c r="H220" t="s">
        <v>382</v>
      </c>
      <c r="I220" t="s">
        <v>382</v>
      </c>
      <c r="J220" t="s">
        <v>382</v>
      </c>
      <c r="K220" t="s">
        <v>382</v>
      </c>
      <c r="L220" t="s">
        <v>382</v>
      </c>
      <c r="M220" t="s">
        <v>382</v>
      </c>
      <c r="N220" t="s">
        <v>382</v>
      </c>
      <c r="O220" t="s">
        <v>382</v>
      </c>
      <c r="P220" t="s">
        <v>382</v>
      </c>
      <c r="Q220" t="s">
        <v>382</v>
      </c>
      <c r="R220" t="s">
        <v>382</v>
      </c>
      <c r="S220" t="s">
        <v>382</v>
      </c>
      <c r="T220" t="s">
        <v>382</v>
      </c>
      <c r="U220" t="s">
        <v>382</v>
      </c>
      <c r="V220" t="s">
        <v>382</v>
      </c>
      <c r="W220" t="s">
        <v>382</v>
      </c>
      <c r="X220" t="s">
        <v>382</v>
      </c>
      <c r="Y220" t="s">
        <v>382</v>
      </c>
      <c r="Z220" t="s">
        <v>382</v>
      </c>
      <c r="AA220" t="s">
        <v>382</v>
      </c>
      <c r="AB220" t="s">
        <v>382</v>
      </c>
      <c r="AC220">
        <v>5</v>
      </c>
      <c r="AD220">
        <v>4</v>
      </c>
      <c r="AE220">
        <v>1</v>
      </c>
      <c r="AF220" t="s">
        <v>389</v>
      </c>
      <c r="AH220" t="s">
        <v>35</v>
      </c>
      <c r="AI220" t="s">
        <v>97</v>
      </c>
      <c r="AK220">
        <v>2826</v>
      </c>
      <c r="AL220">
        <v>177</v>
      </c>
    </row>
    <row r="221" spans="1:38">
      <c r="A221" t="s">
        <v>382</v>
      </c>
      <c r="B221" t="s">
        <v>382</v>
      </c>
      <c r="C221" t="s">
        <v>382</v>
      </c>
      <c r="D221" t="s">
        <v>382</v>
      </c>
      <c r="E221" t="s">
        <v>382</v>
      </c>
      <c r="F221" t="s">
        <v>382</v>
      </c>
      <c r="G221" t="s">
        <v>382</v>
      </c>
      <c r="H221" t="s">
        <v>382</v>
      </c>
      <c r="I221" t="s">
        <v>382</v>
      </c>
      <c r="J221" t="s">
        <v>382</v>
      </c>
      <c r="K221" t="s">
        <v>382</v>
      </c>
      <c r="L221" t="s">
        <v>382</v>
      </c>
      <c r="M221" t="s">
        <v>382</v>
      </c>
      <c r="N221" t="s">
        <v>382</v>
      </c>
      <c r="O221" t="s">
        <v>382</v>
      </c>
      <c r="P221" t="s">
        <v>382</v>
      </c>
      <c r="Q221" t="s">
        <v>382</v>
      </c>
      <c r="R221" t="s">
        <v>382</v>
      </c>
      <c r="S221" t="s">
        <v>382</v>
      </c>
      <c r="T221" t="s">
        <v>382</v>
      </c>
      <c r="U221" t="s">
        <v>382</v>
      </c>
      <c r="V221" t="s">
        <v>382</v>
      </c>
      <c r="W221" t="s">
        <v>382</v>
      </c>
      <c r="X221" t="s">
        <v>382</v>
      </c>
      <c r="Y221" t="s">
        <v>382</v>
      </c>
      <c r="Z221" t="s">
        <v>382</v>
      </c>
      <c r="AA221" t="s">
        <v>382</v>
      </c>
      <c r="AB221" t="s">
        <v>382</v>
      </c>
      <c r="AC221">
        <v>5</v>
      </c>
      <c r="AD221">
        <v>5</v>
      </c>
      <c r="AE221">
        <v>1</v>
      </c>
      <c r="AF221" t="s">
        <v>400</v>
      </c>
      <c r="AH221" t="s">
        <v>89</v>
      </c>
      <c r="AI221" t="s">
        <v>97</v>
      </c>
      <c r="AK221">
        <v>997</v>
      </c>
      <c r="AL221">
        <v>435</v>
      </c>
    </row>
    <row r="222" spans="1:38">
      <c r="A222" t="s">
        <v>382</v>
      </c>
      <c r="B222" t="s">
        <v>382</v>
      </c>
      <c r="C222" t="s">
        <v>382</v>
      </c>
      <c r="D222" t="s">
        <v>382</v>
      </c>
      <c r="E222" t="s">
        <v>382</v>
      </c>
      <c r="F222" t="s">
        <v>382</v>
      </c>
      <c r="G222" t="s">
        <v>382</v>
      </c>
      <c r="H222" t="s">
        <v>382</v>
      </c>
      <c r="I222" t="s">
        <v>382</v>
      </c>
      <c r="J222" t="s">
        <v>382</v>
      </c>
      <c r="K222" t="s">
        <v>382</v>
      </c>
      <c r="L222" t="s">
        <v>382</v>
      </c>
      <c r="M222" t="s">
        <v>382</v>
      </c>
      <c r="N222" t="s">
        <v>382</v>
      </c>
      <c r="O222" t="s">
        <v>382</v>
      </c>
      <c r="P222" t="s">
        <v>382</v>
      </c>
      <c r="Q222" t="s">
        <v>382</v>
      </c>
      <c r="R222" t="s">
        <v>382</v>
      </c>
      <c r="S222" t="s">
        <v>382</v>
      </c>
      <c r="T222" t="s">
        <v>382</v>
      </c>
      <c r="U222" t="s">
        <v>382</v>
      </c>
      <c r="V222" t="s">
        <v>382</v>
      </c>
      <c r="W222" t="s">
        <v>382</v>
      </c>
      <c r="X222" t="s">
        <v>382</v>
      </c>
      <c r="Y222" t="s">
        <v>382</v>
      </c>
      <c r="Z222" t="s">
        <v>382</v>
      </c>
      <c r="AA222" t="s">
        <v>382</v>
      </c>
      <c r="AB222" t="s">
        <v>382</v>
      </c>
      <c r="AC222">
        <v>5</v>
      </c>
      <c r="AD222">
        <v>1</v>
      </c>
      <c r="AE222">
        <v>1</v>
      </c>
      <c r="AF222" t="s">
        <v>387</v>
      </c>
      <c r="AH222" t="s">
        <v>31</v>
      </c>
      <c r="AI222" t="s">
        <v>97</v>
      </c>
      <c r="AK222">
        <v>692</v>
      </c>
      <c r="AL222">
        <v>1716</v>
      </c>
    </row>
    <row r="223" spans="1:38">
      <c r="A223" t="s">
        <v>382</v>
      </c>
      <c r="B223" t="s">
        <v>382</v>
      </c>
      <c r="C223" t="s">
        <v>382</v>
      </c>
      <c r="D223" t="s">
        <v>382</v>
      </c>
      <c r="E223" t="s">
        <v>382</v>
      </c>
      <c r="F223" t="s">
        <v>382</v>
      </c>
      <c r="G223" t="s">
        <v>382</v>
      </c>
      <c r="H223" t="s">
        <v>382</v>
      </c>
      <c r="I223" t="s">
        <v>382</v>
      </c>
      <c r="J223" t="s">
        <v>382</v>
      </c>
      <c r="K223" t="s">
        <v>382</v>
      </c>
      <c r="L223" t="s">
        <v>382</v>
      </c>
      <c r="M223" t="s">
        <v>382</v>
      </c>
      <c r="N223" t="s">
        <v>382</v>
      </c>
      <c r="O223" t="s">
        <v>382</v>
      </c>
      <c r="P223" t="s">
        <v>382</v>
      </c>
      <c r="Q223" t="s">
        <v>382</v>
      </c>
      <c r="R223" t="s">
        <v>382</v>
      </c>
      <c r="S223" t="s">
        <v>382</v>
      </c>
      <c r="T223" t="s">
        <v>382</v>
      </c>
      <c r="U223" t="s">
        <v>382</v>
      </c>
      <c r="V223" t="s">
        <v>382</v>
      </c>
      <c r="W223" t="s">
        <v>382</v>
      </c>
      <c r="X223" t="s">
        <v>382</v>
      </c>
      <c r="Y223" t="s">
        <v>382</v>
      </c>
      <c r="Z223" t="s">
        <v>382</v>
      </c>
      <c r="AA223" t="s">
        <v>382</v>
      </c>
      <c r="AB223" t="s">
        <v>382</v>
      </c>
      <c r="AC223">
        <v>5</v>
      </c>
      <c r="AD223">
        <v>2</v>
      </c>
      <c r="AF223" t="s">
        <v>386</v>
      </c>
      <c r="AH223" t="s">
        <v>29</v>
      </c>
      <c r="AI223" t="s">
        <v>103</v>
      </c>
      <c r="AK223">
        <v>2069</v>
      </c>
      <c r="AL223">
        <v>358</v>
      </c>
    </row>
    <row r="224" spans="1:38">
      <c r="A224" t="s">
        <v>382</v>
      </c>
      <c r="B224" t="s">
        <v>382</v>
      </c>
      <c r="C224" t="s">
        <v>382</v>
      </c>
      <c r="D224" t="s">
        <v>382</v>
      </c>
      <c r="E224" t="s">
        <v>382</v>
      </c>
      <c r="F224" t="s">
        <v>382</v>
      </c>
      <c r="G224" t="s">
        <v>382</v>
      </c>
      <c r="H224" t="s">
        <v>382</v>
      </c>
      <c r="I224" t="s">
        <v>382</v>
      </c>
      <c r="J224" t="s">
        <v>382</v>
      </c>
      <c r="K224" t="s">
        <v>382</v>
      </c>
      <c r="L224" t="s">
        <v>382</v>
      </c>
      <c r="M224" t="s">
        <v>382</v>
      </c>
      <c r="N224" t="s">
        <v>382</v>
      </c>
      <c r="O224" t="s">
        <v>382</v>
      </c>
      <c r="P224" t="s">
        <v>382</v>
      </c>
      <c r="Q224" t="s">
        <v>382</v>
      </c>
      <c r="R224" t="s">
        <v>382</v>
      </c>
      <c r="S224" t="s">
        <v>382</v>
      </c>
      <c r="T224" t="s">
        <v>382</v>
      </c>
      <c r="U224" t="s">
        <v>382</v>
      </c>
      <c r="V224" t="s">
        <v>382</v>
      </c>
      <c r="W224" t="s">
        <v>382</v>
      </c>
      <c r="X224" t="s">
        <v>382</v>
      </c>
      <c r="Y224" t="s">
        <v>382</v>
      </c>
      <c r="Z224" t="s">
        <v>382</v>
      </c>
      <c r="AA224" t="s">
        <v>382</v>
      </c>
      <c r="AB224" t="s">
        <v>382</v>
      </c>
      <c r="AC224">
        <v>5</v>
      </c>
      <c r="AD224">
        <v>3</v>
      </c>
      <c r="AE224">
        <v>1</v>
      </c>
      <c r="AF224" t="s">
        <v>389</v>
      </c>
      <c r="AH224" t="s">
        <v>35</v>
      </c>
      <c r="AI224" t="s">
        <v>97</v>
      </c>
      <c r="AK224">
        <v>2312</v>
      </c>
      <c r="AL224">
        <v>2120</v>
      </c>
    </row>
    <row r="225" spans="1:38">
      <c r="A225" t="s">
        <v>382</v>
      </c>
      <c r="B225" t="s">
        <v>382</v>
      </c>
      <c r="C225" t="s">
        <v>382</v>
      </c>
      <c r="D225" t="s">
        <v>382</v>
      </c>
      <c r="E225" t="s">
        <v>382</v>
      </c>
      <c r="F225" t="s">
        <v>382</v>
      </c>
      <c r="G225" t="s">
        <v>382</v>
      </c>
      <c r="H225" t="s">
        <v>382</v>
      </c>
      <c r="I225" t="s">
        <v>382</v>
      </c>
      <c r="J225" t="s">
        <v>382</v>
      </c>
      <c r="K225" t="s">
        <v>382</v>
      </c>
      <c r="L225" t="s">
        <v>382</v>
      </c>
      <c r="M225" t="s">
        <v>382</v>
      </c>
      <c r="N225" t="s">
        <v>382</v>
      </c>
      <c r="O225" t="s">
        <v>382</v>
      </c>
      <c r="P225" t="s">
        <v>382</v>
      </c>
      <c r="Q225" t="s">
        <v>382</v>
      </c>
      <c r="R225" t="s">
        <v>382</v>
      </c>
      <c r="S225" t="s">
        <v>382</v>
      </c>
      <c r="T225" t="s">
        <v>382</v>
      </c>
      <c r="U225" t="s">
        <v>382</v>
      </c>
      <c r="V225" t="s">
        <v>382</v>
      </c>
      <c r="W225" t="s">
        <v>382</v>
      </c>
      <c r="X225" t="s">
        <v>382</v>
      </c>
      <c r="Y225" t="s">
        <v>382</v>
      </c>
      <c r="Z225" t="s">
        <v>382</v>
      </c>
      <c r="AA225" t="s">
        <v>382</v>
      </c>
      <c r="AB225" t="s">
        <v>382</v>
      </c>
      <c r="AC225">
        <v>5</v>
      </c>
      <c r="AD225">
        <v>4</v>
      </c>
      <c r="AE225">
        <v>1</v>
      </c>
      <c r="AF225" t="s">
        <v>400</v>
      </c>
      <c r="AH225" t="s">
        <v>89</v>
      </c>
      <c r="AI225" t="s">
        <v>97</v>
      </c>
      <c r="AK225">
        <v>760</v>
      </c>
      <c r="AL225">
        <v>2163</v>
      </c>
    </row>
    <row r="226" spans="1:38">
      <c r="A226" t="s">
        <v>382</v>
      </c>
      <c r="B226" t="s">
        <v>382</v>
      </c>
      <c r="C226" t="s">
        <v>382</v>
      </c>
      <c r="D226" t="s">
        <v>382</v>
      </c>
      <c r="E226" t="s">
        <v>382</v>
      </c>
      <c r="F226" t="s">
        <v>382</v>
      </c>
      <c r="G226" t="s">
        <v>382</v>
      </c>
      <c r="H226" t="s">
        <v>382</v>
      </c>
      <c r="I226" t="s">
        <v>382</v>
      </c>
      <c r="J226" t="s">
        <v>382</v>
      </c>
      <c r="K226" t="s">
        <v>382</v>
      </c>
      <c r="L226" t="s">
        <v>382</v>
      </c>
      <c r="M226" t="s">
        <v>382</v>
      </c>
      <c r="N226" t="s">
        <v>382</v>
      </c>
      <c r="O226" t="s">
        <v>382</v>
      </c>
      <c r="P226" t="s">
        <v>382</v>
      </c>
      <c r="Q226" t="s">
        <v>382</v>
      </c>
      <c r="R226" t="s">
        <v>382</v>
      </c>
      <c r="S226" t="s">
        <v>382</v>
      </c>
      <c r="T226" t="s">
        <v>382</v>
      </c>
      <c r="U226" t="s">
        <v>382</v>
      </c>
      <c r="V226" t="s">
        <v>382</v>
      </c>
      <c r="W226" t="s">
        <v>382</v>
      </c>
      <c r="X226" t="s">
        <v>382</v>
      </c>
      <c r="Y226" t="s">
        <v>382</v>
      </c>
      <c r="Z226" t="s">
        <v>382</v>
      </c>
      <c r="AA226" t="s">
        <v>382</v>
      </c>
      <c r="AB226" t="s">
        <v>382</v>
      </c>
      <c r="AC226">
        <v>5</v>
      </c>
      <c r="AD226">
        <v>5</v>
      </c>
      <c r="AF226" t="s">
        <v>385</v>
      </c>
      <c r="AH226" t="s">
        <v>27</v>
      </c>
      <c r="AI226" t="s">
        <v>109</v>
      </c>
      <c r="AK226">
        <v>1136</v>
      </c>
      <c r="AL226">
        <v>1694</v>
      </c>
    </row>
    <row r="227" spans="1:38">
      <c r="A227" t="s">
        <v>382</v>
      </c>
      <c r="B227" t="s">
        <v>382</v>
      </c>
      <c r="C227" t="s">
        <v>382</v>
      </c>
      <c r="D227" t="s">
        <v>382</v>
      </c>
      <c r="E227" t="s">
        <v>382</v>
      </c>
      <c r="F227" t="s">
        <v>382</v>
      </c>
      <c r="G227" t="s">
        <v>382</v>
      </c>
      <c r="H227" t="s">
        <v>382</v>
      </c>
      <c r="I227" t="s">
        <v>382</v>
      </c>
      <c r="J227" t="s">
        <v>382</v>
      </c>
      <c r="K227" t="s">
        <v>382</v>
      </c>
      <c r="L227" t="s">
        <v>382</v>
      </c>
      <c r="M227" t="s">
        <v>382</v>
      </c>
      <c r="N227" t="s">
        <v>382</v>
      </c>
      <c r="O227" t="s">
        <v>382</v>
      </c>
      <c r="P227" t="s">
        <v>382</v>
      </c>
      <c r="Q227" t="s">
        <v>382</v>
      </c>
      <c r="R227" t="s">
        <v>382</v>
      </c>
      <c r="S227" t="s">
        <v>382</v>
      </c>
      <c r="T227" t="s">
        <v>382</v>
      </c>
      <c r="U227" t="s">
        <v>382</v>
      </c>
      <c r="V227" t="s">
        <v>382</v>
      </c>
      <c r="W227" t="s">
        <v>382</v>
      </c>
      <c r="X227" t="s">
        <v>382</v>
      </c>
      <c r="Y227" t="s">
        <v>382</v>
      </c>
      <c r="Z227" t="s">
        <v>382</v>
      </c>
      <c r="AA227" t="s">
        <v>382</v>
      </c>
      <c r="AB227" t="s">
        <v>382</v>
      </c>
      <c r="AC227">
        <v>5</v>
      </c>
      <c r="AD227">
        <v>1</v>
      </c>
      <c r="AE227">
        <v>1</v>
      </c>
      <c r="AF227" t="s">
        <v>396</v>
      </c>
      <c r="AH227" t="s">
        <v>64</v>
      </c>
      <c r="AI227" t="s">
        <v>97</v>
      </c>
      <c r="AK227">
        <v>1021</v>
      </c>
      <c r="AL227">
        <v>995</v>
      </c>
    </row>
    <row r="228" spans="1:38">
      <c r="A228" t="s">
        <v>382</v>
      </c>
      <c r="B228" t="s">
        <v>382</v>
      </c>
      <c r="C228" t="s">
        <v>382</v>
      </c>
      <c r="D228" t="s">
        <v>382</v>
      </c>
      <c r="E228" t="s">
        <v>382</v>
      </c>
      <c r="F228" t="s">
        <v>382</v>
      </c>
      <c r="G228" t="s">
        <v>382</v>
      </c>
      <c r="H228" t="s">
        <v>382</v>
      </c>
      <c r="I228" t="s">
        <v>382</v>
      </c>
      <c r="J228" t="s">
        <v>382</v>
      </c>
      <c r="K228" t="s">
        <v>382</v>
      </c>
      <c r="L228" t="s">
        <v>382</v>
      </c>
      <c r="M228" t="s">
        <v>382</v>
      </c>
      <c r="N228" t="s">
        <v>382</v>
      </c>
      <c r="O228" t="s">
        <v>382</v>
      </c>
      <c r="P228" t="s">
        <v>382</v>
      </c>
      <c r="Q228" t="s">
        <v>382</v>
      </c>
      <c r="R228" t="s">
        <v>382</v>
      </c>
      <c r="S228" t="s">
        <v>382</v>
      </c>
      <c r="T228" t="s">
        <v>382</v>
      </c>
      <c r="U228" t="s">
        <v>382</v>
      </c>
      <c r="V228" t="s">
        <v>382</v>
      </c>
      <c r="W228" t="s">
        <v>382</v>
      </c>
      <c r="X228" t="s">
        <v>382</v>
      </c>
      <c r="Y228" t="s">
        <v>382</v>
      </c>
      <c r="Z228" t="s">
        <v>382</v>
      </c>
      <c r="AA228" t="s">
        <v>382</v>
      </c>
      <c r="AB228" t="s">
        <v>382</v>
      </c>
      <c r="AC228">
        <v>5</v>
      </c>
      <c r="AD228">
        <v>2</v>
      </c>
      <c r="AE228">
        <v>1</v>
      </c>
      <c r="AF228" t="s">
        <v>396</v>
      </c>
      <c r="AH228" t="s">
        <v>64</v>
      </c>
      <c r="AI228" t="s">
        <v>97</v>
      </c>
      <c r="AK228">
        <v>909</v>
      </c>
      <c r="AL228">
        <v>965</v>
      </c>
    </row>
    <row r="229" spans="1:38">
      <c r="A229" t="s">
        <v>382</v>
      </c>
      <c r="B229" t="s">
        <v>382</v>
      </c>
      <c r="C229" t="s">
        <v>382</v>
      </c>
      <c r="D229" t="s">
        <v>382</v>
      </c>
      <c r="E229" t="s">
        <v>382</v>
      </c>
      <c r="F229" t="s">
        <v>382</v>
      </c>
      <c r="G229" t="s">
        <v>382</v>
      </c>
      <c r="H229" t="s">
        <v>382</v>
      </c>
      <c r="I229" t="s">
        <v>382</v>
      </c>
      <c r="J229" t="s">
        <v>382</v>
      </c>
      <c r="K229" t="s">
        <v>382</v>
      </c>
      <c r="L229" t="s">
        <v>382</v>
      </c>
      <c r="M229" t="s">
        <v>382</v>
      </c>
      <c r="N229" t="s">
        <v>382</v>
      </c>
      <c r="O229" t="s">
        <v>382</v>
      </c>
      <c r="P229" t="s">
        <v>382</v>
      </c>
      <c r="Q229" t="s">
        <v>382</v>
      </c>
      <c r="R229" t="s">
        <v>382</v>
      </c>
      <c r="S229" t="s">
        <v>382</v>
      </c>
      <c r="T229" t="s">
        <v>382</v>
      </c>
      <c r="U229" t="s">
        <v>382</v>
      </c>
      <c r="V229" t="s">
        <v>382</v>
      </c>
      <c r="W229" t="s">
        <v>382</v>
      </c>
      <c r="X229" t="s">
        <v>382</v>
      </c>
      <c r="Y229" t="s">
        <v>382</v>
      </c>
      <c r="Z229" t="s">
        <v>382</v>
      </c>
      <c r="AA229" t="s">
        <v>382</v>
      </c>
      <c r="AB229" t="s">
        <v>382</v>
      </c>
      <c r="AC229">
        <v>5</v>
      </c>
      <c r="AD229">
        <v>3</v>
      </c>
      <c r="AE229">
        <v>1</v>
      </c>
      <c r="AF229" t="s">
        <v>401</v>
      </c>
      <c r="AH229" t="s">
        <v>95</v>
      </c>
      <c r="AI229" t="s">
        <v>97</v>
      </c>
      <c r="AK229">
        <v>3221</v>
      </c>
      <c r="AL229">
        <v>872</v>
      </c>
    </row>
    <row r="230" spans="1:38">
      <c r="A230" t="s">
        <v>382</v>
      </c>
      <c r="B230" t="s">
        <v>382</v>
      </c>
      <c r="C230" t="s">
        <v>382</v>
      </c>
      <c r="D230" t="s">
        <v>382</v>
      </c>
      <c r="E230" t="s">
        <v>382</v>
      </c>
      <c r="F230" t="s">
        <v>382</v>
      </c>
      <c r="G230" t="s">
        <v>382</v>
      </c>
      <c r="H230" t="s">
        <v>382</v>
      </c>
      <c r="I230" t="s">
        <v>382</v>
      </c>
      <c r="J230" t="s">
        <v>382</v>
      </c>
      <c r="K230" t="s">
        <v>382</v>
      </c>
      <c r="L230" t="s">
        <v>382</v>
      </c>
      <c r="M230" t="s">
        <v>382</v>
      </c>
      <c r="N230" t="s">
        <v>382</v>
      </c>
      <c r="O230" t="s">
        <v>382</v>
      </c>
      <c r="P230" t="s">
        <v>382</v>
      </c>
      <c r="Q230" t="s">
        <v>382</v>
      </c>
      <c r="R230" t="s">
        <v>382</v>
      </c>
      <c r="S230" t="s">
        <v>382</v>
      </c>
      <c r="T230" t="s">
        <v>382</v>
      </c>
      <c r="U230" t="s">
        <v>382</v>
      </c>
      <c r="V230" t="s">
        <v>382</v>
      </c>
      <c r="W230" t="s">
        <v>382</v>
      </c>
      <c r="X230" t="s">
        <v>382</v>
      </c>
      <c r="Y230" t="s">
        <v>382</v>
      </c>
      <c r="Z230" t="s">
        <v>382</v>
      </c>
      <c r="AA230" t="s">
        <v>382</v>
      </c>
      <c r="AB230" t="s">
        <v>382</v>
      </c>
      <c r="AC230">
        <v>5</v>
      </c>
      <c r="AD230">
        <v>4</v>
      </c>
      <c r="AF230" t="s">
        <v>385</v>
      </c>
      <c r="AH230" t="s">
        <v>27</v>
      </c>
      <c r="AI230" t="s">
        <v>109</v>
      </c>
      <c r="AK230">
        <v>2067</v>
      </c>
      <c r="AL230">
        <v>1502</v>
      </c>
    </row>
    <row r="231" spans="1:38">
      <c r="A231" t="s">
        <v>382</v>
      </c>
      <c r="B231" t="s">
        <v>382</v>
      </c>
      <c r="C231" t="s">
        <v>382</v>
      </c>
      <c r="D231" t="s">
        <v>382</v>
      </c>
      <c r="E231" t="s">
        <v>382</v>
      </c>
      <c r="F231" t="s">
        <v>382</v>
      </c>
      <c r="G231" t="s">
        <v>382</v>
      </c>
      <c r="H231" t="s">
        <v>382</v>
      </c>
      <c r="I231" t="s">
        <v>382</v>
      </c>
      <c r="J231" t="s">
        <v>382</v>
      </c>
      <c r="K231" t="s">
        <v>382</v>
      </c>
      <c r="L231" t="s">
        <v>382</v>
      </c>
      <c r="M231" t="s">
        <v>382</v>
      </c>
      <c r="N231" t="s">
        <v>382</v>
      </c>
      <c r="O231" t="s">
        <v>382</v>
      </c>
      <c r="P231" t="s">
        <v>382</v>
      </c>
      <c r="Q231" t="s">
        <v>382</v>
      </c>
      <c r="R231" t="s">
        <v>382</v>
      </c>
      <c r="S231" t="s">
        <v>382</v>
      </c>
      <c r="T231" t="s">
        <v>382</v>
      </c>
      <c r="U231" t="s">
        <v>382</v>
      </c>
      <c r="V231" t="s">
        <v>382</v>
      </c>
      <c r="W231" t="s">
        <v>382</v>
      </c>
      <c r="X231" t="s">
        <v>382</v>
      </c>
      <c r="Y231" t="s">
        <v>382</v>
      </c>
      <c r="Z231" t="s">
        <v>382</v>
      </c>
      <c r="AA231" t="s">
        <v>382</v>
      </c>
      <c r="AB231" t="s">
        <v>382</v>
      </c>
      <c r="AC231">
        <v>5</v>
      </c>
      <c r="AD231">
        <v>5</v>
      </c>
      <c r="AF231" t="s">
        <v>386</v>
      </c>
      <c r="AH231" t="s">
        <v>29</v>
      </c>
      <c r="AI231" t="s">
        <v>103</v>
      </c>
      <c r="AK231">
        <v>1279</v>
      </c>
      <c r="AL231">
        <v>63</v>
      </c>
    </row>
    <row r="232" spans="1:38">
      <c r="A232" t="s">
        <v>382</v>
      </c>
      <c r="B232" t="s">
        <v>382</v>
      </c>
      <c r="C232" t="s">
        <v>382</v>
      </c>
      <c r="D232" t="s">
        <v>382</v>
      </c>
      <c r="E232" t="s">
        <v>382</v>
      </c>
      <c r="F232" t="s">
        <v>382</v>
      </c>
      <c r="G232" t="s">
        <v>382</v>
      </c>
      <c r="H232" t="s">
        <v>382</v>
      </c>
      <c r="I232" t="s">
        <v>382</v>
      </c>
      <c r="J232" t="s">
        <v>382</v>
      </c>
      <c r="K232" t="s">
        <v>382</v>
      </c>
      <c r="L232" t="s">
        <v>382</v>
      </c>
      <c r="M232" t="s">
        <v>382</v>
      </c>
      <c r="N232" t="s">
        <v>382</v>
      </c>
      <c r="O232" t="s">
        <v>382</v>
      </c>
      <c r="P232" t="s">
        <v>382</v>
      </c>
      <c r="Q232" t="s">
        <v>382</v>
      </c>
      <c r="R232" t="s">
        <v>382</v>
      </c>
      <c r="S232" t="s">
        <v>382</v>
      </c>
      <c r="T232" t="s">
        <v>382</v>
      </c>
      <c r="U232" t="s">
        <v>382</v>
      </c>
      <c r="V232" t="s">
        <v>382</v>
      </c>
      <c r="W232" t="s">
        <v>382</v>
      </c>
      <c r="X232" t="s">
        <v>382</v>
      </c>
      <c r="Y232" t="s">
        <v>382</v>
      </c>
      <c r="Z232" t="s">
        <v>382</v>
      </c>
      <c r="AA232" t="s">
        <v>382</v>
      </c>
      <c r="AB232" t="s">
        <v>382</v>
      </c>
      <c r="AC232">
        <v>5</v>
      </c>
      <c r="AD232">
        <v>1</v>
      </c>
      <c r="AE232">
        <v>1</v>
      </c>
      <c r="AF232" t="s">
        <v>389</v>
      </c>
      <c r="AH232" t="s">
        <v>35</v>
      </c>
      <c r="AI232" t="s">
        <v>97</v>
      </c>
      <c r="AK232">
        <v>3099</v>
      </c>
      <c r="AL232">
        <v>931</v>
      </c>
    </row>
    <row r="233" spans="1:38">
      <c r="A233" t="s">
        <v>382</v>
      </c>
      <c r="B233" t="s">
        <v>382</v>
      </c>
      <c r="C233" t="s">
        <v>382</v>
      </c>
      <c r="D233" t="s">
        <v>382</v>
      </c>
      <c r="E233" t="s">
        <v>382</v>
      </c>
      <c r="F233" t="s">
        <v>382</v>
      </c>
      <c r="G233" t="s">
        <v>382</v>
      </c>
      <c r="H233" t="s">
        <v>382</v>
      </c>
      <c r="I233" t="s">
        <v>382</v>
      </c>
      <c r="J233" t="s">
        <v>382</v>
      </c>
      <c r="K233" t="s">
        <v>382</v>
      </c>
      <c r="L233" t="s">
        <v>382</v>
      </c>
      <c r="M233" t="s">
        <v>382</v>
      </c>
      <c r="N233" t="s">
        <v>382</v>
      </c>
      <c r="O233" t="s">
        <v>382</v>
      </c>
      <c r="P233" t="s">
        <v>382</v>
      </c>
      <c r="Q233" t="s">
        <v>382</v>
      </c>
      <c r="R233" t="s">
        <v>382</v>
      </c>
      <c r="S233" t="s">
        <v>382</v>
      </c>
      <c r="T233" t="s">
        <v>382</v>
      </c>
      <c r="U233" t="s">
        <v>382</v>
      </c>
      <c r="V233" t="s">
        <v>382</v>
      </c>
      <c r="W233" t="s">
        <v>382</v>
      </c>
      <c r="X233" t="s">
        <v>382</v>
      </c>
      <c r="Y233" t="s">
        <v>382</v>
      </c>
      <c r="Z233" t="s">
        <v>382</v>
      </c>
      <c r="AA233" t="s">
        <v>382</v>
      </c>
      <c r="AB233" t="s">
        <v>382</v>
      </c>
      <c r="AC233">
        <v>5</v>
      </c>
      <c r="AD233">
        <v>2</v>
      </c>
      <c r="AE233">
        <v>1</v>
      </c>
      <c r="AF233" t="s">
        <v>398</v>
      </c>
      <c r="AH233" t="s">
        <v>69</v>
      </c>
      <c r="AI233" t="s">
        <v>97</v>
      </c>
      <c r="AK233">
        <v>1626</v>
      </c>
      <c r="AL233">
        <v>804</v>
      </c>
    </row>
    <row r="234" spans="1:38">
      <c r="A234" t="s">
        <v>382</v>
      </c>
      <c r="B234" t="s">
        <v>382</v>
      </c>
      <c r="C234" t="s">
        <v>382</v>
      </c>
      <c r="D234" t="s">
        <v>382</v>
      </c>
      <c r="E234" t="s">
        <v>382</v>
      </c>
      <c r="F234" t="s">
        <v>382</v>
      </c>
      <c r="G234" t="s">
        <v>382</v>
      </c>
      <c r="H234" t="s">
        <v>382</v>
      </c>
      <c r="I234" t="s">
        <v>382</v>
      </c>
      <c r="J234" t="s">
        <v>382</v>
      </c>
      <c r="K234" t="s">
        <v>382</v>
      </c>
      <c r="L234" t="s">
        <v>382</v>
      </c>
      <c r="M234" t="s">
        <v>382</v>
      </c>
      <c r="N234" t="s">
        <v>382</v>
      </c>
      <c r="O234" t="s">
        <v>382</v>
      </c>
      <c r="P234" t="s">
        <v>382</v>
      </c>
      <c r="Q234" t="s">
        <v>382</v>
      </c>
      <c r="R234" t="s">
        <v>382</v>
      </c>
      <c r="S234" t="s">
        <v>382</v>
      </c>
      <c r="T234" t="s">
        <v>382</v>
      </c>
      <c r="U234" t="s">
        <v>382</v>
      </c>
      <c r="V234" t="s">
        <v>382</v>
      </c>
      <c r="W234" t="s">
        <v>382</v>
      </c>
      <c r="X234" t="s">
        <v>382</v>
      </c>
      <c r="Y234" t="s">
        <v>382</v>
      </c>
      <c r="Z234" t="s">
        <v>382</v>
      </c>
      <c r="AA234" t="s">
        <v>382</v>
      </c>
      <c r="AB234" t="s">
        <v>382</v>
      </c>
      <c r="AC234">
        <v>5</v>
      </c>
      <c r="AD234">
        <v>3</v>
      </c>
      <c r="AF234" t="s">
        <v>386</v>
      </c>
      <c r="AH234" t="s">
        <v>29</v>
      </c>
      <c r="AI234" t="s">
        <v>103</v>
      </c>
      <c r="AK234">
        <v>1667</v>
      </c>
      <c r="AL234">
        <v>1373</v>
      </c>
    </row>
    <row r="235" spans="1:38">
      <c r="A235" t="s">
        <v>382</v>
      </c>
      <c r="B235" t="s">
        <v>382</v>
      </c>
      <c r="C235" t="s">
        <v>382</v>
      </c>
      <c r="D235" t="s">
        <v>382</v>
      </c>
      <c r="E235" t="s">
        <v>382</v>
      </c>
      <c r="F235" t="s">
        <v>382</v>
      </c>
      <c r="G235" t="s">
        <v>382</v>
      </c>
      <c r="H235" t="s">
        <v>382</v>
      </c>
      <c r="I235" t="s">
        <v>382</v>
      </c>
      <c r="J235" t="s">
        <v>382</v>
      </c>
      <c r="K235" t="s">
        <v>382</v>
      </c>
      <c r="L235" t="s">
        <v>382</v>
      </c>
      <c r="M235" t="s">
        <v>382</v>
      </c>
      <c r="N235" t="s">
        <v>382</v>
      </c>
      <c r="O235" t="s">
        <v>382</v>
      </c>
      <c r="P235" t="s">
        <v>382</v>
      </c>
      <c r="Q235" t="s">
        <v>382</v>
      </c>
      <c r="R235" t="s">
        <v>382</v>
      </c>
      <c r="S235" t="s">
        <v>382</v>
      </c>
      <c r="T235" t="s">
        <v>382</v>
      </c>
      <c r="U235" t="s">
        <v>382</v>
      </c>
      <c r="V235" t="s">
        <v>382</v>
      </c>
      <c r="W235" t="s">
        <v>382</v>
      </c>
      <c r="X235" t="s">
        <v>382</v>
      </c>
      <c r="Y235" t="s">
        <v>382</v>
      </c>
      <c r="Z235" t="s">
        <v>382</v>
      </c>
      <c r="AA235" t="s">
        <v>382</v>
      </c>
      <c r="AB235" t="s">
        <v>382</v>
      </c>
      <c r="AC235">
        <v>5</v>
      </c>
      <c r="AD235">
        <v>4</v>
      </c>
      <c r="AF235" t="s">
        <v>386</v>
      </c>
      <c r="AH235" t="s">
        <v>29</v>
      </c>
      <c r="AI235" t="s">
        <v>103</v>
      </c>
      <c r="AK235">
        <v>885</v>
      </c>
      <c r="AL235">
        <v>1154</v>
      </c>
    </row>
    <row r="236" spans="1:38">
      <c r="A236" t="s">
        <v>382</v>
      </c>
      <c r="B236" t="s">
        <v>382</v>
      </c>
      <c r="C236" t="s">
        <v>382</v>
      </c>
      <c r="D236" t="s">
        <v>382</v>
      </c>
      <c r="E236" t="s">
        <v>382</v>
      </c>
      <c r="F236" t="s">
        <v>382</v>
      </c>
      <c r="G236" t="s">
        <v>382</v>
      </c>
      <c r="H236" t="s">
        <v>382</v>
      </c>
      <c r="I236" t="s">
        <v>382</v>
      </c>
      <c r="J236" t="s">
        <v>382</v>
      </c>
      <c r="K236" t="s">
        <v>382</v>
      </c>
      <c r="L236" t="s">
        <v>382</v>
      </c>
      <c r="M236" t="s">
        <v>382</v>
      </c>
      <c r="N236" t="s">
        <v>382</v>
      </c>
      <c r="O236" t="s">
        <v>382</v>
      </c>
      <c r="P236" t="s">
        <v>382</v>
      </c>
      <c r="Q236" t="s">
        <v>382</v>
      </c>
      <c r="R236" t="s">
        <v>382</v>
      </c>
      <c r="S236" t="s">
        <v>382</v>
      </c>
      <c r="T236" t="s">
        <v>382</v>
      </c>
      <c r="U236" t="s">
        <v>382</v>
      </c>
      <c r="V236" t="s">
        <v>382</v>
      </c>
      <c r="W236" t="s">
        <v>382</v>
      </c>
      <c r="X236" t="s">
        <v>382</v>
      </c>
      <c r="Y236" t="s">
        <v>382</v>
      </c>
      <c r="Z236" t="s">
        <v>382</v>
      </c>
      <c r="AA236" t="s">
        <v>382</v>
      </c>
      <c r="AB236" t="s">
        <v>382</v>
      </c>
      <c r="AC236">
        <v>5</v>
      </c>
      <c r="AD236">
        <v>5</v>
      </c>
      <c r="AF236" t="s">
        <v>386</v>
      </c>
      <c r="AH236" t="s">
        <v>29</v>
      </c>
      <c r="AI236" t="s">
        <v>103</v>
      </c>
      <c r="AK236">
        <v>689</v>
      </c>
      <c r="AL236">
        <v>1613</v>
      </c>
    </row>
    <row r="237" spans="1:38">
      <c r="A237" t="s">
        <v>382</v>
      </c>
      <c r="B237" t="s">
        <v>382</v>
      </c>
      <c r="C237" t="s">
        <v>382</v>
      </c>
      <c r="D237" t="s">
        <v>382</v>
      </c>
      <c r="E237" t="s">
        <v>382</v>
      </c>
      <c r="F237" t="s">
        <v>382</v>
      </c>
      <c r="G237" t="s">
        <v>382</v>
      </c>
      <c r="H237" t="s">
        <v>382</v>
      </c>
      <c r="I237" t="s">
        <v>382</v>
      </c>
      <c r="J237" t="s">
        <v>382</v>
      </c>
      <c r="K237" t="s">
        <v>382</v>
      </c>
      <c r="L237" t="s">
        <v>382</v>
      </c>
      <c r="M237" t="s">
        <v>382</v>
      </c>
      <c r="N237" t="s">
        <v>382</v>
      </c>
      <c r="O237" t="s">
        <v>382</v>
      </c>
      <c r="P237" t="s">
        <v>382</v>
      </c>
      <c r="Q237" t="s">
        <v>382</v>
      </c>
      <c r="R237" t="s">
        <v>382</v>
      </c>
      <c r="S237" t="s">
        <v>382</v>
      </c>
      <c r="T237" t="s">
        <v>382</v>
      </c>
      <c r="U237" t="s">
        <v>382</v>
      </c>
      <c r="V237" t="s">
        <v>382</v>
      </c>
      <c r="W237" t="s">
        <v>382</v>
      </c>
      <c r="X237" t="s">
        <v>382</v>
      </c>
      <c r="Y237" t="s">
        <v>382</v>
      </c>
      <c r="Z237" t="s">
        <v>382</v>
      </c>
      <c r="AA237" t="s">
        <v>382</v>
      </c>
      <c r="AB237" t="s">
        <v>382</v>
      </c>
      <c r="AC237">
        <v>5</v>
      </c>
      <c r="AD237">
        <v>1</v>
      </c>
      <c r="AF237" t="s">
        <v>385</v>
      </c>
      <c r="AH237" t="s">
        <v>27</v>
      </c>
      <c r="AI237" t="s">
        <v>109</v>
      </c>
      <c r="AK237">
        <v>2986</v>
      </c>
      <c r="AL237">
        <v>2368</v>
      </c>
    </row>
    <row r="238" spans="1:38">
      <c r="A238" t="s">
        <v>382</v>
      </c>
      <c r="B238" t="s">
        <v>382</v>
      </c>
      <c r="C238" t="s">
        <v>382</v>
      </c>
      <c r="D238" t="s">
        <v>382</v>
      </c>
      <c r="E238" t="s">
        <v>382</v>
      </c>
      <c r="F238" t="s">
        <v>382</v>
      </c>
      <c r="G238" t="s">
        <v>382</v>
      </c>
      <c r="H238" t="s">
        <v>382</v>
      </c>
      <c r="I238" t="s">
        <v>382</v>
      </c>
      <c r="J238" t="s">
        <v>382</v>
      </c>
      <c r="K238" t="s">
        <v>382</v>
      </c>
      <c r="L238" t="s">
        <v>382</v>
      </c>
      <c r="M238" t="s">
        <v>382</v>
      </c>
      <c r="N238" t="s">
        <v>382</v>
      </c>
      <c r="O238" t="s">
        <v>382</v>
      </c>
      <c r="P238" t="s">
        <v>382</v>
      </c>
      <c r="Q238" t="s">
        <v>382</v>
      </c>
      <c r="R238" t="s">
        <v>382</v>
      </c>
      <c r="S238" t="s">
        <v>382</v>
      </c>
      <c r="T238" t="s">
        <v>382</v>
      </c>
      <c r="U238" t="s">
        <v>382</v>
      </c>
      <c r="V238" t="s">
        <v>382</v>
      </c>
      <c r="W238" t="s">
        <v>382</v>
      </c>
      <c r="X238" t="s">
        <v>382</v>
      </c>
      <c r="Y238" t="s">
        <v>382</v>
      </c>
      <c r="Z238" t="s">
        <v>382</v>
      </c>
      <c r="AA238" t="s">
        <v>382</v>
      </c>
      <c r="AB238" t="s">
        <v>382</v>
      </c>
      <c r="AC238">
        <v>5</v>
      </c>
      <c r="AD238">
        <v>2</v>
      </c>
      <c r="AF238" t="s">
        <v>386</v>
      </c>
      <c r="AH238" t="s">
        <v>29</v>
      </c>
      <c r="AI238" t="s">
        <v>103</v>
      </c>
      <c r="AK238">
        <v>949</v>
      </c>
      <c r="AL238">
        <v>1424</v>
      </c>
    </row>
    <row r="239" spans="1:38">
      <c r="A239" t="s">
        <v>382</v>
      </c>
      <c r="B239" t="s">
        <v>382</v>
      </c>
      <c r="C239" t="s">
        <v>382</v>
      </c>
      <c r="D239" t="s">
        <v>382</v>
      </c>
      <c r="E239" t="s">
        <v>382</v>
      </c>
      <c r="F239" t="s">
        <v>382</v>
      </c>
      <c r="G239" t="s">
        <v>382</v>
      </c>
      <c r="H239" t="s">
        <v>382</v>
      </c>
      <c r="I239" t="s">
        <v>382</v>
      </c>
      <c r="J239" t="s">
        <v>382</v>
      </c>
      <c r="K239" t="s">
        <v>382</v>
      </c>
      <c r="L239" t="s">
        <v>382</v>
      </c>
      <c r="M239" t="s">
        <v>382</v>
      </c>
      <c r="N239" t="s">
        <v>382</v>
      </c>
      <c r="O239" t="s">
        <v>382</v>
      </c>
      <c r="P239" t="s">
        <v>382</v>
      </c>
      <c r="Q239" t="s">
        <v>382</v>
      </c>
      <c r="R239" t="s">
        <v>382</v>
      </c>
      <c r="S239" t="s">
        <v>382</v>
      </c>
      <c r="T239" t="s">
        <v>382</v>
      </c>
      <c r="U239" t="s">
        <v>382</v>
      </c>
      <c r="V239" t="s">
        <v>382</v>
      </c>
      <c r="W239" t="s">
        <v>382</v>
      </c>
      <c r="X239" t="s">
        <v>382</v>
      </c>
      <c r="Y239" t="s">
        <v>382</v>
      </c>
      <c r="Z239" t="s">
        <v>382</v>
      </c>
      <c r="AA239" t="s">
        <v>382</v>
      </c>
      <c r="AB239" t="s">
        <v>382</v>
      </c>
      <c r="AC239">
        <v>5</v>
      </c>
      <c r="AD239">
        <v>3</v>
      </c>
      <c r="AE239">
        <v>1</v>
      </c>
      <c r="AF239" t="s">
        <v>487</v>
      </c>
      <c r="AH239" t="s">
        <v>153</v>
      </c>
      <c r="AI239" t="s">
        <v>97</v>
      </c>
      <c r="AK239">
        <v>2236</v>
      </c>
      <c r="AL239">
        <v>2089</v>
      </c>
    </row>
    <row r="240" spans="1:38">
      <c r="A240" t="s">
        <v>382</v>
      </c>
      <c r="B240" t="s">
        <v>382</v>
      </c>
      <c r="C240" t="s">
        <v>382</v>
      </c>
      <c r="D240" t="s">
        <v>382</v>
      </c>
      <c r="E240" t="s">
        <v>382</v>
      </c>
      <c r="F240" t="s">
        <v>382</v>
      </c>
      <c r="G240" t="s">
        <v>382</v>
      </c>
      <c r="H240" t="s">
        <v>382</v>
      </c>
      <c r="I240" t="s">
        <v>382</v>
      </c>
      <c r="J240" t="s">
        <v>382</v>
      </c>
      <c r="K240" t="s">
        <v>382</v>
      </c>
      <c r="L240" t="s">
        <v>382</v>
      </c>
      <c r="M240" t="s">
        <v>382</v>
      </c>
      <c r="N240" t="s">
        <v>382</v>
      </c>
      <c r="O240" t="s">
        <v>382</v>
      </c>
      <c r="P240" t="s">
        <v>382</v>
      </c>
      <c r="Q240" t="s">
        <v>382</v>
      </c>
      <c r="R240" t="s">
        <v>382</v>
      </c>
      <c r="S240" t="s">
        <v>382</v>
      </c>
      <c r="T240" t="s">
        <v>382</v>
      </c>
      <c r="U240" t="s">
        <v>382</v>
      </c>
      <c r="V240" t="s">
        <v>382</v>
      </c>
      <c r="W240" t="s">
        <v>382</v>
      </c>
      <c r="X240" t="s">
        <v>382</v>
      </c>
      <c r="Y240" t="s">
        <v>382</v>
      </c>
      <c r="Z240" t="s">
        <v>382</v>
      </c>
      <c r="AA240" t="s">
        <v>382</v>
      </c>
      <c r="AB240" t="s">
        <v>382</v>
      </c>
      <c r="AC240">
        <v>5</v>
      </c>
      <c r="AD240">
        <v>4</v>
      </c>
      <c r="AE240">
        <v>1</v>
      </c>
      <c r="AF240" t="s">
        <v>487</v>
      </c>
      <c r="AH240" t="s">
        <v>153</v>
      </c>
      <c r="AI240" t="s">
        <v>97</v>
      </c>
      <c r="AK240">
        <v>835</v>
      </c>
      <c r="AL240">
        <v>2187</v>
      </c>
    </row>
    <row r="241" spans="1:38">
      <c r="A241" t="s">
        <v>382</v>
      </c>
      <c r="B241" t="s">
        <v>382</v>
      </c>
      <c r="C241" t="s">
        <v>382</v>
      </c>
      <c r="D241" t="s">
        <v>382</v>
      </c>
      <c r="E241" t="s">
        <v>382</v>
      </c>
      <c r="F241" t="s">
        <v>382</v>
      </c>
      <c r="G241" t="s">
        <v>382</v>
      </c>
      <c r="H241" t="s">
        <v>382</v>
      </c>
      <c r="I241" t="s">
        <v>382</v>
      </c>
      <c r="J241" t="s">
        <v>382</v>
      </c>
      <c r="K241" t="s">
        <v>382</v>
      </c>
      <c r="L241" t="s">
        <v>382</v>
      </c>
      <c r="M241" t="s">
        <v>382</v>
      </c>
      <c r="N241" t="s">
        <v>382</v>
      </c>
      <c r="O241" t="s">
        <v>382</v>
      </c>
      <c r="P241" t="s">
        <v>382</v>
      </c>
      <c r="Q241" t="s">
        <v>382</v>
      </c>
      <c r="R241" t="s">
        <v>382</v>
      </c>
      <c r="S241" t="s">
        <v>382</v>
      </c>
      <c r="T241" t="s">
        <v>382</v>
      </c>
      <c r="U241" t="s">
        <v>382</v>
      </c>
      <c r="V241" t="s">
        <v>382</v>
      </c>
      <c r="W241" t="s">
        <v>382</v>
      </c>
      <c r="X241" t="s">
        <v>382</v>
      </c>
      <c r="Y241" t="s">
        <v>382</v>
      </c>
      <c r="Z241" t="s">
        <v>382</v>
      </c>
      <c r="AA241" t="s">
        <v>382</v>
      </c>
      <c r="AB241" t="s">
        <v>382</v>
      </c>
      <c r="AC241">
        <v>5</v>
      </c>
      <c r="AD241">
        <v>5</v>
      </c>
      <c r="AE241">
        <v>1</v>
      </c>
      <c r="AF241" t="s">
        <v>487</v>
      </c>
      <c r="AH241" t="s">
        <v>153</v>
      </c>
      <c r="AI241" t="s">
        <v>97</v>
      </c>
      <c r="AK241">
        <v>1511</v>
      </c>
      <c r="AL241">
        <v>767</v>
      </c>
    </row>
    <row r="242" spans="1:38">
      <c r="A242" t="s">
        <v>382</v>
      </c>
      <c r="B242" t="s">
        <v>382</v>
      </c>
      <c r="C242" t="s">
        <v>382</v>
      </c>
      <c r="D242" t="s">
        <v>382</v>
      </c>
      <c r="E242" t="s">
        <v>382</v>
      </c>
      <c r="F242" t="s">
        <v>382</v>
      </c>
      <c r="G242" t="s">
        <v>382</v>
      </c>
      <c r="H242" t="s">
        <v>382</v>
      </c>
      <c r="I242" t="s">
        <v>382</v>
      </c>
      <c r="J242" t="s">
        <v>382</v>
      </c>
      <c r="K242" t="s">
        <v>382</v>
      </c>
      <c r="L242" t="s">
        <v>382</v>
      </c>
      <c r="M242" t="s">
        <v>382</v>
      </c>
      <c r="N242" t="s">
        <v>382</v>
      </c>
      <c r="O242" t="s">
        <v>382</v>
      </c>
      <c r="P242" t="s">
        <v>382</v>
      </c>
      <c r="Q242" t="s">
        <v>382</v>
      </c>
      <c r="R242" t="s">
        <v>382</v>
      </c>
      <c r="S242" t="s">
        <v>382</v>
      </c>
      <c r="T242" t="s">
        <v>382</v>
      </c>
      <c r="U242" t="s">
        <v>382</v>
      </c>
      <c r="V242" t="s">
        <v>382</v>
      </c>
      <c r="W242" t="s">
        <v>382</v>
      </c>
      <c r="X242" t="s">
        <v>382</v>
      </c>
      <c r="Y242" t="s">
        <v>382</v>
      </c>
      <c r="Z242" t="s">
        <v>382</v>
      </c>
      <c r="AA242" t="s">
        <v>382</v>
      </c>
      <c r="AB242" t="s">
        <v>382</v>
      </c>
      <c r="AC242">
        <v>5</v>
      </c>
      <c r="AD242">
        <v>1</v>
      </c>
      <c r="AE242">
        <v>1</v>
      </c>
      <c r="AF242" t="s">
        <v>389</v>
      </c>
      <c r="AH242" t="s">
        <v>35</v>
      </c>
      <c r="AI242" t="s">
        <v>97</v>
      </c>
      <c r="AK242">
        <v>3000</v>
      </c>
      <c r="AL242">
        <v>1752</v>
      </c>
    </row>
    <row r="243" spans="1:38">
      <c r="A243" t="s">
        <v>382</v>
      </c>
      <c r="B243" t="s">
        <v>382</v>
      </c>
      <c r="C243" t="s">
        <v>382</v>
      </c>
      <c r="D243" t="s">
        <v>382</v>
      </c>
      <c r="E243" t="s">
        <v>382</v>
      </c>
      <c r="F243" t="s">
        <v>382</v>
      </c>
      <c r="G243" t="s">
        <v>382</v>
      </c>
      <c r="H243" t="s">
        <v>382</v>
      </c>
      <c r="I243" t="s">
        <v>382</v>
      </c>
      <c r="J243" t="s">
        <v>382</v>
      </c>
      <c r="K243" t="s">
        <v>382</v>
      </c>
      <c r="L243" t="s">
        <v>382</v>
      </c>
      <c r="M243" t="s">
        <v>382</v>
      </c>
      <c r="N243" t="s">
        <v>382</v>
      </c>
      <c r="O243" t="s">
        <v>382</v>
      </c>
      <c r="P243" t="s">
        <v>382</v>
      </c>
      <c r="Q243" t="s">
        <v>382</v>
      </c>
      <c r="R243" t="s">
        <v>382</v>
      </c>
      <c r="S243" t="s">
        <v>382</v>
      </c>
      <c r="T243" t="s">
        <v>382</v>
      </c>
      <c r="U243" t="s">
        <v>382</v>
      </c>
      <c r="V243" t="s">
        <v>382</v>
      </c>
      <c r="W243" t="s">
        <v>382</v>
      </c>
      <c r="X243" t="s">
        <v>382</v>
      </c>
      <c r="Y243" t="s">
        <v>382</v>
      </c>
      <c r="Z243" t="s">
        <v>382</v>
      </c>
      <c r="AA243" t="s">
        <v>382</v>
      </c>
      <c r="AB243" t="s">
        <v>382</v>
      </c>
      <c r="AC243">
        <v>5</v>
      </c>
      <c r="AD243">
        <v>2</v>
      </c>
      <c r="AE243">
        <v>1</v>
      </c>
      <c r="AF243" t="s">
        <v>383</v>
      </c>
      <c r="AH243" t="s">
        <v>22</v>
      </c>
      <c r="AI243" t="s">
        <v>97</v>
      </c>
      <c r="AK243">
        <v>1809</v>
      </c>
      <c r="AL243">
        <v>461</v>
      </c>
    </row>
    <row r="244" spans="1:38">
      <c r="A244" t="s">
        <v>382</v>
      </c>
      <c r="B244" t="s">
        <v>382</v>
      </c>
      <c r="C244" t="s">
        <v>382</v>
      </c>
      <c r="D244" t="s">
        <v>382</v>
      </c>
      <c r="E244" t="s">
        <v>382</v>
      </c>
      <c r="F244" t="s">
        <v>382</v>
      </c>
      <c r="G244" t="s">
        <v>382</v>
      </c>
      <c r="H244" t="s">
        <v>382</v>
      </c>
      <c r="I244" t="s">
        <v>382</v>
      </c>
      <c r="J244" t="s">
        <v>382</v>
      </c>
      <c r="K244" t="s">
        <v>382</v>
      </c>
      <c r="L244" t="s">
        <v>382</v>
      </c>
      <c r="M244" t="s">
        <v>382</v>
      </c>
      <c r="N244" t="s">
        <v>382</v>
      </c>
      <c r="O244" t="s">
        <v>382</v>
      </c>
      <c r="P244" t="s">
        <v>382</v>
      </c>
      <c r="Q244" t="s">
        <v>382</v>
      </c>
      <c r="R244" t="s">
        <v>382</v>
      </c>
      <c r="S244" t="s">
        <v>382</v>
      </c>
      <c r="T244" t="s">
        <v>382</v>
      </c>
      <c r="U244" t="s">
        <v>382</v>
      </c>
      <c r="V244" t="s">
        <v>382</v>
      </c>
      <c r="W244" t="s">
        <v>382</v>
      </c>
      <c r="X244" t="s">
        <v>382</v>
      </c>
      <c r="Y244" t="s">
        <v>382</v>
      </c>
      <c r="Z244" t="s">
        <v>382</v>
      </c>
      <c r="AA244" t="s">
        <v>382</v>
      </c>
      <c r="AB244" t="s">
        <v>382</v>
      </c>
      <c r="AC244">
        <v>5</v>
      </c>
      <c r="AD244">
        <v>3</v>
      </c>
      <c r="AE244">
        <v>1</v>
      </c>
      <c r="AF244" t="s">
        <v>383</v>
      </c>
      <c r="AH244" t="s">
        <v>22</v>
      </c>
      <c r="AI244" t="s">
        <v>97</v>
      </c>
      <c r="AK244">
        <v>2972</v>
      </c>
      <c r="AL244">
        <v>1224</v>
      </c>
    </row>
    <row r="245" spans="1:38">
      <c r="A245" t="s">
        <v>382</v>
      </c>
      <c r="B245" t="s">
        <v>382</v>
      </c>
      <c r="C245" t="s">
        <v>382</v>
      </c>
      <c r="D245" t="s">
        <v>382</v>
      </c>
      <c r="E245" t="s">
        <v>382</v>
      </c>
      <c r="F245" t="s">
        <v>382</v>
      </c>
      <c r="G245" t="s">
        <v>382</v>
      </c>
      <c r="H245" t="s">
        <v>382</v>
      </c>
      <c r="I245" t="s">
        <v>382</v>
      </c>
      <c r="J245" t="s">
        <v>382</v>
      </c>
      <c r="K245" t="s">
        <v>382</v>
      </c>
      <c r="L245" t="s">
        <v>382</v>
      </c>
      <c r="M245" t="s">
        <v>382</v>
      </c>
      <c r="N245" t="s">
        <v>382</v>
      </c>
      <c r="O245" t="s">
        <v>382</v>
      </c>
      <c r="P245" t="s">
        <v>382</v>
      </c>
      <c r="Q245" t="s">
        <v>382</v>
      </c>
      <c r="R245" t="s">
        <v>382</v>
      </c>
      <c r="S245" t="s">
        <v>382</v>
      </c>
      <c r="T245" t="s">
        <v>382</v>
      </c>
      <c r="U245" t="s">
        <v>382</v>
      </c>
      <c r="V245" t="s">
        <v>382</v>
      </c>
      <c r="W245" t="s">
        <v>382</v>
      </c>
      <c r="X245" t="s">
        <v>382</v>
      </c>
      <c r="Y245" t="s">
        <v>382</v>
      </c>
      <c r="Z245" t="s">
        <v>382</v>
      </c>
      <c r="AA245" t="s">
        <v>382</v>
      </c>
      <c r="AB245" t="s">
        <v>382</v>
      </c>
      <c r="AC245">
        <v>5</v>
      </c>
      <c r="AD245">
        <v>4</v>
      </c>
      <c r="AE245">
        <v>1</v>
      </c>
      <c r="AF245" t="s">
        <v>542</v>
      </c>
      <c r="AH245" t="s">
        <v>147</v>
      </c>
      <c r="AI245" t="s">
        <v>97</v>
      </c>
      <c r="AK245">
        <v>933</v>
      </c>
      <c r="AL245">
        <v>1035</v>
      </c>
    </row>
    <row r="246" spans="1:38">
      <c r="A246" t="s">
        <v>382</v>
      </c>
      <c r="B246" t="s">
        <v>382</v>
      </c>
      <c r="C246" t="s">
        <v>382</v>
      </c>
      <c r="D246" t="s">
        <v>382</v>
      </c>
      <c r="E246" t="s">
        <v>382</v>
      </c>
      <c r="F246" t="s">
        <v>382</v>
      </c>
      <c r="G246" t="s">
        <v>382</v>
      </c>
      <c r="H246" t="s">
        <v>382</v>
      </c>
      <c r="I246" t="s">
        <v>382</v>
      </c>
      <c r="J246" t="s">
        <v>382</v>
      </c>
      <c r="K246" t="s">
        <v>382</v>
      </c>
      <c r="L246" t="s">
        <v>382</v>
      </c>
      <c r="M246" t="s">
        <v>382</v>
      </c>
      <c r="N246" t="s">
        <v>382</v>
      </c>
      <c r="O246" t="s">
        <v>382</v>
      </c>
      <c r="P246" t="s">
        <v>382</v>
      </c>
      <c r="Q246" t="s">
        <v>382</v>
      </c>
      <c r="R246" t="s">
        <v>382</v>
      </c>
      <c r="S246" t="s">
        <v>382</v>
      </c>
      <c r="T246" t="s">
        <v>382</v>
      </c>
      <c r="U246" t="s">
        <v>382</v>
      </c>
      <c r="V246" t="s">
        <v>382</v>
      </c>
      <c r="W246" t="s">
        <v>382</v>
      </c>
      <c r="X246" t="s">
        <v>382</v>
      </c>
      <c r="Y246" t="s">
        <v>382</v>
      </c>
      <c r="Z246" t="s">
        <v>382</v>
      </c>
      <c r="AA246" t="s">
        <v>382</v>
      </c>
      <c r="AB246" t="s">
        <v>382</v>
      </c>
      <c r="AC246">
        <v>5</v>
      </c>
      <c r="AD246">
        <v>5</v>
      </c>
      <c r="AE246">
        <v>1</v>
      </c>
      <c r="AF246" t="s">
        <v>401</v>
      </c>
      <c r="AH246" t="s">
        <v>95</v>
      </c>
      <c r="AI246" t="s">
        <v>97</v>
      </c>
      <c r="AK246">
        <v>1148</v>
      </c>
      <c r="AL246">
        <v>844</v>
      </c>
    </row>
    <row r="247" spans="1:38">
      <c r="A247" t="s">
        <v>382</v>
      </c>
      <c r="B247" t="s">
        <v>382</v>
      </c>
      <c r="C247" t="s">
        <v>382</v>
      </c>
      <c r="D247" t="s">
        <v>382</v>
      </c>
      <c r="E247" t="s">
        <v>382</v>
      </c>
      <c r="F247" t="s">
        <v>382</v>
      </c>
      <c r="G247" t="s">
        <v>382</v>
      </c>
      <c r="H247" t="s">
        <v>382</v>
      </c>
      <c r="I247" t="s">
        <v>382</v>
      </c>
      <c r="J247" t="s">
        <v>382</v>
      </c>
      <c r="K247" t="s">
        <v>382</v>
      </c>
      <c r="L247" t="s">
        <v>382</v>
      </c>
      <c r="M247" t="s">
        <v>382</v>
      </c>
      <c r="N247" t="s">
        <v>382</v>
      </c>
      <c r="O247" t="s">
        <v>382</v>
      </c>
      <c r="P247" t="s">
        <v>382</v>
      </c>
      <c r="Q247" t="s">
        <v>382</v>
      </c>
      <c r="R247" t="s">
        <v>382</v>
      </c>
      <c r="S247" t="s">
        <v>382</v>
      </c>
      <c r="T247" t="s">
        <v>382</v>
      </c>
      <c r="U247" t="s">
        <v>382</v>
      </c>
      <c r="V247" t="s">
        <v>382</v>
      </c>
      <c r="W247" t="s">
        <v>382</v>
      </c>
      <c r="X247" t="s">
        <v>382</v>
      </c>
      <c r="Y247" t="s">
        <v>382</v>
      </c>
      <c r="Z247" t="s">
        <v>382</v>
      </c>
      <c r="AA247" t="s">
        <v>382</v>
      </c>
      <c r="AB247" t="s">
        <v>382</v>
      </c>
      <c r="AC247">
        <v>5</v>
      </c>
      <c r="AD247">
        <v>1</v>
      </c>
      <c r="AF247" t="s">
        <v>386</v>
      </c>
      <c r="AH247" t="s">
        <v>29</v>
      </c>
      <c r="AI247" t="s">
        <v>103</v>
      </c>
      <c r="AK247">
        <v>2308</v>
      </c>
      <c r="AL247">
        <v>2403</v>
      </c>
    </row>
    <row r="248" spans="1:38">
      <c r="A248" t="s">
        <v>382</v>
      </c>
      <c r="B248" t="s">
        <v>382</v>
      </c>
      <c r="C248" t="s">
        <v>382</v>
      </c>
      <c r="D248" t="s">
        <v>382</v>
      </c>
      <c r="E248" t="s">
        <v>382</v>
      </c>
      <c r="F248" t="s">
        <v>382</v>
      </c>
      <c r="G248" t="s">
        <v>382</v>
      </c>
      <c r="H248" t="s">
        <v>382</v>
      </c>
      <c r="I248" t="s">
        <v>382</v>
      </c>
      <c r="J248" t="s">
        <v>382</v>
      </c>
      <c r="K248" t="s">
        <v>382</v>
      </c>
      <c r="L248" t="s">
        <v>382</v>
      </c>
      <c r="M248" t="s">
        <v>382</v>
      </c>
      <c r="N248" t="s">
        <v>382</v>
      </c>
      <c r="O248" t="s">
        <v>382</v>
      </c>
      <c r="P248" t="s">
        <v>382</v>
      </c>
      <c r="Q248" t="s">
        <v>382</v>
      </c>
      <c r="R248" t="s">
        <v>382</v>
      </c>
      <c r="S248" t="s">
        <v>382</v>
      </c>
      <c r="T248" t="s">
        <v>382</v>
      </c>
      <c r="U248" t="s">
        <v>382</v>
      </c>
      <c r="V248" t="s">
        <v>382</v>
      </c>
      <c r="W248" t="s">
        <v>382</v>
      </c>
      <c r="X248" t="s">
        <v>382</v>
      </c>
      <c r="Y248" t="s">
        <v>382</v>
      </c>
      <c r="Z248" t="s">
        <v>382</v>
      </c>
      <c r="AA248" t="s">
        <v>382</v>
      </c>
      <c r="AB248" t="s">
        <v>382</v>
      </c>
      <c r="AC248">
        <v>5</v>
      </c>
      <c r="AD248">
        <v>2</v>
      </c>
      <c r="AE248">
        <v>1</v>
      </c>
      <c r="AF248" t="s">
        <v>401</v>
      </c>
      <c r="AH248" t="s">
        <v>95</v>
      </c>
      <c r="AI248" t="s">
        <v>97</v>
      </c>
      <c r="AK248">
        <v>965</v>
      </c>
      <c r="AL248">
        <v>1042</v>
      </c>
    </row>
    <row r="249" spans="1:38">
      <c r="A249" t="s">
        <v>382</v>
      </c>
      <c r="B249" t="s">
        <v>382</v>
      </c>
      <c r="C249" t="s">
        <v>382</v>
      </c>
      <c r="D249" t="s">
        <v>382</v>
      </c>
      <c r="E249" t="s">
        <v>382</v>
      </c>
      <c r="F249" t="s">
        <v>382</v>
      </c>
      <c r="G249" t="s">
        <v>382</v>
      </c>
      <c r="H249" t="s">
        <v>382</v>
      </c>
      <c r="I249" t="s">
        <v>382</v>
      </c>
      <c r="J249" t="s">
        <v>382</v>
      </c>
      <c r="K249" t="s">
        <v>382</v>
      </c>
      <c r="L249" t="s">
        <v>382</v>
      </c>
      <c r="M249" t="s">
        <v>382</v>
      </c>
      <c r="N249" t="s">
        <v>382</v>
      </c>
      <c r="O249" t="s">
        <v>382</v>
      </c>
      <c r="P249" t="s">
        <v>382</v>
      </c>
      <c r="Q249" t="s">
        <v>382</v>
      </c>
      <c r="R249" t="s">
        <v>382</v>
      </c>
      <c r="S249" t="s">
        <v>382</v>
      </c>
      <c r="T249" t="s">
        <v>382</v>
      </c>
      <c r="U249" t="s">
        <v>382</v>
      </c>
      <c r="V249" t="s">
        <v>382</v>
      </c>
      <c r="W249" t="s">
        <v>382</v>
      </c>
      <c r="X249" t="s">
        <v>382</v>
      </c>
      <c r="Y249" t="s">
        <v>382</v>
      </c>
      <c r="Z249" t="s">
        <v>382</v>
      </c>
      <c r="AA249" t="s">
        <v>382</v>
      </c>
      <c r="AB249" t="s">
        <v>382</v>
      </c>
      <c r="AC249">
        <v>5</v>
      </c>
      <c r="AD249">
        <v>3</v>
      </c>
      <c r="AE249">
        <v>1</v>
      </c>
      <c r="AF249" t="s">
        <v>401</v>
      </c>
      <c r="AH249" t="s">
        <v>95</v>
      </c>
      <c r="AI249" t="s">
        <v>97</v>
      </c>
      <c r="AK249">
        <v>873</v>
      </c>
      <c r="AL249">
        <v>729</v>
      </c>
    </row>
    <row r="250" spans="1:38">
      <c r="A250" t="s">
        <v>382</v>
      </c>
      <c r="B250" t="s">
        <v>382</v>
      </c>
      <c r="C250" t="s">
        <v>382</v>
      </c>
      <c r="D250" t="s">
        <v>382</v>
      </c>
      <c r="E250" t="s">
        <v>382</v>
      </c>
      <c r="F250" t="s">
        <v>382</v>
      </c>
      <c r="G250" t="s">
        <v>382</v>
      </c>
      <c r="H250" t="s">
        <v>382</v>
      </c>
      <c r="I250" t="s">
        <v>382</v>
      </c>
      <c r="J250" t="s">
        <v>382</v>
      </c>
      <c r="K250" t="s">
        <v>382</v>
      </c>
      <c r="L250" t="s">
        <v>382</v>
      </c>
      <c r="M250" t="s">
        <v>382</v>
      </c>
      <c r="N250" t="s">
        <v>382</v>
      </c>
      <c r="O250" t="s">
        <v>382</v>
      </c>
      <c r="P250" t="s">
        <v>382</v>
      </c>
      <c r="Q250" t="s">
        <v>382</v>
      </c>
      <c r="R250" t="s">
        <v>382</v>
      </c>
      <c r="S250" t="s">
        <v>382</v>
      </c>
      <c r="T250" t="s">
        <v>382</v>
      </c>
      <c r="U250" t="s">
        <v>382</v>
      </c>
      <c r="V250" t="s">
        <v>382</v>
      </c>
      <c r="W250" t="s">
        <v>382</v>
      </c>
      <c r="X250" t="s">
        <v>382</v>
      </c>
      <c r="Y250" t="s">
        <v>382</v>
      </c>
      <c r="Z250" t="s">
        <v>382</v>
      </c>
      <c r="AA250" t="s">
        <v>382</v>
      </c>
      <c r="AB250" t="s">
        <v>382</v>
      </c>
      <c r="AC250">
        <v>5</v>
      </c>
      <c r="AD250">
        <v>4</v>
      </c>
      <c r="AF250" t="s">
        <v>386</v>
      </c>
      <c r="AH250" t="s">
        <v>29</v>
      </c>
      <c r="AI250" t="s">
        <v>103</v>
      </c>
      <c r="AK250">
        <v>1864</v>
      </c>
      <c r="AL250">
        <v>1025</v>
      </c>
    </row>
    <row r="251" spans="1:38">
      <c r="A251" t="s">
        <v>382</v>
      </c>
      <c r="B251" t="s">
        <v>382</v>
      </c>
      <c r="C251" t="s">
        <v>382</v>
      </c>
      <c r="D251" t="s">
        <v>382</v>
      </c>
      <c r="E251" t="s">
        <v>382</v>
      </c>
      <c r="F251" t="s">
        <v>382</v>
      </c>
      <c r="G251" t="s">
        <v>382</v>
      </c>
      <c r="H251" t="s">
        <v>382</v>
      </c>
      <c r="I251" t="s">
        <v>382</v>
      </c>
      <c r="J251" t="s">
        <v>382</v>
      </c>
      <c r="K251" t="s">
        <v>382</v>
      </c>
      <c r="L251" t="s">
        <v>382</v>
      </c>
      <c r="M251" t="s">
        <v>382</v>
      </c>
      <c r="N251" t="s">
        <v>382</v>
      </c>
      <c r="O251" t="s">
        <v>382</v>
      </c>
      <c r="P251" t="s">
        <v>382</v>
      </c>
      <c r="Q251" t="s">
        <v>382</v>
      </c>
      <c r="R251" t="s">
        <v>382</v>
      </c>
      <c r="S251" t="s">
        <v>382</v>
      </c>
      <c r="T251" t="s">
        <v>382</v>
      </c>
      <c r="U251" t="s">
        <v>382</v>
      </c>
      <c r="V251" t="s">
        <v>382</v>
      </c>
      <c r="W251" t="s">
        <v>382</v>
      </c>
      <c r="X251" t="s">
        <v>382</v>
      </c>
      <c r="Y251" t="s">
        <v>382</v>
      </c>
      <c r="Z251" t="s">
        <v>382</v>
      </c>
      <c r="AA251" t="s">
        <v>382</v>
      </c>
      <c r="AB251" t="s">
        <v>382</v>
      </c>
      <c r="AC251">
        <v>5</v>
      </c>
      <c r="AD251">
        <v>5</v>
      </c>
      <c r="AE251">
        <v>1</v>
      </c>
      <c r="AF251" t="s">
        <v>396</v>
      </c>
      <c r="AH251" t="s">
        <v>64</v>
      </c>
      <c r="AI251" t="s">
        <v>97</v>
      </c>
      <c r="AK251">
        <v>2786</v>
      </c>
      <c r="AL251">
        <v>1392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1"/>
  <sheetViews>
    <sheetView topLeftCell="P1" workbookViewId="0">
      <selection activeCell="AC2" sqref="AC2:AD251"/>
    </sheetView>
  </sheetViews>
  <sheetFormatPr baseColWidth="10" defaultColWidth="8.83203125" defaultRowHeight="14" x14ac:dyDescent="0"/>
  <cols>
    <col min="1" max="1" width="9.6640625" bestFit="1" customWidth="1"/>
    <col min="2" max="2" width="12.1640625" bestFit="1" customWidth="1"/>
    <col min="3" max="3" width="6.83203125" bestFit="1" customWidth="1"/>
    <col min="4" max="4" width="7.83203125" bestFit="1" customWidth="1"/>
    <col min="5" max="5" width="7.5" bestFit="1" customWidth="1"/>
    <col min="6" max="6" width="9.33203125" bestFit="1" customWidth="1"/>
    <col min="7" max="7" width="6.1640625" bestFit="1" customWidth="1"/>
    <col min="8" max="8" width="8.6640625" bestFit="1" customWidth="1"/>
    <col min="9" max="9" width="7.6640625" bestFit="1" customWidth="1"/>
    <col min="10" max="10" width="9.1640625" bestFit="1" customWidth="1"/>
    <col min="11" max="11" width="6.83203125" bestFit="1" customWidth="1"/>
    <col min="12" max="12" width="8.1640625" bestFit="1" customWidth="1"/>
    <col min="13" max="13" width="9.5" bestFit="1" customWidth="1"/>
    <col min="14" max="14" width="6.5" bestFit="1" customWidth="1"/>
    <col min="15" max="15" width="8" bestFit="1" customWidth="1"/>
    <col min="16" max="16" width="11.5" bestFit="1" customWidth="1"/>
    <col min="17" max="17" width="14.1640625" bestFit="1" customWidth="1"/>
    <col min="18" max="18" width="6" bestFit="1" customWidth="1"/>
    <col min="19" max="19" width="5.33203125" bestFit="1" customWidth="1"/>
    <col min="20" max="20" width="7.1640625" bestFit="1" customWidth="1"/>
    <col min="21" max="21" width="11" bestFit="1" customWidth="1"/>
    <col min="22" max="22" width="10.33203125" bestFit="1" customWidth="1"/>
    <col min="23" max="23" width="10.5" bestFit="1" customWidth="1"/>
    <col min="24" max="24" width="12.5" bestFit="1" customWidth="1"/>
    <col min="25" max="25" width="7.33203125" bestFit="1" customWidth="1"/>
    <col min="26" max="26" width="4.5" bestFit="1" customWidth="1"/>
    <col min="27" max="27" width="12" bestFit="1" customWidth="1"/>
    <col min="28" max="28" width="12.5" bestFit="1" customWidth="1"/>
    <col min="29" max="29" width="10.83203125" bestFit="1" customWidth="1"/>
    <col min="30" max="30" width="6.6640625" bestFit="1" customWidth="1"/>
    <col min="31" max="31" width="7.33203125" bestFit="1" customWidth="1"/>
    <col min="32" max="32" width="23.83203125" bestFit="1" customWidth="1"/>
    <col min="33" max="33" width="7.33203125" bestFit="1" customWidth="1"/>
    <col min="34" max="34" width="11.1640625" bestFit="1" customWidth="1"/>
    <col min="35" max="35" width="22.1640625" bestFit="1" customWidth="1"/>
    <col min="36" max="36" width="5.6640625" bestFit="1" customWidth="1"/>
    <col min="37" max="38" width="4.83203125" bestFit="1" customWidth="1"/>
  </cols>
  <sheetData>
    <row r="1" spans="1:38">
      <c r="A1" s="1" t="s">
        <v>322</v>
      </c>
      <c r="B1" s="1" t="s">
        <v>367</v>
      </c>
      <c r="C1" s="1" t="s">
        <v>324</v>
      </c>
      <c r="D1" s="1" t="s">
        <v>325</v>
      </c>
      <c r="E1" s="1" t="s">
        <v>326</v>
      </c>
      <c r="F1" s="1" t="s">
        <v>368</v>
      </c>
      <c r="G1" s="1" t="s">
        <v>328</v>
      </c>
      <c r="H1" s="1" t="s">
        <v>329</v>
      </c>
      <c r="I1" s="1" t="s">
        <v>330</v>
      </c>
      <c r="J1" s="1" t="s">
        <v>369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370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371</v>
      </c>
      <c r="V1" s="1" t="s">
        <v>372</v>
      </c>
      <c r="W1" s="1" t="s">
        <v>373</v>
      </c>
      <c r="X1" s="1" t="s">
        <v>345</v>
      </c>
      <c r="Y1" s="1" t="s">
        <v>346</v>
      </c>
      <c r="Z1" s="1" t="s">
        <v>347</v>
      </c>
      <c r="AA1" s="1" t="s">
        <v>374</v>
      </c>
      <c r="AB1" s="1" t="s">
        <v>375</v>
      </c>
      <c r="AC1" s="1" t="s">
        <v>376</v>
      </c>
      <c r="AD1" s="1" t="s">
        <v>377</v>
      </c>
      <c r="AE1" s="1" t="s">
        <v>378</v>
      </c>
      <c r="AF1" s="1" t="s">
        <v>379</v>
      </c>
      <c r="AG1" s="1" t="s">
        <v>380</v>
      </c>
      <c r="AH1" s="1" t="s">
        <v>381</v>
      </c>
      <c r="AI1" s="1" t="s">
        <v>320</v>
      </c>
      <c r="AJ1" s="1" t="s">
        <v>16</v>
      </c>
      <c r="AK1" s="1" t="s">
        <v>1</v>
      </c>
      <c r="AL1" s="1" t="s">
        <v>2</v>
      </c>
    </row>
    <row r="2" spans="1:38">
      <c r="A2" t="s">
        <v>382</v>
      </c>
      <c r="B2" t="s">
        <v>382</v>
      </c>
      <c r="C2" t="s">
        <v>382</v>
      </c>
      <c r="D2" t="s">
        <v>382</v>
      </c>
      <c r="E2" t="s">
        <v>382</v>
      </c>
      <c r="F2" t="s">
        <v>382</v>
      </c>
      <c r="G2" t="s">
        <v>382</v>
      </c>
      <c r="H2" t="s">
        <v>382</v>
      </c>
      <c r="I2" t="s">
        <v>382</v>
      </c>
      <c r="J2" t="s">
        <v>382</v>
      </c>
      <c r="K2" t="s">
        <v>382</v>
      </c>
      <c r="L2" t="s">
        <v>382</v>
      </c>
      <c r="M2" t="s">
        <v>382</v>
      </c>
      <c r="N2" t="s">
        <v>382</v>
      </c>
      <c r="O2" t="s">
        <v>382</v>
      </c>
      <c r="P2" t="s">
        <v>382</v>
      </c>
      <c r="Q2" t="s">
        <v>382</v>
      </c>
      <c r="R2" t="s">
        <v>382</v>
      </c>
      <c r="S2" t="s">
        <v>382</v>
      </c>
      <c r="T2" t="s">
        <v>382</v>
      </c>
      <c r="U2" t="s">
        <v>382</v>
      </c>
      <c r="V2" t="s">
        <v>382</v>
      </c>
      <c r="W2" t="s">
        <v>382</v>
      </c>
      <c r="X2" t="s">
        <v>382</v>
      </c>
      <c r="Y2" t="s">
        <v>382</v>
      </c>
      <c r="Z2" t="s">
        <v>382</v>
      </c>
      <c r="AA2" t="s">
        <v>382</v>
      </c>
      <c r="AB2" t="s">
        <v>382</v>
      </c>
      <c r="AC2">
        <v>5</v>
      </c>
      <c r="AD2">
        <v>1</v>
      </c>
      <c r="AF2" t="s">
        <v>392</v>
      </c>
      <c r="AH2" t="s">
        <v>41</v>
      </c>
      <c r="AI2" t="s">
        <v>102</v>
      </c>
      <c r="AK2">
        <v>3041</v>
      </c>
      <c r="AL2">
        <v>2060</v>
      </c>
    </row>
    <row r="3" spans="1:38">
      <c r="A3" t="s">
        <v>382</v>
      </c>
      <c r="B3" t="s">
        <v>382</v>
      </c>
      <c r="C3" t="s">
        <v>382</v>
      </c>
      <c r="D3" t="s">
        <v>382</v>
      </c>
      <c r="E3" t="s">
        <v>382</v>
      </c>
      <c r="F3" t="s">
        <v>382</v>
      </c>
      <c r="G3" t="s">
        <v>382</v>
      </c>
      <c r="H3" t="s">
        <v>382</v>
      </c>
      <c r="I3" t="s">
        <v>382</v>
      </c>
      <c r="J3" t="s">
        <v>382</v>
      </c>
      <c r="K3" t="s">
        <v>382</v>
      </c>
      <c r="L3" t="s">
        <v>382</v>
      </c>
      <c r="M3" t="s">
        <v>382</v>
      </c>
      <c r="N3" t="s">
        <v>382</v>
      </c>
      <c r="O3" t="s">
        <v>382</v>
      </c>
      <c r="P3" t="s">
        <v>382</v>
      </c>
      <c r="Q3" t="s">
        <v>382</v>
      </c>
      <c r="R3" t="s">
        <v>382</v>
      </c>
      <c r="S3" t="s">
        <v>382</v>
      </c>
      <c r="T3" t="s">
        <v>382</v>
      </c>
      <c r="U3" t="s">
        <v>382</v>
      </c>
      <c r="V3" t="s">
        <v>382</v>
      </c>
      <c r="W3" t="s">
        <v>382</v>
      </c>
      <c r="X3" t="s">
        <v>382</v>
      </c>
      <c r="Y3" t="s">
        <v>382</v>
      </c>
      <c r="Z3" t="s">
        <v>382</v>
      </c>
      <c r="AA3" t="s">
        <v>382</v>
      </c>
      <c r="AB3" t="s">
        <v>382</v>
      </c>
      <c r="AC3">
        <v>5</v>
      </c>
      <c r="AD3">
        <v>2</v>
      </c>
      <c r="AE3">
        <v>1</v>
      </c>
      <c r="AF3" t="s">
        <v>400</v>
      </c>
      <c r="AH3" t="s">
        <v>89</v>
      </c>
      <c r="AI3" t="s">
        <v>97</v>
      </c>
      <c r="AK3">
        <v>957</v>
      </c>
      <c r="AL3">
        <v>2262</v>
      </c>
    </row>
    <row r="4" spans="1:38">
      <c r="A4" t="s">
        <v>382</v>
      </c>
      <c r="B4" t="s">
        <v>382</v>
      </c>
      <c r="C4" t="s">
        <v>382</v>
      </c>
      <c r="D4" t="s">
        <v>382</v>
      </c>
      <c r="E4" t="s">
        <v>382</v>
      </c>
      <c r="F4" t="s">
        <v>382</v>
      </c>
      <c r="G4" t="s">
        <v>382</v>
      </c>
      <c r="H4" t="s">
        <v>382</v>
      </c>
      <c r="I4" t="s">
        <v>382</v>
      </c>
      <c r="J4" t="s">
        <v>382</v>
      </c>
      <c r="K4" t="s">
        <v>382</v>
      </c>
      <c r="L4" t="s">
        <v>382</v>
      </c>
      <c r="M4" t="s">
        <v>382</v>
      </c>
      <c r="N4" t="s">
        <v>382</v>
      </c>
      <c r="O4" t="s">
        <v>382</v>
      </c>
      <c r="P4" t="s">
        <v>382</v>
      </c>
      <c r="Q4" t="s">
        <v>382</v>
      </c>
      <c r="R4" t="s">
        <v>382</v>
      </c>
      <c r="S4" t="s">
        <v>382</v>
      </c>
      <c r="T4" t="s">
        <v>382</v>
      </c>
      <c r="U4" t="s">
        <v>382</v>
      </c>
      <c r="V4" t="s">
        <v>382</v>
      </c>
      <c r="W4" t="s">
        <v>382</v>
      </c>
      <c r="X4" t="s">
        <v>382</v>
      </c>
      <c r="Y4" t="s">
        <v>382</v>
      </c>
      <c r="Z4" t="s">
        <v>382</v>
      </c>
      <c r="AA4" t="s">
        <v>382</v>
      </c>
      <c r="AB4" t="s">
        <v>382</v>
      </c>
      <c r="AC4">
        <v>5</v>
      </c>
      <c r="AD4">
        <v>3</v>
      </c>
      <c r="AF4" t="s">
        <v>386</v>
      </c>
      <c r="AH4" t="s">
        <v>29</v>
      </c>
      <c r="AI4" t="s">
        <v>103</v>
      </c>
      <c r="AK4">
        <v>1994</v>
      </c>
      <c r="AL4">
        <v>1684</v>
      </c>
    </row>
    <row r="5" spans="1:38">
      <c r="A5" t="s">
        <v>382</v>
      </c>
      <c r="B5" t="s">
        <v>382</v>
      </c>
      <c r="C5" t="s">
        <v>382</v>
      </c>
      <c r="D5" t="s">
        <v>382</v>
      </c>
      <c r="E5" t="s">
        <v>382</v>
      </c>
      <c r="F5" t="s">
        <v>382</v>
      </c>
      <c r="G5" t="s">
        <v>382</v>
      </c>
      <c r="H5" t="s">
        <v>382</v>
      </c>
      <c r="I5" t="s">
        <v>382</v>
      </c>
      <c r="J5" t="s">
        <v>382</v>
      </c>
      <c r="K5" t="s">
        <v>382</v>
      </c>
      <c r="L5" t="s">
        <v>382</v>
      </c>
      <c r="M5" t="s">
        <v>382</v>
      </c>
      <c r="N5" t="s">
        <v>382</v>
      </c>
      <c r="O5" t="s">
        <v>382</v>
      </c>
      <c r="P5" t="s">
        <v>382</v>
      </c>
      <c r="Q5" t="s">
        <v>382</v>
      </c>
      <c r="R5" t="s">
        <v>382</v>
      </c>
      <c r="S5" t="s">
        <v>382</v>
      </c>
      <c r="T5" t="s">
        <v>382</v>
      </c>
      <c r="U5" t="s">
        <v>382</v>
      </c>
      <c r="V5" t="s">
        <v>382</v>
      </c>
      <c r="W5" t="s">
        <v>382</v>
      </c>
      <c r="X5" t="s">
        <v>382</v>
      </c>
      <c r="Y5" t="s">
        <v>382</v>
      </c>
      <c r="Z5" t="s">
        <v>382</v>
      </c>
      <c r="AA5" t="s">
        <v>382</v>
      </c>
      <c r="AB5" t="s">
        <v>382</v>
      </c>
      <c r="AC5">
        <v>5</v>
      </c>
      <c r="AD5">
        <v>4</v>
      </c>
      <c r="AF5" t="s">
        <v>385</v>
      </c>
      <c r="AH5" t="s">
        <v>27</v>
      </c>
      <c r="AI5" t="s">
        <v>109</v>
      </c>
      <c r="AK5">
        <v>2306</v>
      </c>
      <c r="AL5">
        <v>1689</v>
      </c>
    </row>
    <row r="6" spans="1:38">
      <c r="A6" t="s">
        <v>382</v>
      </c>
      <c r="B6" t="s">
        <v>382</v>
      </c>
      <c r="C6" t="s">
        <v>382</v>
      </c>
      <c r="D6" t="s">
        <v>382</v>
      </c>
      <c r="E6" t="s">
        <v>382</v>
      </c>
      <c r="F6" t="s">
        <v>382</v>
      </c>
      <c r="G6" t="s">
        <v>382</v>
      </c>
      <c r="H6" t="s">
        <v>382</v>
      </c>
      <c r="I6" t="s">
        <v>382</v>
      </c>
      <c r="J6" t="s">
        <v>382</v>
      </c>
      <c r="K6" t="s">
        <v>382</v>
      </c>
      <c r="L6" t="s">
        <v>382</v>
      </c>
      <c r="M6" t="s">
        <v>382</v>
      </c>
      <c r="N6" t="s">
        <v>382</v>
      </c>
      <c r="O6" t="s">
        <v>382</v>
      </c>
      <c r="P6" t="s">
        <v>382</v>
      </c>
      <c r="Q6" t="s">
        <v>382</v>
      </c>
      <c r="R6" t="s">
        <v>382</v>
      </c>
      <c r="S6" t="s">
        <v>382</v>
      </c>
      <c r="T6" t="s">
        <v>382</v>
      </c>
      <c r="U6" t="s">
        <v>382</v>
      </c>
      <c r="V6" t="s">
        <v>382</v>
      </c>
      <c r="W6" t="s">
        <v>382</v>
      </c>
      <c r="X6" t="s">
        <v>382</v>
      </c>
      <c r="Y6" t="s">
        <v>382</v>
      </c>
      <c r="Z6" t="s">
        <v>382</v>
      </c>
      <c r="AA6" t="s">
        <v>382</v>
      </c>
      <c r="AB6" t="s">
        <v>382</v>
      </c>
      <c r="AC6">
        <v>5</v>
      </c>
      <c r="AD6">
        <v>5</v>
      </c>
      <c r="AF6" t="s">
        <v>385</v>
      </c>
      <c r="AH6" t="s">
        <v>27</v>
      </c>
      <c r="AI6" t="s">
        <v>109</v>
      </c>
      <c r="AK6">
        <v>2237</v>
      </c>
      <c r="AL6">
        <v>1971</v>
      </c>
    </row>
    <row r="7" spans="1:38">
      <c r="A7" t="s">
        <v>382</v>
      </c>
      <c r="B7" t="s">
        <v>382</v>
      </c>
      <c r="C7" t="s">
        <v>382</v>
      </c>
      <c r="D7" t="s">
        <v>382</v>
      </c>
      <c r="E7" t="s">
        <v>382</v>
      </c>
      <c r="F7" t="s">
        <v>382</v>
      </c>
      <c r="G7" t="s">
        <v>382</v>
      </c>
      <c r="H7" t="s">
        <v>382</v>
      </c>
      <c r="I7" t="s">
        <v>382</v>
      </c>
      <c r="J7" t="s">
        <v>382</v>
      </c>
      <c r="K7" t="s">
        <v>382</v>
      </c>
      <c r="L7" t="s">
        <v>382</v>
      </c>
      <c r="M7" t="s">
        <v>382</v>
      </c>
      <c r="N7" t="s">
        <v>382</v>
      </c>
      <c r="O7" t="s">
        <v>382</v>
      </c>
      <c r="P7" t="s">
        <v>382</v>
      </c>
      <c r="Q7" t="s">
        <v>382</v>
      </c>
      <c r="R7" t="s">
        <v>382</v>
      </c>
      <c r="S7" t="s">
        <v>382</v>
      </c>
      <c r="T7" t="s">
        <v>382</v>
      </c>
      <c r="U7" t="s">
        <v>382</v>
      </c>
      <c r="V7" t="s">
        <v>382</v>
      </c>
      <c r="W7" t="s">
        <v>382</v>
      </c>
      <c r="X7" t="s">
        <v>382</v>
      </c>
      <c r="Y7" t="s">
        <v>382</v>
      </c>
      <c r="Z7" t="s">
        <v>382</v>
      </c>
      <c r="AA7" t="s">
        <v>382</v>
      </c>
      <c r="AB7" t="s">
        <v>382</v>
      </c>
      <c r="AC7">
        <v>5</v>
      </c>
      <c r="AD7">
        <v>1</v>
      </c>
      <c r="AE7">
        <v>1</v>
      </c>
      <c r="AF7" t="s">
        <v>383</v>
      </c>
      <c r="AH7" t="s">
        <v>22</v>
      </c>
      <c r="AI7" t="s">
        <v>97</v>
      </c>
      <c r="AK7">
        <v>2312</v>
      </c>
      <c r="AL7">
        <v>1371</v>
      </c>
    </row>
    <row r="8" spans="1:38">
      <c r="A8" t="s">
        <v>382</v>
      </c>
      <c r="B8" t="s">
        <v>382</v>
      </c>
      <c r="C8" t="s">
        <v>382</v>
      </c>
      <c r="D8" t="s">
        <v>382</v>
      </c>
      <c r="E8" t="s">
        <v>382</v>
      </c>
      <c r="F8" t="s">
        <v>382</v>
      </c>
      <c r="G8" t="s">
        <v>382</v>
      </c>
      <c r="H8" t="s">
        <v>382</v>
      </c>
      <c r="I8" t="s">
        <v>382</v>
      </c>
      <c r="J8" t="s">
        <v>382</v>
      </c>
      <c r="K8" t="s">
        <v>382</v>
      </c>
      <c r="L8" t="s">
        <v>382</v>
      </c>
      <c r="M8" t="s">
        <v>382</v>
      </c>
      <c r="N8" t="s">
        <v>382</v>
      </c>
      <c r="O8" t="s">
        <v>382</v>
      </c>
      <c r="P8" t="s">
        <v>382</v>
      </c>
      <c r="Q8" t="s">
        <v>382</v>
      </c>
      <c r="R8" t="s">
        <v>382</v>
      </c>
      <c r="S8" t="s">
        <v>382</v>
      </c>
      <c r="T8" t="s">
        <v>382</v>
      </c>
      <c r="U8" t="s">
        <v>382</v>
      </c>
      <c r="V8" t="s">
        <v>382</v>
      </c>
      <c r="W8" t="s">
        <v>382</v>
      </c>
      <c r="X8" t="s">
        <v>382</v>
      </c>
      <c r="Y8" t="s">
        <v>382</v>
      </c>
      <c r="Z8" t="s">
        <v>382</v>
      </c>
      <c r="AA8" t="s">
        <v>382</v>
      </c>
      <c r="AB8" t="s">
        <v>382</v>
      </c>
      <c r="AC8">
        <v>5</v>
      </c>
      <c r="AD8">
        <v>2</v>
      </c>
      <c r="AE8">
        <v>1</v>
      </c>
      <c r="AF8" t="s">
        <v>383</v>
      </c>
      <c r="AH8" t="s">
        <v>22</v>
      </c>
      <c r="AI8" t="s">
        <v>97</v>
      </c>
      <c r="AK8">
        <v>1668</v>
      </c>
      <c r="AL8">
        <v>1910</v>
      </c>
    </row>
    <row r="9" spans="1:38">
      <c r="A9" t="s">
        <v>382</v>
      </c>
      <c r="B9" t="s">
        <v>382</v>
      </c>
      <c r="C9" t="s">
        <v>382</v>
      </c>
      <c r="D9" t="s">
        <v>382</v>
      </c>
      <c r="E9" t="s">
        <v>382</v>
      </c>
      <c r="F9" t="s">
        <v>382</v>
      </c>
      <c r="G9" t="s">
        <v>382</v>
      </c>
      <c r="H9" t="s">
        <v>382</v>
      </c>
      <c r="I9" t="s">
        <v>382</v>
      </c>
      <c r="J9" t="s">
        <v>382</v>
      </c>
      <c r="K9" t="s">
        <v>382</v>
      </c>
      <c r="L9" t="s">
        <v>382</v>
      </c>
      <c r="M9" t="s">
        <v>382</v>
      </c>
      <c r="N9" t="s">
        <v>382</v>
      </c>
      <c r="O9" t="s">
        <v>382</v>
      </c>
      <c r="P9" t="s">
        <v>382</v>
      </c>
      <c r="Q9" t="s">
        <v>382</v>
      </c>
      <c r="R9" t="s">
        <v>382</v>
      </c>
      <c r="S9" t="s">
        <v>382</v>
      </c>
      <c r="T9" t="s">
        <v>382</v>
      </c>
      <c r="U9" t="s">
        <v>382</v>
      </c>
      <c r="V9" t="s">
        <v>382</v>
      </c>
      <c r="W9" t="s">
        <v>382</v>
      </c>
      <c r="X9" t="s">
        <v>382</v>
      </c>
      <c r="Y9" t="s">
        <v>382</v>
      </c>
      <c r="Z9" t="s">
        <v>382</v>
      </c>
      <c r="AA9" t="s">
        <v>382</v>
      </c>
      <c r="AB9" t="s">
        <v>382</v>
      </c>
      <c r="AC9">
        <v>5</v>
      </c>
      <c r="AD9">
        <v>3</v>
      </c>
      <c r="AE9">
        <v>1</v>
      </c>
      <c r="AF9" t="s">
        <v>393</v>
      </c>
      <c r="AH9" t="s">
        <v>51</v>
      </c>
      <c r="AI9" t="s">
        <v>97</v>
      </c>
      <c r="AK9">
        <v>693</v>
      </c>
      <c r="AL9">
        <v>1428</v>
      </c>
    </row>
    <row r="10" spans="1:38">
      <c r="A10" t="s">
        <v>382</v>
      </c>
      <c r="B10" t="s">
        <v>382</v>
      </c>
      <c r="C10" t="s">
        <v>382</v>
      </c>
      <c r="D10" t="s">
        <v>382</v>
      </c>
      <c r="E10" t="s">
        <v>382</v>
      </c>
      <c r="F10" t="s">
        <v>382</v>
      </c>
      <c r="G10" t="s">
        <v>382</v>
      </c>
      <c r="H10" t="s">
        <v>382</v>
      </c>
      <c r="I10" t="s">
        <v>382</v>
      </c>
      <c r="J10" t="s">
        <v>382</v>
      </c>
      <c r="K10" t="s">
        <v>382</v>
      </c>
      <c r="L10" t="s">
        <v>382</v>
      </c>
      <c r="M10" t="s">
        <v>382</v>
      </c>
      <c r="N10" t="s">
        <v>382</v>
      </c>
      <c r="O10" t="s">
        <v>382</v>
      </c>
      <c r="P10" t="s">
        <v>382</v>
      </c>
      <c r="Q10" t="s">
        <v>382</v>
      </c>
      <c r="R10" t="s">
        <v>382</v>
      </c>
      <c r="S10" t="s">
        <v>382</v>
      </c>
      <c r="T10" t="s">
        <v>382</v>
      </c>
      <c r="U10" t="s">
        <v>382</v>
      </c>
      <c r="V10" t="s">
        <v>382</v>
      </c>
      <c r="W10" t="s">
        <v>382</v>
      </c>
      <c r="X10" t="s">
        <v>382</v>
      </c>
      <c r="Y10" t="s">
        <v>382</v>
      </c>
      <c r="Z10" t="s">
        <v>382</v>
      </c>
      <c r="AA10" t="s">
        <v>382</v>
      </c>
      <c r="AB10" t="s">
        <v>382</v>
      </c>
      <c r="AC10">
        <v>5</v>
      </c>
      <c r="AD10">
        <v>4</v>
      </c>
      <c r="AE10">
        <v>1</v>
      </c>
      <c r="AF10" t="s">
        <v>383</v>
      </c>
      <c r="AH10" t="s">
        <v>22</v>
      </c>
      <c r="AI10" t="s">
        <v>97</v>
      </c>
      <c r="AK10">
        <v>1969</v>
      </c>
      <c r="AL10">
        <v>878</v>
      </c>
    </row>
    <row r="11" spans="1:38">
      <c r="A11" t="s">
        <v>382</v>
      </c>
      <c r="B11" t="s">
        <v>382</v>
      </c>
      <c r="C11" t="s">
        <v>382</v>
      </c>
      <c r="D11" t="s">
        <v>382</v>
      </c>
      <c r="E11" t="s">
        <v>382</v>
      </c>
      <c r="F11" t="s">
        <v>382</v>
      </c>
      <c r="G11" t="s">
        <v>382</v>
      </c>
      <c r="H11" t="s">
        <v>382</v>
      </c>
      <c r="I11" t="s">
        <v>382</v>
      </c>
      <c r="J11" t="s">
        <v>382</v>
      </c>
      <c r="K11" t="s">
        <v>382</v>
      </c>
      <c r="L11" t="s">
        <v>382</v>
      </c>
      <c r="M11" t="s">
        <v>382</v>
      </c>
      <c r="N11" t="s">
        <v>382</v>
      </c>
      <c r="O11" t="s">
        <v>382</v>
      </c>
      <c r="P11" t="s">
        <v>382</v>
      </c>
      <c r="Q11" t="s">
        <v>382</v>
      </c>
      <c r="R11" t="s">
        <v>382</v>
      </c>
      <c r="S11" t="s">
        <v>382</v>
      </c>
      <c r="T11" t="s">
        <v>382</v>
      </c>
      <c r="U11" t="s">
        <v>382</v>
      </c>
      <c r="V11" t="s">
        <v>382</v>
      </c>
      <c r="W11" t="s">
        <v>382</v>
      </c>
      <c r="X11" t="s">
        <v>382</v>
      </c>
      <c r="Y11" t="s">
        <v>382</v>
      </c>
      <c r="Z11" t="s">
        <v>382</v>
      </c>
      <c r="AA11" t="s">
        <v>382</v>
      </c>
      <c r="AB11" t="s">
        <v>382</v>
      </c>
      <c r="AC11">
        <v>5</v>
      </c>
      <c r="AD11">
        <v>5</v>
      </c>
      <c r="AF11" t="s">
        <v>392</v>
      </c>
      <c r="AH11" t="s">
        <v>41</v>
      </c>
      <c r="AI11" t="s">
        <v>102</v>
      </c>
      <c r="AK11">
        <v>991</v>
      </c>
      <c r="AL11">
        <v>1815</v>
      </c>
    </row>
    <row r="12" spans="1:38">
      <c r="A12" t="s">
        <v>382</v>
      </c>
      <c r="B12" t="s">
        <v>382</v>
      </c>
      <c r="C12" t="s">
        <v>382</v>
      </c>
      <c r="D12" t="s">
        <v>382</v>
      </c>
      <c r="E12" t="s">
        <v>382</v>
      </c>
      <c r="F12" t="s">
        <v>382</v>
      </c>
      <c r="G12" t="s">
        <v>382</v>
      </c>
      <c r="H12" t="s">
        <v>382</v>
      </c>
      <c r="I12" t="s">
        <v>382</v>
      </c>
      <c r="J12" t="s">
        <v>382</v>
      </c>
      <c r="K12" t="s">
        <v>382</v>
      </c>
      <c r="L12" t="s">
        <v>382</v>
      </c>
      <c r="M12" t="s">
        <v>382</v>
      </c>
      <c r="N12" t="s">
        <v>382</v>
      </c>
      <c r="O12" t="s">
        <v>382</v>
      </c>
      <c r="P12" t="s">
        <v>382</v>
      </c>
      <c r="Q12" t="s">
        <v>382</v>
      </c>
      <c r="R12" t="s">
        <v>382</v>
      </c>
      <c r="S12" t="s">
        <v>382</v>
      </c>
      <c r="T12" t="s">
        <v>382</v>
      </c>
      <c r="U12" t="s">
        <v>382</v>
      </c>
      <c r="V12" t="s">
        <v>382</v>
      </c>
      <c r="W12" t="s">
        <v>382</v>
      </c>
      <c r="X12" t="s">
        <v>382</v>
      </c>
      <c r="Y12" t="s">
        <v>382</v>
      </c>
      <c r="Z12" t="s">
        <v>382</v>
      </c>
      <c r="AA12" t="s">
        <v>382</v>
      </c>
      <c r="AB12" t="s">
        <v>382</v>
      </c>
      <c r="AC12">
        <v>5</v>
      </c>
      <c r="AD12">
        <v>1</v>
      </c>
      <c r="AE12">
        <v>1</v>
      </c>
      <c r="AF12" t="s">
        <v>383</v>
      </c>
      <c r="AH12" t="s">
        <v>22</v>
      </c>
      <c r="AI12" t="s">
        <v>97</v>
      </c>
      <c r="AK12">
        <v>887</v>
      </c>
      <c r="AL12">
        <v>2573</v>
      </c>
    </row>
    <row r="13" spans="1:38">
      <c r="A13" t="s">
        <v>382</v>
      </c>
      <c r="B13" t="s">
        <v>382</v>
      </c>
      <c r="C13" t="s">
        <v>382</v>
      </c>
      <c r="D13" t="s">
        <v>382</v>
      </c>
      <c r="E13" t="s">
        <v>382</v>
      </c>
      <c r="F13" t="s">
        <v>382</v>
      </c>
      <c r="G13" t="s">
        <v>382</v>
      </c>
      <c r="H13" t="s">
        <v>382</v>
      </c>
      <c r="I13" t="s">
        <v>382</v>
      </c>
      <c r="J13" t="s">
        <v>382</v>
      </c>
      <c r="K13" t="s">
        <v>382</v>
      </c>
      <c r="L13" t="s">
        <v>382</v>
      </c>
      <c r="M13" t="s">
        <v>382</v>
      </c>
      <c r="N13" t="s">
        <v>382</v>
      </c>
      <c r="O13" t="s">
        <v>382</v>
      </c>
      <c r="P13" t="s">
        <v>382</v>
      </c>
      <c r="Q13" t="s">
        <v>382</v>
      </c>
      <c r="R13" t="s">
        <v>382</v>
      </c>
      <c r="S13" t="s">
        <v>382</v>
      </c>
      <c r="T13" t="s">
        <v>382</v>
      </c>
      <c r="U13" t="s">
        <v>382</v>
      </c>
      <c r="V13" t="s">
        <v>382</v>
      </c>
      <c r="W13" t="s">
        <v>382</v>
      </c>
      <c r="X13" t="s">
        <v>382</v>
      </c>
      <c r="Y13" t="s">
        <v>382</v>
      </c>
      <c r="Z13" t="s">
        <v>382</v>
      </c>
      <c r="AA13" t="s">
        <v>382</v>
      </c>
      <c r="AB13" t="s">
        <v>382</v>
      </c>
      <c r="AC13">
        <v>5</v>
      </c>
      <c r="AD13">
        <v>2</v>
      </c>
      <c r="AE13">
        <v>1</v>
      </c>
      <c r="AF13" t="s">
        <v>383</v>
      </c>
      <c r="AH13" t="s">
        <v>22</v>
      </c>
      <c r="AI13" t="s">
        <v>97</v>
      </c>
      <c r="AK13">
        <v>990</v>
      </c>
      <c r="AL13">
        <v>1991</v>
      </c>
    </row>
    <row r="14" spans="1:38">
      <c r="A14" t="s">
        <v>382</v>
      </c>
      <c r="B14" t="s">
        <v>382</v>
      </c>
      <c r="C14" t="s">
        <v>382</v>
      </c>
      <c r="D14" t="s">
        <v>382</v>
      </c>
      <c r="E14" t="s">
        <v>382</v>
      </c>
      <c r="F14" t="s">
        <v>382</v>
      </c>
      <c r="G14" t="s">
        <v>382</v>
      </c>
      <c r="H14" t="s">
        <v>382</v>
      </c>
      <c r="I14" t="s">
        <v>382</v>
      </c>
      <c r="J14" t="s">
        <v>382</v>
      </c>
      <c r="K14" t="s">
        <v>382</v>
      </c>
      <c r="L14" t="s">
        <v>382</v>
      </c>
      <c r="M14" t="s">
        <v>382</v>
      </c>
      <c r="N14" t="s">
        <v>382</v>
      </c>
      <c r="O14" t="s">
        <v>382</v>
      </c>
      <c r="P14" t="s">
        <v>382</v>
      </c>
      <c r="Q14" t="s">
        <v>382</v>
      </c>
      <c r="R14" t="s">
        <v>382</v>
      </c>
      <c r="S14" t="s">
        <v>382</v>
      </c>
      <c r="T14" t="s">
        <v>382</v>
      </c>
      <c r="U14" t="s">
        <v>382</v>
      </c>
      <c r="V14" t="s">
        <v>382</v>
      </c>
      <c r="W14" t="s">
        <v>382</v>
      </c>
      <c r="X14" t="s">
        <v>382</v>
      </c>
      <c r="Y14" t="s">
        <v>382</v>
      </c>
      <c r="Z14" t="s">
        <v>382</v>
      </c>
      <c r="AA14" t="s">
        <v>382</v>
      </c>
      <c r="AB14" t="s">
        <v>382</v>
      </c>
      <c r="AC14">
        <v>5</v>
      </c>
      <c r="AD14">
        <v>3</v>
      </c>
      <c r="AF14" t="s">
        <v>386</v>
      </c>
      <c r="AH14" t="s">
        <v>29</v>
      </c>
      <c r="AI14" t="s">
        <v>103</v>
      </c>
      <c r="AK14">
        <v>2333</v>
      </c>
      <c r="AL14">
        <v>284</v>
      </c>
    </row>
    <row r="15" spans="1:38">
      <c r="A15" t="s">
        <v>382</v>
      </c>
      <c r="B15" t="s">
        <v>382</v>
      </c>
      <c r="C15" t="s">
        <v>382</v>
      </c>
      <c r="D15" t="s">
        <v>382</v>
      </c>
      <c r="E15" t="s">
        <v>382</v>
      </c>
      <c r="F15" t="s">
        <v>382</v>
      </c>
      <c r="G15" t="s">
        <v>382</v>
      </c>
      <c r="H15" t="s">
        <v>382</v>
      </c>
      <c r="I15" t="s">
        <v>382</v>
      </c>
      <c r="J15" t="s">
        <v>382</v>
      </c>
      <c r="K15" t="s">
        <v>382</v>
      </c>
      <c r="L15" t="s">
        <v>382</v>
      </c>
      <c r="M15" t="s">
        <v>382</v>
      </c>
      <c r="N15" t="s">
        <v>382</v>
      </c>
      <c r="O15" t="s">
        <v>382</v>
      </c>
      <c r="P15" t="s">
        <v>382</v>
      </c>
      <c r="Q15" t="s">
        <v>382</v>
      </c>
      <c r="R15" t="s">
        <v>382</v>
      </c>
      <c r="S15" t="s">
        <v>382</v>
      </c>
      <c r="T15" t="s">
        <v>382</v>
      </c>
      <c r="U15" t="s">
        <v>382</v>
      </c>
      <c r="V15" t="s">
        <v>382</v>
      </c>
      <c r="W15" t="s">
        <v>382</v>
      </c>
      <c r="X15" t="s">
        <v>382</v>
      </c>
      <c r="Y15" t="s">
        <v>382</v>
      </c>
      <c r="Z15" t="s">
        <v>382</v>
      </c>
      <c r="AA15" t="s">
        <v>382</v>
      </c>
      <c r="AB15" t="s">
        <v>382</v>
      </c>
      <c r="AC15">
        <v>5</v>
      </c>
      <c r="AD15">
        <v>4</v>
      </c>
      <c r="AE15">
        <v>1</v>
      </c>
      <c r="AF15" t="s">
        <v>383</v>
      </c>
      <c r="AH15" t="s">
        <v>22</v>
      </c>
      <c r="AI15" t="s">
        <v>97</v>
      </c>
      <c r="AK15">
        <v>1433</v>
      </c>
      <c r="AL15">
        <v>1423</v>
      </c>
    </row>
    <row r="16" spans="1:38">
      <c r="A16" t="s">
        <v>382</v>
      </c>
      <c r="B16" t="s">
        <v>382</v>
      </c>
      <c r="C16" t="s">
        <v>382</v>
      </c>
      <c r="D16" t="s">
        <v>382</v>
      </c>
      <c r="E16" t="s">
        <v>382</v>
      </c>
      <c r="F16" t="s">
        <v>382</v>
      </c>
      <c r="G16" t="s">
        <v>382</v>
      </c>
      <c r="H16" t="s">
        <v>382</v>
      </c>
      <c r="I16" t="s">
        <v>382</v>
      </c>
      <c r="J16" t="s">
        <v>382</v>
      </c>
      <c r="K16" t="s">
        <v>382</v>
      </c>
      <c r="L16" t="s">
        <v>382</v>
      </c>
      <c r="M16" t="s">
        <v>382</v>
      </c>
      <c r="N16" t="s">
        <v>382</v>
      </c>
      <c r="O16" t="s">
        <v>382</v>
      </c>
      <c r="P16" t="s">
        <v>382</v>
      </c>
      <c r="Q16" t="s">
        <v>382</v>
      </c>
      <c r="R16" t="s">
        <v>382</v>
      </c>
      <c r="S16" t="s">
        <v>382</v>
      </c>
      <c r="T16" t="s">
        <v>382</v>
      </c>
      <c r="U16" t="s">
        <v>382</v>
      </c>
      <c r="V16" t="s">
        <v>382</v>
      </c>
      <c r="W16" t="s">
        <v>382</v>
      </c>
      <c r="X16" t="s">
        <v>382</v>
      </c>
      <c r="Y16" t="s">
        <v>382</v>
      </c>
      <c r="Z16" t="s">
        <v>382</v>
      </c>
      <c r="AA16" t="s">
        <v>382</v>
      </c>
      <c r="AB16" t="s">
        <v>382</v>
      </c>
      <c r="AC16">
        <v>5</v>
      </c>
      <c r="AD16">
        <v>5</v>
      </c>
      <c r="AE16">
        <v>1</v>
      </c>
      <c r="AF16" t="s">
        <v>383</v>
      </c>
      <c r="AH16" t="s">
        <v>22</v>
      </c>
      <c r="AI16" t="s">
        <v>97</v>
      </c>
      <c r="AK16">
        <v>806</v>
      </c>
      <c r="AL16">
        <v>1844</v>
      </c>
    </row>
    <row r="17" spans="1:38">
      <c r="A17" t="s">
        <v>382</v>
      </c>
      <c r="B17" t="s">
        <v>382</v>
      </c>
      <c r="C17" t="s">
        <v>382</v>
      </c>
      <c r="D17" t="s">
        <v>382</v>
      </c>
      <c r="E17" t="s">
        <v>382</v>
      </c>
      <c r="F17" t="s">
        <v>382</v>
      </c>
      <c r="G17" t="s">
        <v>382</v>
      </c>
      <c r="H17" t="s">
        <v>382</v>
      </c>
      <c r="I17" t="s">
        <v>382</v>
      </c>
      <c r="J17" t="s">
        <v>382</v>
      </c>
      <c r="K17" t="s">
        <v>382</v>
      </c>
      <c r="L17" t="s">
        <v>382</v>
      </c>
      <c r="M17" t="s">
        <v>382</v>
      </c>
      <c r="N17" t="s">
        <v>382</v>
      </c>
      <c r="O17" t="s">
        <v>382</v>
      </c>
      <c r="P17" t="s">
        <v>382</v>
      </c>
      <c r="Q17" t="s">
        <v>382</v>
      </c>
      <c r="R17" t="s">
        <v>382</v>
      </c>
      <c r="S17" t="s">
        <v>382</v>
      </c>
      <c r="T17" t="s">
        <v>382</v>
      </c>
      <c r="U17" t="s">
        <v>382</v>
      </c>
      <c r="V17" t="s">
        <v>382</v>
      </c>
      <c r="W17" t="s">
        <v>382</v>
      </c>
      <c r="X17" t="s">
        <v>382</v>
      </c>
      <c r="Y17" t="s">
        <v>382</v>
      </c>
      <c r="Z17" t="s">
        <v>382</v>
      </c>
      <c r="AA17" t="s">
        <v>382</v>
      </c>
      <c r="AB17" t="s">
        <v>382</v>
      </c>
      <c r="AC17">
        <v>5</v>
      </c>
      <c r="AD17">
        <v>1</v>
      </c>
      <c r="AE17">
        <v>1</v>
      </c>
      <c r="AF17" t="s">
        <v>388</v>
      </c>
      <c r="AH17" t="s">
        <v>33</v>
      </c>
      <c r="AI17" t="s">
        <v>97</v>
      </c>
      <c r="AK17">
        <v>2354</v>
      </c>
      <c r="AL17">
        <v>830</v>
      </c>
    </row>
    <row r="18" spans="1:38">
      <c r="A18" t="s">
        <v>382</v>
      </c>
      <c r="B18" t="s">
        <v>382</v>
      </c>
      <c r="C18" t="s">
        <v>382</v>
      </c>
      <c r="D18" t="s">
        <v>382</v>
      </c>
      <c r="E18" t="s">
        <v>382</v>
      </c>
      <c r="F18" t="s">
        <v>382</v>
      </c>
      <c r="G18" t="s">
        <v>382</v>
      </c>
      <c r="H18" t="s">
        <v>382</v>
      </c>
      <c r="I18" t="s">
        <v>382</v>
      </c>
      <c r="J18" t="s">
        <v>382</v>
      </c>
      <c r="K18" t="s">
        <v>382</v>
      </c>
      <c r="L18" t="s">
        <v>382</v>
      </c>
      <c r="M18" t="s">
        <v>382</v>
      </c>
      <c r="N18" t="s">
        <v>382</v>
      </c>
      <c r="O18" t="s">
        <v>382</v>
      </c>
      <c r="P18" t="s">
        <v>382</v>
      </c>
      <c r="Q18" t="s">
        <v>382</v>
      </c>
      <c r="R18" t="s">
        <v>382</v>
      </c>
      <c r="S18" t="s">
        <v>382</v>
      </c>
      <c r="T18" t="s">
        <v>382</v>
      </c>
      <c r="U18" t="s">
        <v>382</v>
      </c>
      <c r="V18" t="s">
        <v>382</v>
      </c>
      <c r="W18" t="s">
        <v>382</v>
      </c>
      <c r="X18" t="s">
        <v>382</v>
      </c>
      <c r="Y18" t="s">
        <v>382</v>
      </c>
      <c r="Z18" t="s">
        <v>382</v>
      </c>
      <c r="AA18" t="s">
        <v>382</v>
      </c>
      <c r="AB18" t="s">
        <v>382</v>
      </c>
      <c r="AC18">
        <v>5</v>
      </c>
      <c r="AD18">
        <v>2</v>
      </c>
      <c r="AE18">
        <v>1</v>
      </c>
      <c r="AF18" t="s">
        <v>383</v>
      </c>
      <c r="AH18" t="s">
        <v>22</v>
      </c>
      <c r="AI18" t="s">
        <v>97</v>
      </c>
      <c r="AK18">
        <v>2074</v>
      </c>
      <c r="AL18">
        <v>326</v>
      </c>
    </row>
    <row r="19" spans="1:38">
      <c r="A19" t="s">
        <v>382</v>
      </c>
      <c r="B19" t="s">
        <v>382</v>
      </c>
      <c r="C19" t="s">
        <v>382</v>
      </c>
      <c r="D19" t="s">
        <v>382</v>
      </c>
      <c r="E19" t="s">
        <v>382</v>
      </c>
      <c r="F19" t="s">
        <v>382</v>
      </c>
      <c r="G19" t="s">
        <v>382</v>
      </c>
      <c r="H19" t="s">
        <v>382</v>
      </c>
      <c r="I19" t="s">
        <v>382</v>
      </c>
      <c r="J19" t="s">
        <v>382</v>
      </c>
      <c r="K19" t="s">
        <v>382</v>
      </c>
      <c r="L19" t="s">
        <v>382</v>
      </c>
      <c r="M19" t="s">
        <v>382</v>
      </c>
      <c r="N19" t="s">
        <v>382</v>
      </c>
      <c r="O19" t="s">
        <v>382</v>
      </c>
      <c r="P19" t="s">
        <v>382</v>
      </c>
      <c r="Q19" t="s">
        <v>382</v>
      </c>
      <c r="R19" t="s">
        <v>382</v>
      </c>
      <c r="S19" t="s">
        <v>382</v>
      </c>
      <c r="T19" t="s">
        <v>382</v>
      </c>
      <c r="U19" t="s">
        <v>382</v>
      </c>
      <c r="V19" t="s">
        <v>382</v>
      </c>
      <c r="W19" t="s">
        <v>382</v>
      </c>
      <c r="X19" t="s">
        <v>382</v>
      </c>
      <c r="Y19" t="s">
        <v>382</v>
      </c>
      <c r="Z19" t="s">
        <v>382</v>
      </c>
      <c r="AA19" t="s">
        <v>382</v>
      </c>
      <c r="AB19" t="s">
        <v>382</v>
      </c>
      <c r="AC19">
        <v>5</v>
      </c>
      <c r="AD19">
        <v>3</v>
      </c>
      <c r="AF19" t="s">
        <v>385</v>
      </c>
      <c r="AH19" t="s">
        <v>27</v>
      </c>
      <c r="AI19" t="s">
        <v>109</v>
      </c>
      <c r="AK19">
        <v>601</v>
      </c>
      <c r="AL19">
        <v>2227</v>
      </c>
    </row>
    <row r="20" spans="1:38">
      <c r="A20" t="s">
        <v>382</v>
      </c>
      <c r="B20" t="s">
        <v>382</v>
      </c>
      <c r="C20" t="s">
        <v>382</v>
      </c>
      <c r="D20" t="s">
        <v>382</v>
      </c>
      <c r="E20" t="s">
        <v>382</v>
      </c>
      <c r="F20" t="s">
        <v>382</v>
      </c>
      <c r="G20" t="s">
        <v>382</v>
      </c>
      <c r="H20" t="s">
        <v>382</v>
      </c>
      <c r="I20" t="s">
        <v>382</v>
      </c>
      <c r="J20" t="s">
        <v>382</v>
      </c>
      <c r="K20" t="s">
        <v>382</v>
      </c>
      <c r="L20" t="s">
        <v>382</v>
      </c>
      <c r="M20" t="s">
        <v>382</v>
      </c>
      <c r="N20" t="s">
        <v>382</v>
      </c>
      <c r="O20" t="s">
        <v>382</v>
      </c>
      <c r="P20" t="s">
        <v>382</v>
      </c>
      <c r="Q20" t="s">
        <v>382</v>
      </c>
      <c r="R20" t="s">
        <v>382</v>
      </c>
      <c r="S20" t="s">
        <v>382</v>
      </c>
      <c r="T20" t="s">
        <v>382</v>
      </c>
      <c r="U20" t="s">
        <v>382</v>
      </c>
      <c r="V20" t="s">
        <v>382</v>
      </c>
      <c r="W20" t="s">
        <v>382</v>
      </c>
      <c r="X20" t="s">
        <v>382</v>
      </c>
      <c r="Y20" t="s">
        <v>382</v>
      </c>
      <c r="Z20" t="s">
        <v>382</v>
      </c>
      <c r="AA20" t="s">
        <v>382</v>
      </c>
      <c r="AB20" t="s">
        <v>382</v>
      </c>
      <c r="AC20">
        <v>5</v>
      </c>
      <c r="AD20">
        <v>4</v>
      </c>
      <c r="AE20">
        <v>1</v>
      </c>
      <c r="AF20" t="s">
        <v>383</v>
      </c>
      <c r="AH20" t="s">
        <v>22</v>
      </c>
      <c r="AI20" t="s">
        <v>97</v>
      </c>
      <c r="AK20">
        <v>1644</v>
      </c>
      <c r="AL20">
        <v>436</v>
      </c>
    </row>
    <row r="21" spans="1:38">
      <c r="A21" t="s">
        <v>382</v>
      </c>
      <c r="B21" t="s">
        <v>382</v>
      </c>
      <c r="C21" t="s">
        <v>382</v>
      </c>
      <c r="D21" t="s">
        <v>382</v>
      </c>
      <c r="E21" t="s">
        <v>382</v>
      </c>
      <c r="F21" t="s">
        <v>382</v>
      </c>
      <c r="G21" t="s">
        <v>382</v>
      </c>
      <c r="H21" t="s">
        <v>382</v>
      </c>
      <c r="I21" t="s">
        <v>382</v>
      </c>
      <c r="J21" t="s">
        <v>382</v>
      </c>
      <c r="K21" t="s">
        <v>382</v>
      </c>
      <c r="L21" t="s">
        <v>382</v>
      </c>
      <c r="M21" t="s">
        <v>382</v>
      </c>
      <c r="N21" t="s">
        <v>382</v>
      </c>
      <c r="O21" t="s">
        <v>382</v>
      </c>
      <c r="P21" t="s">
        <v>382</v>
      </c>
      <c r="Q21" t="s">
        <v>382</v>
      </c>
      <c r="R21" t="s">
        <v>382</v>
      </c>
      <c r="S21" t="s">
        <v>382</v>
      </c>
      <c r="T21" t="s">
        <v>382</v>
      </c>
      <c r="U21" t="s">
        <v>382</v>
      </c>
      <c r="V21" t="s">
        <v>382</v>
      </c>
      <c r="W21" t="s">
        <v>382</v>
      </c>
      <c r="X21" t="s">
        <v>382</v>
      </c>
      <c r="Y21" t="s">
        <v>382</v>
      </c>
      <c r="Z21" t="s">
        <v>382</v>
      </c>
      <c r="AA21" t="s">
        <v>382</v>
      </c>
      <c r="AB21" t="s">
        <v>382</v>
      </c>
      <c r="AC21">
        <v>5</v>
      </c>
      <c r="AD21">
        <v>5</v>
      </c>
      <c r="AE21">
        <v>1</v>
      </c>
      <c r="AF21" t="s">
        <v>383</v>
      </c>
      <c r="AH21" t="s">
        <v>22</v>
      </c>
      <c r="AI21" t="s">
        <v>97</v>
      </c>
      <c r="AK21">
        <v>632</v>
      </c>
      <c r="AL21">
        <v>1320</v>
      </c>
    </row>
    <row r="22" spans="1:38">
      <c r="A22" t="s">
        <v>382</v>
      </c>
      <c r="B22" t="s">
        <v>382</v>
      </c>
      <c r="C22" t="s">
        <v>382</v>
      </c>
      <c r="D22" t="s">
        <v>382</v>
      </c>
      <c r="E22" t="s">
        <v>382</v>
      </c>
      <c r="F22" t="s">
        <v>382</v>
      </c>
      <c r="G22" t="s">
        <v>382</v>
      </c>
      <c r="H22" t="s">
        <v>382</v>
      </c>
      <c r="I22" t="s">
        <v>382</v>
      </c>
      <c r="J22" t="s">
        <v>382</v>
      </c>
      <c r="K22" t="s">
        <v>382</v>
      </c>
      <c r="L22" t="s">
        <v>382</v>
      </c>
      <c r="M22" t="s">
        <v>382</v>
      </c>
      <c r="N22" t="s">
        <v>382</v>
      </c>
      <c r="O22" t="s">
        <v>382</v>
      </c>
      <c r="P22" t="s">
        <v>382</v>
      </c>
      <c r="Q22" t="s">
        <v>382</v>
      </c>
      <c r="R22" t="s">
        <v>382</v>
      </c>
      <c r="S22" t="s">
        <v>382</v>
      </c>
      <c r="T22" t="s">
        <v>382</v>
      </c>
      <c r="U22" t="s">
        <v>382</v>
      </c>
      <c r="V22" t="s">
        <v>382</v>
      </c>
      <c r="W22" t="s">
        <v>382</v>
      </c>
      <c r="X22" t="s">
        <v>382</v>
      </c>
      <c r="Y22" t="s">
        <v>382</v>
      </c>
      <c r="Z22" t="s">
        <v>382</v>
      </c>
      <c r="AA22" t="s">
        <v>382</v>
      </c>
      <c r="AB22" t="s">
        <v>382</v>
      </c>
      <c r="AC22">
        <v>5</v>
      </c>
      <c r="AD22">
        <v>1</v>
      </c>
      <c r="AF22" t="s">
        <v>386</v>
      </c>
      <c r="AH22" t="s">
        <v>29</v>
      </c>
      <c r="AI22" t="s">
        <v>103</v>
      </c>
      <c r="AK22">
        <v>1444</v>
      </c>
      <c r="AL22">
        <v>417</v>
      </c>
    </row>
    <row r="23" spans="1:38">
      <c r="A23" t="s">
        <v>382</v>
      </c>
      <c r="B23" t="s">
        <v>382</v>
      </c>
      <c r="C23" t="s">
        <v>382</v>
      </c>
      <c r="D23" t="s">
        <v>382</v>
      </c>
      <c r="E23" t="s">
        <v>382</v>
      </c>
      <c r="F23" t="s">
        <v>382</v>
      </c>
      <c r="G23" t="s">
        <v>382</v>
      </c>
      <c r="H23" t="s">
        <v>382</v>
      </c>
      <c r="I23" t="s">
        <v>382</v>
      </c>
      <c r="J23" t="s">
        <v>382</v>
      </c>
      <c r="K23" t="s">
        <v>382</v>
      </c>
      <c r="L23" t="s">
        <v>382</v>
      </c>
      <c r="M23" t="s">
        <v>382</v>
      </c>
      <c r="N23" t="s">
        <v>382</v>
      </c>
      <c r="O23" t="s">
        <v>382</v>
      </c>
      <c r="P23" t="s">
        <v>382</v>
      </c>
      <c r="Q23" t="s">
        <v>382</v>
      </c>
      <c r="R23" t="s">
        <v>382</v>
      </c>
      <c r="S23" t="s">
        <v>382</v>
      </c>
      <c r="T23" t="s">
        <v>382</v>
      </c>
      <c r="U23" t="s">
        <v>382</v>
      </c>
      <c r="V23" t="s">
        <v>382</v>
      </c>
      <c r="W23" t="s">
        <v>382</v>
      </c>
      <c r="X23" t="s">
        <v>382</v>
      </c>
      <c r="Y23" t="s">
        <v>382</v>
      </c>
      <c r="Z23" t="s">
        <v>382</v>
      </c>
      <c r="AA23" t="s">
        <v>382</v>
      </c>
      <c r="AB23" t="s">
        <v>382</v>
      </c>
      <c r="AC23">
        <v>5</v>
      </c>
      <c r="AD23">
        <v>2</v>
      </c>
      <c r="AF23" t="s">
        <v>386</v>
      </c>
      <c r="AH23" t="s">
        <v>29</v>
      </c>
      <c r="AI23" t="s">
        <v>103</v>
      </c>
      <c r="AK23">
        <v>2195</v>
      </c>
      <c r="AL23">
        <v>34</v>
      </c>
    </row>
    <row r="24" spans="1:38">
      <c r="A24" t="s">
        <v>382</v>
      </c>
      <c r="B24" t="s">
        <v>382</v>
      </c>
      <c r="C24" t="s">
        <v>382</v>
      </c>
      <c r="D24" t="s">
        <v>382</v>
      </c>
      <c r="E24" t="s">
        <v>382</v>
      </c>
      <c r="F24" t="s">
        <v>382</v>
      </c>
      <c r="G24" t="s">
        <v>382</v>
      </c>
      <c r="H24" t="s">
        <v>382</v>
      </c>
      <c r="I24" t="s">
        <v>382</v>
      </c>
      <c r="J24" t="s">
        <v>382</v>
      </c>
      <c r="K24" t="s">
        <v>382</v>
      </c>
      <c r="L24" t="s">
        <v>382</v>
      </c>
      <c r="M24" t="s">
        <v>382</v>
      </c>
      <c r="N24" t="s">
        <v>382</v>
      </c>
      <c r="O24" t="s">
        <v>382</v>
      </c>
      <c r="P24" t="s">
        <v>382</v>
      </c>
      <c r="Q24" t="s">
        <v>382</v>
      </c>
      <c r="R24" t="s">
        <v>382</v>
      </c>
      <c r="S24" t="s">
        <v>382</v>
      </c>
      <c r="T24" t="s">
        <v>382</v>
      </c>
      <c r="U24" t="s">
        <v>382</v>
      </c>
      <c r="V24" t="s">
        <v>382</v>
      </c>
      <c r="W24" t="s">
        <v>382</v>
      </c>
      <c r="X24" t="s">
        <v>382</v>
      </c>
      <c r="Y24" t="s">
        <v>382</v>
      </c>
      <c r="Z24" t="s">
        <v>382</v>
      </c>
      <c r="AA24" t="s">
        <v>382</v>
      </c>
      <c r="AB24" t="s">
        <v>382</v>
      </c>
      <c r="AC24">
        <v>5</v>
      </c>
      <c r="AD24">
        <v>3</v>
      </c>
      <c r="AE24">
        <v>1</v>
      </c>
      <c r="AF24" t="s">
        <v>388</v>
      </c>
      <c r="AH24" t="s">
        <v>33</v>
      </c>
      <c r="AI24" t="s">
        <v>97</v>
      </c>
      <c r="AK24">
        <v>1162</v>
      </c>
      <c r="AL24">
        <v>1041</v>
      </c>
    </row>
    <row r="25" spans="1:38">
      <c r="A25" t="s">
        <v>382</v>
      </c>
      <c r="B25" t="s">
        <v>382</v>
      </c>
      <c r="C25" t="s">
        <v>382</v>
      </c>
      <c r="D25" t="s">
        <v>382</v>
      </c>
      <c r="E25" t="s">
        <v>382</v>
      </c>
      <c r="F25" t="s">
        <v>382</v>
      </c>
      <c r="G25" t="s">
        <v>382</v>
      </c>
      <c r="H25" t="s">
        <v>382</v>
      </c>
      <c r="I25" t="s">
        <v>382</v>
      </c>
      <c r="J25" t="s">
        <v>382</v>
      </c>
      <c r="K25" t="s">
        <v>382</v>
      </c>
      <c r="L25" t="s">
        <v>382</v>
      </c>
      <c r="M25" t="s">
        <v>382</v>
      </c>
      <c r="N25" t="s">
        <v>382</v>
      </c>
      <c r="O25" t="s">
        <v>382</v>
      </c>
      <c r="P25" t="s">
        <v>382</v>
      </c>
      <c r="Q25" t="s">
        <v>382</v>
      </c>
      <c r="R25" t="s">
        <v>382</v>
      </c>
      <c r="S25" t="s">
        <v>382</v>
      </c>
      <c r="T25" t="s">
        <v>382</v>
      </c>
      <c r="U25" t="s">
        <v>382</v>
      </c>
      <c r="V25" t="s">
        <v>382</v>
      </c>
      <c r="W25" t="s">
        <v>382</v>
      </c>
      <c r="X25" t="s">
        <v>382</v>
      </c>
      <c r="Y25" t="s">
        <v>382</v>
      </c>
      <c r="Z25" t="s">
        <v>382</v>
      </c>
      <c r="AA25" t="s">
        <v>382</v>
      </c>
      <c r="AB25" t="s">
        <v>382</v>
      </c>
      <c r="AC25">
        <v>5</v>
      </c>
      <c r="AD25">
        <v>4</v>
      </c>
      <c r="AF25" t="s">
        <v>384</v>
      </c>
      <c r="AH25" t="s">
        <v>25</v>
      </c>
      <c r="AI25" t="s">
        <v>106</v>
      </c>
      <c r="AK25">
        <v>2271</v>
      </c>
      <c r="AL25">
        <v>1817</v>
      </c>
    </row>
    <row r="26" spans="1:38">
      <c r="A26" t="s">
        <v>382</v>
      </c>
      <c r="B26" t="s">
        <v>382</v>
      </c>
      <c r="C26" t="s">
        <v>382</v>
      </c>
      <c r="D26" t="s">
        <v>382</v>
      </c>
      <c r="E26" t="s">
        <v>382</v>
      </c>
      <c r="F26" t="s">
        <v>382</v>
      </c>
      <c r="G26" t="s">
        <v>382</v>
      </c>
      <c r="H26" t="s">
        <v>382</v>
      </c>
      <c r="I26" t="s">
        <v>382</v>
      </c>
      <c r="J26" t="s">
        <v>382</v>
      </c>
      <c r="K26" t="s">
        <v>382</v>
      </c>
      <c r="L26" t="s">
        <v>382</v>
      </c>
      <c r="M26" t="s">
        <v>382</v>
      </c>
      <c r="N26" t="s">
        <v>382</v>
      </c>
      <c r="O26" t="s">
        <v>382</v>
      </c>
      <c r="P26" t="s">
        <v>382</v>
      </c>
      <c r="Q26" t="s">
        <v>382</v>
      </c>
      <c r="R26" t="s">
        <v>382</v>
      </c>
      <c r="S26" t="s">
        <v>382</v>
      </c>
      <c r="T26" t="s">
        <v>382</v>
      </c>
      <c r="U26" t="s">
        <v>382</v>
      </c>
      <c r="V26" t="s">
        <v>382</v>
      </c>
      <c r="W26" t="s">
        <v>382</v>
      </c>
      <c r="X26" t="s">
        <v>382</v>
      </c>
      <c r="Y26" t="s">
        <v>382</v>
      </c>
      <c r="Z26" t="s">
        <v>382</v>
      </c>
      <c r="AA26" t="s">
        <v>382</v>
      </c>
      <c r="AB26" t="s">
        <v>382</v>
      </c>
      <c r="AC26">
        <v>5</v>
      </c>
      <c r="AD26">
        <v>5</v>
      </c>
      <c r="AF26" t="s">
        <v>384</v>
      </c>
      <c r="AH26" t="s">
        <v>25</v>
      </c>
      <c r="AI26" t="s">
        <v>106</v>
      </c>
      <c r="AK26">
        <v>2355</v>
      </c>
      <c r="AL26">
        <v>1942</v>
      </c>
    </row>
    <row r="27" spans="1:38">
      <c r="A27" t="s">
        <v>382</v>
      </c>
      <c r="B27" t="s">
        <v>382</v>
      </c>
      <c r="C27" t="s">
        <v>382</v>
      </c>
      <c r="D27" t="s">
        <v>382</v>
      </c>
      <c r="E27" t="s">
        <v>382</v>
      </c>
      <c r="F27" t="s">
        <v>382</v>
      </c>
      <c r="G27" t="s">
        <v>382</v>
      </c>
      <c r="H27" t="s">
        <v>382</v>
      </c>
      <c r="I27" t="s">
        <v>382</v>
      </c>
      <c r="J27" t="s">
        <v>382</v>
      </c>
      <c r="K27" t="s">
        <v>382</v>
      </c>
      <c r="L27" t="s">
        <v>382</v>
      </c>
      <c r="M27" t="s">
        <v>382</v>
      </c>
      <c r="N27" t="s">
        <v>382</v>
      </c>
      <c r="O27" t="s">
        <v>382</v>
      </c>
      <c r="P27" t="s">
        <v>382</v>
      </c>
      <c r="Q27" t="s">
        <v>382</v>
      </c>
      <c r="R27" t="s">
        <v>382</v>
      </c>
      <c r="S27" t="s">
        <v>382</v>
      </c>
      <c r="T27" t="s">
        <v>382</v>
      </c>
      <c r="U27" t="s">
        <v>382</v>
      </c>
      <c r="V27" t="s">
        <v>382</v>
      </c>
      <c r="W27" t="s">
        <v>382</v>
      </c>
      <c r="X27" t="s">
        <v>382</v>
      </c>
      <c r="Y27" t="s">
        <v>382</v>
      </c>
      <c r="Z27" t="s">
        <v>382</v>
      </c>
      <c r="AA27" t="s">
        <v>382</v>
      </c>
      <c r="AB27" t="s">
        <v>382</v>
      </c>
      <c r="AC27">
        <v>5</v>
      </c>
      <c r="AD27">
        <v>1</v>
      </c>
      <c r="AF27" t="s">
        <v>386</v>
      </c>
      <c r="AH27" t="s">
        <v>29</v>
      </c>
      <c r="AI27" t="s">
        <v>103</v>
      </c>
      <c r="AK27">
        <v>2817</v>
      </c>
      <c r="AL27">
        <v>2396</v>
      </c>
    </row>
    <row r="28" spans="1:38">
      <c r="A28" t="s">
        <v>382</v>
      </c>
      <c r="B28" t="s">
        <v>382</v>
      </c>
      <c r="C28" t="s">
        <v>382</v>
      </c>
      <c r="D28" t="s">
        <v>382</v>
      </c>
      <c r="E28" t="s">
        <v>382</v>
      </c>
      <c r="F28" t="s">
        <v>382</v>
      </c>
      <c r="G28" t="s">
        <v>382</v>
      </c>
      <c r="H28" t="s">
        <v>382</v>
      </c>
      <c r="I28" t="s">
        <v>382</v>
      </c>
      <c r="J28" t="s">
        <v>382</v>
      </c>
      <c r="K28" t="s">
        <v>382</v>
      </c>
      <c r="L28" t="s">
        <v>382</v>
      </c>
      <c r="M28" t="s">
        <v>382</v>
      </c>
      <c r="N28" t="s">
        <v>382</v>
      </c>
      <c r="O28" t="s">
        <v>382</v>
      </c>
      <c r="P28" t="s">
        <v>382</v>
      </c>
      <c r="Q28" t="s">
        <v>382</v>
      </c>
      <c r="R28" t="s">
        <v>382</v>
      </c>
      <c r="S28" t="s">
        <v>382</v>
      </c>
      <c r="T28" t="s">
        <v>382</v>
      </c>
      <c r="U28" t="s">
        <v>382</v>
      </c>
      <c r="V28" t="s">
        <v>382</v>
      </c>
      <c r="W28" t="s">
        <v>382</v>
      </c>
      <c r="X28" t="s">
        <v>382</v>
      </c>
      <c r="Y28" t="s">
        <v>382</v>
      </c>
      <c r="Z28" t="s">
        <v>382</v>
      </c>
      <c r="AA28" t="s">
        <v>382</v>
      </c>
      <c r="AB28" t="s">
        <v>382</v>
      </c>
      <c r="AC28">
        <v>5</v>
      </c>
      <c r="AD28">
        <v>2</v>
      </c>
      <c r="AE28">
        <v>1</v>
      </c>
      <c r="AF28" t="s">
        <v>387</v>
      </c>
      <c r="AH28" t="s">
        <v>31</v>
      </c>
      <c r="AI28" t="s">
        <v>97</v>
      </c>
      <c r="AK28">
        <v>1481</v>
      </c>
      <c r="AL28">
        <v>273</v>
      </c>
    </row>
    <row r="29" spans="1:38">
      <c r="A29" t="s">
        <v>382</v>
      </c>
      <c r="B29" t="s">
        <v>382</v>
      </c>
      <c r="C29" t="s">
        <v>382</v>
      </c>
      <c r="D29" t="s">
        <v>382</v>
      </c>
      <c r="E29" t="s">
        <v>382</v>
      </c>
      <c r="F29" t="s">
        <v>382</v>
      </c>
      <c r="G29" t="s">
        <v>382</v>
      </c>
      <c r="H29" t="s">
        <v>382</v>
      </c>
      <c r="I29" t="s">
        <v>382</v>
      </c>
      <c r="J29" t="s">
        <v>382</v>
      </c>
      <c r="K29" t="s">
        <v>382</v>
      </c>
      <c r="L29" t="s">
        <v>382</v>
      </c>
      <c r="M29" t="s">
        <v>382</v>
      </c>
      <c r="N29" t="s">
        <v>382</v>
      </c>
      <c r="O29" t="s">
        <v>382</v>
      </c>
      <c r="P29" t="s">
        <v>382</v>
      </c>
      <c r="Q29" t="s">
        <v>382</v>
      </c>
      <c r="R29" t="s">
        <v>382</v>
      </c>
      <c r="S29" t="s">
        <v>382</v>
      </c>
      <c r="T29" t="s">
        <v>382</v>
      </c>
      <c r="U29" t="s">
        <v>382</v>
      </c>
      <c r="V29" t="s">
        <v>382</v>
      </c>
      <c r="W29" t="s">
        <v>382</v>
      </c>
      <c r="X29" t="s">
        <v>382</v>
      </c>
      <c r="Y29" t="s">
        <v>382</v>
      </c>
      <c r="Z29" t="s">
        <v>382</v>
      </c>
      <c r="AA29" t="s">
        <v>382</v>
      </c>
      <c r="AB29" t="s">
        <v>382</v>
      </c>
      <c r="AC29">
        <v>5</v>
      </c>
      <c r="AD29">
        <v>3</v>
      </c>
      <c r="AF29" t="s">
        <v>386</v>
      </c>
      <c r="AH29" t="s">
        <v>29</v>
      </c>
      <c r="AI29" t="s">
        <v>103</v>
      </c>
      <c r="AK29">
        <v>2048</v>
      </c>
      <c r="AL29">
        <v>715</v>
      </c>
    </row>
    <row r="30" spans="1:38">
      <c r="A30" t="s">
        <v>382</v>
      </c>
      <c r="B30" t="s">
        <v>382</v>
      </c>
      <c r="C30" t="s">
        <v>382</v>
      </c>
      <c r="D30" t="s">
        <v>382</v>
      </c>
      <c r="E30" t="s">
        <v>382</v>
      </c>
      <c r="F30" t="s">
        <v>382</v>
      </c>
      <c r="G30" t="s">
        <v>382</v>
      </c>
      <c r="H30" t="s">
        <v>382</v>
      </c>
      <c r="I30" t="s">
        <v>382</v>
      </c>
      <c r="J30" t="s">
        <v>382</v>
      </c>
      <c r="K30" t="s">
        <v>382</v>
      </c>
      <c r="L30" t="s">
        <v>382</v>
      </c>
      <c r="M30" t="s">
        <v>382</v>
      </c>
      <c r="N30" t="s">
        <v>382</v>
      </c>
      <c r="O30" t="s">
        <v>382</v>
      </c>
      <c r="P30" t="s">
        <v>382</v>
      </c>
      <c r="Q30" t="s">
        <v>382</v>
      </c>
      <c r="R30" t="s">
        <v>382</v>
      </c>
      <c r="S30" t="s">
        <v>382</v>
      </c>
      <c r="T30" t="s">
        <v>382</v>
      </c>
      <c r="U30" t="s">
        <v>382</v>
      </c>
      <c r="V30" t="s">
        <v>382</v>
      </c>
      <c r="W30" t="s">
        <v>382</v>
      </c>
      <c r="X30" t="s">
        <v>382</v>
      </c>
      <c r="Y30" t="s">
        <v>382</v>
      </c>
      <c r="Z30" t="s">
        <v>382</v>
      </c>
      <c r="AA30" t="s">
        <v>382</v>
      </c>
      <c r="AB30" t="s">
        <v>382</v>
      </c>
      <c r="AC30">
        <v>5</v>
      </c>
      <c r="AD30">
        <v>4</v>
      </c>
      <c r="AF30" t="s">
        <v>386</v>
      </c>
      <c r="AH30" t="s">
        <v>29</v>
      </c>
      <c r="AI30" t="s">
        <v>103</v>
      </c>
      <c r="AK30">
        <v>1674</v>
      </c>
      <c r="AL30">
        <v>1606</v>
      </c>
    </row>
    <row r="31" spans="1:38">
      <c r="A31" t="s">
        <v>382</v>
      </c>
      <c r="B31" t="s">
        <v>382</v>
      </c>
      <c r="C31" t="s">
        <v>382</v>
      </c>
      <c r="D31" t="s">
        <v>382</v>
      </c>
      <c r="E31" t="s">
        <v>382</v>
      </c>
      <c r="F31" t="s">
        <v>382</v>
      </c>
      <c r="G31" t="s">
        <v>382</v>
      </c>
      <c r="H31" t="s">
        <v>382</v>
      </c>
      <c r="I31" t="s">
        <v>382</v>
      </c>
      <c r="J31" t="s">
        <v>382</v>
      </c>
      <c r="K31" t="s">
        <v>382</v>
      </c>
      <c r="L31" t="s">
        <v>382</v>
      </c>
      <c r="M31" t="s">
        <v>382</v>
      </c>
      <c r="N31" t="s">
        <v>382</v>
      </c>
      <c r="O31" t="s">
        <v>382</v>
      </c>
      <c r="P31" t="s">
        <v>382</v>
      </c>
      <c r="Q31" t="s">
        <v>382</v>
      </c>
      <c r="R31" t="s">
        <v>382</v>
      </c>
      <c r="S31" t="s">
        <v>382</v>
      </c>
      <c r="T31" t="s">
        <v>382</v>
      </c>
      <c r="U31" t="s">
        <v>382</v>
      </c>
      <c r="V31" t="s">
        <v>382</v>
      </c>
      <c r="W31" t="s">
        <v>382</v>
      </c>
      <c r="X31" t="s">
        <v>382</v>
      </c>
      <c r="Y31" t="s">
        <v>382</v>
      </c>
      <c r="Z31" t="s">
        <v>382</v>
      </c>
      <c r="AA31" t="s">
        <v>382</v>
      </c>
      <c r="AB31" t="s">
        <v>382</v>
      </c>
      <c r="AC31">
        <v>5</v>
      </c>
      <c r="AD31">
        <v>5</v>
      </c>
      <c r="AF31" t="s">
        <v>386</v>
      </c>
      <c r="AH31" t="s">
        <v>29</v>
      </c>
      <c r="AI31" t="s">
        <v>103</v>
      </c>
      <c r="AK31">
        <v>2064</v>
      </c>
      <c r="AL31">
        <v>126</v>
      </c>
    </row>
    <row r="32" spans="1:38">
      <c r="A32" t="s">
        <v>382</v>
      </c>
      <c r="B32" t="s">
        <v>382</v>
      </c>
      <c r="C32" t="s">
        <v>382</v>
      </c>
      <c r="D32" t="s">
        <v>382</v>
      </c>
      <c r="E32" t="s">
        <v>382</v>
      </c>
      <c r="F32" t="s">
        <v>382</v>
      </c>
      <c r="G32" t="s">
        <v>382</v>
      </c>
      <c r="H32" t="s">
        <v>382</v>
      </c>
      <c r="I32" t="s">
        <v>382</v>
      </c>
      <c r="J32" t="s">
        <v>382</v>
      </c>
      <c r="K32" t="s">
        <v>382</v>
      </c>
      <c r="L32" t="s">
        <v>382</v>
      </c>
      <c r="M32" t="s">
        <v>382</v>
      </c>
      <c r="N32" t="s">
        <v>382</v>
      </c>
      <c r="O32" t="s">
        <v>382</v>
      </c>
      <c r="P32" t="s">
        <v>382</v>
      </c>
      <c r="Q32" t="s">
        <v>382</v>
      </c>
      <c r="R32" t="s">
        <v>382</v>
      </c>
      <c r="S32" t="s">
        <v>382</v>
      </c>
      <c r="T32" t="s">
        <v>382</v>
      </c>
      <c r="U32" t="s">
        <v>382</v>
      </c>
      <c r="V32" t="s">
        <v>382</v>
      </c>
      <c r="W32" t="s">
        <v>382</v>
      </c>
      <c r="X32" t="s">
        <v>382</v>
      </c>
      <c r="Y32" t="s">
        <v>382</v>
      </c>
      <c r="Z32" t="s">
        <v>382</v>
      </c>
      <c r="AA32" t="s">
        <v>382</v>
      </c>
      <c r="AB32" t="s">
        <v>382</v>
      </c>
      <c r="AC32">
        <v>5</v>
      </c>
      <c r="AD32">
        <v>1</v>
      </c>
      <c r="AE32">
        <v>1</v>
      </c>
      <c r="AF32" t="s">
        <v>383</v>
      </c>
      <c r="AH32" t="s">
        <v>22</v>
      </c>
      <c r="AI32" t="s">
        <v>97</v>
      </c>
      <c r="AK32">
        <v>1776</v>
      </c>
      <c r="AL32">
        <v>608</v>
      </c>
    </row>
    <row r="33" spans="1:38">
      <c r="A33" t="s">
        <v>382</v>
      </c>
      <c r="B33" t="s">
        <v>382</v>
      </c>
      <c r="C33" t="s">
        <v>382</v>
      </c>
      <c r="D33" t="s">
        <v>382</v>
      </c>
      <c r="E33" t="s">
        <v>382</v>
      </c>
      <c r="F33" t="s">
        <v>382</v>
      </c>
      <c r="G33" t="s">
        <v>382</v>
      </c>
      <c r="H33" t="s">
        <v>382</v>
      </c>
      <c r="I33" t="s">
        <v>382</v>
      </c>
      <c r="J33" t="s">
        <v>382</v>
      </c>
      <c r="K33" t="s">
        <v>382</v>
      </c>
      <c r="L33" t="s">
        <v>382</v>
      </c>
      <c r="M33" t="s">
        <v>382</v>
      </c>
      <c r="N33" t="s">
        <v>382</v>
      </c>
      <c r="O33" t="s">
        <v>382</v>
      </c>
      <c r="P33" t="s">
        <v>382</v>
      </c>
      <c r="Q33" t="s">
        <v>382</v>
      </c>
      <c r="R33" t="s">
        <v>382</v>
      </c>
      <c r="S33" t="s">
        <v>382</v>
      </c>
      <c r="T33" t="s">
        <v>382</v>
      </c>
      <c r="U33" t="s">
        <v>382</v>
      </c>
      <c r="V33" t="s">
        <v>382</v>
      </c>
      <c r="W33" t="s">
        <v>382</v>
      </c>
      <c r="X33" t="s">
        <v>382</v>
      </c>
      <c r="Y33" t="s">
        <v>382</v>
      </c>
      <c r="Z33" t="s">
        <v>382</v>
      </c>
      <c r="AA33" t="s">
        <v>382</v>
      </c>
      <c r="AB33" t="s">
        <v>382</v>
      </c>
      <c r="AC33">
        <v>5</v>
      </c>
      <c r="AD33">
        <v>2</v>
      </c>
      <c r="AE33">
        <v>1</v>
      </c>
      <c r="AF33" t="s">
        <v>383</v>
      </c>
      <c r="AH33" t="s">
        <v>22</v>
      </c>
      <c r="AI33" t="s">
        <v>97</v>
      </c>
      <c r="AK33">
        <v>1654</v>
      </c>
      <c r="AL33">
        <v>674</v>
      </c>
    </row>
    <row r="34" spans="1:38">
      <c r="A34" t="s">
        <v>382</v>
      </c>
      <c r="B34" t="s">
        <v>382</v>
      </c>
      <c r="C34" t="s">
        <v>382</v>
      </c>
      <c r="D34" t="s">
        <v>382</v>
      </c>
      <c r="E34" t="s">
        <v>382</v>
      </c>
      <c r="F34" t="s">
        <v>382</v>
      </c>
      <c r="G34" t="s">
        <v>382</v>
      </c>
      <c r="H34" t="s">
        <v>382</v>
      </c>
      <c r="I34" t="s">
        <v>382</v>
      </c>
      <c r="J34" t="s">
        <v>382</v>
      </c>
      <c r="K34" t="s">
        <v>382</v>
      </c>
      <c r="L34" t="s">
        <v>382</v>
      </c>
      <c r="M34" t="s">
        <v>382</v>
      </c>
      <c r="N34" t="s">
        <v>382</v>
      </c>
      <c r="O34" t="s">
        <v>382</v>
      </c>
      <c r="P34" t="s">
        <v>382</v>
      </c>
      <c r="Q34" t="s">
        <v>382</v>
      </c>
      <c r="R34" t="s">
        <v>382</v>
      </c>
      <c r="S34" t="s">
        <v>382</v>
      </c>
      <c r="T34" t="s">
        <v>382</v>
      </c>
      <c r="U34" t="s">
        <v>382</v>
      </c>
      <c r="V34" t="s">
        <v>382</v>
      </c>
      <c r="W34" t="s">
        <v>382</v>
      </c>
      <c r="X34" t="s">
        <v>382</v>
      </c>
      <c r="Y34" t="s">
        <v>382</v>
      </c>
      <c r="Z34" t="s">
        <v>382</v>
      </c>
      <c r="AA34" t="s">
        <v>382</v>
      </c>
      <c r="AB34" t="s">
        <v>382</v>
      </c>
      <c r="AC34">
        <v>5</v>
      </c>
      <c r="AD34">
        <v>3</v>
      </c>
      <c r="AF34" t="s">
        <v>386</v>
      </c>
      <c r="AH34" t="s">
        <v>29</v>
      </c>
      <c r="AI34" t="s">
        <v>103</v>
      </c>
      <c r="AK34">
        <v>1308</v>
      </c>
      <c r="AL34">
        <v>2502</v>
      </c>
    </row>
    <row r="35" spans="1:38">
      <c r="A35" t="s">
        <v>382</v>
      </c>
      <c r="B35" t="s">
        <v>382</v>
      </c>
      <c r="C35" t="s">
        <v>382</v>
      </c>
      <c r="D35" t="s">
        <v>382</v>
      </c>
      <c r="E35" t="s">
        <v>382</v>
      </c>
      <c r="F35" t="s">
        <v>382</v>
      </c>
      <c r="G35" t="s">
        <v>382</v>
      </c>
      <c r="H35" t="s">
        <v>382</v>
      </c>
      <c r="I35" t="s">
        <v>382</v>
      </c>
      <c r="J35" t="s">
        <v>382</v>
      </c>
      <c r="K35" t="s">
        <v>382</v>
      </c>
      <c r="L35" t="s">
        <v>382</v>
      </c>
      <c r="M35" t="s">
        <v>382</v>
      </c>
      <c r="N35" t="s">
        <v>382</v>
      </c>
      <c r="O35" t="s">
        <v>382</v>
      </c>
      <c r="P35" t="s">
        <v>382</v>
      </c>
      <c r="Q35" t="s">
        <v>382</v>
      </c>
      <c r="R35" t="s">
        <v>382</v>
      </c>
      <c r="S35" t="s">
        <v>382</v>
      </c>
      <c r="T35" t="s">
        <v>382</v>
      </c>
      <c r="U35" t="s">
        <v>382</v>
      </c>
      <c r="V35" t="s">
        <v>382</v>
      </c>
      <c r="W35" t="s">
        <v>382</v>
      </c>
      <c r="X35" t="s">
        <v>382</v>
      </c>
      <c r="Y35" t="s">
        <v>382</v>
      </c>
      <c r="Z35" t="s">
        <v>382</v>
      </c>
      <c r="AA35" t="s">
        <v>382</v>
      </c>
      <c r="AB35" t="s">
        <v>382</v>
      </c>
      <c r="AC35">
        <v>5</v>
      </c>
      <c r="AD35">
        <v>4</v>
      </c>
      <c r="AF35" t="s">
        <v>386</v>
      </c>
      <c r="AH35" t="s">
        <v>29</v>
      </c>
      <c r="AI35" t="s">
        <v>103</v>
      </c>
      <c r="AK35">
        <v>653</v>
      </c>
      <c r="AL35">
        <v>1403</v>
      </c>
    </row>
    <row r="36" spans="1:38">
      <c r="A36" t="s">
        <v>382</v>
      </c>
      <c r="B36" t="s">
        <v>382</v>
      </c>
      <c r="C36" t="s">
        <v>382</v>
      </c>
      <c r="D36" t="s">
        <v>382</v>
      </c>
      <c r="E36" t="s">
        <v>382</v>
      </c>
      <c r="F36" t="s">
        <v>382</v>
      </c>
      <c r="G36" t="s">
        <v>382</v>
      </c>
      <c r="H36" t="s">
        <v>382</v>
      </c>
      <c r="I36" t="s">
        <v>382</v>
      </c>
      <c r="J36" t="s">
        <v>382</v>
      </c>
      <c r="K36" t="s">
        <v>382</v>
      </c>
      <c r="L36" t="s">
        <v>382</v>
      </c>
      <c r="M36" t="s">
        <v>382</v>
      </c>
      <c r="N36" t="s">
        <v>382</v>
      </c>
      <c r="O36" t="s">
        <v>382</v>
      </c>
      <c r="P36" t="s">
        <v>382</v>
      </c>
      <c r="Q36" t="s">
        <v>382</v>
      </c>
      <c r="R36" t="s">
        <v>382</v>
      </c>
      <c r="S36" t="s">
        <v>382</v>
      </c>
      <c r="T36" t="s">
        <v>382</v>
      </c>
      <c r="U36" t="s">
        <v>382</v>
      </c>
      <c r="V36" t="s">
        <v>382</v>
      </c>
      <c r="W36" t="s">
        <v>382</v>
      </c>
      <c r="X36" t="s">
        <v>382</v>
      </c>
      <c r="Y36" t="s">
        <v>382</v>
      </c>
      <c r="Z36" t="s">
        <v>382</v>
      </c>
      <c r="AA36" t="s">
        <v>382</v>
      </c>
      <c r="AB36" t="s">
        <v>382</v>
      </c>
      <c r="AC36">
        <v>5</v>
      </c>
      <c r="AD36">
        <v>5</v>
      </c>
      <c r="AF36" t="s">
        <v>386</v>
      </c>
      <c r="AH36" t="s">
        <v>29</v>
      </c>
      <c r="AI36" t="s">
        <v>103</v>
      </c>
      <c r="AK36">
        <v>776</v>
      </c>
      <c r="AL36">
        <v>1836</v>
      </c>
    </row>
    <row r="37" spans="1:38">
      <c r="A37" t="s">
        <v>382</v>
      </c>
      <c r="B37" t="s">
        <v>382</v>
      </c>
      <c r="C37" t="s">
        <v>382</v>
      </c>
      <c r="D37" t="s">
        <v>382</v>
      </c>
      <c r="E37" t="s">
        <v>382</v>
      </c>
      <c r="F37" t="s">
        <v>382</v>
      </c>
      <c r="G37" t="s">
        <v>382</v>
      </c>
      <c r="H37" t="s">
        <v>382</v>
      </c>
      <c r="I37" t="s">
        <v>382</v>
      </c>
      <c r="J37" t="s">
        <v>382</v>
      </c>
      <c r="K37" t="s">
        <v>382</v>
      </c>
      <c r="L37" t="s">
        <v>382</v>
      </c>
      <c r="M37" t="s">
        <v>382</v>
      </c>
      <c r="N37" t="s">
        <v>382</v>
      </c>
      <c r="O37" t="s">
        <v>382</v>
      </c>
      <c r="P37" t="s">
        <v>382</v>
      </c>
      <c r="Q37" t="s">
        <v>382</v>
      </c>
      <c r="R37" t="s">
        <v>382</v>
      </c>
      <c r="S37" t="s">
        <v>382</v>
      </c>
      <c r="T37" t="s">
        <v>382</v>
      </c>
      <c r="U37" t="s">
        <v>382</v>
      </c>
      <c r="V37" t="s">
        <v>382</v>
      </c>
      <c r="W37" t="s">
        <v>382</v>
      </c>
      <c r="X37" t="s">
        <v>382</v>
      </c>
      <c r="Y37" t="s">
        <v>382</v>
      </c>
      <c r="Z37" t="s">
        <v>382</v>
      </c>
      <c r="AA37" t="s">
        <v>382</v>
      </c>
      <c r="AB37" t="s">
        <v>382</v>
      </c>
      <c r="AC37">
        <v>5</v>
      </c>
      <c r="AD37">
        <v>1</v>
      </c>
      <c r="AE37">
        <v>1</v>
      </c>
      <c r="AF37" t="s">
        <v>393</v>
      </c>
      <c r="AH37" t="s">
        <v>51</v>
      </c>
      <c r="AI37" t="s">
        <v>97</v>
      </c>
      <c r="AK37">
        <v>1676</v>
      </c>
      <c r="AL37">
        <v>272</v>
      </c>
    </row>
    <row r="38" spans="1:38">
      <c r="A38" t="s">
        <v>382</v>
      </c>
      <c r="B38" t="s">
        <v>382</v>
      </c>
      <c r="C38" t="s">
        <v>382</v>
      </c>
      <c r="D38" t="s">
        <v>382</v>
      </c>
      <c r="E38" t="s">
        <v>382</v>
      </c>
      <c r="F38" t="s">
        <v>382</v>
      </c>
      <c r="G38" t="s">
        <v>382</v>
      </c>
      <c r="H38" t="s">
        <v>382</v>
      </c>
      <c r="I38" t="s">
        <v>382</v>
      </c>
      <c r="J38" t="s">
        <v>382</v>
      </c>
      <c r="K38" t="s">
        <v>382</v>
      </c>
      <c r="L38" t="s">
        <v>382</v>
      </c>
      <c r="M38" t="s">
        <v>382</v>
      </c>
      <c r="N38" t="s">
        <v>382</v>
      </c>
      <c r="O38" t="s">
        <v>382</v>
      </c>
      <c r="P38" t="s">
        <v>382</v>
      </c>
      <c r="Q38" t="s">
        <v>382</v>
      </c>
      <c r="R38" t="s">
        <v>382</v>
      </c>
      <c r="S38" t="s">
        <v>382</v>
      </c>
      <c r="T38" t="s">
        <v>382</v>
      </c>
      <c r="U38" t="s">
        <v>382</v>
      </c>
      <c r="V38" t="s">
        <v>382</v>
      </c>
      <c r="W38" t="s">
        <v>382</v>
      </c>
      <c r="X38" t="s">
        <v>382</v>
      </c>
      <c r="Y38" t="s">
        <v>382</v>
      </c>
      <c r="Z38" t="s">
        <v>382</v>
      </c>
      <c r="AA38" t="s">
        <v>382</v>
      </c>
      <c r="AB38" t="s">
        <v>382</v>
      </c>
      <c r="AC38">
        <v>5</v>
      </c>
      <c r="AD38">
        <v>2</v>
      </c>
      <c r="AE38">
        <v>1</v>
      </c>
      <c r="AF38" t="s">
        <v>387</v>
      </c>
      <c r="AH38" t="s">
        <v>31</v>
      </c>
      <c r="AI38" t="s">
        <v>97</v>
      </c>
      <c r="AK38">
        <v>1046</v>
      </c>
      <c r="AL38">
        <v>2364</v>
      </c>
    </row>
    <row r="39" spans="1:38">
      <c r="A39" t="s">
        <v>382</v>
      </c>
      <c r="B39" t="s">
        <v>382</v>
      </c>
      <c r="C39" t="s">
        <v>382</v>
      </c>
      <c r="D39" t="s">
        <v>382</v>
      </c>
      <c r="E39" t="s">
        <v>382</v>
      </c>
      <c r="F39" t="s">
        <v>382</v>
      </c>
      <c r="G39" t="s">
        <v>382</v>
      </c>
      <c r="H39" t="s">
        <v>382</v>
      </c>
      <c r="I39" t="s">
        <v>382</v>
      </c>
      <c r="J39" t="s">
        <v>382</v>
      </c>
      <c r="K39" t="s">
        <v>382</v>
      </c>
      <c r="L39" t="s">
        <v>382</v>
      </c>
      <c r="M39" t="s">
        <v>382</v>
      </c>
      <c r="N39" t="s">
        <v>382</v>
      </c>
      <c r="O39" t="s">
        <v>382</v>
      </c>
      <c r="P39" t="s">
        <v>382</v>
      </c>
      <c r="Q39" t="s">
        <v>382</v>
      </c>
      <c r="R39" t="s">
        <v>382</v>
      </c>
      <c r="S39" t="s">
        <v>382</v>
      </c>
      <c r="T39" t="s">
        <v>382</v>
      </c>
      <c r="U39" t="s">
        <v>382</v>
      </c>
      <c r="V39" t="s">
        <v>382</v>
      </c>
      <c r="W39" t="s">
        <v>382</v>
      </c>
      <c r="X39" t="s">
        <v>382</v>
      </c>
      <c r="Y39" t="s">
        <v>382</v>
      </c>
      <c r="Z39" t="s">
        <v>382</v>
      </c>
      <c r="AA39" t="s">
        <v>382</v>
      </c>
      <c r="AB39" t="s">
        <v>382</v>
      </c>
      <c r="AC39">
        <v>5</v>
      </c>
      <c r="AD39">
        <v>3</v>
      </c>
      <c r="AE39">
        <v>1</v>
      </c>
      <c r="AF39" t="s">
        <v>391</v>
      </c>
      <c r="AH39" t="s">
        <v>38</v>
      </c>
      <c r="AI39" t="s">
        <v>97</v>
      </c>
      <c r="AK39">
        <v>2770</v>
      </c>
      <c r="AL39">
        <v>2349</v>
      </c>
    </row>
    <row r="40" spans="1:38">
      <c r="A40" t="s">
        <v>382</v>
      </c>
      <c r="B40" t="s">
        <v>382</v>
      </c>
      <c r="C40" t="s">
        <v>382</v>
      </c>
      <c r="D40" t="s">
        <v>382</v>
      </c>
      <c r="E40" t="s">
        <v>382</v>
      </c>
      <c r="F40" t="s">
        <v>382</v>
      </c>
      <c r="G40" t="s">
        <v>382</v>
      </c>
      <c r="H40" t="s">
        <v>382</v>
      </c>
      <c r="I40" t="s">
        <v>382</v>
      </c>
      <c r="J40" t="s">
        <v>382</v>
      </c>
      <c r="K40" t="s">
        <v>382</v>
      </c>
      <c r="L40" t="s">
        <v>382</v>
      </c>
      <c r="M40" t="s">
        <v>382</v>
      </c>
      <c r="N40" t="s">
        <v>382</v>
      </c>
      <c r="O40" t="s">
        <v>382</v>
      </c>
      <c r="P40" t="s">
        <v>382</v>
      </c>
      <c r="Q40" t="s">
        <v>382</v>
      </c>
      <c r="R40" t="s">
        <v>382</v>
      </c>
      <c r="S40" t="s">
        <v>382</v>
      </c>
      <c r="T40" t="s">
        <v>382</v>
      </c>
      <c r="U40" t="s">
        <v>382</v>
      </c>
      <c r="V40" t="s">
        <v>382</v>
      </c>
      <c r="W40" t="s">
        <v>382</v>
      </c>
      <c r="X40" t="s">
        <v>382</v>
      </c>
      <c r="Y40" t="s">
        <v>382</v>
      </c>
      <c r="Z40" t="s">
        <v>382</v>
      </c>
      <c r="AA40" t="s">
        <v>382</v>
      </c>
      <c r="AB40" t="s">
        <v>382</v>
      </c>
      <c r="AC40">
        <v>5</v>
      </c>
      <c r="AD40">
        <v>4</v>
      </c>
      <c r="AE40">
        <v>1</v>
      </c>
      <c r="AF40" t="s">
        <v>389</v>
      </c>
      <c r="AH40" t="s">
        <v>35</v>
      </c>
      <c r="AI40" t="s">
        <v>97</v>
      </c>
      <c r="AK40">
        <v>1495</v>
      </c>
      <c r="AL40">
        <v>1476</v>
      </c>
    </row>
    <row r="41" spans="1:38">
      <c r="A41" t="s">
        <v>382</v>
      </c>
      <c r="B41" t="s">
        <v>382</v>
      </c>
      <c r="C41" t="s">
        <v>382</v>
      </c>
      <c r="D41" t="s">
        <v>382</v>
      </c>
      <c r="E41" t="s">
        <v>382</v>
      </c>
      <c r="F41" t="s">
        <v>382</v>
      </c>
      <c r="G41" t="s">
        <v>382</v>
      </c>
      <c r="H41" t="s">
        <v>382</v>
      </c>
      <c r="I41" t="s">
        <v>382</v>
      </c>
      <c r="J41" t="s">
        <v>382</v>
      </c>
      <c r="K41" t="s">
        <v>382</v>
      </c>
      <c r="L41" t="s">
        <v>382</v>
      </c>
      <c r="M41" t="s">
        <v>382</v>
      </c>
      <c r="N41" t="s">
        <v>382</v>
      </c>
      <c r="O41" t="s">
        <v>382</v>
      </c>
      <c r="P41" t="s">
        <v>382</v>
      </c>
      <c r="Q41" t="s">
        <v>382</v>
      </c>
      <c r="R41" t="s">
        <v>382</v>
      </c>
      <c r="S41" t="s">
        <v>382</v>
      </c>
      <c r="T41" t="s">
        <v>382</v>
      </c>
      <c r="U41" t="s">
        <v>382</v>
      </c>
      <c r="V41" t="s">
        <v>382</v>
      </c>
      <c r="W41" t="s">
        <v>382</v>
      </c>
      <c r="X41" t="s">
        <v>382</v>
      </c>
      <c r="Y41" t="s">
        <v>382</v>
      </c>
      <c r="Z41" t="s">
        <v>382</v>
      </c>
      <c r="AA41" t="s">
        <v>382</v>
      </c>
      <c r="AB41" t="s">
        <v>382</v>
      </c>
      <c r="AC41">
        <v>5</v>
      </c>
      <c r="AD41">
        <v>5</v>
      </c>
      <c r="AF41" t="s">
        <v>386</v>
      </c>
      <c r="AH41" t="s">
        <v>29</v>
      </c>
      <c r="AI41" t="s">
        <v>103</v>
      </c>
      <c r="AK41">
        <v>705</v>
      </c>
      <c r="AL41">
        <v>2466</v>
      </c>
    </row>
    <row r="42" spans="1:38">
      <c r="A42" t="s">
        <v>382</v>
      </c>
      <c r="B42" t="s">
        <v>382</v>
      </c>
      <c r="C42" t="s">
        <v>382</v>
      </c>
      <c r="D42" t="s">
        <v>382</v>
      </c>
      <c r="E42" t="s">
        <v>382</v>
      </c>
      <c r="F42" t="s">
        <v>382</v>
      </c>
      <c r="G42" t="s">
        <v>382</v>
      </c>
      <c r="H42" t="s">
        <v>382</v>
      </c>
      <c r="I42" t="s">
        <v>382</v>
      </c>
      <c r="J42" t="s">
        <v>382</v>
      </c>
      <c r="K42" t="s">
        <v>382</v>
      </c>
      <c r="L42" t="s">
        <v>382</v>
      </c>
      <c r="M42" t="s">
        <v>382</v>
      </c>
      <c r="N42" t="s">
        <v>382</v>
      </c>
      <c r="O42" t="s">
        <v>382</v>
      </c>
      <c r="P42" t="s">
        <v>382</v>
      </c>
      <c r="Q42" t="s">
        <v>382</v>
      </c>
      <c r="R42" t="s">
        <v>382</v>
      </c>
      <c r="S42" t="s">
        <v>382</v>
      </c>
      <c r="T42" t="s">
        <v>382</v>
      </c>
      <c r="U42" t="s">
        <v>382</v>
      </c>
      <c r="V42" t="s">
        <v>382</v>
      </c>
      <c r="W42" t="s">
        <v>382</v>
      </c>
      <c r="X42" t="s">
        <v>382</v>
      </c>
      <c r="Y42" t="s">
        <v>382</v>
      </c>
      <c r="Z42" t="s">
        <v>382</v>
      </c>
      <c r="AA42" t="s">
        <v>382</v>
      </c>
      <c r="AB42" t="s">
        <v>382</v>
      </c>
      <c r="AC42">
        <v>5</v>
      </c>
      <c r="AD42">
        <v>1</v>
      </c>
      <c r="AF42" t="s">
        <v>386</v>
      </c>
      <c r="AH42" t="s">
        <v>29</v>
      </c>
      <c r="AI42" t="s">
        <v>103</v>
      </c>
      <c r="AK42">
        <v>2335</v>
      </c>
      <c r="AL42">
        <v>1142</v>
      </c>
    </row>
    <row r="43" spans="1:38">
      <c r="A43" t="s">
        <v>382</v>
      </c>
      <c r="B43" t="s">
        <v>382</v>
      </c>
      <c r="C43" t="s">
        <v>382</v>
      </c>
      <c r="D43" t="s">
        <v>382</v>
      </c>
      <c r="E43" t="s">
        <v>382</v>
      </c>
      <c r="F43" t="s">
        <v>382</v>
      </c>
      <c r="G43" t="s">
        <v>382</v>
      </c>
      <c r="H43" t="s">
        <v>382</v>
      </c>
      <c r="I43" t="s">
        <v>382</v>
      </c>
      <c r="J43" t="s">
        <v>382</v>
      </c>
      <c r="K43" t="s">
        <v>382</v>
      </c>
      <c r="L43" t="s">
        <v>382</v>
      </c>
      <c r="M43" t="s">
        <v>382</v>
      </c>
      <c r="N43" t="s">
        <v>382</v>
      </c>
      <c r="O43" t="s">
        <v>382</v>
      </c>
      <c r="P43" t="s">
        <v>382</v>
      </c>
      <c r="Q43" t="s">
        <v>382</v>
      </c>
      <c r="R43" t="s">
        <v>382</v>
      </c>
      <c r="S43" t="s">
        <v>382</v>
      </c>
      <c r="T43" t="s">
        <v>382</v>
      </c>
      <c r="U43" t="s">
        <v>382</v>
      </c>
      <c r="V43" t="s">
        <v>382</v>
      </c>
      <c r="W43" t="s">
        <v>382</v>
      </c>
      <c r="X43" t="s">
        <v>382</v>
      </c>
      <c r="Y43" t="s">
        <v>382</v>
      </c>
      <c r="Z43" t="s">
        <v>382</v>
      </c>
      <c r="AA43" t="s">
        <v>382</v>
      </c>
      <c r="AB43" t="s">
        <v>382</v>
      </c>
      <c r="AC43">
        <v>5</v>
      </c>
      <c r="AD43">
        <v>2</v>
      </c>
      <c r="AF43" t="s">
        <v>386</v>
      </c>
      <c r="AH43" t="s">
        <v>29</v>
      </c>
      <c r="AI43" t="s">
        <v>103</v>
      </c>
      <c r="AK43">
        <v>2175</v>
      </c>
      <c r="AL43">
        <v>1057</v>
      </c>
    </row>
    <row r="44" spans="1:38">
      <c r="A44" t="s">
        <v>382</v>
      </c>
      <c r="B44" t="s">
        <v>382</v>
      </c>
      <c r="C44" t="s">
        <v>382</v>
      </c>
      <c r="D44" t="s">
        <v>382</v>
      </c>
      <c r="E44" t="s">
        <v>382</v>
      </c>
      <c r="F44" t="s">
        <v>382</v>
      </c>
      <c r="G44" t="s">
        <v>382</v>
      </c>
      <c r="H44" t="s">
        <v>382</v>
      </c>
      <c r="I44" t="s">
        <v>382</v>
      </c>
      <c r="J44" t="s">
        <v>382</v>
      </c>
      <c r="K44" t="s">
        <v>382</v>
      </c>
      <c r="L44" t="s">
        <v>382</v>
      </c>
      <c r="M44" t="s">
        <v>382</v>
      </c>
      <c r="N44" t="s">
        <v>382</v>
      </c>
      <c r="O44" t="s">
        <v>382</v>
      </c>
      <c r="P44" t="s">
        <v>382</v>
      </c>
      <c r="Q44" t="s">
        <v>382</v>
      </c>
      <c r="R44" t="s">
        <v>382</v>
      </c>
      <c r="S44" t="s">
        <v>382</v>
      </c>
      <c r="T44" t="s">
        <v>382</v>
      </c>
      <c r="U44" t="s">
        <v>382</v>
      </c>
      <c r="V44" t="s">
        <v>382</v>
      </c>
      <c r="W44" t="s">
        <v>382</v>
      </c>
      <c r="X44" t="s">
        <v>382</v>
      </c>
      <c r="Y44" t="s">
        <v>382</v>
      </c>
      <c r="Z44" t="s">
        <v>382</v>
      </c>
      <c r="AA44" t="s">
        <v>382</v>
      </c>
      <c r="AB44" t="s">
        <v>382</v>
      </c>
      <c r="AC44">
        <v>5</v>
      </c>
      <c r="AD44">
        <v>3</v>
      </c>
      <c r="AF44" t="s">
        <v>384</v>
      </c>
      <c r="AH44" t="s">
        <v>25</v>
      </c>
      <c r="AI44" t="s">
        <v>106</v>
      </c>
      <c r="AK44">
        <v>2992</v>
      </c>
      <c r="AL44">
        <v>687</v>
      </c>
    </row>
    <row r="45" spans="1:38">
      <c r="A45" t="s">
        <v>382</v>
      </c>
      <c r="B45" t="s">
        <v>382</v>
      </c>
      <c r="C45" t="s">
        <v>382</v>
      </c>
      <c r="D45" t="s">
        <v>382</v>
      </c>
      <c r="E45" t="s">
        <v>382</v>
      </c>
      <c r="F45" t="s">
        <v>382</v>
      </c>
      <c r="G45" t="s">
        <v>382</v>
      </c>
      <c r="H45" t="s">
        <v>382</v>
      </c>
      <c r="I45" t="s">
        <v>382</v>
      </c>
      <c r="J45" t="s">
        <v>382</v>
      </c>
      <c r="K45" t="s">
        <v>382</v>
      </c>
      <c r="L45" t="s">
        <v>382</v>
      </c>
      <c r="M45" t="s">
        <v>382</v>
      </c>
      <c r="N45" t="s">
        <v>382</v>
      </c>
      <c r="O45" t="s">
        <v>382</v>
      </c>
      <c r="P45" t="s">
        <v>382</v>
      </c>
      <c r="Q45" t="s">
        <v>382</v>
      </c>
      <c r="R45" t="s">
        <v>382</v>
      </c>
      <c r="S45" t="s">
        <v>382</v>
      </c>
      <c r="T45" t="s">
        <v>382</v>
      </c>
      <c r="U45" t="s">
        <v>382</v>
      </c>
      <c r="V45" t="s">
        <v>382</v>
      </c>
      <c r="W45" t="s">
        <v>382</v>
      </c>
      <c r="X45" t="s">
        <v>382</v>
      </c>
      <c r="Y45" t="s">
        <v>382</v>
      </c>
      <c r="Z45" t="s">
        <v>382</v>
      </c>
      <c r="AA45" t="s">
        <v>382</v>
      </c>
      <c r="AB45" t="s">
        <v>382</v>
      </c>
      <c r="AC45">
        <v>5</v>
      </c>
      <c r="AD45">
        <v>4</v>
      </c>
      <c r="AF45" t="s">
        <v>386</v>
      </c>
      <c r="AH45" t="s">
        <v>29</v>
      </c>
      <c r="AI45" t="s">
        <v>103</v>
      </c>
      <c r="AK45">
        <v>3062</v>
      </c>
      <c r="AL45">
        <v>1414</v>
      </c>
    </row>
    <row r="46" spans="1:38">
      <c r="A46" t="s">
        <v>382</v>
      </c>
      <c r="B46" t="s">
        <v>382</v>
      </c>
      <c r="C46" t="s">
        <v>382</v>
      </c>
      <c r="D46" t="s">
        <v>382</v>
      </c>
      <c r="E46" t="s">
        <v>382</v>
      </c>
      <c r="F46" t="s">
        <v>382</v>
      </c>
      <c r="G46" t="s">
        <v>382</v>
      </c>
      <c r="H46" t="s">
        <v>382</v>
      </c>
      <c r="I46" t="s">
        <v>382</v>
      </c>
      <c r="J46" t="s">
        <v>382</v>
      </c>
      <c r="K46" t="s">
        <v>382</v>
      </c>
      <c r="L46" t="s">
        <v>382</v>
      </c>
      <c r="M46" t="s">
        <v>382</v>
      </c>
      <c r="N46" t="s">
        <v>382</v>
      </c>
      <c r="O46" t="s">
        <v>382</v>
      </c>
      <c r="P46" t="s">
        <v>382</v>
      </c>
      <c r="Q46" t="s">
        <v>382</v>
      </c>
      <c r="R46" t="s">
        <v>382</v>
      </c>
      <c r="S46" t="s">
        <v>382</v>
      </c>
      <c r="T46" t="s">
        <v>382</v>
      </c>
      <c r="U46" t="s">
        <v>382</v>
      </c>
      <c r="V46" t="s">
        <v>382</v>
      </c>
      <c r="W46" t="s">
        <v>382</v>
      </c>
      <c r="X46" t="s">
        <v>382</v>
      </c>
      <c r="Y46" t="s">
        <v>382</v>
      </c>
      <c r="Z46" t="s">
        <v>382</v>
      </c>
      <c r="AA46" t="s">
        <v>382</v>
      </c>
      <c r="AB46" t="s">
        <v>382</v>
      </c>
      <c r="AC46">
        <v>5</v>
      </c>
      <c r="AD46">
        <v>5</v>
      </c>
      <c r="AF46" t="s">
        <v>385</v>
      </c>
      <c r="AH46" t="s">
        <v>27</v>
      </c>
      <c r="AI46" t="s">
        <v>109</v>
      </c>
      <c r="AK46">
        <v>1860</v>
      </c>
      <c r="AL46">
        <v>2486</v>
      </c>
    </row>
    <row r="47" spans="1:38">
      <c r="A47" t="s">
        <v>382</v>
      </c>
      <c r="B47" t="s">
        <v>382</v>
      </c>
      <c r="C47" t="s">
        <v>382</v>
      </c>
      <c r="D47" t="s">
        <v>382</v>
      </c>
      <c r="E47" t="s">
        <v>382</v>
      </c>
      <c r="F47" t="s">
        <v>382</v>
      </c>
      <c r="G47" t="s">
        <v>382</v>
      </c>
      <c r="H47" t="s">
        <v>382</v>
      </c>
      <c r="I47" t="s">
        <v>382</v>
      </c>
      <c r="J47" t="s">
        <v>382</v>
      </c>
      <c r="K47" t="s">
        <v>382</v>
      </c>
      <c r="L47" t="s">
        <v>382</v>
      </c>
      <c r="M47" t="s">
        <v>382</v>
      </c>
      <c r="N47" t="s">
        <v>382</v>
      </c>
      <c r="O47" t="s">
        <v>382</v>
      </c>
      <c r="P47" t="s">
        <v>382</v>
      </c>
      <c r="Q47" t="s">
        <v>382</v>
      </c>
      <c r="R47" t="s">
        <v>382</v>
      </c>
      <c r="S47" t="s">
        <v>382</v>
      </c>
      <c r="T47" t="s">
        <v>382</v>
      </c>
      <c r="U47" t="s">
        <v>382</v>
      </c>
      <c r="V47" t="s">
        <v>382</v>
      </c>
      <c r="W47" t="s">
        <v>382</v>
      </c>
      <c r="X47" t="s">
        <v>382</v>
      </c>
      <c r="Y47" t="s">
        <v>382</v>
      </c>
      <c r="Z47" t="s">
        <v>382</v>
      </c>
      <c r="AA47" t="s">
        <v>382</v>
      </c>
      <c r="AB47" t="s">
        <v>382</v>
      </c>
      <c r="AC47">
        <v>5</v>
      </c>
      <c r="AD47">
        <v>1</v>
      </c>
      <c r="AE47">
        <v>1</v>
      </c>
      <c r="AF47" t="s">
        <v>389</v>
      </c>
      <c r="AH47" t="s">
        <v>35</v>
      </c>
      <c r="AI47" t="s">
        <v>97</v>
      </c>
      <c r="AK47">
        <v>2123</v>
      </c>
      <c r="AL47">
        <v>1653</v>
      </c>
    </row>
    <row r="48" spans="1:38">
      <c r="A48" t="s">
        <v>382</v>
      </c>
      <c r="B48" t="s">
        <v>382</v>
      </c>
      <c r="C48" t="s">
        <v>382</v>
      </c>
      <c r="D48" t="s">
        <v>382</v>
      </c>
      <c r="E48" t="s">
        <v>382</v>
      </c>
      <c r="F48" t="s">
        <v>382</v>
      </c>
      <c r="G48" t="s">
        <v>382</v>
      </c>
      <c r="H48" t="s">
        <v>382</v>
      </c>
      <c r="I48" t="s">
        <v>382</v>
      </c>
      <c r="J48" t="s">
        <v>382</v>
      </c>
      <c r="K48" t="s">
        <v>382</v>
      </c>
      <c r="L48" t="s">
        <v>382</v>
      </c>
      <c r="M48" t="s">
        <v>382</v>
      </c>
      <c r="N48" t="s">
        <v>382</v>
      </c>
      <c r="O48" t="s">
        <v>382</v>
      </c>
      <c r="P48" t="s">
        <v>382</v>
      </c>
      <c r="Q48" t="s">
        <v>382</v>
      </c>
      <c r="R48" t="s">
        <v>382</v>
      </c>
      <c r="S48" t="s">
        <v>382</v>
      </c>
      <c r="T48" t="s">
        <v>382</v>
      </c>
      <c r="U48" t="s">
        <v>382</v>
      </c>
      <c r="V48" t="s">
        <v>382</v>
      </c>
      <c r="W48" t="s">
        <v>382</v>
      </c>
      <c r="X48" t="s">
        <v>382</v>
      </c>
      <c r="Y48" t="s">
        <v>382</v>
      </c>
      <c r="Z48" t="s">
        <v>382</v>
      </c>
      <c r="AA48" t="s">
        <v>382</v>
      </c>
      <c r="AB48" t="s">
        <v>382</v>
      </c>
      <c r="AC48">
        <v>5</v>
      </c>
      <c r="AD48">
        <v>2</v>
      </c>
      <c r="AE48">
        <v>1</v>
      </c>
      <c r="AF48" t="s">
        <v>387</v>
      </c>
      <c r="AH48" t="s">
        <v>31</v>
      </c>
      <c r="AI48" t="s">
        <v>97</v>
      </c>
      <c r="AK48">
        <v>589</v>
      </c>
      <c r="AL48">
        <v>2056</v>
      </c>
    </row>
    <row r="49" spans="1:38">
      <c r="A49" t="s">
        <v>382</v>
      </c>
      <c r="B49" t="s">
        <v>382</v>
      </c>
      <c r="C49" t="s">
        <v>382</v>
      </c>
      <c r="D49" t="s">
        <v>382</v>
      </c>
      <c r="E49" t="s">
        <v>382</v>
      </c>
      <c r="F49" t="s">
        <v>382</v>
      </c>
      <c r="G49" t="s">
        <v>382</v>
      </c>
      <c r="H49" t="s">
        <v>382</v>
      </c>
      <c r="I49" t="s">
        <v>382</v>
      </c>
      <c r="J49" t="s">
        <v>382</v>
      </c>
      <c r="K49" t="s">
        <v>382</v>
      </c>
      <c r="L49" t="s">
        <v>382</v>
      </c>
      <c r="M49" t="s">
        <v>382</v>
      </c>
      <c r="N49" t="s">
        <v>382</v>
      </c>
      <c r="O49" t="s">
        <v>382</v>
      </c>
      <c r="P49" t="s">
        <v>382</v>
      </c>
      <c r="Q49" t="s">
        <v>382</v>
      </c>
      <c r="R49" t="s">
        <v>382</v>
      </c>
      <c r="S49" t="s">
        <v>382</v>
      </c>
      <c r="T49" t="s">
        <v>382</v>
      </c>
      <c r="U49" t="s">
        <v>382</v>
      </c>
      <c r="V49" t="s">
        <v>382</v>
      </c>
      <c r="W49" t="s">
        <v>382</v>
      </c>
      <c r="X49" t="s">
        <v>382</v>
      </c>
      <c r="Y49" t="s">
        <v>382</v>
      </c>
      <c r="Z49" t="s">
        <v>382</v>
      </c>
      <c r="AA49" t="s">
        <v>382</v>
      </c>
      <c r="AB49" t="s">
        <v>382</v>
      </c>
      <c r="AC49">
        <v>5</v>
      </c>
      <c r="AD49">
        <v>3</v>
      </c>
      <c r="AE49">
        <v>1</v>
      </c>
      <c r="AF49" t="s">
        <v>387</v>
      </c>
      <c r="AH49" t="s">
        <v>31</v>
      </c>
      <c r="AI49" t="s">
        <v>97</v>
      </c>
      <c r="AK49">
        <v>493</v>
      </c>
      <c r="AL49">
        <v>289</v>
      </c>
    </row>
    <row r="50" spans="1:38">
      <c r="A50" t="s">
        <v>382</v>
      </c>
      <c r="B50" t="s">
        <v>382</v>
      </c>
      <c r="C50" t="s">
        <v>382</v>
      </c>
      <c r="D50" t="s">
        <v>382</v>
      </c>
      <c r="E50" t="s">
        <v>382</v>
      </c>
      <c r="F50" t="s">
        <v>382</v>
      </c>
      <c r="G50" t="s">
        <v>382</v>
      </c>
      <c r="H50" t="s">
        <v>382</v>
      </c>
      <c r="I50" t="s">
        <v>382</v>
      </c>
      <c r="J50" t="s">
        <v>382</v>
      </c>
      <c r="K50" t="s">
        <v>382</v>
      </c>
      <c r="L50" t="s">
        <v>382</v>
      </c>
      <c r="M50" t="s">
        <v>382</v>
      </c>
      <c r="N50" t="s">
        <v>382</v>
      </c>
      <c r="O50" t="s">
        <v>382</v>
      </c>
      <c r="P50" t="s">
        <v>382</v>
      </c>
      <c r="Q50" t="s">
        <v>382</v>
      </c>
      <c r="R50" t="s">
        <v>382</v>
      </c>
      <c r="S50" t="s">
        <v>382</v>
      </c>
      <c r="T50" t="s">
        <v>382</v>
      </c>
      <c r="U50" t="s">
        <v>382</v>
      </c>
      <c r="V50" t="s">
        <v>382</v>
      </c>
      <c r="W50" t="s">
        <v>382</v>
      </c>
      <c r="X50" t="s">
        <v>382</v>
      </c>
      <c r="Y50" t="s">
        <v>382</v>
      </c>
      <c r="Z50" t="s">
        <v>382</v>
      </c>
      <c r="AA50" t="s">
        <v>382</v>
      </c>
      <c r="AB50" t="s">
        <v>382</v>
      </c>
      <c r="AC50">
        <v>5</v>
      </c>
      <c r="AD50">
        <v>4</v>
      </c>
      <c r="AF50" t="s">
        <v>386</v>
      </c>
      <c r="AH50" t="s">
        <v>29</v>
      </c>
      <c r="AI50" t="s">
        <v>103</v>
      </c>
      <c r="AK50">
        <v>2528</v>
      </c>
      <c r="AL50">
        <v>757</v>
      </c>
    </row>
    <row r="51" spans="1:38">
      <c r="A51" t="s">
        <v>382</v>
      </c>
      <c r="B51" t="s">
        <v>382</v>
      </c>
      <c r="C51" t="s">
        <v>382</v>
      </c>
      <c r="D51" t="s">
        <v>382</v>
      </c>
      <c r="E51" t="s">
        <v>382</v>
      </c>
      <c r="F51" t="s">
        <v>382</v>
      </c>
      <c r="G51" t="s">
        <v>382</v>
      </c>
      <c r="H51" t="s">
        <v>382</v>
      </c>
      <c r="I51" t="s">
        <v>382</v>
      </c>
      <c r="J51" t="s">
        <v>382</v>
      </c>
      <c r="K51" t="s">
        <v>382</v>
      </c>
      <c r="L51" t="s">
        <v>382</v>
      </c>
      <c r="M51" t="s">
        <v>382</v>
      </c>
      <c r="N51" t="s">
        <v>382</v>
      </c>
      <c r="O51" t="s">
        <v>382</v>
      </c>
      <c r="P51" t="s">
        <v>382</v>
      </c>
      <c r="Q51" t="s">
        <v>382</v>
      </c>
      <c r="R51" t="s">
        <v>382</v>
      </c>
      <c r="S51" t="s">
        <v>382</v>
      </c>
      <c r="T51" t="s">
        <v>382</v>
      </c>
      <c r="U51" t="s">
        <v>382</v>
      </c>
      <c r="V51" t="s">
        <v>382</v>
      </c>
      <c r="W51" t="s">
        <v>382</v>
      </c>
      <c r="X51" t="s">
        <v>382</v>
      </c>
      <c r="Y51" t="s">
        <v>382</v>
      </c>
      <c r="Z51" t="s">
        <v>382</v>
      </c>
      <c r="AA51" t="s">
        <v>382</v>
      </c>
      <c r="AB51" t="s">
        <v>382</v>
      </c>
      <c r="AC51">
        <v>5</v>
      </c>
      <c r="AD51">
        <v>5</v>
      </c>
      <c r="AE51">
        <v>1</v>
      </c>
      <c r="AF51" t="s">
        <v>387</v>
      </c>
      <c r="AH51" t="s">
        <v>31</v>
      </c>
      <c r="AI51" t="s">
        <v>97</v>
      </c>
      <c r="AK51">
        <v>2378</v>
      </c>
      <c r="AL51">
        <v>1255</v>
      </c>
    </row>
    <row r="52" spans="1:38">
      <c r="A52" t="s">
        <v>382</v>
      </c>
      <c r="B52" t="s">
        <v>382</v>
      </c>
      <c r="C52" t="s">
        <v>382</v>
      </c>
      <c r="D52" t="s">
        <v>382</v>
      </c>
      <c r="E52" t="s">
        <v>382</v>
      </c>
      <c r="F52" t="s">
        <v>382</v>
      </c>
      <c r="G52" t="s">
        <v>382</v>
      </c>
      <c r="H52" t="s">
        <v>382</v>
      </c>
      <c r="I52" t="s">
        <v>382</v>
      </c>
      <c r="J52" t="s">
        <v>382</v>
      </c>
      <c r="K52" t="s">
        <v>382</v>
      </c>
      <c r="L52" t="s">
        <v>382</v>
      </c>
      <c r="M52" t="s">
        <v>382</v>
      </c>
      <c r="N52" t="s">
        <v>382</v>
      </c>
      <c r="O52" t="s">
        <v>382</v>
      </c>
      <c r="P52" t="s">
        <v>382</v>
      </c>
      <c r="Q52" t="s">
        <v>382</v>
      </c>
      <c r="R52" t="s">
        <v>382</v>
      </c>
      <c r="S52" t="s">
        <v>382</v>
      </c>
      <c r="T52" t="s">
        <v>382</v>
      </c>
      <c r="U52" t="s">
        <v>382</v>
      </c>
      <c r="V52" t="s">
        <v>382</v>
      </c>
      <c r="W52" t="s">
        <v>382</v>
      </c>
      <c r="X52" t="s">
        <v>382</v>
      </c>
      <c r="Y52" t="s">
        <v>382</v>
      </c>
      <c r="Z52" t="s">
        <v>382</v>
      </c>
      <c r="AA52" t="s">
        <v>382</v>
      </c>
      <c r="AB52" t="s">
        <v>382</v>
      </c>
      <c r="AC52">
        <v>5</v>
      </c>
      <c r="AD52">
        <v>1</v>
      </c>
      <c r="AF52" t="s">
        <v>392</v>
      </c>
      <c r="AH52" t="s">
        <v>41</v>
      </c>
      <c r="AI52" t="s">
        <v>102</v>
      </c>
      <c r="AK52">
        <v>1477</v>
      </c>
      <c r="AL52">
        <v>1155</v>
      </c>
    </row>
    <row r="53" spans="1:38">
      <c r="A53" t="s">
        <v>382</v>
      </c>
      <c r="B53" t="s">
        <v>382</v>
      </c>
      <c r="C53" t="s">
        <v>382</v>
      </c>
      <c r="D53" t="s">
        <v>382</v>
      </c>
      <c r="E53" t="s">
        <v>382</v>
      </c>
      <c r="F53" t="s">
        <v>382</v>
      </c>
      <c r="G53" t="s">
        <v>382</v>
      </c>
      <c r="H53" t="s">
        <v>382</v>
      </c>
      <c r="I53" t="s">
        <v>382</v>
      </c>
      <c r="J53" t="s">
        <v>382</v>
      </c>
      <c r="K53" t="s">
        <v>382</v>
      </c>
      <c r="L53" t="s">
        <v>382</v>
      </c>
      <c r="M53" t="s">
        <v>382</v>
      </c>
      <c r="N53" t="s">
        <v>382</v>
      </c>
      <c r="O53" t="s">
        <v>382</v>
      </c>
      <c r="P53" t="s">
        <v>382</v>
      </c>
      <c r="Q53" t="s">
        <v>382</v>
      </c>
      <c r="R53" t="s">
        <v>382</v>
      </c>
      <c r="S53" t="s">
        <v>382</v>
      </c>
      <c r="T53" t="s">
        <v>382</v>
      </c>
      <c r="U53" t="s">
        <v>382</v>
      </c>
      <c r="V53" t="s">
        <v>382</v>
      </c>
      <c r="W53" t="s">
        <v>382</v>
      </c>
      <c r="X53" t="s">
        <v>382</v>
      </c>
      <c r="Y53" t="s">
        <v>382</v>
      </c>
      <c r="Z53" t="s">
        <v>382</v>
      </c>
      <c r="AA53" t="s">
        <v>382</v>
      </c>
      <c r="AB53" t="s">
        <v>382</v>
      </c>
      <c r="AC53">
        <v>5</v>
      </c>
      <c r="AD53">
        <v>2</v>
      </c>
      <c r="AF53" t="s">
        <v>386</v>
      </c>
      <c r="AH53" t="s">
        <v>29</v>
      </c>
      <c r="AI53" t="s">
        <v>103</v>
      </c>
      <c r="AK53">
        <v>3031</v>
      </c>
      <c r="AL53">
        <v>672</v>
      </c>
    </row>
    <row r="54" spans="1:38">
      <c r="A54" t="s">
        <v>382</v>
      </c>
      <c r="B54" t="s">
        <v>382</v>
      </c>
      <c r="C54" t="s">
        <v>382</v>
      </c>
      <c r="D54" t="s">
        <v>382</v>
      </c>
      <c r="E54" t="s">
        <v>382</v>
      </c>
      <c r="F54" t="s">
        <v>382</v>
      </c>
      <c r="G54" t="s">
        <v>382</v>
      </c>
      <c r="H54" t="s">
        <v>382</v>
      </c>
      <c r="I54" t="s">
        <v>382</v>
      </c>
      <c r="J54" t="s">
        <v>382</v>
      </c>
      <c r="K54" t="s">
        <v>382</v>
      </c>
      <c r="L54" t="s">
        <v>382</v>
      </c>
      <c r="M54" t="s">
        <v>382</v>
      </c>
      <c r="N54" t="s">
        <v>382</v>
      </c>
      <c r="O54" t="s">
        <v>382</v>
      </c>
      <c r="P54" t="s">
        <v>382</v>
      </c>
      <c r="Q54" t="s">
        <v>382</v>
      </c>
      <c r="R54" t="s">
        <v>382</v>
      </c>
      <c r="S54" t="s">
        <v>382</v>
      </c>
      <c r="T54" t="s">
        <v>382</v>
      </c>
      <c r="U54" t="s">
        <v>382</v>
      </c>
      <c r="V54" t="s">
        <v>382</v>
      </c>
      <c r="W54" t="s">
        <v>382</v>
      </c>
      <c r="X54" t="s">
        <v>382</v>
      </c>
      <c r="Y54" t="s">
        <v>382</v>
      </c>
      <c r="Z54" t="s">
        <v>382</v>
      </c>
      <c r="AA54" t="s">
        <v>382</v>
      </c>
      <c r="AB54" t="s">
        <v>382</v>
      </c>
      <c r="AC54">
        <v>5</v>
      </c>
      <c r="AD54">
        <v>3</v>
      </c>
      <c r="AE54">
        <v>1</v>
      </c>
      <c r="AF54" t="s">
        <v>542</v>
      </c>
      <c r="AH54" t="s">
        <v>147</v>
      </c>
      <c r="AI54" t="s">
        <v>97</v>
      </c>
      <c r="AK54">
        <v>1724</v>
      </c>
      <c r="AL54">
        <v>1906</v>
      </c>
    </row>
    <row r="55" spans="1:38">
      <c r="A55" t="s">
        <v>382</v>
      </c>
      <c r="B55" t="s">
        <v>382</v>
      </c>
      <c r="C55" t="s">
        <v>382</v>
      </c>
      <c r="D55" t="s">
        <v>382</v>
      </c>
      <c r="E55" t="s">
        <v>382</v>
      </c>
      <c r="F55" t="s">
        <v>382</v>
      </c>
      <c r="G55" t="s">
        <v>382</v>
      </c>
      <c r="H55" t="s">
        <v>382</v>
      </c>
      <c r="I55" t="s">
        <v>382</v>
      </c>
      <c r="J55" t="s">
        <v>382</v>
      </c>
      <c r="K55" t="s">
        <v>382</v>
      </c>
      <c r="L55" t="s">
        <v>382</v>
      </c>
      <c r="M55" t="s">
        <v>382</v>
      </c>
      <c r="N55" t="s">
        <v>382</v>
      </c>
      <c r="O55" t="s">
        <v>382</v>
      </c>
      <c r="P55" t="s">
        <v>382</v>
      </c>
      <c r="Q55" t="s">
        <v>382</v>
      </c>
      <c r="R55" t="s">
        <v>382</v>
      </c>
      <c r="S55" t="s">
        <v>382</v>
      </c>
      <c r="T55" t="s">
        <v>382</v>
      </c>
      <c r="U55" t="s">
        <v>382</v>
      </c>
      <c r="V55" t="s">
        <v>382</v>
      </c>
      <c r="W55" t="s">
        <v>382</v>
      </c>
      <c r="X55" t="s">
        <v>382</v>
      </c>
      <c r="Y55" t="s">
        <v>382</v>
      </c>
      <c r="Z55" t="s">
        <v>382</v>
      </c>
      <c r="AA55" t="s">
        <v>382</v>
      </c>
      <c r="AB55" t="s">
        <v>382</v>
      </c>
      <c r="AC55">
        <v>5</v>
      </c>
      <c r="AD55">
        <v>4</v>
      </c>
      <c r="AE55">
        <v>1</v>
      </c>
      <c r="AF55" t="s">
        <v>542</v>
      </c>
      <c r="AH55" t="s">
        <v>147</v>
      </c>
      <c r="AI55" t="s">
        <v>97</v>
      </c>
      <c r="AK55">
        <v>1567</v>
      </c>
      <c r="AL55">
        <v>2477</v>
      </c>
    </row>
    <row r="56" spans="1:38">
      <c r="A56" t="s">
        <v>382</v>
      </c>
      <c r="B56" t="s">
        <v>382</v>
      </c>
      <c r="C56" t="s">
        <v>382</v>
      </c>
      <c r="D56" t="s">
        <v>382</v>
      </c>
      <c r="E56" t="s">
        <v>382</v>
      </c>
      <c r="F56" t="s">
        <v>382</v>
      </c>
      <c r="G56" t="s">
        <v>382</v>
      </c>
      <c r="H56" t="s">
        <v>382</v>
      </c>
      <c r="I56" t="s">
        <v>382</v>
      </c>
      <c r="J56" t="s">
        <v>382</v>
      </c>
      <c r="K56" t="s">
        <v>382</v>
      </c>
      <c r="L56" t="s">
        <v>382</v>
      </c>
      <c r="M56" t="s">
        <v>382</v>
      </c>
      <c r="N56" t="s">
        <v>382</v>
      </c>
      <c r="O56" t="s">
        <v>382</v>
      </c>
      <c r="P56" t="s">
        <v>382</v>
      </c>
      <c r="Q56" t="s">
        <v>382</v>
      </c>
      <c r="R56" t="s">
        <v>382</v>
      </c>
      <c r="S56" t="s">
        <v>382</v>
      </c>
      <c r="T56" t="s">
        <v>382</v>
      </c>
      <c r="U56" t="s">
        <v>382</v>
      </c>
      <c r="V56" t="s">
        <v>382</v>
      </c>
      <c r="W56" t="s">
        <v>382</v>
      </c>
      <c r="X56" t="s">
        <v>382</v>
      </c>
      <c r="Y56" t="s">
        <v>382</v>
      </c>
      <c r="Z56" t="s">
        <v>382</v>
      </c>
      <c r="AA56" t="s">
        <v>382</v>
      </c>
      <c r="AB56" t="s">
        <v>382</v>
      </c>
      <c r="AC56">
        <v>5</v>
      </c>
      <c r="AD56">
        <v>5</v>
      </c>
      <c r="AE56">
        <v>1</v>
      </c>
      <c r="AF56" t="s">
        <v>398</v>
      </c>
      <c r="AH56" t="s">
        <v>69</v>
      </c>
      <c r="AI56" t="s">
        <v>97</v>
      </c>
      <c r="AK56">
        <v>2685</v>
      </c>
      <c r="AL56">
        <v>161</v>
      </c>
    </row>
    <row r="57" spans="1:38">
      <c r="A57" t="s">
        <v>382</v>
      </c>
      <c r="B57" t="s">
        <v>382</v>
      </c>
      <c r="C57" t="s">
        <v>382</v>
      </c>
      <c r="D57" t="s">
        <v>382</v>
      </c>
      <c r="E57" t="s">
        <v>382</v>
      </c>
      <c r="F57" t="s">
        <v>382</v>
      </c>
      <c r="G57" t="s">
        <v>382</v>
      </c>
      <c r="H57" t="s">
        <v>382</v>
      </c>
      <c r="I57" t="s">
        <v>382</v>
      </c>
      <c r="J57" t="s">
        <v>382</v>
      </c>
      <c r="K57" t="s">
        <v>382</v>
      </c>
      <c r="L57" t="s">
        <v>382</v>
      </c>
      <c r="M57" t="s">
        <v>382</v>
      </c>
      <c r="N57" t="s">
        <v>382</v>
      </c>
      <c r="O57" t="s">
        <v>382</v>
      </c>
      <c r="P57" t="s">
        <v>382</v>
      </c>
      <c r="Q57" t="s">
        <v>382</v>
      </c>
      <c r="R57" t="s">
        <v>382</v>
      </c>
      <c r="S57" t="s">
        <v>382</v>
      </c>
      <c r="T57" t="s">
        <v>382</v>
      </c>
      <c r="U57" t="s">
        <v>382</v>
      </c>
      <c r="V57" t="s">
        <v>382</v>
      </c>
      <c r="W57" t="s">
        <v>382</v>
      </c>
      <c r="X57" t="s">
        <v>382</v>
      </c>
      <c r="Y57" t="s">
        <v>382</v>
      </c>
      <c r="Z57" t="s">
        <v>382</v>
      </c>
      <c r="AA57" t="s">
        <v>382</v>
      </c>
      <c r="AB57" t="s">
        <v>382</v>
      </c>
      <c r="AC57">
        <v>5</v>
      </c>
      <c r="AD57">
        <v>1</v>
      </c>
      <c r="AF57" t="s">
        <v>385</v>
      </c>
      <c r="AH57" t="s">
        <v>27</v>
      </c>
      <c r="AI57" t="s">
        <v>109</v>
      </c>
      <c r="AK57">
        <v>2029</v>
      </c>
      <c r="AL57">
        <v>1525</v>
      </c>
    </row>
    <row r="58" spans="1:38">
      <c r="A58" t="s">
        <v>382</v>
      </c>
      <c r="B58" t="s">
        <v>382</v>
      </c>
      <c r="C58" t="s">
        <v>382</v>
      </c>
      <c r="D58" t="s">
        <v>382</v>
      </c>
      <c r="E58" t="s">
        <v>382</v>
      </c>
      <c r="F58" t="s">
        <v>382</v>
      </c>
      <c r="G58" t="s">
        <v>382</v>
      </c>
      <c r="H58" t="s">
        <v>382</v>
      </c>
      <c r="I58" t="s">
        <v>382</v>
      </c>
      <c r="J58" t="s">
        <v>382</v>
      </c>
      <c r="K58" t="s">
        <v>382</v>
      </c>
      <c r="L58" t="s">
        <v>382</v>
      </c>
      <c r="M58" t="s">
        <v>382</v>
      </c>
      <c r="N58" t="s">
        <v>382</v>
      </c>
      <c r="O58" t="s">
        <v>382</v>
      </c>
      <c r="P58" t="s">
        <v>382</v>
      </c>
      <c r="Q58" t="s">
        <v>382</v>
      </c>
      <c r="R58" t="s">
        <v>382</v>
      </c>
      <c r="S58" t="s">
        <v>382</v>
      </c>
      <c r="T58" t="s">
        <v>382</v>
      </c>
      <c r="U58" t="s">
        <v>382</v>
      </c>
      <c r="V58" t="s">
        <v>382</v>
      </c>
      <c r="W58" t="s">
        <v>382</v>
      </c>
      <c r="X58" t="s">
        <v>382</v>
      </c>
      <c r="Y58" t="s">
        <v>382</v>
      </c>
      <c r="Z58" t="s">
        <v>382</v>
      </c>
      <c r="AA58" t="s">
        <v>382</v>
      </c>
      <c r="AB58" t="s">
        <v>382</v>
      </c>
      <c r="AC58">
        <v>5</v>
      </c>
      <c r="AD58">
        <v>2</v>
      </c>
      <c r="AF58" t="s">
        <v>386</v>
      </c>
      <c r="AH58" t="s">
        <v>29</v>
      </c>
      <c r="AI58" t="s">
        <v>103</v>
      </c>
      <c r="AK58">
        <v>1608</v>
      </c>
      <c r="AL58">
        <v>1312</v>
      </c>
    </row>
    <row r="59" spans="1:38">
      <c r="A59" t="s">
        <v>382</v>
      </c>
      <c r="B59" t="s">
        <v>382</v>
      </c>
      <c r="C59" t="s">
        <v>382</v>
      </c>
      <c r="D59" t="s">
        <v>382</v>
      </c>
      <c r="E59" t="s">
        <v>382</v>
      </c>
      <c r="F59" t="s">
        <v>382</v>
      </c>
      <c r="G59" t="s">
        <v>382</v>
      </c>
      <c r="H59" t="s">
        <v>382</v>
      </c>
      <c r="I59" t="s">
        <v>382</v>
      </c>
      <c r="J59" t="s">
        <v>382</v>
      </c>
      <c r="K59" t="s">
        <v>382</v>
      </c>
      <c r="L59" t="s">
        <v>382</v>
      </c>
      <c r="M59" t="s">
        <v>382</v>
      </c>
      <c r="N59" t="s">
        <v>382</v>
      </c>
      <c r="O59" t="s">
        <v>382</v>
      </c>
      <c r="P59" t="s">
        <v>382</v>
      </c>
      <c r="Q59" t="s">
        <v>382</v>
      </c>
      <c r="R59" t="s">
        <v>382</v>
      </c>
      <c r="S59" t="s">
        <v>382</v>
      </c>
      <c r="T59" t="s">
        <v>382</v>
      </c>
      <c r="U59" t="s">
        <v>382</v>
      </c>
      <c r="V59" t="s">
        <v>382</v>
      </c>
      <c r="W59" t="s">
        <v>382</v>
      </c>
      <c r="X59" t="s">
        <v>382</v>
      </c>
      <c r="Y59" t="s">
        <v>382</v>
      </c>
      <c r="Z59" t="s">
        <v>382</v>
      </c>
      <c r="AA59" t="s">
        <v>382</v>
      </c>
      <c r="AB59" t="s">
        <v>382</v>
      </c>
      <c r="AC59">
        <v>5</v>
      </c>
      <c r="AD59">
        <v>3</v>
      </c>
      <c r="AE59">
        <v>1</v>
      </c>
      <c r="AF59" t="s">
        <v>387</v>
      </c>
      <c r="AH59" t="s">
        <v>31</v>
      </c>
      <c r="AI59" t="s">
        <v>97</v>
      </c>
      <c r="AK59">
        <v>547</v>
      </c>
      <c r="AL59">
        <v>2373</v>
      </c>
    </row>
    <row r="60" spans="1:38">
      <c r="A60" t="s">
        <v>382</v>
      </c>
      <c r="B60" t="s">
        <v>382</v>
      </c>
      <c r="C60" t="s">
        <v>382</v>
      </c>
      <c r="D60" t="s">
        <v>382</v>
      </c>
      <c r="E60" t="s">
        <v>382</v>
      </c>
      <c r="F60" t="s">
        <v>382</v>
      </c>
      <c r="G60" t="s">
        <v>382</v>
      </c>
      <c r="H60" t="s">
        <v>382</v>
      </c>
      <c r="I60" t="s">
        <v>382</v>
      </c>
      <c r="J60" t="s">
        <v>382</v>
      </c>
      <c r="K60" t="s">
        <v>382</v>
      </c>
      <c r="L60" t="s">
        <v>382</v>
      </c>
      <c r="M60" t="s">
        <v>382</v>
      </c>
      <c r="N60" t="s">
        <v>382</v>
      </c>
      <c r="O60" t="s">
        <v>382</v>
      </c>
      <c r="P60" t="s">
        <v>382</v>
      </c>
      <c r="Q60" t="s">
        <v>382</v>
      </c>
      <c r="R60" t="s">
        <v>382</v>
      </c>
      <c r="S60" t="s">
        <v>382</v>
      </c>
      <c r="T60" t="s">
        <v>382</v>
      </c>
      <c r="U60" t="s">
        <v>382</v>
      </c>
      <c r="V60" t="s">
        <v>382</v>
      </c>
      <c r="W60" t="s">
        <v>382</v>
      </c>
      <c r="X60" t="s">
        <v>382</v>
      </c>
      <c r="Y60" t="s">
        <v>382</v>
      </c>
      <c r="Z60" t="s">
        <v>382</v>
      </c>
      <c r="AA60" t="s">
        <v>382</v>
      </c>
      <c r="AB60" t="s">
        <v>382</v>
      </c>
      <c r="AC60">
        <v>5</v>
      </c>
      <c r="AD60">
        <v>4</v>
      </c>
      <c r="AF60" t="s">
        <v>386</v>
      </c>
      <c r="AH60" t="s">
        <v>29</v>
      </c>
      <c r="AI60" t="s">
        <v>103</v>
      </c>
      <c r="AK60">
        <v>1176</v>
      </c>
      <c r="AL60">
        <v>420</v>
      </c>
    </row>
    <row r="61" spans="1:38">
      <c r="A61" t="s">
        <v>382</v>
      </c>
      <c r="B61" t="s">
        <v>382</v>
      </c>
      <c r="C61" t="s">
        <v>382</v>
      </c>
      <c r="D61" t="s">
        <v>382</v>
      </c>
      <c r="E61" t="s">
        <v>382</v>
      </c>
      <c r="F61" t="s">
        <v>382</v>
      </c>
      <c r="G61" t="s">
        <v>382</v>
      </c>
      <c r="H61" t="s">
        <v>382</v>
      </c>
      <c r="I61" t="s">
        <v>382</v>
      </c>
      <c r="J61" t="s">
        <v>382</v>
      </c>
      <c r="K61" t="s">
        <v>382</v>
      </c>
      <c r="L61" t="s">
        <v>382</v>
      </c>
      <c r="M61" t="s">
        <v>382</v>
      </c>
      <c r="N61" t="s">
        <v>382</v>
      </c>
      <c r="O61" t="s">
        <v>382</v>
      </c>
      <c r="P61" t="s">
        <v>382</v>
      </c>
      <c r="Q61" t="s">
        <v>382</v>
      </c>
      <c r="R61" t="s">
        <v>382</v>
      </c>
      <c r="S61" t="s">
        <v>382</v>
      </c>
      <c r="T61" t="s">
        <v>382</v>
      </c>
      <c r="U61" t="s">
        <v>382</v>
      </c>
      <c r="V61" t="s">
        <v>382</v>
      </c>
      <c r="W61" t="s">
        <v>382</v>
      </c>
      <c r="X61" t="s">
        <v>382</v>
      </c>
      <c r="Y61" t="s">
        <v>382</v>
      </c>
      <c r="Z61" t="s">
        <v>382</v>
      </c>
      <c r="AA61" t="s">
        <v>382</v>
      </c>
      <c r="AB61" t="s">
        <v>382</v>
      </c>
      <c r="AC61">
        <v>5</v>
      </c>
      <c r="AD61">
        <v>5</v>
      </c>
      <c r="AF61" t="s">
        <v>386</v>
      </c>
      <c r="AH61" t="s">
        <v>29</v>
      </c>
      <c r="AI61" t="s">
        <v>103</v>
      </c>
      <c r="AK61">
        <v>2916</v>
      </c>
      <c r="AL61">
        <v>905</v>
      </c>
    </row>
    <row r="62" spans="1:38">
      <c r="A62" t="s">
        <v>382</v>
      </c>
      <c r="B62" t="s">
        <v>382</v>
      </c>
      <c r="C62" t="s">
        <v>382</v>
      </c>
      <c r="D62" t="s">
        <v>382</v>
      </c>
      <c r="E62" t="s">
        <v>382</v>
      </c>
      <c r="F62" t="s">
        <v>382</v>
      </c>
      <c r="G62" t="s">
        <v>382</v>
      </c>
      <c r="H62" t="s">
        <v>382</v>
      </c>
      <c r="I62" t="s">
        <v>382</v>
      </c>
      <c r="J62" t="s">
        <v>382</v>
      </c>
      <c r="K62" t="s">
        <v>382</v>
      </c>
      <c r="L62" t="s">
        <v>382</v>
      </c>
      <c r="M62" t="s">
        <v>382</v>
      </c>
      <c r="N62" t="s">
        <v>382</v>
      </c>
      <c r="O62" t="s">
        <v>382</v>
      </c>
      <c r="P62" t="s">
        <v>382</v>
      </c>
      <c r="Q62" t="s">
        <v>382</v>
      </c>
      <c r="R62" t="s">
        <v>382</v>
      </c>
      <c r="S62" t="s">
        <v>382</v>
      </c>
      <c r="T62" t="s">
        <v>382</v>
      </c>
      <c r="U62" t="s">
        <v>382</v>
      </c>
      <c r="V62" t="s">
        <v>382</v>
      </c>
      <c r="W62" t="s">
        <v>382</v>
      </c>
      <c r="X62" t="s">
        <v>382</v>
      </c>
      <c r="Y62" t="s">
        <v>382</v>
      </c>
      <c r="Z62" t="s">
        <v>382</v>
      </c>
      <c r="AA62" t="s">
        <v>382</v>
      </c>
      <c r="AB62" t="s">
        <v>382</v>
      </c>
      <c r="AC62">
        <v>5</v>
      </c>
      <c r="AD62">
        <v>1</v>
      </c>
      <c r="AE62">
        <v>1</v>
      </c>
      <c r="AF62" t="s">
        <v>383</v>
      </c>
      <c r="AH62" t="s">
        <v>22</v>
      </c>
      <c r="AI62" t="s">
        <v>97</v>
      </c>
      <c r="AK62">
        <v>1602</v>
      </c>
      <c r="AL62">
        <v>1518</v>
      </c>
    </row>
    <row r="63" spans="1:38">
      <c r="A63" t="s">
        <v>382</v>
      </c>
      <c r="B63" t="s">
        <v>382</v>
      </c>
      <c r="C63" t="s">
        <v>382</v>
      </c>
      <c r="D63" t="s">
        <v>382</v>
      </c>
      <c r="E63" t="s">
        <v>382</v>
      </c>
      <c r="F63" t="s">
        <v>382</v>
      </c>
      <c r="G63" t="s">
        <v>382</v>
      </c>
      <c r="H63" t="s">
        <v>382</v>
      </c>
      <c r="I63" t="s">
        <v>382</v>
      </c>
      <c r="J63" t="s">
        <v>382</v>
      </c>
      <c r="K63" t="s">
        <v>382</v>
      </c>
      <c r="L63" t="s">
        <v>382</v>
      </c>
      <c r="M63" t="s">
        <v>382</v>
      </c>
      <c r="N63" t="s">
        <v>382</v>
      </c>
      <c r="O63" t="s">
        <v>382</v>
      </c>
      <c r="P63" t="s">
        <v>382</v>
      </c>
      <c r="Q63" t="s">
        <v>382</v>
      </c>
      <c r="R63" t="s">
        <v>382</v>
      </c>
      <c r="S63" t="s">
        <v>382</v>
      </c>
      <c r="T63" t="s">
        <v>382</v>
      </c>
      <c r="U63" t="s">
        <v>382</v>
      </c>
      <c r="V63" t="s">
        <v>382</v>
      </c>
      <c r="W63" t="s">
        <v>382</v>
      </c>
      <c r="X63" t="s">
        <v>382</v>
      </c>
      <c r="Y63" t="s">
        <v>382</v>
      </c>
      <c r="Z63" t="s">
        <v>382</v>
      </c>
      <c r="AA63" t="s">
        <v>382</v>
      </c>
      <c r="AB63" t="s">
        <v>382</v>
      </c>
      <c r="AC63">
        <v>5</v>
      </c>
      <c r="AD63">
        <v>2</v>
      </c>
      <c r="AF63" t="s">
        <v>385</v>
      </c>
      <c r="AH63" t="s">
        <v>27</v>
      </c>
      <c r="AI63" t="s">
        <v>109</v>
      </c>
      <c r="AK63">
        <v>819</v>
      </c>
      <c r="AL63">
        <v>167</v>
      </c>
    </row>
    <row r="64" spans="1:38">
      <c r="A64" t="s">
        <v>382</v>
      </c>
      <c r="B64" t="s">
        <v>382</v>
      </c>
      <c r="C64" t="s">
        <v>382</v>
      </c>
      <c r="D64" t="s">
        <v>382</v>
      </c>
      <c r="E64" t="s">
        <v>382</v>
      </c>
      <c r="F64" t="s">
        <v>382</v>
      </c>
      <c r="G64" t="s">
        <v>382</v>
      </c>
      <c r="H64" t="s">
        <v>382</v>
      </c>
      <c r="I64" t="s">
        <v>382</v>
      </c>
      <c r="J64" t="s">
        <v>382</v>
      </c>
      <c r="K64" t="s">
        <v>382</v>
      </c>
      <c r="L64" t="s">
        <v>382</v>
      </c>
      <c r="M64" t="s">
        <v>382</v>
      </c>
      <c r="N64" t="s">
        <v>382</v>
      </c>
      <c r="O64" t="s">
        <v>382</v>
      </c>
      <c r="P64" t="s">
        <v>382</v>
      </c>
      <c r="Q64" t="s">
        <v>382</v>
      </c>
      <c r="R64" t="s">
        <v>382</v>
      </c>
      <c r="S64" t="s">
        <v>382</v>
      </c>
      <c r="T64" t="s">
        <v>382</v>
      </c>
      <c r="U64" t="s">
        <v>382</v>
      </c>
      <c r="V64" t="s">
        <v>382</v>
      </c>
      <c r="W64" t="s">
        <v>382</v>
      </c>
      <c r="X64" t="s">
        <v>382</v>
      </c>
      <c r="Y64" t="s">
        <v>382</v>
      </c>
      <c r="Z64" t="s">
        <v>382</v>
      </c>
      <c r="AA64" t="s">
        <v>382</v>
      </c>
      <c r="AB64" t="s">
        <v>382</v>
      </c>
      <c r="AC64">
        <v>5</v>
      </c>
      <c r="AD64">
        <v>3</v>
      </c>
      <c r="AE64">
        <v>1</v>
      </c>
      <c r="AF64" t="s">
        <v>383</v>
      </c>
      <c r="AH64" t="s">
        <v>22</v>
      </c>
      <c r="AI64" t="s">
        <v>97</v>
      </c>
      <c r="AK64">
        <v>1154</v>
      </c>
      <c r="AL64">
        <v>1851</v>
      </c>
    </row>
    <row r="65" spans="1:38">
      <c r="A65" t="s">
        <v>382</v>
      </c>
      <c r="B65" t="s">
        <v>382</v>
      </c>
      <c r="C65" t="s">
        <v>382</v>
      </c>
      <c r="D65" t="s">
        <v>382</v>
      </c>
      <c r="E65" t="s">
        <v>382</v>
      </c>
      <c r="F65" t="s">
        <v>382</v>
      </c>
      <c r="G65" t="s">
        <v>382</v>
      </c>
      <c r="H65" t="s">
        <v>382</v>
      </c>
      <c r="I65" t="s">
        <v>382</v>
      </c>
      <c r="J65" t="s">
        <v>382</v>
      </c>
      <c r="K65" t="s">
        <v>382</v>
      </c>
      <c r="L65" t="s">
        <v>382</v>
      </c>
      <c r="M65" t="s">
        <v>382</v>
      </c>
      <c r="N65" t="s">
        <v>382</v>
      </c>
      <c r="O65" t="s">
        <v>382</v>
      </c>
      <c r="P65" t="s">
        <v>382</v>
      </c>
      <c r="Q65" t="s">
        <v>382</v>
      </c>
      <c r="R65" t="s">
        <v>382</v>
      </c>
      <c r="S65" t="s">
        <v>382</v>
      </c>
      <c r="T65" t="s">
        <v>382</v>
      </c>
      <c r="U65" t="s">
        <v>382</v>
      </c>
      <c r="V65" t="s">
        <v>382</v>
      </c>
      <c r="W65" t="s">
        <v>382</v>
      </c>
      <c r="X65" t="s">
        <v>382</v>
      </c>
      <c r="Y65" t="s">
        <v>382</v>
      </c>
      <c r="Z65" t="s">
        <v>382</v>
      </c>
      <c r="AA65" t="s">
        <v>382</v>
      </c>
      <c r="AB65" t="s">
        <v>382</v>
      </c>
      <c r="AC65">
        <v>5</v>
      </c>
      <c r="AD65">
        <v>4</v>
      </c>
      <c r="AF65" t="s">
        <v>385</v>
      </c>
      <c r="AH65" t="s">
        <v>27</v>
      </c>
      <c r="AI65" t="s">
        <v>109</v>
      </c>
      <c r="AK65">
        <v>2212</v>
      </c>
      <c r="AL65">
        <v>842</v>
      </c>
    </row>
    <row r="66" spans="1:38">
      <c r="A66" t="s">
        <v>382</v>
      </c>
      <c r="B66" t="s">
        <v>382</v>
      </c>
      <c r="C66" t="s">
        <v>382</v>
      </c>
      <c r="D66" t="s">
        <v>382</v>
      </c>
      <c r="E66" t="s">
        <v>382</v>
      </c>
      <c r="F66" t="s">
        <v>382</v>
      </c>
      <c r="G66" t="s">
        <v>382</v>
      </c>
      <c r="H66" t="s">
        <v>382</v>
      </c>
      <c r="I66" t="s">
        <v>382</v>
      </c>
      <c r="J66" t="s">
        <v>382</v>
      </c>
      <c r="K66" t="s">
        <v>382</v>
      </c>
      <c r="L66" t="s">
        <v>382</v>
      </c>
      <c r="M66" t="s">
        <v>382</v>
      </c>
      <c r="N66" t="s">
        <v>382</v>
      </c>
      <c r="O66" t="s">
        <v>382</v>
      </c>
      <c r="P66" t="s">
        <v>382</v>
      </c>
      <c r="Q66" t="s">
        <v>382</v>
      </c>
      <c r="R66" t="s">
        <v>382</v>
      </c>
      <c r="S66" t="s">
        <v>382</v>
      </c>
      <c r="T66" t="s">
        <v>382</v>
      </c>
      <c r="U66" t="s">
        <v>382</v>
      </c>
      <c r="V66" t="s">
        <v>382</v>
      </c>
      <c r="W66" t="s">
        <v>382</v>
      </c>
      <c r="X66" t="s">
        <v>382</v>
      </c>
      <c r="Y66" t="s">
        <v>382</v>
      </c>
      <c r="Z66" t="s">
        <v>382</v>
      </c>
      <c r="AA66" t="s">
        <v>382</v>
      </c>
      <c r="AB66" t="s">
        <v>382</v>
      </c>
      <c r="AC66">
        <v>5</v>
      </c>
      <c r="AD66">
        <v>5</v>
      </c>
      <c r="AF66" t="s">
        <v>386</v>
      </c>
      <c r="AH66" t="s">
        <v>29</v>
      </c>
      <c r="AI66" t="s">
        <v>103</v>
      </c>
      <c r="AK66">
        <v>1400</v>
      </c>
      <c r="AL66">
        <v>107</v>
      </c>
    </row>
    <row r="67" spans="1:38">
      <c r="A67" t="s">
        <v>382</v>
      </c>
      <c r="B67" t="s">
        <v>382</v>
      </c>
      <c r="C67" t="s">
        <v>382</v>
      </c>
      <c r="D67" t="s">
        <v>382</v>
      </c>
      <c r="E67" t="s">
        <v>382</v>
      </c>
      <c r="F67" t="s">
        <v>382</v>
      </c>
      <c r="G67" t="s">
        <v>382</v>
      </c>
      <c r="H67" t="s">
        <v>382</v>
      </c>
      <c r="I67" t="s">
        <v>382</v>
      </c>
      <c r="J67" t="s">
        <v>382</v>
      </c>
      <c r="K67" t="s">
        <v>382</v>
      </c>
      <c r="L67" t="s">
        <v>382</v>
      </c>
      <c r="M67" t="s">
        <v>382</v>
      </c>
      <c r="N67" t="s">
        <v>382</v>
      </c>
      <c r="O67" t="s">
        <v>382</v>
      </c>
      <c r="P67" t="s">
        <v>382</v>
      </c>
      <c r="Q67" t="s">
        <v>382</v>
      </c>
      <c r="R67" t="s">
        <v>382</v>
      </c>
      <c r="S67" t="s">
        <v>382</v>
      </c>
      <c r="T67" t="s">
        <v>382</v>
      </c>
      <c r="U67" t="s">
        <v>382</v>
      </c>
      <c r="V67" t="s">
        <v>382</v>
      </c>
      <c r="W67" t="s">
        <v>382</v>
      </c>
      <c r="X67" t="s">
        <v>382</v>
      </c>
      <c r="Y67" t="s">
        <v>382</v>
      </c>
      <c r="Z67" t="s">
        <v>382</v>
      </c>
      <c r="AA67" t="s">
        <v>382</v>
      </c>
      <c r="AB67" t="s">
        <v>382</v>
      </c>
      <c r="AC67">
        <v>5</v>
      </c>
      <c r="AD67">
        <v>1</v>
      </c>
      <c r="AF67" t="s">
        <v>385</v>
      </c>
      <c r="AH67" t="s">
        <v>27</v>
      </c>
      <c r="AI67" t="s">
        <v>109</v>
      </c>
      <c r="AK67">
        <v>717</v>
      </c>
      <c r="AL67">
        <v>1509</v>
      </c>
    </row>
    <row r="68" spans="1:38">
      <c r="A68" t="s">
        <v>382</v>
      </c>
      <c r="B68" t="s">
        <v>382</v>
      </c>
      <c r="C68" t="s">
        <v>382</v>
      </c>
      <c r="D68" t="s">
        <v>382</v>
      </c>
      <c r="E68" t="s">
        <v>382</v>
      </c>
      <c r="F68" t="s">
        <v>382</v>
      </c>
      <c r="G68" t="s">
        <v>382</v>
      </c>
      <c r="H68" t="s">
        <v>382</v>
      </c>
      <c r="I68" t="s">
        <v>382</v>
      </c>
      <c r="J68" t="s">
        <v>382</v>
      </c>
      <c r="K68" t="s">
        <v>382</v>
      </c>
      <c r="L68" t="s">
        <v>382</v>
      </c>
      <c r="M68" t="s">
        <v>382</v>
      </c>
      <c r="N68" t="s">
        <v>382</v>
      </c>
      <c r="O68" t="s">
        <v>382</v>
      </c>
      <c r="P68" t="s">
        <v>382</v>
      </c>
      <c r="Q68" t="s">
        <v>382</v>
      </c>
      <c r="R68" t="s">
        <v>382</v>
      </c>
      <c r="S68" t="s">
        <v>382</v>
      </c>
      <c r="T68" t="s">
        <v>382</v>
      </c>
      <c r="U68" t="s">
        <v>382</v>
      </c>
      <c r="V68" t="s">
        <v>382</v>
      </c>
      <c r="W68" t="s">
        <v>382</v>
      </c>
      <c r="X68" t="s">
        <v>382</v>
      </c>
      <c r="Y68" t="s">
        <v>382</v>
      </c>
      <c r="Z68" t="s">
        <v>382</v>
      </c>
      <c r="AA68" t="s">
        <v>382</v>
      </c>
      <c r="AB68" t="s">
        <v>382</v>
      </c>
      <c r="AC68">
        <v>5</v>
      </c>
      <c r="AD68">
        <v>2</v>
      </c>
      <c r="AE68">
        <v>1</v>
      </c>
      <c r="AF68" t="s">
        <v>383</v>
      </c>
      <c r="AH68" t="s">
        <v>22</v>
      </c>
      <c r="AI68" t="s">
        <v>97</v>
      </c>
      <c r="AK68">
        <v>3010</v>
      </c>
      <c r="AL68">
        <v>1259</v>
      </c>
    </row>
    <row r="69" spans="1:38">
      <c r="A69" t="s">
        <v>382</v>
      </c>
      <c r="B69" t="s">
        <v>382</v>
      </c>
      <c r="C69" t="s">
        <v>382</v>
      </c>
      <c r="D69" t="s">
        <v>382</v>
      </c>
      <c r="E69" t="s">
        <v>382</v>
      </c>
      <c r="F69" t="s">
        <v>382</v>
      </c>
      <c r="G69" t="s">
        <v>382</v>
      </c>
      <c r="H69" t="s">
        <v>382</v>
      </c>
      <c r="I69" t="s">
        <v>382</v>
      </c>
      <c r="J69" t="s">
        <v>382</v>
      </c>
      <c r="K69" t="s">
        <v>382</v>
      </c>
      <c r="L69" t="s">
        <v>382</v>
      </c>
      <c r="M69" t="s">
        <v>382</v>
      </c>
      <c r="N69" t="s">
        <v>382</v>
      </c>
      <c r="O69" t="s">
        <v>382</v>
      </c>
      <c r="P69" t="s">
        <v>382</v>
      </c>
      <c r="Q69" t="s">
        <v>382</v>
      </c>
      <c r="R69" t="s">
        <v>382</v>
      </c>
      <c r="S69" t="s">
        <v>382</v>
      </c>
      <c r="T69" t="s">
        <v>382</v>
      </c>
      <c r="U69" t="s">
        <v>382</v>
      </c>
      <c r="V69" t="s">
        <v>382</v>
      </c>
      <c r="W69" t="s">
        <v>382</v>
      </c>
      <c r="X69" t="s">
        <v>382</v>
      </c>
      <c r="Y69" t="s">
        <v>382</v>
      </c>
      <c r="Z69" t="s">
        <v>382</v>
      </c>
      <c r="AA69" t="s">
        <v>382</v>
      </c>
      <c r="AB69" t="s">
        <v>382</v>
      </c>
      <c r="AC69">
        <v>5</v>
      </c>
      <c r="AD69">
        <v>3</v>
      </c>
      <c r="AF69" t="s">
        <v>384</v>
      </c>
      <c r="AH69" t="s">
        <v>25</v>
      </c>
      <c r="AI69" t="s">
        <v>106</v>
      </c>
      <c r="AK69">
        <v>1173</v>
      </c>
      <c r="AL69">
        <v>2000</v>
      </c>
    </row>
    <row r="70" spans="1:38">
      <c r="A70" t="s">
        <v>382</v>
      </c>
      <c r="B70" t="s">
        <v>382</v>
      </c>
      <c r="C70" t="s">
        <v>382</v>
      </c>
      <c r="D70" t="s">
        <v>382</v>
      </c>
      <c r="E70" t="s">
        <v>382</v>
      </c>
      <c r="F70" t="s">
        <v>382</v>
      </c>
      <c r="G70" t="s">
        <v>382</v>
      </c>
      <c r="H70" t="s">
        <v>382</v>
      </c>
      <c r="I70" t="s">
        <v>382</v>
      </c>
      <c r="J70" t="s">
        <v>382</v>
      </c>
      <c r="K70" t="s">
        <v>382</v>
      </c>
      <c r="L70" t="s">
        <v>382</v>
      </c>
      <c r="M70" t="s">
        <v>382</v>
      </c>
      <c r="N70" t="s">
        <v>382</v>
      </c>
      <c r="O70" t="s">
        <v>382</v>
      </c>
      <c r="P70" t="s">
        <v>382</v>
      </c>
      <c r="Q70" t="s">
        <v>382</v>
      </c>
      <c r="R70" t="s">
        <v>382</v>
      </c>
      <c r="S70" t="s">
        <v>382</v>
      </c>
      <c r="T70" t="s">
        <v>382</v>
      </c>
      <c r="U70" t="s">
        <v>382</v>
      </c>
      <c r="V70" t="s">
        <v>382</v>
      </c>
      <c r="W70" t="s">
        <v>382</v>
      </c>
      <c r="X70" t="s">
        <v>382</v>
      </c>
      <c r="Y70" t="s">
        <v>382</v>
      </c>
      <c r="Z70" t="s">
        <v>382</v>
      </c>
      <c r="AA70" t="s">
        <v>382</v>
      </c>
      <c r="AB70" t="s">
        <v>382</v>
      </c>
      <c r="AC70">
        <v>5</v>
      </c>
      <c r="AD70">
        <v>4</v>
      </c>
      <c r="AF70" t="s">
        <v>386</v>
      </c>
      <c r="AH70" t="s">
        <v>29</v>
      </c>
      <c r="AI70" t="s">
        <v>103</v>
      </c>
      <c r="AK70">
        <v>686</v>
      </c>
      <c r="AL70">
        <v>2106</v>
      </c>
    </row>
    <row r="71" spans="1:38">
      <c r="A71" t="s">
        <v>382</v>
      </c>
      <c r="B71" t="s">
        <v>382</v>
      </c>
      <c r="C71" t="s">
        <v>382</v>
      </c>
      <c r="D71" t="s">
        <v>382</v>
      </c>
      <c r="E71" t="s">
        <v>382</v>
      </c>
      <c r="F71" t="s">
        <v>382</v>
      </c>
      <c r="G71" t="s">
        <v>382</v>
      </c>
      <c r="H71" t="s">
        <v>382</v>
      </c>
      <c r="I71" t="s">
        <v>382</v>
      </c>
      <c r="J71" t="s">
        <v>382</v>
      </c>
      <c r="K71" t="s">
        <v>382</v>
      </c>
      <c r="L71" t="s">
        <v>382</v>
      </c>
      <c r="M71" t="s">
        <v>382</v>
      </c>
      <c r="N71" t="s">
        <v>382</v>
      </c>
      <c r="O71" t="s">
        <v>382</v>
      </c>
      <c r="P71" t="s">
        <v>382</v>
      </c>
      <c r="Q71" t="s">
        <v>382</v>
      </c>
      <c r="R71" t="s">
        <v>382</v>
      </c>
      <c r="S71" t="s">
        <v>382</v>
      </c>
      <c r="T71" t="s">
        <v>382</v>
      </c>
      <c r="U71" t="s">
        <v>382</v>
      </c>
      <c r="V71" t="s">
        <v>382</v>
      </c>
      <c r="W71" t="s">
        <v>382</v>
      </c>
      <c r="X71" t="s">
        <v>382</v>
      </c>
      <c r="Y71" t="s">
        <v>382</v>
      </c>
      <c r="Z71" t="s">
        <v>382</v>
      </c>
      <c r="AA71" t="s">
        <v>382</v>
      </c>
      <c r="AB71" t="s">
        <v>382</v>
      </c>
      <c r="AC71">
        <v>5</v>
      </c>
      <c r="AD71">
        <v>5</v>
      </c>
      <c r="AE71">
        <v>1</v>
      </c>
      <c r="AF71" t="s">
        <v>383</v>
      </c>
      <c r="AH71" t="s">
        <v>22</v>
      </c>
      <c r="AI71" t="s">
        <v>97</v>
      </c>
      <c r="AK71">
        <v>1417</v>
      </c>
      <c r="AL71">
        <v>32</v>
      </c>
    </row>
    <row r="72" spans="1:38">
      <c r="A72" t="s">
        <v>382</v>
      </c>
      <c r="B72" t="s">
        <v>382</v>
      </c>
      <c r="C72" t="s">
        <v>382</v>
      </c>
      <c r="D72" t="s">
        <v>382</v>
      </c>
      <c r="E72" t="s">
        <v>382</v>
      </c>
      <c r="F72" t="s">
        <v>382</v>
      </c>
      <c r="G72" t="s">
        <v>382</v>
      </c>
      <c r="H72" t="s">
        <v>382</v>
      </c>
      <c r="I72" t="s">
        <v>382</v>
      </c>
      <c r="J72" t="s">
        <v>382</v>
      </c>
      <c r="K72" t="s">
        <v>382</v>
      </c>
      <c r="L72" t="s">
        <v>382</v>
      </c>
      <c r="M72" t="s">
        <v>382</v>
      </c>
      <c r="N72" t="s">
        <v>382</v>
      </c>
      <c r="O72" t="s">
        <v>382</v>
      </c>
      <c r="P72" t="s">
        <v>382</v>
      </c>
      <c r="Q72" t="s">
        <v>382</v>
      </c>
      <c r="R72" t="s">
        <v>382</v>
      </c>
      <c r="S72" t="s">
        <v>382</v>
      </c>
      <c r="T72" t="s">
        <v>382</v>
      </c>
      <c r="U72" t="s">
        <v>382</v>
      </c>
      <c r="V72" t="s">
        <v>382</v>
      </c>
      <c r="W72" t="s">
        <v>382</v>
      </c>
      <c r="X72" t="s">
        <v>382</v>
      </c>
      <c r="Y72" t="s">
        <v>382</v>
      </c>
      <c r="Z72" t="s">
        <v>382</v>
      </c>
      <c r="AA72" t="s">
        <v>382</v>
      </c>
      <c r="AB72" t="s">
        <v>382</v>
      </c>
      <c r="AC72">
        <v>5</v>
      </c>
      <c r="AD72">
        <v>1</v>
      </c>
      <c r="AE72">
        <v>1</v>
      </c>
      <c r="AF72" t="s">
        <v>383</v>
      </c>
      <c r="AH72" t="s">
        <v>22</v>
      </c>
      <c r="AI72" t="s">
        <v>97</v>
      </c>
      <c r="AK72">
        <v>1789</v>
      </c>
      <c r="AL72">
        <v>402</v>
      </c>
    </row>
    <row r="73" spans="1:38">
      <c r="A73" t="s">
        <v>382</v>
      </c>
      <c r="B73" t="s">
        <v>382</v>
      </c>
      <c r="C73" t="s">
        <v>382</v>
      </c>
      <c r="D73" t="s">
        <v>382</v>
      </c>
      <c r="E73" t="s">
        <v>382</v>
      </c>
      <c r="F73" t="s">
        <v>382</v>
      </c>
      <c r="G73" t="s">
        <v>382</v>
      </c>
      <c r="H73" t="s">
        <v>382</v>
      </c>
      <c r="I73" t="s">
        <v>382</v>
      </c>
      <c r="J73" t="s">
        <v>382</v>
      </c>
      <c r="K73" t="s">
        <v>382</v>
      </c>
      <c r="L73" t="s">
        <v>382</v>
      </c>
      <c r="M73" t="s">
        <v>382</v>
      </c>
      <c r="N73" t="s">
        <v>382</v>
      </c>
      <c r="O73" t="s">
        <v>382</v>
      </c>
      <c r="P73" t="s">
        <v>382</v>
      </c>
      <c r="Q73" t="s">
        <v>382</v>
      </c>
      <c r="R73" t="s">
        <v>382</v>
      </c>
      <c r="S73" t="s">
        <v>382</v>
      </c>
      <c r="T73" t="s">
        <v>382</v>
      </c>
      <c r="U73" t="s">
        <v>382</v>
      </c>
      <c r="V73" t="s">
        <v>382</v>
      </c>
      <c r="W73" t="s">
        <v>382</v>
      </c>
      <c r="X73" t="s">
        <v>382</v>
      </c>
      <c r="Y73" t="s">
        <v>382</v>
      </c>
      <c r="Z73" t="s">
        <v>382</v>
      </c>
      <c r="AA73" t="s">
        <v>382</v>
      </c>
      <c r="AB73" t="s">
        <v>382</v>
      </c>
      <c r="AC73">
        <v>5</v>
      </c>
      <c r="AD73">
        <v>2</v>
      </c>
      <c r="AE73">
        <v>1</v>
      </c>
      <c r="AF73" t="s">
        <v>387</v>
      </c>
      <c r="AH73" t="s">
        <v>31</v>
      </c>
      <c r="AI73" t="s">
        <v>97</v>
      </c>
      <c r="AK73">
        <v>2724</v>
      </c>
      <c r="AL73">
        <v>2358</v>
      </c>
    </row>
    <row r="74" spans="1:38">
      <c r="A74" t="s">
        <v>382</v>
      </c>
      <c r="B74" t="s">
        <v>382</v>
      </c>
      <c r="C74" t="s">
        <v>382</v>
      </c>
      <c r="D74" t="s">
        <v>382</v>
      </c>
      <c r="E74" t="s">
        <v>382</v>
      </c>
      <c r="F74" t="s">
        <v>382</v>
      </c>
      <c r="G74" t="s">
        <v>382</v>
      </c>
      <c r="H74" t="s">
        <v>382</v>
      </c>
      <c r="I74" t="s">
        <v>382</v>
      </c>
      <c r="J74" t="s">
        <v>382</v>
      </c>
      <c r="K74" t="s">
        <v>382</v>
      </c>
      <c r="L74" t="s">
        <v>382</v>
      </c>
      <c r="M74" t="s">
        <v>382</v>
      </c>
      <c r="N74" t="s">
        <v>382</v>
      </c>
      <c r="O74" t="s">
        <v>382</v>
      </c>
      <c r="P74" t="s">
        <v>382</v>
      </c>
      <c r="Q74" t="s">
        <v>382</v>
      </c>
      <c r="R74" t="s">
        <v>382</v>
      </c>
      <c r="S74" t="s">
        <v>382</v>
      </c>
      <c r="T74" t="s">
        <v>382</v>
      </c>
      <c r="U74" t="s">
        <v>382</v>
      </c>
      <c r="V74" t="s">
        <v>382</v>
      </c>
      <c r="W74" t="s">
        <v>382</v>
      </c>
      <c r="X74" t="s">
        <v>382</v>
      </c>
      <c r="Y74" t="s">
        <v>382</v>
      </c>
      <c r="Z74" t="s">
        <v>382</v>
      </c>
      <c r="AA74" t="s">
        <v>382</v>
      </c>
      <c r="AB74" t="s">
        <v>382</v>
      </c>
      <c r="AC74">
        <v>5</v>
      </c>
      <c r="AD74">
        <v>3</v>
      </c>
      <c r="AF74" t="s">
        <v>385</v>
      </c>
      <c r="AH74" t="s">
        <v>27</v>
      </c>
      <c r="AI74" t="s">
        <v>109</v>
      </c>
      <c r="AK74">
        <v>607</v>
      </c>
      <c r="AL74">
        <v>1156</v>
      </c>
    </row>
    <row r="75" spans="1:38">
      <c r="A75" t="s">
        <v>382</v>
      </c>
      <c r="B75" t="s">
        <v>382</v>
      </c>
      <c r="C75" t="s">
        <v>382</v>
      </c>
      <c r="D75" t="s">
        <v>382</v>
      </c>
      <c r="E75" t="s">
        <v>382</v>
      </c>
      <c r="F75" t="s">
        <v>382</v>
      </c>
      <c r="G75" t="s">
        <v>382</v>
      </c>
      <c r="H75" t="s">
        <v>382</v>
      </c>
      <c r="I75" t="s">
        <v>382</v>
      </c>
      <c r="J75" t="s">
        <v>382</v>
      </c>
      <c r="K75" t="s">
        <v>382</v>
      </c>
      <c r="L75" t="s">
        <v>382</v>
      </c>
      <c r="M75" t="s">
        <v>382</v>
      </c>
      <c r="N75" t="s">
        <v>382</v>
      </c>
      <c r="O75" t="s">
        <v>382</v>
      </c>
      <c r="P75" t="s">
        <v>382</v>
      </c>
      <c r="Q75" t="s">
        <v>382</v>
      </c>
      <c r="R75" t="s">
        <v>382</v>
      </c>
      <c r="S75" t="s">
        <v>382</v>
      </c>
      <c r="T75" t="s">
        <v>382</v>
      </c>
      <c r="U75" t="s">
        <v>382</v>
      </c>
      <c r="V75" t="s">
        <v>382</v>
      </c>
      <c r="W75" t="s">
        <v>382</v>
      </c>
      <c r="X75" t="s">
        <v>382</v>
      </c>
      <c r="Y75" t="s">
        <v>382</v>
      </c>
      <c r="Z75" t="s">
        <v>382</v>
      </c>
      <c r="AA75" t="s">
        <v>382</v>
      </c>
      <c r="AB75" t="s">
        <v>382</v>
      </c>
      <c r="AC75">
        <v>5</v>
      </c>
      <c r="AD75">
        <v>4</v>
      </c>
      <c r="AE75">
        <v>1</v>
      </c>
      <c r="AF75" t="s">
        <v>383</v>
      </c>
      <c r="AH75" t="s">
        <v>22</v>
      </c>
      <c r="AI75" t="s">
        <v>97</v>
      </c>
      <c r="AK75">
        <v>1231</v>
      </c>
      <c r="AL75">
        <v>475</v>
      </c>
    </row>
    <row r="76" spans="1:38">
      <c r="A76" t="s">
        <v>382</v>
      </c>
      <c r="B76" t="s">
        <v>382</v>
      </c>
      <c r="C76" t="s">
        <v>382</v>
      </c>
      <c r="D76" t="s">
        <v>382</v>
      </c>
      <c r="E76" t="s">
        <v>382</v>
      </c>
      <c r="F76" t="s">
        <v>382</v>
      </c>
      <c r="G76" t="s">
        <v>382</v>
      </c>
      <c r="H76" t="s">
        <v>382</v>
      </c>
      <c r="I76" t="s">
        <v>382</v>
      </c>
      <c r="J76" t="s">
        <v>382</v>
      </c>
      <c r="K76" t="s">
        <v>382</v>
      </c>
      <c r="L76" t="s">
        <v>382</v>
      </c>
      <c r="M76" t="s">
        <v>382</v>
      </c>
      <c r="N76" t="s">
        <v>382</v>
      </c>
      <c r="O76" t="s">
        <v>382</v>
      </c>
      <c r="P76" t="s">
        <v>382</v>
      </c>
      <c r="Q76" t="s">
        <v>382</v>
      </c>
      <c r="R76" t="s">
        <v>382</v>
      </c>
      <c r="S76" t="s">
        <v>382</v>
      </c>
      <c r="T76" t="s">
        <v>382</v>
      </c>
      <c r="U76" t="s">
        <v>382</v>
      </c>
      <c r="V76" t="s">
        <v>382</v>
      </c>
      <c r="W76" t="s">
        <v>382</v>
      </c>
      <c r="X76" t="s">
        <v>382</v>
      </c>
      <c r="Y76" t="s">
        <v>382</v>
      </c>
      <c r="Z76" t="s">
        <v>382</v>
      </c>
      <c r="AA76" t="s">
        <v>382</v>
      </c>
      <c r="AB76" t="s">
        <v>382</v>
      </c>
      <c r="AC76">
        <v>5</v>
      </c>
      <c r="AD76">
        <v>5</v>
      </c>
      <c r="AF76" t="s">
        <v>385</v>
      </c>
      <c r="AH76" t="s">
        <v>27</v>
      </c>
      <c r="AI76" t="s">
        <v>109</v>
      </c>
      <c r="AK76">
        <v>1598</v>
      </c>
      <c r="AL76">
        <v>1127</v>
      </c>
    </row>
    <row r="77" spans="1:38">
      <c r="A77" t="s">
        <v>382</v>
      </c>
      <c r="B77" t="s">
        <v>382</v>
      </c>
      <c r="C77" t="s">
        <v>382</v>
      </c>
      <c r="D77" t="s">
        <v>382</v>
      </c>
      <c r="E77" t="s">
        <v>382</v>
      </c>
      <c r="F77" t="s">
        <v>382</v>
      </c>
      <c r="G77" t="s">
        <v>382</v>
      </c>
      <c r="H77" t="s">
        <v>382</v>
      </c>
      <c r="I77" t="s">
        <v>382</v>
      </c>
      <c r="J77" t="s">
        <v>382</v>
      </c>
      <c r="K77" t="s">
        <v>382</v>
      </c>
      <c r="L77" t="s">
        <v>382</v>
      </c>
      <c r="M77" t="s">
        <v>382</v>
      </c>
      <c r="N77" t="s">
        <v>382</v>
      </c>
      <c r="O77" t="s">
        <v>382</v>
      </c>
      <c r="P77" t="s">
        <v>382</v>
      </c>
      <c r="Q77" t="s">
        <v>382</v>
      </c>
      <c r="R77" t="s">
        <v>382</v>
      </c>
      <c r="S77" t="s">
        <v>382</v>
      </c>
      <c r="T77" t="s">
        <v>382</v>
      </c>
      <c r="U77" t="s">
        <v>382</v>
      </c>
      <c r="V77" t="s">
        <v>382</v>
      </c>
      <c r="W77" t="s">
        <v>382</v>
      </c>
      <c r="X77" t="s">
        <v>382</v>
      </c>
      <c r="Y77" t="s">
        <v>382</v>
      </c>
      <c r="Z77" t="s">
        <v>382</v>
      </c>
      <c r="AA77" t="s">
        <v>382</v>
      </c>
      <c r="AB77" t="s">
        <v>382</v>
      </c>
      <c r="AC77">
        <v>5</v>
      </c>
      <c r="AD77">
        <v>1</v>
      </c>
      <c r="AE77">
        <v>1</v>
      </c>
      <c r="AF77" t="s">
        <v>387</v>
      </c>
      <c r="AH77" t="s">
        <v>31</v>
      </c>
      <c r="AI77" t="s">
        <v>97</v>
      </c>
      <c r="AK77">
        <v>588</v>
      </c>
      <c r="AL77">
        <v>741</v>
      </c>
    </row>
    <row r="78" spans="1:38">
      <c r="A78" t="s">
        <v>382</v>
      </c>
      <c r="B78" t="s">
        <v>382</v>
      </c>
      <c r="C78" t="s">
        <v>382</v>
      </c>
      <c r="D78" t="s">
        <v>382</v>
      </c>
      <c r="E78" t="s">
        <v>382</v>
      </c>
      <c r="F78" t="s">
        <v>382</v>
      </c>
      <c r="G78" t="s">
        <v>382</v>
      </c>
      <c r="H78" t="s">
        <v>382</v>
      </c>
      <c r="I78" t="s">
        <v>382</v>
      </c>
      <c r="J78" t="s">
        <v>382</v>
      </c>
      <c r="K78" t="s">
        <v>382</v>
      </c>
      <c r="L78" t="s">
        <v>382</v>
      </c>
      <c r="M78" t="s">
        <v>382</v>
      </c>
      <c r="N78" t="s">
        <v>382</v>
      </c>
      <c r="O78" t="s">
        <v>382</v>
      </c>
      <c r="P78" t="s">
        <v>382</v>
      </c>
      <c r="Q78" t="s">
        <v>382</v>
      </c>
      <c r="R78" t="s">
        <v>382</v>
      </c>
      <c r="S78" t="s">
        <v>382</v>
      </c>
      <c r="T78" t="s">
        <v>382</v>
      </c>
      <c r="U78" t="s">
        <v>382</v>
      </c>
      <c r="V78" t="s">
        <v>382</v>
      </c>
      <c r="W78" t="s">
        <v>382</v>
      </c>
      <c r="X78" t="s">
        <v>382</v>
      </c>
      <c r="Y78" t="s">
        <v>382</v>
      </c>
      <c r="Z78" t="s">
        <v>382</v>
      </c>
      <c r="AA78" t="s">
        <v>382</v>
      </c>
      <c r="AB78" t="s">
        <v>382</v>
      </c>
      <c r="AC78">
        <v>5</v>
      </c>
      <c r="AD78">
        <v>2</v>
      </c>
      <c r="AF78" t="s">
        <v>386</v>
      </c>
      <c r="AH78" t="s">
        <v>29</v>
      </c>
      <c r="AI78" t="s">
        <v>103</v>
      </c>
      <c r="AK78">
        <v>1607</v>
      </c>
      <c r="AL78">
        <v>1932</v>
      </c>
    </row>
    <row r="79" spans="1:38">
      <c r="A79" t="s">
        <v>382</v>
      </c>
      <c r="B79" t="s">
        <v>382</v>
      </c>
      <c r="C79" t="s">
        <v>382</v>
      </c>
      <c r="D79" t="s">
        <v>382</v>
      </c>
      <c r="E79" t="s">
        <v>382</v>
      </c>
      <c r="F79" t="s">
        <v>382</v>
      </c>
      <c r="G79" t="s">
        <v>382</v>
      </c>
      <c r="H79" t="s">
        <v>382</v>
      </c>
      <c r="I79" t="s">
        <v>382</v>
      </c>
      <c r="J79" t="s">
        <v>382</v>
      </c>
      <c r="K79" t="s">
        <v>382</v>
      </c>
      <c r="L79" t="s">
        <v>382</v>
      </c>
      <c r="M79" t="s">
        <v>382</v>
      </c>
      <c r="N79" t="s">
        <v>382</v>
      </c>
      <c r="O79" t="s">
        <v>382</v>
      </c>
      <c r="P79" t="s">
        <v>382</v>
      </c>
      <c r="Q79" t="s">
        <v>382</v>
      </c>
      <c r="R79" t="s">
        <v>382</v>
      </c>
      <c r="S79" t="s">
        <v>382</v>
      </c>
      <c r="T79" t="s">
        <v>382</v>
      </c>
      <c r="U79" t="s">
        <v>382</v>
      </c>
      <c r="V79" t="s">
        <v>382</v>
      </c>
      <c r="W79" t="s">
        <v>382</v>
      </c>
      <c r="X79" t="s">
        <v>382</v>
      </c>
      <c r="Y79" t="s">
        <v>382</v>
      </c>
      <c r="Z79" t="s">
        <v>382</v>
      </c>
      <c r="AA79" t="s">
        <v>382</v>
      </c>
      <c r="AB79" t="s">
        <v>382</v>
      </c>
      <c r="AC79">
        <v>5</v>
      </c>
      <c r="AD79">
        <v>3</v>
      </c>
      <c r="AF79" t="s">
        <v>386</v>
      </c>
      <c r="AH79" t="s">
        <v>29</v>
      </c>
      <c r="AI79" t="s">
        <v>103</v>
      </c>
      <c r="AK79">
        <v>1151</v>
      </c>
      <c r="AL79">
        <v>1344</v>
      </c>
    </row>
    <row r="80" spans="1:38">
      <c r="A80" t="s">
        <v>382</v>
      </c>
      <c r="B80" t="s">
        <v>382</v>
      </c>
      <c r="C80" t="s">
        <v>382</v>
      </c>
      <c r="D80" t="s">
        <v>382</v>
      </c>
      <c r="E80" t="s">
        <v>382</v>
      </c>
      <c r="F80" t="s">
        <v>382</v>
      </c>
      <c r="G80" t="s">
        <v>382</v>
      </c>
      <c r="H80" t="s">
        <v>382</v>
      </c>
      <c r="I80" t="s">
        <v>382</v>
      </c>
      <c r="J80" t="s">
        <v>382</v>
      </c>
      <c r="K80" t="s">
        <v>382</v>
      </c>
      <c r="L80" t="s">
        <v>382</v>
      </c>
      <c r="M80" t="s">
        <v>382</v>
      </c>
      <c r="N80" t="s">
        <v>382</v>
      </c>
      <c r="O80" t="s">
        <v>382</v>
      </c>
      <c r="P80" t="s">
        <v>382</v>
      </c>
      <c r="Q80" t="s">
        <v>382</v>
      </c>
      <c r="R80" t="s">
        <v>382</v>
      </c>
      <c r="S80" t="s">
        <v>382</v>
      </c>
      <c r="T80" t="s">
        <v>382</v>
      </c>
      <c r="U80" t="s">
        <v>382</v>
      </c>
      <c r="V80" t="s">
        <v>382</v>
      </c>
      <c r="W80" t="s">
        <v>382</v>
      </c>
      <c r="X80" t="s">
        <v>382</v>
      </c>
      <c r="Y80" t="s">
        <v>382</v>
      </c>
      <c r="Z80" t="s">
        <v>382</v>
      </c>
      <c r="AA80" t="s">
        <v>382</v>
      </c>
      <c r="AB80" t="s">
        <v>382</v>
      </c>
      <c r="AC80">
        <v>5</v>
      </c>
      <c r="AD80">
        <v>4</v>
      </c>
      <c r="AE80">
        <v>1</v>
      </c>
      <c r="AF80" t="s">
        <v>393</v>
      </c>
      <c r="AH80" t="s">
        <v>51</v>
      </c>
      <c r="AI80" t="s">
        <v>97</v>
      </c>
      <c r="AK80">
        <v>1652</v>
      </c>
      <c r="AL80">
        <v>48</v>
      </c>
    </row>
    <row r="81" spans="1:38">
      <c r="A81" t="s">
        <v>382</v>
      </c>
      <c r="B81" t="s">
        <v>382</v>
      </c>
      <c r="C81" t="s">
        <v>382</v>
      </c>
      <c r="D81" t="s">
        <v>382</v>
      </c>
      <c r="E81" t="s">
        <v>382</v>
      </c>
      <c r="F81" t="s">
        <v>382</v>
      </c>
      <c r="G81" t="s">
        <v>382</v>
      </c>
      <c r="H81" t="s">
        <v>382</v>
      </c>
      <c r="I81" t="s">
        <v>382</v>
      </c>
      <c r="J81" t="s">
        <v>382</v>
      </c>
      <c r="K81" t="s">
        <v>382</v>
      </c>
      <c r="L81" t="s">
        <v>382</v>
      </c>
      <c r="M81" t="s">
        <v>382</v>
      </c>
      <c r="N81" t="s">
        <v>382</v>
      </c>
      <c r="O81" t="s">
        <v>382</v>
      </c>
      <c r="P81" t="s">
        <v>382</v>
      </c>
      <c r="Q81" t="s">
        <v>382</v>
      </c>
      <c r="R81" t="s">
        <v>382</v>
      </c>
      <c r="S81" t="s">
        <v>382</v>
      </c>
      <c r="T81" t="s">
        <v>382</v>
      </c>
      <c r="U81" t="s">
        <v>382</v>
      </c>
      <c r="V81" t="s">
        <v>382</v>
      </c>
      <c r="W81" t="s">
        <v>382</v>
      </c>
      <c r="X81" t="s">
        <v>382</v>
      </c>
      <c r="Y81" t="s">
        <v>382</v>
      </c>
      <c r="Z81" t="s">
        <v>382</v>
      </c>
      <c r="AA81" t="s">
        <v>382</v>
      </c>
      <c r="AB81" t="s">
        <v>382</v>
      </c>
      <c r="AC81">
        <v>5</v>
      </c>
      <c r="AD81">
        <v>5</v>
      </c>
      <c r="AF81" t="s">
        <v>386</v>
      </c>
      <c r="AH81" t="s">
        <v>29</v>
      </c>
      <c r="AI81" t="s">
        <v>103</v>
      </c>
      <c r="AK81">
        <v>2861</v>
      </c>
      <c r="AL81">
        <v>2416</v>
      </c>
    </row>
    <row r="82" spans="1:38">
      <c r="A82" t="s">
        <v>382</v>
      </c>
      <c r="B82" t="s">
        <v>382</v>
      </c>
      <c r="C82" t="s">
        <v>382</v>
      </c>
      <c r="D82" t="s">
        <v>382</v>
      </c>
      <c r="E82" t="s">
        <v>382</v>
      </c>
      <c r="F82" t="s">
        <v>382</v>
      </c>
      <c r="G82" t="s">
        <v>382</v>
      </c>
      <c r="H82" t="s">
        <v>382</v>
      </c>
      <c r="I82" t="s">
        <v>382</v>
      </c>
      <c r="J82" t="s">
        <v>382</v>
      </c>
      <c r="K82" t="s">
        <v>382</v>
      </c>
      <c r="L82" t="s">
        <v>382</v>
      </c>
      <c r="M82" t="s">
        <v>382</v>
      </c>
      <c r="N82" t="s">
        <v>382</v>
      </c>
      <c r="O82" t="s">
        <v>382</v>
      </c>
      <c r="P82" t="s">
        <v>382</v>
      </c>
      <c r="Q82" t="s">
        <v>382</v>
      </c>
      <c r="R82" t="s">
        <v>382</v>
      </c>
      <c r="S82" t="s">
        <v>382</v>
      </c>
      <c r="T82" t="s">
        <v>382</v>
      </c>
      <c r="U82" t="s">
        <v>382</v>
      </c>
      <c r="V82" t="s">
        <v>382</v>
      </c>
      <c r="W82" t="s">
        <v>382</v>
      </c>
      <c r="X82" t="s">
        <v>382</v>
      </c>
      <c r="Y82" t="s">
        <v>382</v>
      </c>
      <c r="Z82" t="s">
        <v>382</v>
      </c>
      <c r="AA82" t="s">
        <v>382</v>
      </c>
      <c r="AB82" t="s">
        <v>382</v>
      </c>
      <c r="AC82">
        <v>5</v>
      </c>
      <c r="AD82">
        <v>1</v>
      </c>
      <c r="AF82" t="s">
        <v>385</v>
      </c>
      <c r="AH82" t="s">
        <v>27</v>
      </c>
      <c r="AI82" t="s">
        <v>109</v>
      </c>
      <c r="AK82">
        <v>2248</v>
      </c>
      <c r="AL82">
        <v>1732</v>
      </c>
    </row>
    <row r="83" spans="1:38">
      <c r="A83" t="s">
        <v>382</v>
      </c>
      <c r="B83" t="s">
        <v>382</v>
      </c>
      <c r="C83" t="s">
        <v>382</v>
      </c>
      <c r="D83" t="s">
        <v>382</v>
      </c>
      <c r="E83" t="s">
        <v>382</v>
      </c>
      <c r="F83" t="s">
        <v>382</v>
      </c>
      <c r="G83" t="s">
        <v>382</v>
      </c>
      <c r="H83" t="s">
        <v>382</v>
      </c>
      <c r="I83" t="s">
        <v>382</v>
      </c>
      <c r="J83" t="s">
        <v>382</v>
      </c>
      <c r="K83" t="s">
        <v>382</v>
      </c>
      <c r="L83" t="s">
        <v>382</v>
      </c>
      <c r="M83" t="s">
        <v>382</v>
      </c>
      <c r="N83" t="s">
        <v>382</v>
      </c>
      <c r="O83" t="s">
        <v>382</v>
      </c>
      <c r="P83" t="s">
        <v>382</v>
      </c>
      <c r="Q83" t="s">
        <v>382</v>
      </c>
      <c r="R83" t="s">
        <v>382</v>
      </c>
      <c r="S83" t="s">
        <v>382</v>
      </c>
      <c r="T83" t="s">
        <v>382</v>
      </c>
      <c r="U83" t="s">
        <v>382</v>
      </c>
      <c r="V83" t="s">
        <v>382</v>
      </c>
      <c r="W83" t="s">
        <v>382</v>
      </c>
      <c r="X83" t="s">
        <v>382</v>
      </c>
      <c r="Y83" t="s">
        <v>382</v>
      </c>
      <c r="Z83" t="s">
        <v>382</v>
      </c>
      <c r="AA83" t="s">
        <v>382</v>
      </c>
      <c r="AB83" t="s">
        <v>382</v>
      </c>
      <c r="AC83">
        <v>5</v>
      </c>
      <c r="AD83">
        <v>2</v>
      </c>
      <c r="AE83">
        <v>1</v>
      </c>
      <c r="AF83" t="s">
        <v>487</v>
      </c>
      <c r="AH83" t="s">
        <v>153</v>
      </c>
      <c r="AI83" t="s">
        <v>97</v>
      </c>
      <c r="AK83">
        <v>2242</v>
      </c>
      <c r="AL83">
        <v>1381</v>
      </c>
    </row>
    <row r="84" spans="1:38">
      <c r="A84" t="s">
        <v>382</v>
      </c>
      <c r="B84" t="s">
        <v>382</v>
      </c>
      <c r="C84" t="s">
        <v>382</v>
      </c>
      <c r="D84" t="s">
        <v>382</v>
      </c>
      <c r="E84" t="s">
        <v>382</v>
      </c>
      <c r="F84" t="s">
        <v>382</v>
      </c>
      <c r="G84" t="s">
        <v>382</v>
      </c>
      <c r="H84" t="s">
        <v>382</v>
      </c>
      <c r="I84" t="s">
        <v>382</v>
      </c>
      <c r="J84" t="s">
        <v>382</v>
      </c>
      <c r="K84" t="s">
        <v>382</v>
      </c>
      <c r="L84" t="s">
        <v>382</v>
      </c>
      <c r="M84" t="s">
        <v>382</v>
      </c>
      <c r="N84" t="s">
        <v>382</v>
      </c>
      <c r="O84" t="s">
        <v>382</v>
      </c>
      <c r="P84" t="s">
        <v>382</v>
      </c>
      <c r="Q84" t="s">
        <v>382</v>
      </c>
      <c r="R84" t="s">
        <v>382</v>
      </c>
      <c r="S84" t="s">
        <v>382</v>
      </c>
      <c r="T84" t="s">
        <v>382</v>
      </c>
      <c r="U84" t="s">
        <v>382</v>
      </c>
      <c r="V84" t="s">
        <v>382</v>
      </c>
      <c r="W84" t="s">
        <v>382</v>
      </c>
      <c r="X84" t="s">
        <v>382</v>
      </c>
      <c r="Y84" t="s">
        <v>382</v>
      </c>
      <c r="Z84" t="s">
        <v>382</v>
      </c>
      <c r="AA84" t="s">
        <v>382</v>
      </c>
      <c r="AB84" t="s">
        <v>382</v>
      </c>
      <c r="AC84">
        <v>5</v>
      </c>
      <c r="AD84">
        <v>3</v>
      </c>
      <c r="AF84" t="s">
        <v>385</v>
      </c>
      <c r="AH84" t="s">
        <v>27</v>
      </c>
      <c r="AI84" t="s">
        <v>109</v>
      </c>
      <c r="AK84">
        <v>549</v>
      </c>
      <c r="AL84">
        <v>1367</v>
      </c>
    </row>
    <row r="85" spans="1:38">
      <c r="A85" t="s">
        <v>382</v>
      </c>
      <c r="B85" t="s">
        <v>382</v>
      </c>
      <c r="C85" t="s">
        <v>382</v>
      </c>
      <c r="D85" t="s">
        <v>382</v>
      </c>
      <c r="E85" t="s">
        <v>382</v>
      </c>
      <c r="F85" t="s">
        <v>382</v>
      </c>
      <c r="G85" t="s">
        <v>382</v>
      </c>
      <c r="H85" t="s">
        <v>382</v>
      </c>
      <c r="I85" t="s">
        <v>382</v>
      </c>
      <c r="J85" t="s">
        <v>382</v>
      </c>
      <c r="K85" t="s">
        <v>382</v>
      </c>
      <c r="L85" t="s">
        <v>382</v>
      </c>
      <c r="M85" t="s">
        <v>382</v>
      </c>
      <c r="N85" t="s">
        <v>382</v>
      </c>
      <c r="O85" t="s">
        <v>382</v>
      </c>
      <c r="P85" t="s">
        <v>382</v>
      </c>
      <c r="Q85" t="s">
        <v>382</v>
      </c>
      <c r="R85" t="s">
        <v>382</v>
      </c>
      <c r="S85" t="s">
        <v>382</v>
      </c>
      <c r="T85" t="s">
        <v>382</v>
      </c>
      <c r="U85" t="s">
        <v>382</v>
      </c>
      <c r="V85" t="s">
        <v>382</v>
      </c>
      <c r="W85" t="s">
        <v>382</v>
      </c>
      <c r="X85" t="s">
        <v>382</v>
      </c>
      <c r="Y85" t="s">
        <v>382</v>
      </c>
      <c r="Z85" t="s">
        <v>382</v>
      </c>
      <c r="AA85" t="s">
        <v>382</v>
      </c>
      <c r="AB85" t="s">
        <v>382</v>
      </c>
      <c r="AC85">
        <v>5</v>
      </c>
      <c r="AD85">
        <v>4</v>
      </c>
      <c r="AF85" t="s">
        <v>384</v>
      </c>
      <c r="AH85" t="s">
        <v>25</v>
      </c>
      <c r="AI85" t="s">
        <v>106</v>
      </c>
      <c r="AK85">
        <v>2021</v>
      </c>
      <c r="AL85">
        <v>2232</v>
      </c>
    </row>
    <row r="86" spans="1:38">
      <c r="A86" t="s">
        <v>382</v>
      </c>
      <c r="B86" t="s">
        <v>382</v>
      </c>
      <c r="C86" t="s">
        <v>382</v>
      </c>
      <c r="D86" t="s">
        <v>382</v>
      </c>
      <c r="E86" t="s">
        <v>382</v>
      </c>
      <c r="F86" t="s">
        <v>382</v>
      </c>
      <c r="G86" t="s">
        <v>382</v>
      </c>
      <c r="H86" t="s">
        <v>382</v>
      </c>
      <c r="I86" t="s">
        <v>382</v>
      </c>
      <c r="J86" t="s">
        <v>382</v>
      </c>
      <c r="K86" t="s">
        <v>382</v>
      </c>
      <c r="L86" t="s">
        <v>382</v>
      </c>
      <c r="M86" t="s">
        <v>382</v>
      </c>
      <c r="N86" t="s">
        <v>382</v>
      </c>
      <c r="O86" t="s">
        <v>382</v>
      </c>
      <c r="P86" t="s">
        <v>382</v>
      </c>
      <c r="Q86" t="s">
        <v>382</v>
      </c>
      <c r="R86" t="s">
        <v>382</v>
      </c>
      <c r="S86" t="s">
        <v>382</v>
      </c>
      <c r="T86" t="s">
        <v>382</v>
      </c>
      <c r="U86" t="s">
        <v>382</v>
      </c>
      <c r="V86" t="s">
        <v>382</v>
      </c>
      <c r="W86" t="s">
        <v>382</v>
      </c>
      <c r="X86" t="s">
        <v>382</v>
      </c>
      <c r="Y86" t="s">
        <v>382</v>
      </c>
      <c r="Z86" t="s">
        <v>382</v>
      </c>
      <c r="AA86" t="s">
        <v>382</v>
      </c>
      <c r="AB86" t="s">
        <v>382</v>
      </c>
      <c r="AC86">
        <v>5</v>
      </c>
      <c r="AD86">
        <v>5</v>
      </c>
      <c r="AE86">
        <v>1</v>
      </c>
      <c r="AF86" t="s">
        <v>389</v>
      </c>
      <c r="AH86" t="s">
        <v>35</v>
      </c>
      <c r="AI86" t="s">
        <v>97</v>
      </c>
      <c r="AK86">
        <v>982</v>
      </c>
      <c r="AL86">
        <v>1361</v>
      </c>
    </row>
    <row r="87" spans="1:38">
      <c r="A87" t="s">
        <v>382</v>
      </c>
      <c r="B87" t="s">
        <v>382</v>
      </c>
      <c r="C87" t="s">
        <v>382</v>
      </c>
      <c r="D87" t="s">
        <v>382</v>
      </c>
      <c r="E87" t="s">
        <v>382</v>
      </c>
      <c r="F87" t="s">
        <v>382</v>
      </c>
      <c r="G87" t="s">
        <v>382</v>
      </c>
      <c r="H87" t="s">
        <v>382</v>
      </c>
      <c r="I87" t="s">
        <v>382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>
        <v>5</v>
      </c>
      <c r="AD87">
        <v>1</v>
      </c>
      <c r="AE87">
        <v>1</v>
      </c>
      <c r="AF87" t="s">
        <v>483</v>
      </c>
      <c r="AH87" t="s">
        <v>157</v>
      </c>
      <c r="AI87" t="s">
        <v>97</v>
      </c>
      <c r="AK87">
        <v>1608</v>
      </c>
      <c r="AL87">
        <v>1966</v>
      </c>
    </row>
    <row r="88" spans="1:38">
      <c r="A88" t="s">
        <v>382</v>
      </c>
      <c r="B88" t="s">
        <v>382</v>
      </c>
      <c r="C88" t="s">
        <v>382</v>
      </c>
      <c r="D88" t="s">
        <v>382</v>
      </c>
      <c r="E88" t="s">
        <v>382</v>
      </c>
      <c r="F88" t="s">
        <v>382</v>
      </c>
      <c r="G88" t="s">
        <v>382</v>
      </c>
      <c r="H88" t="s">
        <v>382</v>
      </c>
      <c r="I88" t="s">
        <v>382</v>
      </c>
      <c r="J88" t="s">
        <v>382</v>
      </c>
      <c r="K88" t="s">
        <v>382</v>
      </c>
      <c r="L88" t="s">
        <v>382</v>
      </c>
      <c r="M88" t="s">
        <v>382</v>
      </c>
      <c r="N88" t="s">
        <v>382</v>
      </c>
      <c r="O88" t="s">
        <v>382</v>
      </c>
      <c r="P88" t="s">
        <v>382</v>
      </c>
      <c r="Q88" t="s">
        <v>382</v>
      </c>
      <c r="R88" t="s">
        <v>382</v>
      </c>
      <c r="S88" t="s">
        <v>382</v>
      </c>
      <c r="T88" t="s">
        <v>382</v>
      </c>
      <c r="U88" t="s">
        <v>382</v>
      </c>
      <c r="V88" t="s">
        <v>382</v>
      </c>
      <c r="W88" t="s">
        <v>382</v>
      </c>
      <c r="X88" t="s">
        <v>382</v>
      </c>
      <c r="Y88" t="s">
        <v>382</v>
      </c>
      <c r="Z88" t="s">
        <v>382</v>
      </c>
      <c r="AA88" t="s">
        <v>382</v>
      </c>
      <c r="AB88" t="s">
        <v>382</v>
      </c>
      <c r="AC88">
        <v>5</v>
      </c>
      <c r="AD88">
        <v>2</v>
      </c>
      <c r="AE88">
        <v>1</v>
      </c>
      <c r="AF88" t="s">
        <v>483</v>
      </c>
      <c r="AH88" t="s">
        <v>157</v>
      </c>
      <c r="AI88" t="s">
        <v>97</v>
      </c>
      <c r="AK88">
        <v>739</v>
      </c>
      <c r="AL88">
        <v>2174</v>
      </c>
    </row>
    <row r="89" spans="1:38">
      <c r="A89" t="s">
        <v>382</v>
      </c>
      <c r="B89" t="s">
        <v>382</v>
      </c>
      <c r="C89" t="s">
        <v>382</v>
      </c>
      <c r="D89" t="s">
        <v>382</v>
      </c>
      <c r="E89" t="s">
        <v>382</v>
      </c>
      <c r="F89" t="s">
        <v>382</v>
      </c>
      <c r="G89" t="s">
        <v>382</v>
      </c>
      <c r="H89" t="s">
        <v>382</v>
      </c>
      <c r="I89" t="s">
        <v>382</v>
      </c>
      <c r="J89" t="s">
        <v>382</v>
      </c>
      <c r="K89" t="s">
        <v>382</v>
      </c>
      <c r="L89" t="s">
        <v>382</v>
      </c>
      <c r="M89" t="s">
        <v>382</v>
      </c>
      <c r="N89" t="s">
        <v>382</v>
      </c>
      <c r="O89" t="s">
        <v>382</v>
      </c>
      <c r="P89" t="s">
        <v>382</v>
      </c>
      <c r="Q89" t="s">
        <v>382</v>
      </c>
      <c r="R89" t="s">
        <v>382</v>
      </c>
      <c r="S89" t="s">
        <v>382</v>
      </c>
      <c r="T89" t="s">
        <v>382</v>
      </c>
      <c r="U89" t="s">
        <v>382</v>
      </c>
      <c r="V89" t="s">
        <v>382</v>
      </c>
      <c r="W89" t="s">
        <v>382</v>
      </c>
      <c r="X89" t="s">
        <v>382</v>
      </c>
      <c r="Y89" t="s">
        <v>382</v>
      </c>
      <c r="Z89" t="s">
        <v>382</v>
      </c>
      <c r="AA89" t="s">
        <v>382</v>
      </c>
      <c r="AB89" t="s">
        <v>382</v>
      </c>
      <c r="AC89">
        <v>5</v>
      </c>
      <c r="AD89">
        <v>3</v>
      </c>
      <c r="AE89">
        <v>1</v>
      </c>
      <c r="AF89" t="s">
        <v>483</v>
      </c>
      <c r="AH89" t="s">
        <v>157</v>
      </c>
      <c r="AI89" t="s">
        <v>97</v>
      </c>
      <c r="AK89">
        <v>1361</v>
      </c>
      <c r="AL89">
        <v>1539</v>
      </c>
    </row>
    <row r="90" spans="1:38">
      <c r="A90" t="s">
        <v>382</v>
      </c>
      <c r="B90" t="s">
        <v>382</v>
      </c>
      <c r="C90" t="s">
        <v>382</v>
      </c>
      <c r="D90" t="s">
        <v>382</v>
      </c>
      <c r="E90" t="s">
        <v>382</v>
      </c>
      <c r="F90" t="s">
        <v>382</v>
      </c>
      <c r="G90" t="s">
        <v>382</v>
      </c>
      <c r="H90" t="s">
        <v>382</v>
      </c>
      <c r="I90" t="s">
        <v>382</v>
      </c>
      <c r="J90" t="s">
        <v>382</v>
      </c>
      <c r="K90" t="s">
        <v>382</v>
      </c>
      <c r="L90" t="s">
        <v>382</v>
      </c>
      <c r="M90" t="s">
        <v>382</v>
      </c>
      <c r="N90" t="s">
        <v>382</v>
      </c>
      <c r="O90" t="s">
        <v>382</v>
      </c>
      <c r="P90" t="s">
        <v>382</v>
      </c>
      <c r="Q90" t="s">
        <v>382</v>
      </c>
      <c r="R90" t="s">
        <v>382</v>
      </c>
      <c r="S90" t="s">
        <v>382</v>
      </c>
      <c r="T90" t="s">
        <v>382</v>
      </c>
      <c r="U90" t="s">
        <v>382</v>
      </c>
      <c r="V90" t="s">
        <v>382</v>
      </c>
      <c r="W90" t="s">
        <v>382</v>
      </c>
      <c r="X90" t="s">
        <v>382</v>
      </c>
      <c r="Y90" t="s">
        <v>382</v>
      </c>
      <c r="Z90" t="s">
        <v>382</v>
      </c>
      <c r="AA90" t="s">
        <v>382</v>
      </c>
      <c r="AB90" t="s">
        <v>382</v>
      </c>
      <c r="AC90">
        <v>5</v>
      </c>
      <c r="AD90">
        <v>4</v>
      </c>
      <c r="AE90">
        <v>1</v>
      </c>
      <c r="AF90" t="s">
        <v>483</v>
      </c>
      <c r="AH90" t="s">
        <v>157</v>
      </c>
      <c r="AI90" t="s">
        <v>97</v>
      </c>
      <c r="AK90">
        <v>1642</v>
      </c>
      <c r="AL90">
        <v>1277</v>
      </c>
    </row>
    <row r="91" spans="1:38">
      <c r="A91" t="s">
        <v>382</v>
      </c>
      <c r="B91" t="s">
        <v>382</v>
      </c>
      <c r="C91" t="s">
        <v>382</v>
      </c>
      <c r="D91" t="s">
        <v>382</v>
      </c>
      <c r="E91" t="s">
        <v>382</v>
      </c>
      <c r="F91" t="s">
        <v>382</v>
      </c>
      <c r="G91" t="s">
        <v>382</v>
      </c>
      <c r="H91" t="s">
        <v>382</v>
      </c>
      <c r="I91" t="s">
        <v>382</v>
      </c>
      <c r="J91" t="s">
        <v>382</v>
      </c>
      <c r="K91" t="s">
        <v>382</v>
      </c>
      <c r="L91" t="s">
        <v>382</v>
      </c>
      <c r="M91" t="s">
        <v>382</v>
      </c>
      <c r="N91" t="s">
        <v>382</v>
      </c>
      <c r="O91" t="s">
        <v>382</v>
      </c>
      <c r="P91" t="s">
        <v>382</v>
      </c>
      <c r="Q91" t="s">
        <v>382</v>
      </c>
      <c r="R91" t="s">
        <v>382</v>
      </c>
      <c r="S91" t="s">
        <v>382</v>
      </c>
      <c r="T91" t="s">
        <v>382</v>
      </c>
      <c r="U91" t="s">
        <v>382</v>
      </c>
      <c r="V91" t="s">
        <v>382</v>
      </c>
      <c r="W91" t="s">
        <v>382</v>
      </c>
      <c r="X91" t="s">
        <v>382</v>
      </c>
      <c r="Y91" t="s">
        <v>382</v>
      </c>
      <c r="Z91" t="s">
        <v>382</v>
      </c>
      <c r="AA91" t="s">
        <v>382</v>
      </c>
      <c r="AB91" t="s">
        <v>382</v>
      </c>
      <c r="AC91">
        <v>5</v>
      </c>
      <c r="AD91">
        <v>5</v>
      </c>
      <c r="AE91">
        <v>1</v>
      </c>
      <c r="AF91" t="s">
        <v>483</v>
      </c>
      <c r="AH91" t="s">
        <v>157</v>
      </c>
      <c r="AI91" t="s">
        <v>97</v>
      </c>
      <c r="AK91">
        <v>2882</v>
      </c>
      <c r="AL91">
        <v>852</v>
      </c>
    </row>
    <row r="92" spans="1:38">
      <c r="A92" t="s">
        <v>382</v>
      </c>
      <c r="B92" t="s">
        <v>382</v>
      </c>
      <c r="C92" t="s">
        <v>382</v>
      </c>
      <c r="D92" t="s">
        <v>382</v>
      </c>
      <c r="E92" t="s">
        <v>382</v>
      </c>
      <c r="F92" t="s">
        <v>382</v>
      </c>
      <c r="G92" t="s">
        <v>382</v>
      </c>
      <c r="H92" t="s">
        <v>382</v>
      </c>
      <c r="I92" t="s">
        <v>382</v>
      </c>
      <c r="J92" t="s">
        <v>382</v>
      </c>
      <c r="K92" t="s">
        <v>382</v>
      </c>
      <c r="L92" t="s">
        <v>382</v>
      </c>
      <c r="M92" t="s">
        <v>382</v>
      </c>
      <c r="N92" t="s">
        <v>382</v>
      </c>
      <c r="O92" t="s">
        <v>382</v>
      </c>
      <c r="P92" t="s">
        <v>382</v>
      </c>
      <c r="Q92" t="s">
        <v>382</v>
      </c>
      <c r="R92" t="s">
        <v>382</v>
      </c>
      <c r="S92" t="s">
        <v>382</v>
      </c>
      <c r="T92" t="s">
        <v>382</v>
      </c>
      <c r="U92" t="s">
        <v>382</v>
      </c>
      <c r="V92" t="s">
        <v>382</v>
      </c>
      <c r="W92" t="s">
        <v>382</v>
      </c>
      <c r="X92" t="s">
        <v>382</v>
      </c>
      <c r="Y92" t="s">
        <v>382</v>
      </c>
      <c r="Z92" t="s">
        <v>382</v>
      </c>
      <c r="AA92" t="s">
        <v>382</v>
      </c>
      <c r="AB92" t="s">
        <v>382</v>
      </c>
      <c r="AC92">
        <v>5</v>
      </c>
      <c r="AD92">
        <v>1</v>
      </c>
      <c r="AF92" t="s">
        <v>386</v>
      </c>
      <c r="AH92" t="s">
        <v>29</v>
      </c>
      <c r="AI92" t="s">
        <v>103</v>
      </c>
      <c r="AK92">
        <v>1398</v>
      </c>
      <c r="AL92">
        <v>583</v>
      </c>
    </row>
    <row r="93" spans="1:38">
      <c r="A93" t="s">
        <v>382</v>
      </c>
      <c r="B93" t="s">
        <v>382</v>
      </c>
      <c r="C93" t="s">
        <v>382</v>
      </c>
      <c r="D93" t="s">
        <v>382</v>
      </c>
      <c r="E93" t="s">
        <v>382</v>
      </c>
      <c r="F93" t="s">
        <v>382</v>
      </c>
      <c r="G93" t="s">
        <v>382</v>
      </c>
      <c r="H93" t="s">
        <v>382</v>
      </c>
      <c r="I93" t="s">
        <v>382</v>
      </c>
      <c r="J93" t="s">
        <v>382</v>
      </c>
      <c r="K93" t="s">
        <v>382</v>
      </c>
      <c r="L93" t="s">
        <v>382</v>
      </c>
      <c r="M93" t="s">
        <v>382</v>
      </c>
      <c r="N93" t="s">
        <v>382</v>
      </c>
      <c r="O93" t="s">
        <v>382</v>
      </c>
      <c r="P93" t="s">
        <v>382</v>
      </c>
      <c r="Q93" t="s">
        <v>382</v>
      </c>
      <c r="R93" t="s">
        <v>382</v>
      </c>
      <c r="S93" t="s">
        <v>382</v>
      </c>
      <c r="T93" t="s">
        <v>382</v>
      </c>
      <c r="U93" t="s">
        <v>382</v>
      </c>
      <c r="V93" t="s">
        <v>382</v>
      </c>
      <c r="W93" t="s">
        <v>382</v>
      </c>
      <c r="X93" t="s">
        <v>382</v>
      </c>
      <c r="Y93" t="s">
        <v>382</v>
      </c>
      <c r="Z93" t="s">
        <v>382</v>
      </c>
      <c r="AA93" t="s">
        <v>382</v>
      </c>
      <c r="AB93" t="s">
        <v>382</v>
      </c>
      <c r="AC93">
        <v>5</v>
      </c>
      <c r="AD93">
        <v>2</v>
      </c>
      <c r="AE93">
        <v>1</v>
      </c>
      <c r="AF93" t="s">
        <v>387</v>
      </c>
      <c r="AH93" t="s">
        <v>31</v>
      </c>
      <c r="AI93" t="s">
        <v>97</v>
      </c>
      <c r="AK93">
        <v>626</v>
      </c>
      <c r="AL93">
        <v>1221</v>
      </c>
    </row>
    <row r="94" spans="1:38">
      <c r="A94" t="s">
        <v>382</v>
      </c>
      <c r="B94" t="s">
        <v>382</v>
      </c>
      <c r="C94" t="s">
        <v>382</v>
      </c>
      <c r="D94" t="s">
        <v>382</v>
      </c>
      <c r="E94" t="s">
        <v>382</v>
      </c>
      <c r="F94" t="s">
        <v>382</v>
      </c>
      <c r="G94" t="s">
        <v>382</v>
      </c>
      <c r="H94" t="s">
        <v>382</v>
      </c>
      <c r="I94" t="s">
        <v>382</v>
      </c>
      <c r="J94" t="s">
        <v>382</v>
      </c>
      <c r="K94" t="s">
        <v>382</v>
      </c>
      <c r="L94" t="s">
        <v>382</v>
      </c>
      <c r="M94" t="s">
        <v>382</v>
      </c>
      <c r="N94" t="s">
        <v>382</v>
      </c>
      <c r="O94" t="s">
        <v>382</v>
      </c>
      <c r="P94" t="s">
        <v>382</v>
      </c>
      <c r="Q94" t="s">
        <v>382</v>
      </c>
      <c r="R94" t="s">
        <v>382</v>
      </c>
      <c r="S94" t="s">
        <v>382</v>
      </c>
      <c r="T94" t="s">
        <v>382</v>
      </c>
      <c r="U94" t="s">
        <v>382</v>
      </c>
      <c r="V94" t="s">
        <v>382</v>
      </c>
      <c r="W94" t="s">
        <v>382</v>
      </c>
      <c r="X94" t="s">
        <v>382</v>
      </c>
      <c r="Y94" t="s">
        <v>382</v>
      </c>
      <c r="Z94" t="s">
        <v>382</v>
      </c>
      <c r="AA94" t="s">
        <v>382</v>
      </c>
      <c r="AB94" t="s">
        <v>382</v>
      </c>
      <c r="AC94">
        <v>5</v>
      </c>
      <c r="AD94">
        <v>3</v>
      </c>
      <c r="AF94" t="s">
        <v>385</v>
      </c>
      <c r="AH94" t="s">
        <v>27</v>
      </c>
      <c r="AI94" t="s">
        <v>109</v>
      </c>
      <c r="AK94">
        <v>2348</v>
      </c>
      <c r="AL94">
        <v>833</v>
      </c>
    </row>
    <row r="95" spans="1:38">
      <c r="A95" t="s">
        <v>382</v>
      </c>
      <c r="B95" t="s">
        <v>382</v>
      </c>
      <c r="C95" t="s">
        <v>382</v>
      </c>
      <c r="D95" t="s">
        <v>382</v>
      </c>
      <c r="E95" t="s">
        <v>382</v>
      </c>
      <c r="F95" t="s">
        <v>382</v>
      </c>
      <c r="G95" t="s">
        <v>382</v>
      </c>
      <c r="H95" t="s">
        <v>382</v>
      </c>
      <c r="I95" t="s">
        <v>382</v>
      </c>
      <c r="J95" t="s">
        <v>382</v>
      </c>
      <c r="K95" t="s">
        <v>382</v>
      </c>
      <c r="L95" t="s">
        <v>382</v>
      </c>
      <c r="M95" t="s">
        <v>382</v>
      </c>
      <c r="N95" t="s">
        <v>382</v>
      </c>
      <c r="O95" t="s">
        <v>382</v>
      </c>
      <c r="P95" t="s">
        <v>382</v>
      </c>
      <c r="Q95" t="s">
        <v>382</v>
      </c>
      <c r="R95" t="s">
        <v>382</v>
      </c>
      <c r="S95" t="s">
        <v>382</v>
      </c>
      <c r="T95" t="s">
        <v>382</v>
      </c>
      <c r="U95" t="s">
        <v>382</v>
      </c>
      <c r="V95" t="s">
        <v>382</v>
      </c>
      <c r="W95" t="s">
        <v>382</v>
      </c>
      <c r="X95" t="s">
        <v>382</v>
      </c>
      <c r="Y95" t="s">
        <v>382</v>
      </c>
      <c r="Z95" t="s">
        <v>382</v>
      </c>
      <c r="AA95" t="s">
        <v>382</v>
      </c>
      <c r="AB95" t="s">
        <v>382</v>
      </c>
      <c r="AC95">
        <v>5</v>
      </c>
      <c r="AD95">
        <v>4</v>
      </c>
      <c r="AE95">
        <v>1</v>
      </c>
      <c r="AF95" t="s">
        <v>387</v>
      </c>
      <c r="AH95" t="s">
        <v>31</v>
      </c>
      <c r="AI95" t="s">
        <v>97</v>
      </c>
      <c r="AK95">
        <v>2399</v>
      </c>
      <c r="AL95">
        <v>461</v>
      </c>
    </row>
    <row r="96" spans="1:38">
      <c r="A96" t="s">
        <v>382</v>
      </c>
      <c r="B96" t="s">
        <v>382</v>
      </c>
      <c r="C96" t="s">
        <v>382</v>
      </c>
      <c r="D96" t="s">
        <v>382</v>
      </c>
      <c r="E96" t="s">
        <v>382</v>
      </c>
      <c r="F96" t="s">
        <v>382</v>
      </c>
      <c r="G96" t="s">
        <v>382</v>
      </c>
      <c r="H96" t="s">
        <v>382</v>
      </c>
      <c r="I96" t="s">
        <v>382</v>
      </c>
      <c r="J96" t="s">
        <v>382</v>
      </c>
      <c r="K96" t="s">
        <v>382</v>
      </c>
      <c r="L96" t="s">
        <v>382</v>
      </c>
      <c r="M96" t="s">
        <v>382</v>
      </c>
      <c r="N96" t="s">
        <v>382</v>
      </c>
      <c r="O96" t="s">
        <v>382</v>
      </c>
      <c r="P96" t="s">
        <v>382</v>
      </c>
      <c r="Q96" t="s">
        <v>382</v>
      </c>
      <c r="R96" t="s">
        <v>382</v>
      </c>
      <c r="S96" t="s">
        <v>382</v>
      </c>
      <c r="T96" t="s">
        <v>382</v>
      </c>
      <c r="U96" t="s">
        <v>382</v>
      </c>
      <c r="V96" t="s">
        <v>382</v>
      </c>
      <c r="W96" t="s">
        <v>382</v>
      </c>
      <c r="X96" t="s">
        <v>382</v>
      </c>
      <c r="Y96" t="s">
        <v>382</v>
      </c>
      <c r="Z96" t="s">
        <v>382</v>
      </c>
      <c r="AA96" t="s">
        <v>382</v>
      </c>
      <c r="AB96" t="s">
        <v>382</v>
      </c>
      <c r="AC96">
        <v>5</v>
      </c>
      <c r="AD96">
        <v>5</v>
      </c>
      <c r="AE96">
        <v>1</v>
      </c>
      <c r="AF96" t="s">
        <v>387</v>
      </c>
      <c r="AH96" t="s">
        <v>31</v>
      </c>
      <c r="AI96" t="s">
        <v>97</v>
      </c>
      <c r="AK96">
        <v>2585</v>
      </c>
      <c r="AL96">
        <v>561</v>
      </c>
    </row>
    <row r="97" spans="1:38">
      <c r="A97" t="s">
        <v>382</v>
      </c>
      <c r="B97" t="s">
        <v>382</v>
      </c>
      <c r="C97" t="s">
        <v>382</v>
      </c>
      <c r="D97" t="s">
        <v>382</v>
      </c>
      <c r="E97" t="s">
        <v>382</v>
      </c>
      <c r="F97" t="s">
        <v>382</v>
      </c>
      <c r="G97" t="s">
        <v>382</v>
      </c>
      <c r="H97" t="s">
        <v>382</v>
      </c>
      <c r="I97" t="s">
        <v>382</v>
      </c>
      <c r="J97" t="s">
        <v>382</v>
      </c>
      <c r="K97" t="s">
        <v>382</v>
      </c>
      <c r="L97" t="s">
        <v>382</v>
      </c>
      <c r="M97" t="s">
        <v>382</v>
      </c>
      <c r="N97" t="s">
        <v>382</v>
      </c>
      <c r="O97" t="s">
        <v>382</v>
      </c>
      <c r="P97" t="s">
        <v>382</v>
      </c>
      <c r="Q97" t="s">
        <v>382</v>
      </c>
      <c r="R97" t="s">
        <v>382</v>
      </c>
      <c r="S97" t="s">
        <v>382</v>
      </c>
      <c r="T97" t="s">
        <v>382</v>
      </c>
      <c r="U97" t="s">
        <v>382</v>
      </c>
      <c r="V97" t="s">
        <v>382</v>
      </c>
      <c r="W97" t="s">
        <v>382</v>
      </c>
      <c r="X97" t="s">
        <v>382</v>
      </c>
      <c r="Y97" t="s">
        <v>382</v>
      </c>
      <c r="Z97" t="s">
        <v>382</v>
      </c>
      <c r="AA97" t="s">
        <v>382</v>
      </c>
      <c r="AB97" t="s">
        <v>382</v>
      </c>
      <c r="AC97">
        <v>5</v>
      </c>
      <c r="AD97">
        <v>1</v>
      </c>
      <c r="AF97" t="s">
        <v>386</v>
      </c>
      <c r="AH97" t="s">
        <v>29</v>
      </c>
      <c r="AI97" t="s">
        <v>103</v>
      </c>
      <c r="AK97">
        <v>1512</v>
      </c>
      <c r="AL97">
        <v>1995</v>
      </c>
    </row>
    <row r="98" spans="1:38">
      <c r="A98" t="s">
        <v>382</v>
      </c>
      <c r="B98" t="s">
        <v>382</v>
      </c>
      <c r="C98" t="s">
        <v>382</v>
      </c>
      <c r="D98" t="s">
        <v>382</v>
      </c>
      <c r="E98" t="s">
        <v>382</v>
      </c>
      <c r="F98" t="s">
        <v>382</v>
      </c>
      <c r="G98" t="s">
        <v>382</v>
      </c>
      <c r="H98" t="s">
        <v>382</v>
      </c>
      <c r="I98" t="s">
        <v>382</v>
      </c>
      <c r="J98" t="s">
        <v>382</v>
      </c>
      <c r="K98" t="s">
        <v>382</v>
      </c>
      <c r="L98" t="s">
        <v>382</v>
      </c>
      <c r="M98" t="s">
        <v>382</v>
      </c>
      <c r="N98" t="s">
        <v>382</v>
      </c>
      <c r="O98" t="s">
        <v>382</v>
      </c>
      <c r="P98" t="s">
        <v>382</v>
      </c>
      <c r="Q98" t="s">
        <v>382</v>
      </c>
      <c r="R98" t="s">
        <v>382</v>
      </c>
      <c r="S98" t="s">
        <v>382</v>
      </c>
      <c r="T98" t="s">
        <v>382</v>
      </c>
      <c r="U98" t="s">
        <v>382</v>
      </c>
      <c r="V98" t="s">
        <v>382</v>
      </c>
      <c r="W98" t="s">
        <v>382</v>
      </c>
      <c r="X98" t="s">
        <v>382</v>
      </c>
      <c r="Y98" t="s">
        <v>382</v>
      </c>
      <c r="Z98" t="s">
        <v>382</v>
      </c>
      <c r="AA98" t="s">
        <v>382</v>
      </c>
      <c r="AB98" t="s">
        <v>382</v>
      </c>
      <c r="AC98">
        <v>5</v>
      </c>
      <c r="AD98">
        <v>2</v>
      </c>
      <c r="AE98">
        <v>1</v>
      </c>
      <c r="AF98" t="s">
        <v>484</v>
      </c>
      <c r="AH98" t="s">
        <v>168</v>
      </c>
      <c r="AI98" t="s">
        <v>97</v>
      </c>
      <c r="AK98">
        <v>1264</v>
      </c>
      <c r="AL98">
        <v>232</v>
      </c>
    </row>
    <row r="99" spans="1:38">
      <c r="A99" t="s">
        <v>382</v>
      </c>
      <c r="B99" t="s">
        <v>382</v>
      </c>
      <c r="C99" t="s">
        <v>382</v>
      </c>
      <c r="D99" t="s">
        <v>382</v>
      </c>
      <c r="E99" t="s">
        <v>382</v>
      </c>
      <c r="F99" t="s">
        <v>382</v>
      </c>
      <c r="G99" t="s">
        <v>382</v>
      </c>
      <c r="H99" t="s">
        <v>382</v>
      </c>
      <c r="I99" t="s">
        <v>382</v>
      </c>
      <c r="J99" t="s">
        <v>382</v>
      </c>
      <c r="K99" t="s">
        <v>382</v>
      </c>
      <c r="L99" t="s">
        <v>382</v>
      </c>
      <c r="M99" t="s">
        <v>382</v>
      </c>
      <c r="N99" t="s">
        <v>382</v>
      </c>
      <c r="O99" t="s">
        <v>382</v>
      </c>
      <c r="P99" t="s">
        <v>382</v>
      </c>
      <c r="Q99" t="s">
        <v>382</v>
      </c>
      <c r="R99" t="s">
        <v>382</v>
      </c>
      <c r="S99" t="s">
        <v>382</v>
      </c>
      <c r="T99" t="s">
        <v>382</v>
      </c>
      <c r="U99" t="s">
        <v>382</v>
      </c>
      <c r="V99" t="s">
        <v>382</v>
      </c>
      <c r="W99" t="s">
        <v>382</v>
      </c>
      <c r="X99" t="s">
        <v>382</v>
      </c>
      <c r="Y99" t="s">
        <v>382</v>
      </c>
      <c r="Z99" t="s">
        <v>382</v>
      </c>
      <c r="AA99" t="s">
        <v>382</v>
      </c>
      <c r="AB99" t="s">
        <v>382</v>
      </c>
      <c r="AC99">
        <v>5</v>
      </c>
      <c r="AD99">
        <v>3</v>
      </c>
      <c r="AF99" t="s">
        <v>386</v>
      </c>
      <c r="AH99" t="s">
        <v>29</v>
      </c>
      <c r="AI99" t="s">
        <v>103</v>
      </c>
      <c r="AK99">
        <v>1202</v>
      </c>
      <c r="AL99">
        <v>2063</v>
      </c>
    </row>
    <row r="100" spans="1:38">
      <c r="A100" t="s">
        <v>382</v>
      </c>
      <c r="B100" t="s">
        <v>382</v>
      </c>
      <c r="C100" t="s">
        <v>382</v>
      </c>
      <c r="D100" t="s">
        <v>382</v>
      </c>
      <c r="E100" t="s">
        <v>382</v>
      </c>
      <c r="F100" t="s">
        <v>382</v>
      </c>
      <c r="G100" t="s">
        <v>382</v>
      </c>
      <c r="H100" t="s">
        <v>382</v>
      </c>
      <c r="I100" t="s">
        <v>382</v>
      </c>
      <c r="J100" t="s">
        <v>382</v>
      </c>
      <c r="K100" t="s">
        <v>382</v>
      </c>
      <c r="L100" t="s">
        <v>382</v>
      </c>
      <c r="M100" t="s">
        <v>382</v>
      </c>
      <c r="N100" t="s">
        <v>382</v>
      </c>
      <c r="O100" t="s">
        <v>382</v>
      </c>
      <c r="P100" t="s">
        <v>382</v>
      </c>
      <c r="Q100" t="s">
        <v>382</v>
      </c>
      <c r="R100" t="s">
        <v>382</v>
      </c>
      <c r="S100" t="s">
        <v>382</v>
      </c>
      <c r="T100" t="s">
        <v>382</v>
      </c>
      <c r="U100" t="s">
        <v>382</v>
      </c>
      <c r="V100" t="s">
        <v>382</v>
      </c>
      <c r="W100" t="s">
        <v>382</v>
      </c>
      <c r="X100" t="s">
        <v>382</v>
      </c>
      <c r="Y100" t="s">
        <v>382</v>
      </c>
      <c r="Z100" t="s">
        <v>382</v>
      </c>
      <c r="AA100" t="s">
        <v>382</v>
      </c>
      <c r="AB100" t="s">
        <v>382</v>
      </c>
      <c r="AC100">
        <v>5</v>
      </c>
      <c r="AD100">
        <v>4</v>
      </c>
      <c r="AE100">
        <v>1</v>
      </c>
      <c r="AF100" t="s">
        <v>400</v>
      </c>
      <c r="AH100" t="s">
        <v>89</v>
      </c>
      <c r="AI100" t="s">
        <v>97</v>
      </c>
      <c r="AK100">
        <v>2643</v>
      </c>
      <c r="AL100">
        <v>962</v>
      </c>
    </row>
    <row r="101" spans="1:38">
      <c r="A101" t="s">
        <v>382</v>
      </c>
      <c r="B101" t="s">
        <v>382</v>
      </c>
      <c r="C101" t="s">
        <v>382</v>
      </c>
      <c r="D101" t="s">
        <v>382</v>
      </c>
      <c r="E101" t="s">
        <v>382</v>
      </c>
      <c r="F101" t="s">
        <v>382</v>
      </c>
      <c r="G101" t="s">
        <v>382</v>
      </c>
      <c r="H101" t="s">
        <v>382</v>
      </c>
      <c r="I101" t="s">
        <v>382</v>
      </c>
      <c r="J101" t="s">
        <v>382</v>
      </c>
      <c r="K101" t="s">
        <v>382</v>
      </c>
      <c r="L101" t="s">
        <v>382</v>
      </c>
      <c r="M101" t="s">
        <v>382</v>
      </c>
      <c r="N101" t="s">
        <v>382</v>
      </c>
      <c r="O101" t="s">
        <v>382</v>
      </c>
      <c r="P101" t="s">
        <v>382</v>
      </c>
      <c r="Q101" t="s">
        <v>382</v>
      </c>
      <c r="R101" t="s">
        <v>382</v>
      </c>
      <c r="S101" t="s">
        <v>382</v>
      </c>
      <c r="T101" t="s">
        <v>382</v>
      </c>
      <c r="U101" t="s">
        <v>382</v>
      </c>
      <c r="V101" t="s">
        <v>382</v>
      </c>
      <c r="W101" t="s">
        <v>382</v>
      </c>
      <c r="X101" t="s">
        <v>382</v>
      </c>
      <c r="Y101" t="s">
        <v>382</v>
      </c>
      <c r="Z101" t="s">
        <v>382</v>
      </c>
      <c r="AA101" t="s">
        <v>382</v>
      </c>
      <c r="AB101" t="s">
        <v>382</v>
      </c>
      <c r="AC101">
        <v>5</v>
      </c>
      <c r="AD101">
        <v>5</v>
      </c>
      <c r="AE101">
        <v>1</v>
      </c>
      <c r="AF101" t="s">
        <v>401</v>
      </c>
      <c r="AH101" t="s">
        <v>95</v>
      </c>
      <c r="AI101" t="s">
        <v>97</v>
      </c>
      <c r="AK101">
        <v>622</v>
      </c>
      <c r="AL101">
        <v>1008</v>
      </c>
    </row>
    <row r="102" spans="1:38">
      <c r="A102" t="s">
        <v>382</v>
      </c>
      <c r="B102" t="s">
        <v>382</v>
      </c>
      <c r="C102" t="s">
        <v>382</v>
      </c>
      <c r="D102" t="s">
        <v>382</v>
      </c>
      <c r="E102" t="s">
        <v>382</v>
      </c>
      <c r="F102" t="s">
        <v>382</v>
      </c>
      <c r="G102" t="s">
        <v>382</v>
      </c>
      <c r="H102" t="s">
        <v>382</v>
      </c>
      <c r="I102" t="s">
        <v>382</v>
      </c>
      <c r="J102" t="s">
        <v>382</v>
      </c>
      <c r="K102" t="s">
        <v>382</v>
      </c>
      <c r="L102" t="s">
        <v>382</v>
      </c>
      <c r="M102" t="s">
        <v>382</v>
      </c>
      <c r="N102" t="s">
        <v>382</v>
      </c>
      <c r="O102" t="s">
        <v>382</v>
      </c>
      <c r="P102" t="s">
        <v>382</v>
      </c>
      <c r="Q102" t="s">
        <v>382</v>
      </c>
      <c r="R102" t="s">
        <v>382</v>
      </c>
      <c r="S102" t="s">
        <v>382</v>
      </c>
      <c r="T102" t="s">
        <v>382</v>
      </c>
      <c r="U102" t="s">
        <v>382</v>
      </c>
      <c r="V102" t="s">
        <v>382</v>
      </c>
      <c r="W102" t="s">
        <v>382</v>
      </c>
      <c r="X102" t="s">
        <v>382</v>
      </c>
      <c r="Y102" t="s">
        <v>382</v>
      </c>
      <c r="Z102" t="s">
        <v>382</v>
      </c>
      <c r="AA102" t="s">
        <v>382</v>
      </c>
      <c r="AB102" t="s">
        <v>382</v>
      </c>
      <c r="AC102">
        <v>5</v>
      </c>
      <c r="AD102">
        <v>1</v>
      </c>
      <c r="AE102">
        <v>1</v>
      </c>
      <c r="AF102" t="s">
        <v>387</v>
      </c>
      <c r="AH102" t="s">
        <v>31</v>
      </c>
      <c r="AI102" t="s">
        <v>97</v>
      </c>
      <c r="AK102">
        <v>3031</v>
      </c>
      <c r="AL102">
        <v>2034</v>
      </c>
    </row>
    <row r="103" spans="1:38">
      <c r="A103" t="s">
        <v>382</v>
      </c>
      <c r="B103" t="s">
        <v>382</v>
      </c>
      <c r="C103" t="s">
        <v>382</v>
      </c>
      <c r="D103" t="s">
        <v>382</v>
      </c>
      <c r="E103" t="s">
        <v>382</v>
      </c>
      <c r="F103" t="s">
        <v>382</v>
      </c>
      <c r="G103" t="s">
        <v>382</v>
      </c>
      <c r="H103" t="s">
        <v>382</v>
      </c>
      <c r="I103" t="s">
        <v>382</v>
      </c>
      <c r="J103" t="s">
        <v>382</v>
      </c>
      <c r="K103" t="s">
        <v>382</v>
      </c>
      <c r="L103" t="s">
        <v>382</v>
      </c>
      <c r="M103" t="s">
        <v>382</v>
      </c>
      <c r="N103" t="s">
        <v>382</v>
      </c>
      <c r="O103" t="s">
        <v>382</v>
      </c>
      <c r="P103" t="s">
        <v>382</v>
      </c>
      <c r="Q103" t="s">
        <v>382</v>
      </c>
      <c r="R103" t="s">
        <v>382</v>
      </c>
      <c r="S103" t="s">
        <v>382</v>
      </c>
      <c r="T103" t="s">
        <v>382</v>
      </c>
      <c r="U103" t="s">
        <v>382</v>
      </c>
      <c r="V103" t="s">
        <v>382</v>
      </c>
      <c r="W103" t="s">
        <v>382</v>
      </c>
      <c r="X103" t="s">
        <v>382</v>
      </c>
      <c r="Y103" t="s">
        <v>382</v>
      </c>
      <c r="Z103" t="s">
        <v>382</v>
      </c>
      <c r="AA103" t="s">
        <v>382</v>
      </c>
      <c r="AB103" t="s">
        <v>382</v>
      </c>
      <c r="AC103">
        <v>5</v>
      </c>
      <c r="AD103">
        <v>2</v>
      </c>
      <c r="AE103">
        <v>1</v>
      </c>
      <c r="AF103" t="s">
        <v>400</v>
      </c>
      <c r="AH103" t="s">
        <v>89</v>
      </c>
      <c r="AI103" t="s">
        <v>97</v>
      </c>
      <c r="AK103">
        <v>3075</v>
      </c>
      <c r="AL103">
        <v>1685</v>
      </c>
    </row>
    <row r="104" spans="1:38">
      <c r="A104" t="s">
        <v>382</v>
      </c>
      <c r="B104" t="s">
        <v>382</v>
      </c>
      <c r="C104" t="s">
        <v>382</v>
      </c>
      <c r="D104" t="s">
        <v>382</v>
      </c>
      <c r="E104" t="s">
        <v>382</v>
      </c>
      <c r="F104" t="s">
        <v>382</v>
      </c>
      <c r="G104" t="s">
        <v>382</v>
      </c>
      <c r="H104" t="s">
        <v>382</v>
      </c>
      <c r="I104" t="s">
        <v>382</v>
      </c>
      <c r="J104" t="s">
        <v>382</v>
      </c>
      <c r="K104" t="s">
        <v>382</v>
      </c>
      <c r="L104" t="s">
        <v>382</v>
      </c>
      <c r="M104" t="s">
        <v>382</v>
      </c>
      <c r="N104" t="s">
        <v>382</v>
      </c>
      <c r="O104" t="s">
        <v>382</v>
      </c>
      <c r="P104" t="s">
        <v>382</v>
      </c>
      <c r="Q104" t="s">
        <v>382</v>
      </c>
      <c r="R104" t="s">
        <v>382</v>
      </c>
      <c r="S104" t="s">
        <v>382</v>
      </c>
      <c r="T104" t="s">
        <v>382</v>
      </c>
      <c r="U104" t="s">
        <v>382</v>
      </c>
      <c r="V104" t="s">
        <v>382</v>
      </c>
      <c r="W104" t="s">
        <v>382</v>
      </c>
      <c r="X104" t="s">
        <v>382</v>
      </c>
      <c r="Y104" t="s">
        <v>382</v>
      </c>
      <c r="Z104" t="s">
        <v>382</v>
      </c>
      <c r="AA104" t="s">
        <v>382</v>
      </c>
      <c r="AB104" t="s">
        <v>382</v>
      </c>
      <c r="AC104">
        <v>5</v>
      </c>
      <c r="AD104">
        <v>3</v>
      </c>
      <c r="AE104">
        <v>1</v>
      </c>
      <c r="AF104" t="s">
        <v>400</v>
      </c>
      <c r="AH104" t="s">
        <v>89</v>
      </c>
      <c r="AI104" t="s">
        <v>97</v>
      </c>
      <c r="AK104">
        <v>2972</v>
      </c>
      <c r="AL104">
        <v>2110</v>
      </c>
    </row>
    <row r="105" spans="1:38">
      <c r="A105" t="s">
        <v>382</v>
      </c>
      <c r="B105" t="s">
        <v>382</v>
      </c>
      <c r="C105" t="s">
        <v>382</v>
      </c>
      <c r="D105" t="s">
        <v>382</v>
      </c>
      <c r="E105" t="s">
        <v>382</v>
      </c>
      <c r="F105" t="s">
        <v>382</v>
      </c>
      <c r="G105" t="s">
        <v>382</v>
      </c>
      <c r="H105" t="s">
        <v>382</v>
      </c>
      <c r="I105" t="s">
        <v>382</v>
      </c>
      <c r="J105" t="s">
        <v>382</v>
      </c>
      <c r="K105" t="s">
        <v>382</v>
      </c>
      <c r="L105" t="s">
        <v>382</v>
      </c>
      <c r="M105" t="s">
        <v>382</v>
      </c>
      <c r="N105" t="s">
        <v>382</v>
      </c>
      <c r="O105" t="s">
        <v>382</v>
      </c>
      <c r="P105" t="s">
        <v>382</v>
      </c>
      <c r="Q105" t="s">
        <v>382</v>
      </c>
      <c r="R105" t="s">
        <v>382</v>
      </c>
      <c r="S105" t="s">
        <v>382</v>
      </c>
      <c r="T105" t="s">
        <v>382</v>
      </c>
      <c r="U105" t="s">
        <v>382</v>
      </c>
      <c r="V105" t="s">
        <v>382</v>
      </c>
      <c r="W105" t="s">
        <v>382</v>
      </c>
      <c r="X105" t="s">
        <v>382</v>
      </c>
      <c r="Y105" t="s">
        <v>382</v>
      </c>
      <c r="Z105" t="s">
        <v>382</v>
      </c>
      <c r="AA105" t="s">
        <v>382</v>
      </c>
      <c r="AB105" t="s">
        <v>382</v>
      </c>
      <c r="AC105">
        <v>5</v>
      </c>
      <c r="AD105">
        <v>4</v>
      </c>
      <c r="AE105">
        <v>1</v>
      </c>
      <c r="AF105" t="s">
        <v>389</v>
      </c>
      <c r="AH105" t="s">
        <v>35</v>
      </c>
      <c r="AI105" t="s">
        <v>97</v>
      </c>
      <c r="AK105">
        <v>1168</v>
      </c>
      <c r="AL105">
        <v>2384</v>
      </c>
    </row>
    <row r="106" spans="1:38">
      <c r="A106" t="s">
        <v>382</v>
      </c>
      <c r="B106" t="s">
        <v>382</v>
      </c>
      <c r="C106" t="s">
        <v>382</v>
      </c>
      <c r="D106" t="s">
        <v>382</v>
      </c>
      <c r="E106" t="s">
        <v>382</v>
      </c>
      <c r="F106" t="s">
        <v>382</v>
      </c>
      <c r="G106" t="s">
        <v>382</v>
      </c>
      <c r="H106" t="s">
        <v>382</v>
      </c>
      <c r="I106" t="s">
        <v>382</v>
      </c>
      <c r="J106" t="s">
        <v>382</v>
      </c>
      <c r="K106" t="s">
        <v>382</v>
      </c>
      <c r="L106" t="s">
        <v>382</v>
      </c>
      <c r="M106" t="s">
        <v>382</v>
      </c>
      <c r="N106" t="s">
        <v>382</v>
      </c>
      <c r="O106" t="s">
        <v>382</v>
      </c>
      <c r="P106" t="s">
        <v>382</v>
      </c>
      <c r="Q106" t="s">
        <v>382</v>
      </c>
      <c r="R106" t="s">
        <v>382</v>
      </c>
      <c r="S106" t="s">
        <v>382</v>
      </c>
      <c r="T106" t="s">
        <v>382</v>
      </c>
      <c r="U106" t="s">
        <v>382</v>
      </c>
      <c r="V106" t="s">
        <v>382</v>
      </c>
      <c r="W106" t="s">
        <v>382</v>
      </c>
      <c r="X106" t="s">
        <v>382</v>
      </c>
      <c r="Y106" t="s">
        <v>382</v>
      </c>
      <c r="Z106" t="s">
        <v>382</v>
      </c>
      <c r="AA106" t="s">
        <v>382</v>
      </c>
      <c r="AB106" t="s">
        <v>382</v>
      </c>
      <c r="AC106">
        <v>5</v>
      </c>
      <c r="AD106">
        <v>5</v>
      </c>
      <c r="AF106" t="s">
        <v>385</v>
      </c>
      <c r="AH106" t="s">
        <v>27</v>
      </c>
      <c r="AI106" t="s">
        <v>109</v>
      </c>
      <c r="AK106">
        <v>2641</v>
      </c>
      <c r="AL106">
        <v>2062</v>
      </c>
    </row>
    <row r="107" spans="1:38">
      <c r="A107" t="s">
        <v>382</v>
      </c>
      <c r="B107" t="s">
        <v>382</v>
      </c>
      <c r="C107" t="s">
        <v>382</v>
      </c>
      <c r="D107" t="s">
        <v>382</v>
      </c>
      <c r="E107" t="s">
        <v>382</v>
      </c>
      <c r="F107" t="s">
        <v>382</v>
      </c>
      <c r="G107" t="s">
        <v>382</v>
      </c>
      <c r="H107" t="s">
        <v>382</v>
      </c>
      <c r="I107" t="s">
        <v>382</v>
      </c>
      <c r="J107" t="s">
        <v>382</v>
      </c>
      <c r="K107" t="s">
        <v>382</v>
      </c>
      <c r="L107" t="s">
        <v>382</v>
      </c>
      <c r="M107" t="s">
        <v>382</v>
      </c>
      <c r="N107" t="s">
        <v>382</v>
      </c>
      <c r="O107" t="s">
        <v>382</v>
      </c>
      <c r="P107" t="s">
        <v>382</v>
      </c>
      <c r="Q107" t="s">
        <v>382</v>
      </c>
      <c r="R107" t="s">
        <v>382</v>
      </c>
      <c r="S107" t="s">
        <v>382</v>
      </c>
      <c r="T107" t="s">
        <v>382</v>
      </c>
      <c r="U107" t="s">
        <v>382</v>
      </c>
      <c r="V107" t="s">
        <v>382</v>
      </c>
      <c r="W107" t="s">
        <v>382</v>
      </c>
      <c r="X107" t="s">
        <v>382</v>
      </c>
      <c r="Y107" t="s">
        <v>382</v>
      </c>
      <c r="Z107" t="s">
        <v>382</v>
      </c>
      <c r="AA107" t="s">
        <v>382</v>
      </c>
      <c r="AB107" t="s">
        <v>382</v>
      </c>
      <c r="AC107">
        <v>5</v>
      </c>
      <c r="AD107">
        <v>1</v>
      </c>
      <c r="AF107" t="s">
        <v>386</v>
      </c>
      <c r="AH107" t="s">
        <v>29</v>
      </c>
      <c r="AI107" t="s">
        <v>103</v>
      </c>
      <c r="AK107">
        <v>2456</v>
      </c>
      <c r="AL107">
        <v>1657</v>
      </c>
    </row>
    <row r="108" spans="1:38">
      <c r="A108" t="s">
        <v>382</v>
      </c>
      <c r="B108" t="s">
        <v>382</v>
      </c>
      <c r="C108" t="s">
        <v>382</v>
      </c>
      <c r="D108" t="s">
        <v>382</v>
      </c>
      <c r="E108" t="s">
        <v>382</v>
      </c>
      <c r="F108" t="s">
        <v>382</v>
      </c>
      <c r="G108" t="s">
        <v>382</v>
      </c>
      <c r="H108" t="s">
        <v>382</v>
      </c>
      <c r="I108" t="s">
        <v>382</v>
      </c>
      <c r="J108" t="s">
        <v>382</v>
      </c>
      <c r="K108" t="s">
        <v>382</v>
      </c>
      <c r="L108" t="s">
        <v>382</v>
      </c>
      <c r="M108" t="s">
        <v>382</v>
      </c>
      <c r="N108" t="s">
        <v>382</v>
      </c>
      <c r="O108" t="s">
        <v>382</v>
      </c>
      <c r="P108" t="s">
        <v>382</v>
      </c>
      <c r="Q108" t="s">
        <v>382</v>
      </c>
      <c r="R108" t="s">
        <v>382</v>
      </c>
      <c r="S108" t="s">
        <v>382</v>
      </c>
      <c r="T108" t="s">
        <v>382</v>
      </c>
      <c r="U108" t="s">
        <v>382</v>
      </c>
      <c r="V108" t="s">
        <v>382</v>
      </c>
      <c r="W108" t="s">
        <v>382</v>
      </c>
      <c r="X108" t="s">
        <v>382</v>
      </c>
      <c r="Y108" t="s">
        <v>382</v>
      </c>
      <c r="Z108" t="s">
        <v>382</v>
      </c>
      <c r="AA108" t="s">
        <v>382</v>
      </c>
      <c r="AB108" t="s">
        <v>382</v>
      </c>
      <c r="AC108">
        <v>5</v>
      </c>
      <c r="AD108">
        <v>2</v>
      </c>
      <c r="AF108" t="s">
        <v>386</v>
      </c>
      <c r="AH108" t="s">
        <v>29</v>
      </c>
      <c r="AI108" t="s">
        <v>103</v>
      </c>
      <c r="AK108">
        <v>2445</v>
      </c>
      <c r="AL108">
        <v>2415</v>
      </c>
    </row>
    <row r="109" spans="1:38">
      <c r="A109" t="s">
        <v>382</v>
      </c>
      <c r="B109" t="s">
        <v>382</v>
      </c>
      <c r="C109" t="s">
        <v>382</v>
      </c>
      <c r="D109" t="s">
        <v>382</v>
      </c>
      <c r="E109" t="s">
        <v>382</v>
      </c>
      <c r="F109" t="s">
        <v>382</v>
      </c>
      <c r="G109" t="s">
        <v>382</v>
      </c>
      <c r="H109" t="s">
        <v>382</v>
      </c>
      <c r="I109" t="s">
        <v>382</v>
      </c>
      <c r="J109" t="s">
        <v>382</v>
      </c>
      <c r="K109" t="s">
        <v>382</v>
      </c>
      <c r="L109" t="s">
        <v>382</v>
      </c>
      <c r="M109" t="s">
        <v>382</v>
      </c>
      <c r="N109" t="s">
        <v>382</v>
      </c>
      <c r="O109" t="s">
        <v>382</v>
      </c>
      <c r="P109" t="s">
        <v>382</v>
      </c>
      <c r="Q109" t="s">
        <v>382</v>
      </c>
      <c r="R109" t="s">
        <v>382</v>
      </c>
      <c r="S109" t="s">
        <v>382</v>
      </c>
      <c r="T109" t="s">
        <v>382</v>
      </c>
      <c r="U109" t="s">
        <v>382</v>
      </c>
      <c r="V109" t="s">
        <v>382</v>
      </c>
      <c r="W109" t="s">
        <v>382</v>
      </c>
      <c r="X109" t="s">
        <v>382</v>
      </c>
      <c r="Y109" t="s">
        <v>382</v>
      </c>
      <c r="Z109" t="s">
        <v>382</v>
      </c>
      <c r="AA109" t="s">
        <v>382</v>
      </c>
      <c r="AB109" t="s">
        <v>382</v>
      </c>
      <c r="AC109">
        <v>5</v>
      </c>
      <c r="AD109">
        <v>3</v>
      </c>
      <c r="AE109">
        <v>1</v>
      </c>
      <c r="AF109" t="s">
        <v>387</v>
      </c>
      <c r="AH109" t="s">
        <v>31</v>
      </c>
      <c r="AI109" t="s">
        <v>97</v>
      </c>
      <c r="AK109">
        <v>822</v>
      </c>
      <c r="AL109">
        <v>1984</v>
      </c>
    </row>
    <row r="110" spans="1:38">
      <c r="A110" t="s">
        <v>382</v>
      </c>
      <c r="B110" t="s">
        <v>382</v>
      </c>
      <c r="C110" t="s">
        <v>382</v>
      </c>
      <c r="D110" t="s">
        <v>382</v>
      </c>
      <c r="E110" t="s">
        <v>382</v>
      </c>
      <c r="F110" t="s">
        <v>382</v>
      </c>
      <c r="G110" t="s">
        <v>382</v>
      </c>
      <c r="H110" t="s">
        <v>382</v>
      </c>
      <c r="I110" t="s">
        <v>382</v>
      </c>
      <c r="J110" t="s">
        <v>382</v>
      </c>
      <c r="K110" t="s">
        <v>382</v>
      </c>
      <c r="L110" t="s">
        <v>382</v>
      </c>
      <c r="M110" t="s">
        <v>382</v>
      </c>
      <c r="N110" t="s">
        <v>382</v>
      </c>
      <c r="O110" t="s">
        <v>382</v>
      </c>
      <c r="P110" t="s">
        <v>382</v>
      </c>
      <c r="Q110" t="s">
        <v>382</v>
      </c>
      <c r="R110" t="s">
        <v>382</v>
      </c>
      <c r="S110" t="s">
        <v>382</v>
      </c>
      <c r="T110" t="s">
        <v>382</v>
      </c>
      <c r="U110" t="s">
        <v>382</v>
      </c>
      <c r="V110" t="s">
        <v>382</v>
      </c>
      <c r="W110" t="s">
        <v>382</v>
      </c>
      <c r="X110" t="s">
        <v>382</v>
      </c>
      <c r="Y110" t="s">
        <v>382</v>
      </c>
      <c r="Z110" t="s">
        <v>382</v>
      </c>
      <c r="AA110" t="s">
        <v>382</v>
      </c>
      <c r="AB110" t="s">
        <v>382</v>
      </c>
      <c r="AC110">
        <v>5</v>
      </c>
      <c r="AD110">
        <v>4</v>
      </c>
      <c r="AE110">
        <v>1</v>
      </c>
      <c r="AF110" t="s">
        <v>383</v>
      </c>
      <c r="AH110" t="s">
        <v>22</v>
      </c>
      <c r="AI110" t="s">
        <v>97</v>
      </c>
      <c r="AK110">
        <v>722</v>
      </c>
      <c r="AL110">
        <v>484</v>
      </c>
    </row>
    <row r="111" spans="1:38">
      <c r="A111" t="s">
        <v>382</v>
      </c>
      <c r="B111" t="s">
        <v>382</v>
      </c>
      <c r="C111" t="s">
        <v>382</v>
      </c>
      <c r="D111" t="s">
        <v>382</v>
      </c>
      <c r="E111" t="s">
        <v>382</v>
      </c>
      <c r="F111" t="s">
        <v>382</v>
      </c>
      <c r="G111" t="s">
        <v>382</v>
      </c>
      <c r="H111" t="s">
        <v>382</v>
      </c>
      <c r="I111" t="s">
        <v>382</v>
      </c>
      <c r="J111" t="s">
        <v>382</v>
      </c>
      <c r="K111" t="s">
        <v>382</v>
      </c>
      <c r="L111" t="s">
        <v>382</v>
      </c>
      <c r="M111" t="s">
        <v>382</v>
      </c>
      <c r="N111" t="s">
        <v>382</v>
      </c>
      <c r="O111" t="s">
        <v>382</v>
      </c>
      <c r="P111" t="s">
        <v>382</v>
      </c>
      <c r="Q111" t="s">
        <v>382</v>
      </c>
      <c r="R111" t="s">
        <v>382</v>
      </c>
      <c r="S111" t="s">
        <v>382</v>
      </c>
      <c r="T111" t="s">
        <v>382</v>
      </c>
      <c r="U111" t="s">
        <v>382</v>
      </c>
      <c r="V111" t="s">
        <v>382</v>
      </c>
      <c r="W111" t="s">
        <v>382</v>
      </c>
      <c r="X111" t="s">
        <v>382</v>
      </c>
      <c r="Y111" t="s">
        <v>382</v>
      </c>
      <c r="Z111" t="s">
        <v>382</v>
      </c>
      <c r="AA111" t="s">
        <v>382</v>
      </c>
      <c r="AB111" t="s">
        <v>382</v>
      </c>
      <c r="AC111">
        <v>5</v>
      </c>
      <c r="AD111">
        <v>5</v>
      </c>
      <c r="AF111" t="s">
        <v>385</v>
      </c>
      <c r="AH111" t="s">
        <v>27</v>
      </c>
      <c r="AI111" t="s">
        <v>109</v>
      </c>
      <c r="AK111">
        <v>2167</v>
      </c>
      <c r="AL111">
        <v>265</v>
      </c>
    </row>
    <row r="112" spans="1:38">
      <c r="A112" t="s">
        <v>382</v>
      </c>
      <c r="B112" t="s">
        <v>382</v>
      </c>
      <c r="C112" t="s">
        <v>382</v>
      </c>
      <c r="D112" t="s">
        <v>382</v>
      </c>
      <c r="E112" t="s">
        <v>382</v>
      </c>
      <c r="F112" t="s">
        <v>382</v>
      </c>
      <c r="G112" t="s">
        <v>382</v>
      </c>
      <c r="H112" t="s">
        <v>382</v>
      </c>
      <c r="I112" t="s">
        <v>382</v>
      </c>
      <c r="J112" t="s">
        <v>382</v>
      </c>
      <c r="K112" t="s">
        <v>382</v>
      </c>
      <c r="L112" t="s">
        <v>382</v>
      </c>
      <c r="M112" t="s">
        <v>382</v>
      </c>
      <c r="N112" t="s">
        <v>382</v>
      </c>
      <c r="O112" t="s">
        <v>382</v>
      </c>
      <c r="P112" t="s">
        <v>382</v>
      </c>
      <c r="Q112" t="s">
        <v>382</v>
      </c>
      <c r="R112" t="s">
        <v>382</v>
      </c>
      <c r="S112" t="s">
        <v>382</v>
      </c>
      <c r="T112" t="s">
        <v>382</v>
      </c>
      <c r="U112" t="s">
        <v>382</v>
      </c>
      <c r="V112" t="s">
        <v>382</v>
      </c>
      <c r="W112" t="s">
        <v>382</v>
      </c>
      <c r="X112" t="s">
        <v>382</v>
      </c>
      <c r="Y112" t="s">
        <v>382</v>
      </c>
      <c r="Z112" t="s">
        <v>382</v>
      </c>
      <c r="AA112" t="s">
        <v>382</v>
      </c>
      <c r="AB112" t="s">
        <v>382</v>
      </c>
      <c r="AC112">
        <v>5</v>
      </c>
      <c r="AD112">
        <v>1</v>
      </c>
      <c r="AE112">
        <v>1</v>
      </c>
      <c r="AF112" t="s">
        <v>383</v>
      </c>
      <c r="AH112" t="s">
        <v>22</v>
      </c>
      <c r="AI112" t="s">
        <v>97</v>
      </c>
      <c r="AK112">
        <v>831</v>
      </c>
      <c r="AL112">
        <v>457</v>
      </c>
    </row>
    <row r="113" spans="1:38">
      <c r="A113" t="s">
        <v>382</v>
      </c>
      <c r="B113" t="s">
        <v>382</v>
      </c>
      <c r="C113" t="s">
        <v>382</v>
      </c>
      <c r="D113" t="s">
        <v>382</v>
      </c>
      <c r="E113" t="s">
        <v>382</v>
      </c>
      <c r="F113" t="s">
        <v>382</v>
      </c>
      <c r="G113" t="s">
        <v>382</v>
      </c>
      <c r="H113" t="s">
        <v>382</v>
      </c>
      <c r="I113" t="s">
        <v>382</v>
      </c>
      <c r="J113" t="s">
        <v>382</v>
      </c>
      <c r="K113" t="s">
        <v>382</v>
      </c>
      <c r="L113" t="s">
        <v>382</v>
      </c>
      <c r="M113" t="s">
        <v>382</v>
      </c>
      <c r="N113" t="s">
        <v>382</v>
      </c>
      <c r="O113" t="s">
        <v>382</v>
      </c>
      <c r="P113" t="s">
        <v>382</v>
      </c>
      <c r="Q113" t="s">
        <v>382</v>
      </c>
      <c r="R113" t="s">
        <v>382</v>
      </c>
      <c r="S113" t="s">
        <v>382</v>
      </c>
      <c r="T113" t="s">
        <v>382</v>
      </c>
      <c r="U113" t="s">
        <v>382</v>
      </c>
      <c r="V113" t="s">
        <v>382</v>
      </c>
      <c r="W113" t="s">
        <v>382</v>
      </c>
      <c r="X113" t="s">
        <v>382</v>
      </c>
      <c r="Y113" t="s">
        <v>382</v>
      </c>
      <c r="Z113" t="s">
        <v>382</v>
      </c>
      <c r="AA113" t="s">
        <v>382</v>
      </c>
      <c r="AB113" t="s">
        <v>382</v>
      </c>
      <c r="AC113">
        <v>5</v>
      </c>
      <c r="AD113">
        <v>2</v>
      </c>
      <c r="AE113">
        <v>1</v>
      </c>
      <c r="AF113" t="s">
        <v>383</v>
      </c>
      <c r="AH113" t="s">
        <v>22</v>
      </c>
      <c r="AI113" t="s">
        <v>97</v>
      </c>
      <c r="AK113">
        <v>2590</v>
      </c>
      <c r="AL113">
        <v>2383</v>
      </c>
    </row>
    <row r="114" spans="1:38">
      <c r="A114" t="s">
        <v>382</v>
      </c>
      <c r="B114" t="s">
        <v>382</v>
      </c>
      <c r="C114" t="s">
        <v>382</v>
      </c>
      <c r="D114" t="s">
        <v>382</v>
      </c>
      <c r="E114" t="s">
        <v>382</v>
      </c>
      <c r="F114" t="s">
        <v>382</v>
      </c>
      <c r="G114" t="s">
        <v>382</v>
      </c>
      <c r="H114" t="s">
        <v>382</v>
      </c>
      <c r="I114" t="s">
        <v>382</v>
      </c>
      <c r="J114" t="s">
        <v>382</v>
      </c>
      <c r="K114" t="s">
        <v>382</v>
      </c>
      <c r="L114" t="s">
        <v>382</v>
      </c>
      <c r="M114" t="s">
        <v>382</v>
      </c>
      <c r="N114" t="s">
        <v>382</v>
      </c>
      <c r="O114" t="s">
        <v>382</v>
      </c>
      <c r="P114" t="s">
        <v>382</v>
      </c>
      <c r="Q114" t="s">
        <v>382</v>
      </c>
      <c r="R114" t="s">
        <v>382</v>
      </c>
      <c r="S114" t="s">
        <v>382</v>
      </c>
      <c r="T114" t="s">
        <v>382</v>
      </c>
      <c r="U114" t="s">
        <v>382</v>
      </c>
      <c r="V114" t="s">
        <v>382</v>
      </c>
      <c r="W114" t="s">
        <v>382</v>
      </c>
      <c r="X114" t="s">
        <v>382</v>
      </c>
      <c r="Y114" t="s">
        <v>382</v>
      </c>
      <c r="Z114" t="s">
        <v>382</v>
      </c>
      <c r="AA114" t="s">
        <v>382</v>
      </c>
      <c r="AB114" t="s">
        <v>382</v>
      </c>
      <c r="AC114">
        <v>5</v>
      </c>
      <c r="AD114">
        <v>3</v>
      </c>
      <c r="AE114">
        <v>1</v>
      </c>
      <c r="AF114" t="s">
        <v>383</v>
      </c>
      <c r="AH114" t="s">
        <v>22</v>
      </c>
      <c r="AI114" t="s">
        <v>97</v>
      </c>
      <c r="AK114">
        <v>1197</v>
      </c>
      <c r="AL114">
        <v>1834</v>
      </c>
    </row>
    <row r="115" spans="1:38">
      <c r="A115" t="s">
        <v>382</v>
      </c>
      <c r="B115" t="s">
        <v>382</v>
      </c>
      <c r="C115" t="s">
        <v>382</v>
      </c>
      <c r="D115" t="s">
        <v>382</v>
      </c>
      <c r="E115" t="s">
        <v>382</v>
      </c>
      <c r="F115" t="s">
        <v>382</v>
      </c>
      <c r="G115" t="s">
        <v>382</v>
      </c>
      <c r="H115" t="s">
        <v>382</v>
      </c>
      <c r="I115" t="s">
        <v>382</v>
      </c>
      <c r="J115" t="s">
        <v>382</v>
      </c>
      <c r="K115" t="s">
        <v>382</v>
      </c>
      <c r="L115" t="s">
        <v>382</v>
      </c>
      <c r="M115" t="s">
        <v>382</v>
      </c>
      <c r="N115" t="s">
        <v>382</v>
      </c>
      <c r="O115" t="s">
        <v>382</v>
      </c>
      <c r="P115" t="s">
        <v>382</v>
      </c>
      <c r="Q115" t="s">
        <v>382</v>
      </c>
      <c r="R115" t="s">
        <v>382</v>
      </c>
      <c r="S115" t="s">
        <v>382</v>
      </c>
      <c r="T115" t="s">
        <v>382</v>
      </c>
      <c r="U115" t="s">
        <v>382</v>
      </c>
      <c r="V115" t="s">
        <v>382</v>
      </c>
      <c r="W115" t="s">
        <v>382</v>
      </c>
      <c r="X115" t="s">
        <v>382</v>
      </c>
      <c r="Y115" t="s">
        <v>382</v>
      </c>
      <c r="Z115" t="s">
        <v>382</v>
      </c>
      <c r="AA115" t="s">
        <v>382</v>
      </c>
      <c r="AB115" t="s">
        <v>382</v>
      </c>
      <c r="AC115">
        <v>5</v>
      </c>
      <c r="AD115">
        <v>4</v>
      </c>
      <c r="AE115">
        <v>1</v>
      </c>
      <c r="AF115" t="s">
        <v>383</v>
      </c>
      <c r="AH115" t="s">
        <v>22</v>
      </c>
      <c r="AI115" t="s">
        <v>97</v>
      </c>
      <c r="AK115">
        <v>1469</v>
      </c>
      <c r="AL115">
        <v>427</v>
      </c>
    </row>
    <row r="116" spans="1:38">
      <c r="A116" t="s">
        <v>382</v>
      </c>
      <c r="B116" t="s">
        <v>382</v>
      </c>
      <c r="C116" t="s">
        <v>382</v>
      </c>
      <c r="D116" t="s">
        <v>382</v>
      </c>
      <c r="E116" t="s">
        <v>382</v>
      </c>
      <c r="F116" t="s">
        <v>382</v>
      </c>
      <c r="G116" t="s">
        <v>382</v>
      </c>
      <c r="H116" t="s">
        <v>382</v>
      </c>
      <c r="I116" t="s">
        <v>382</v>
      </c>
      <c r="J116" t="s">
        <v>382</v>
      </c>
      <c r="K116" t="s">
        <v>382</v>
      </c>
      <c r="L116" t="s">
        <v>382</v>
      </c>
      <c r="M116" t="s">
        <v>382</v>
      </c>
      <c r="N116" t="s">
        <v>382</v>
      </c>
      <c r="O116" t="s">
        <v>382</v>
      </c>
      <c r="P116" t="s">
        <v>382</v>
      </c>
      <c r="Q116" t="s">
        <v>382</v>
      </c>
      <c r="R116" t="s">
        <v>382</v>
      </c>
      <c r="S116" t="s">
        <v>382</v>
      </c>
      <c r="T116" t="s">
        <v>382</v>
      </c>
      <c r="U116" t="s">
        <v>382</v>
      </c>
      <c r="V116" t="s">
        <v>382</v>
      </c>
      <c r="W116" t="s">
        <v>382</v>
      </c>
      <c r="X116" t="s">
        <v>382</v>
      </c>
      <c r="Y116" t="s">
        <v>382</v>
      </c>
      <c r="Z116" t="s">
        <v>382</v>
      </c>
      <c r="AA116" t="s">
        <v>382</v>
      </c>
      <c r="AB116" t="s">
        <v>382</v>
      </c>
      <c r="AC116">
        <v>5</v>
      </c>
      <c r="AD116">
        <v>5</v>
      </c>
      <c r="AE116">
        <v>1</v>
      </c>
      <c r="AF116" t="s">
        <v>383</v>
      </c>
      <c r="AH116" t="s">
        <v>22</v>
      </c>
      <c r="AI116" t="s">
        <v>97</v>
      </c>
      <c r="AK116">
        <v>673</v>
      </c>
      <c r="AL116">
        <v>2290</v>
      </c>
    </row>
    <row r="117" spans="1:38">
      <c r="A117" t="s">
        <v>382</v>
      </c>
      <c r="B117" t="s">
        <v>382</v>
      </c>
      <c r="C117" t="s">
        <v>382</v>
      </c>
      <c r="D117" t="s">
        <v>382</v>
      </c>
      <c r="E117" t="s">
        <v>382</v>
      </c>
      <c r="F117" t="s">
        <v>382</v>
      </c>
      <c r="G117" t="s">
        <v>382</v>
      </c>
      <c r="H117" t="s">
        <v>382</v>
      </c>
      <c r="I117" t="s">
        <v>382</v>
      </c>
      <c r="J117" t="s">
        <v>382</v>
      </c>
      <c r="K117" t="s">
        <v>382</v>
      </c>
      <c r="L117" t="s">
        <v>382</v>
      </c>
      <c r="M117" t="s">
        <v>382</v>
      </c>
      <c r="N117" t="s">
        <v>382</v>
      </c>
      <c r="O117" t="s">
        <v>382</v>
      </c>
      <c r="P117" t="s">
        <v>382</v>
      </c>
      <c r="Q117" t="s">
        <v>382</v>
      </c>
      <c r="R117" t="s">
        <v>382</v>
      </c>
      <c r="S117" t="s">
        <v>382</v>
      </c>
      <c r="T117" t="s">
        <v>382</v>
      </c>
      <c r="U117" t="s">
        <v>382</v>
      </c>
      <c r="V117" t="s">
        <v>382</v>
      </c>
      <c r="W117" t="s">
        <v>382</v>
      </c>
      <c r="X117" t="s">
        <v>382</v>
      </c>
      <c r="Y117" t="s">
        <v>382</v>
      </c>
      <c r="Z117" t="s">
        <v>382</v>
      </c>
      <c r="AA117" t="s">
        <v>382</v>
      </c>
      <c r="AB117" t="s">
        <v>382</v>
      </c>
      <c r="AC117">
        <v>5</v>
      </c>
      <c r="AD117">
        <v>1</v>
      </c>
      <c r="AE117">
        <v>1</v>
      </c>
      <c r="AF117" t="s">
        <v>389</v>
      </c>
      <c r="AH117" t="s">
        <v>35</v>
      </c>
      <c r="AI117" t="s">
        <v>97</v>
      </c>
      <c r="AK117">
        <v>2380</v>
      </c>
      <c r="AL117">
        <v>1447</v>
      </c>
    </row>
    <row r="118" spans="1:38">
      <c r="A118" t="s">
        <v>382</v>
      </c>
      <c r="B118" t="s">
        <v>382</v>
      </c>
      <c r="C118" t="s">
        <v>382</v>
      </c>
      <c r="D118" t="s">
        <v>382</v>
      </c>
      <c r="E118" t="s">
        <v>382</v>
      </c>
      <c r="F118" t="s">
        <v>382</v>
      </c>
      <c r="G118" t="s">
        <v>382</v>
      </c>
      <c r="H118" t="s">
        <v>382</v>
      </c>
      <c r="I118" t="s">
        <v>382</v>
      </c>
      <c r="J118" t="s">
        <v>382</v>
      </c>
      <c r="K118" t="s">
        <v>382</v>
      </c>
      <c r="L118" t="s">
        <v>382</v>
      </c>
      <c r="M118" t="s">
        <v>382</v>
      </c>
      <c r="N118" t="s">
        <v>382</v>
      </c>
      <c r="O118" t="s">
        <v>382</v>
      </c>
      <c r="P118" t="s">
        <v>382</v>
      </c>
      <c r="Q118" t="s">
        <v>382</v>
      </c>
      <c r="R118" t="s">
        <v>382</v>
      </c>
      <c r="S118" t="s">
        <v>382</v>
      </c>
      <c r="T118" t="s">
        <v>382</v>
      </c>
      <c r="U118" t="s">
        <v>382</v>
      </c>
      <c r="V118" t="s">
        <v>382</v>
      </c>
      <c r="W118" t="s">
        <v>382</v>
      </c>
      <c r="X118" t="s">
        <v>382</v>
      </c>
      <c r="Y118" t="s">
        <v>382</v>
      </c>
      <c r="Z118" t="s">
        <v>382</v>
      </c>
      <c r="AA118" t="s">
        <v>382</v>
      </c>
      <c r="AB118" t="s">
        <v>382</v>
      </c>
      <c r="AC118">
        <v>5</v>
      </c>
      <c r="AD118">
        <v>2</v>
      </c>
      <c r="AE118">
        <v>1</v>
      </c>
      <c r="AF118" t="s">
        <v>389</v>
      </c>
      <c r="AH118" t="s">
        <v>35</v>
      </c>
      <c r="AI118" t="s">
        <v>97</v>
      </c>
      <c r="AK118">
        <v>824</v>
      </c>
      <c r="AL118">
        <v>2212</v>
      </c>
    </row>
    <row r="119" spans="1:38">
      <c r="A119" t="s">
        <v>382</v>
      </c>
      <c r="B119" t="s">
        <v>382</v>
      </c>
      <c r="C119" t="s">
        <v>382</v>
      </c>
      <c r="D119" t="s">
        <v>382</v>
      </c>
      <c r="E119" t="s">
        <v>382</v>
      </c>
      <c r="F119" t="s">
        <v>382</v>
      </c>
      <c r="G119" t="s">
        <v>382</v>
      </c>
      <c r="H119" t="s">
        <v>382</v>
      </c>
      <c r="I119" t="s">
        <v>382</v>
      </c>
      <c r="J119" t="s">
        <v>382</v>
      </c>
      <c r="K119" t="s">
        <v>382</v>
      </c>
      <c r="L119" t="s">
        <v>382</v>
      </c>
      <c r="M119" t="s">
        <v>382</v>
      </c>
      <c r="N119" t="s">
        <v>382</v>
      </c>
      <c r="O119" t="s">
        <v>382</v>
      </c>
      <c r="P119" t="s">
        <v>382</v>
      </c>
      <c r="Q119" t="s">
        <v>382</v>
      </c>
      <c r="R119" t="s">
        <v>382</v>
      </c>
      <c r="S119" t="s">
        <v>382</v>
      </c>
      <c r="T119" t="s">
        <v>382</v>
      </c>
      <c r="U119" t="s">
        <v>382</v>
      </c>
      <c r="V119" t="s">
        <v>382</v>
      </c>
      <c r="W119" t="s">
        <v>382</v>
      </c>
      <c r="X119" t="s">
        <v>382</v>
      </c>
      <c r="Y119" t="s">
        <v>382</v>
      </c>
      <c r="Z119" t="s">
        <v>382</v>
      </c>
      <c r="AA119" t="s">
        <v>382</v>
      </c>
      <c r="AB119" t="s">
        <v>382</v>
      </c>
      <c r="AC119">
        <v>5</v>
      </c>
      <c r="AD119">
        <v>3</v>
      </c>
      <c r="AE119">
        <v>1</v>
      </c>
      <c r="AF119" t="s">
        <v>389</v>
      </c>
      <c r="AH119" t="s">
        <v>35</v>
      </c>
      <c r="AI119" t="s">
        <v>97</v>
      </c>
      <c r="AK119">
        <v>1088</v>
      </c>
      <c r="AL119">
        <v>2354</v>
      </c>
    </row>
    <row r="120" spans="1:38">
      <c r="A120" t="s">
        <v>382</v>
      </c>
      <c r="B120" t="s">
        <v>382</v>
      </c>
      <c r="C120" t="s">
        <v>382</v>
      </c>
      <c r="D120" t="s">
        <v>382</v>
      </c>
      <c r="E120" t="s">
        <v>382</v>
      </c>
      <c r="F120" t="s">
        <v>382</v>
      </c>
      <c r="G120" t="s">
        <v>382</v>
      </c>
      <c r="H120" t="s">
        <v>382</v>
      </c>
      <c r="I120" t="s">
        <v>382</v>
      </c>
      <c r="J120" t="s">
        <v>382</v>
      </c>
      <c r="K120" t="s">
        <v>382</v>
      </c>
      <c r="L120" t="s">
        <v>382</v>
      </c>
      <c r="M120" t="s">
        <v>382</v>
      </c>
      <c r="N120" t="s">
        <v>382</v>
      </c>
      <c r="O120" t="s">
        <v>382</v>
      </c>
      <c r="P120" t="s">
        <v>382</v>
      </c>
      <c r="Q120" t="s">
        <v>382</v>
      </c>
      <c r="R120" t="s">
        <v>382</v>
      </c>
      <c r="S120" t="s">
        <v>382</v>
      </c>
      <c r="T120" t="s">
        <v>382</v>
      </c>
      <c r="U120" t="s">
        <v>382</v>
      </c>
      <c r="V120" t="s">
        <v>382</v>
      </c>
      <c r="W120" t="s">
        <v>382</v>
      </c>
      <c r="X120" t="s">
        <v>382</v>
      </c>
      <c r="Y120" t="s">
        <v>382</v>
      </c>
      <c r="Z120" t="s">
        <v>382</v>
      </c>
      <c r="AA120" t="s">
        <v>382</v>
      </c>
      <c r="AB120" t="s">
        <v>382</v>
      </c>
      <c r="AC120">
        <v>5</v>
      </c>
      <c r="AD120">
        <v>4</v>
      </c>
      <c r="AE120">
        <v>1</v>
      </c>
      <c r="AF120" t="s">
        <v>389</v>
      </c>
      <c r="AH120" t="s">
        <v>35</v>
      </c>
      <c r="AI120" t="s">
        <v>97</v>
      </c>
      <c r="AK120">
        <v>2423</v>
      </c>
      <c r="AL120">
        <v>1420</v>
      </c>
    </row>
    <row r="121" spans="1:38">
      <c r="A121" t="s">
        <v>382</v>
      </c>
      <c r="B121" t="s">
        <v>382</v>
      </c>
      <c r="C121" t="s">
        <v>382</v>
      </c>
      <c r="D121" t="s">
        <v>382</v>
      </c>
      <c r="E121" t="s">
        <v>382</v>
      </c>
      <c r="F121" t="s">
        <v>382</v>
      </c>
      <c r="G121" t="s">
        <v>382</v>
      </c>
      <c r="H121" t="s">
        <v>382</v>
      </c>
      <c r="I121" t="s">
        <v>382</v>
      </c>
      <c r="J121" t="s">
        <v>382</v>
      </c>
      <c r="K121" t="s">
        <v>382</v>
      </c>
      <c r="L121" t="s">
        <v>382</v>
      </c>
      <c r="M121" t="s">
        <v>382</v>
      </c>
      <c r="N121" t="s">
        <v>382</v>
      </c>
      <c r="O121" t="s">
        <v>382</v>
      </c>
      <c r="P121" t="s">
        <v>382</v>
      </c>
      <c r="Q121" t="s">
        <v>382</v>
      </c>
      <c r="R121" t="s">
        <v>382</v>
      </c>
      <c r="S121" t="s">
        <v>382</v>
      </c>
      <c r="T121" t="s">
        <v>382</v>
      </c>
      <c r="U121" t="s">
        <v>382</v>
      </c>
      <c r="V121" t="s">
        <v>382</v>
      </c>
      <c r="W121" t="s">
        <v>382</v>
      </c>
      <c r="X121" t="s">
        <v>382</v>
      </c>
      <c r="Y121" t="s">
        <v>382</v>
      </c>
      <c r="Z121" t="s">
        <v>382</v>
      </c>
      <c r="AA121" t="s">
        <v>382</v>
      </c>
      <c r="AB121" t="s">
        <v>382</v>
      </c>
      <c r="AC121">
        <v>5</v>
      </c>
      <c r="AD121">
        <v>5</v>
      </c>
      <c r="AF121" t="s">
        <v>386</v>
      </c>
      <c r="AH121" t="s">
        <v>29</v>
      </c>
      <c r="AI121" t="s">
        <v>103</v>
      </c>
      <c r="AK121">
        <v>2684</v>
      </c>
      <c r="AL121">
        <v>1666</v>
      </c>
    </row>
    <row r="122" spans="1:38">
      <c r="A122" t="s">
        <v>382</v>
      </c>
      <c r="B122" t="s">
        <v>382</v>
      </c>
      <c r="C122" t="s">
        <v>382</v>
      </c>
      <c r="D122" t="s">
        <v>382</v>
      </c>
      <c r="E122" t="s">
        <v>382</v>
      </c>
      <c r="F122" t="s">
        <v>382</v>
      </c>
      <c r="G122" t="s">
        <v>382</v>
      </c>
      <c r="H122" t="s">
        <v>382</v>
      </c>
      <c r="I122" t="s">
        <v>382</v>
      </c>
      <c r="J122" t="s">
        <v>382</v>
      </c>
      <c r="K122" t="s">
        <v>382</v>
      </c>
      <c r="L122" t="s">
        <v>382</v>
      </c>
      <c r="M122" t="s">
        <v>382</v>
      </c>
      <c r="N122" t="s">
        <v>382</v>
      </c>
      <c r="O122" t="s">
        <v>382</v>
      </c>
      <c r="P122" t="s">
        <v>382</v>
      </c>
      <c r="Q122" t="s">
        <v>382</v>
      </c>
      <c r="R122" t="s">
        <v>382</v>
      </c>
      <c r="S122" t="s">
        <v>382</v>
      </c>
      <c r="T122" t="s">
        <v>382</v>
      </c>
      <c r="U122" t="s">
        <v>382</v>
      </c>
      <c r="V122" t="s">
        <v>382</v>
      </c>
      <c r="W122" t="s">
        <v>382</v>
      </c>
      <c r="X122" t="s">
        <v>382</v>
      </c>
      <c r="Y122" t="s">
        <v>382</v>
      </c>
      <c r="Z122" t="s">
        <v>382</v>
      </c>
      <c r="AA122" t="s">
        <v>382</v>
      </c>
      <c r="AB122" t="s">
        <v>382</v>
      </c>
      <c r="AC122">
        <v>5</v>
      </c>
      <c r="AD122">
        <v>1</v>
      </c>
      <c r="AF122" t="s">
        <v>386</v>
      </c>
      <c r="AH122" t="s">
        <v>29</v>
      </c>
      <c r="AI122" t="s">
        <v>103</v>
      </c>
      <c r="AK122">
        <v>2449</v>
      </c>
      <c r="AL122">
        <v>504</v>
      </c>
    </row>
    <row r="123" spans="1:38">
      <c r="A123" t="s">
        <v>382</v>
      </c>
      <c r="B123" t="s">
        <v>382</v>
      </c>
      <c r="C123" t="s">
        <v>382</v>
      </c>
      <c r="D123" t="s">
        <v>382</v>
      </c>
      <c r="E123" t="s">
        <v>382</v>
      </c>
      <c r="F123" t="s">
        <v>382</v>
      </c>
      <c r="G123" t="s">
        <v>382</v>
      </c>
      <c r="H123" t="s">
        <v>382</v>
      </c>
      <c r="I123" t="s">
        <v>382</v>
      </c>
      <c r="J123" t="s">
        <v>382</v>
      </c>
      <c r="K123" t="s">
        <v>382</v>
      </c>
      <c r="L123" t="s">
        <v>382</v>
      </c>
      <c r="M123" t="s">
        <v>382</v>
      </c>
      <c r="N123" t="s">
        <v>382</v>
      </c>
      <c r="O123" t="s">
        <v>382</v>
      </c>
      <c r="P123" t="s">
        <v>382</v>
      </c>
      <c r="Q123" t="s">
        <v>382</v>
      </c>
      <c r="R123" t="s">
        <v>382</v>
      </c>
      <c r="S123" t="s">
        <v>382</v>
      </c>
      <c r="T123" t="s">
        <v>382</v>
      </c>
      <c r="U123" t="s">
        <v>382</v>
      </c>
      <c r="V123" t="s">
        <v>382</v>
      </c>
      <c r="W123" t="s">
        <v>382</v>
      </c>
      <c r="X123" t="s">
        <v>382</v>
      </c>
      <c r="Y123" t="s">
        <v>382</v>
      </c>
      <c r="Z123" t="s">
        <v>382</v>
      </c>
      <c r="AA123" t="s">
        <v>382</v>
      </c>
      <c r="AB123" t="s">
        <v>382</v>
      </c>
      <c r="AC123">
        <v>5</v>
      </c>
      <c r="AD123">
        <v>2</v>
      </c>
      <c r="AE123">
        <v>1</v>
      </c>
      <c r="AF123" t="s">
        <v>488</v>
      </c>
      <c r="AH123" t="s">
        <v>187</v>
      </c>
      <c r="AI123" t="s">
        <v>97</v>
      </c>
      <c r="AK123">
        <v>2751</v>
      </c>
      <c r="AL123">
        <v>2404</v>
      </c>
    </row>
    <row r="124" spans="1:38">
      <c r="A124" t="s">
        <v>382</v>
      </c>
      <c r="B124" t="s">
        <v>382</v>
      </c>
      <c r="C124" t="s">
        <v>382</v>
      </c>
      <c r="D124" t="s">
        <v>382</v>
      </c>
      <c r="E124" t="s">
        <v>382</v>
      </c>
      <c r="F124" t="s">
        <v>382</v>
      </c>
      <c r="G124" t="s">
        <v>382</v>
      </c>
      <c r="H124" t="s">
        <v>382</v>
      </c>
      <c r="I124" t="s">
        <v>382</v>
      </c>
      <c r="J124" t="s">
        <v>382</v>
      </c>
      <c r="K124" t="s">
        <v>382</v>
      </c>
      <c r="L124" t="s">
        <v>382</v>
      </c>
      <c r="M124" t="s">
        <v>382</v>
      </c>
      <c r="N124" t="s">
        <v>382</v>
      </c>
      <c r="O124" t="s">
        <v>382</v>
      </c>
      <c r="P124" t="s">
        <v>382</v>
      </c>
      <c r="Q124" t="s">
        <v>382</v>
      </c>
      <c r="R124" t="s">
        <v>382</v>
      </c>
      <c r="S124" t="s">
        <v>382</v>
      </c>
      <c r="T124" t="s">
        <v>382</v>
      </c>
      <c r="U124" t="s">
        <v>382</v>
      </c>
      <c r="V124" t="s">
        <v>382</v>
      </c>
      <c r="W124" t="s">
        <v>382</v>
      </c>
      <c r="X124" t="s">
        <v>382</v>
      </c>
      <c r="Y124" t="s">
        <v>382</v>
      </c>
      <c r="Z124" t="s">
        <v>382</v>
      </c>
      <c r="AA124" t="s">
        <v>382</v>
      </c>
      <c r="AB124" t="s">
        <v>382</v>
      </c>
      <c r="AC124">
        <v>5</v>
      </c>
      <c r="AD124">
        <v>3</v>
      </c>
      <c r="AF124" t="s">
        <v>386</v>
      </c>
      <c r="AH124" t="s">
        <v>29</v>
      </c>
      <c r="AI124" t="s">
        <v>103</v>
      </c>
      <c r="AK124">
        <v>1984</v>
      </c>
      <c r="AL124">
        <v>2326</v>
      </c>
    </row>
    <row r="125" spans="1:38">
      <c r="A125" t="s">
        <v>382</v>
      </c>
      <c r="B125" t="s">
        <v>382</v>
      </c>
      <c r="C125" t="s">
        <v>382</v>
      </c>
      <c r="D125" t="s">
        <v>382</v>
      </c>
      <c r="E125" t="s">
        <v>382</v>
      </c>
      <c r="F125" t="s">
        <v>382</v>
      </c>
      <c r="G125" t="s">
        <v>382</v>
      </c>
      <c r="H125" t="s">
        <v>382</v>
      </c>
      <c r="I125" t="s">
        <v>382</v>
      </c>
      <c r="J125" t="s">
        <v>382</v>
      </c>
      <c r="K125" t="s">
        <v>382</v>
      </c>
      <c r="L125" t="s">
        <v>382</v>
      </c>
      <c r="M125" t="s">
        <v>382</v>
      </c>
      <c r="N125" t="s">
        <v>382</v>
      </c>
      <c r="O125" t="s">
        <v>382</v>
      </c>
      <c r="P125" t="s">
        <v>382</v>
      </c>
      <c r="Q125" t="s">
        <v>382</v>
      </c>
      <c r="R125" t="s">
        <v>382</v>
      </c>
      <c r="S125" t="s">
        <v>382</v>
      </c>
      <c r="T125" t="s">
        <v>382</v>
      </c>
      <c r="U125" t="s">
        <v>382</v>
      </c>
      <c r="V125" t="s">
        <v>382</v>
      </c>
      <c r="W125" t="s">
        <v>382</v>
      </c>
      <c r="X125" t="s">
        <v>382</v>
      </c>
      <c r="Y125" t="s">
        <v>382</v>
      </c>
      <c r="Z125" t="s">
        <v>382</v>
      </c>
      <c r="AA125" t="s">
        <v>382</v>
      </c>
      <c r="AB125" t="s">
        <v>382</v>
      </c>
      <c r="AC125">
        <v>5</v>
      </c>
      <c r="AD125">
        <v>4</v>
      </c>
      <c r="AF125" t="s">
        <v>386</v>
      </c>
      <c r="AH125" t="s">
        <v>29</v>
      </c>
      <c r="AI125" t="s">
        <v>103</v>
      </c>
      <c r="AK125">
        <v>1562</v>
      </c>
      <c r="AL125">
        <v>975</v>
      </c>
    </row>
    <row r="126" spans="1:38">
      <c r="A126" t="s">
        <v>382</v>
      </c>
      <c r="B126" t="s">
        <v>382</v>
      </c>
      <c r="C126" t="s">
        <v>382</v>
      </c>
      <c r="D126" t="s">
        <v>382</v>
      </c>
      <c r="E126" t="s">
        <v>382</v>
      </c>
      <c r="F126" t="s">
        <v>382</v>
      </c>
      <c r="G126" t="s">
        <v>382</v>
      </c>
      <c r="H126" t="s">
        <v>382</v>
      </c>
      <c r="I126" t="s">
        <v>382</v>
      </c>
      <c r="J126" t="s">
        <v>382</v>
      </c>
      <c r="K126" t="s">
        <v>382</v>
      </c>
      <c r="L126" t="s">
        <v>382</v>
      </c>
      <c r="M126" t="s">
        <v>382</v>
      </c>
      <c r="N126" t="s">
        <v>382</v>
      </c>
      <c r="O126" t="s">
        <v>382</v>
      </c>
      <c r="P126" t="s">
        <v>382</v>
      </c>
      <c r="Q126" t="s">
        <v>382</v>
      </c>
      <c r="R126" t="s">
        <v>382</v>
      </c>
      <c r="S126" t="s">
        <v>382</v>
      </c>
      <c r="T126" t="s">
        <v>382</v>
      </c>
      <c r="U126" t="s">
        <v>382</v>
      </c>
      <c r="V126" t="s">
        <v>382</v>
      </c>
      <c r="W126" t="s">
        <v>382</v>
      </c>
      <c r="X126" t="s">
        <v>382</v>
      </c>
      <c r="Y126" t="s">
        <v>382</v>
      </c>
      <c r="Z126" t="s">
        <v>382</v>
      </c>
      <c r="AA126" t="s">
        <v>382</v>
      </c>
      <c r="AB126" t="s">
        <v>382</v>
      </c>
      <c r="AC126">
        <v>5</v>
      </c>
      <c r="AD126">
        <v>5</v>
      </c>
      <c r="AF126" t="s">
        <v>386</v>
      </c>
      <c r="AH126" t="s">
        <v>29</v>
      </c>
      <c r="AI126" t="s">
        <v>103</v>
      </c>
      <c r="AK126">
        <v>686</v>
      </c>
      <c r="AL126">
        <v>19</v>
      </c>
    </row>
    <row r="127" spans="1:38">
      <c r="A127" t="s">
        <v>382</v>
      </c>
      <c r="B127" t="s">
        <v>382</v>
      </c>
      <c r="C127" t="s">
        <v>382</v>
      </c>
      <c r="D127" t="s">
        <v>382</v>
      </c>
      <c r="E127" t="s">
        <v>382</v>
      </c>
      <c r="F127" t="s">
        <v>382</v>
      </c>
      <c r="G127" t="s">
        <v>382</v>
      </c>
      <c r="H127" t="s">
        <v>382</v>
      </c>
      <c r="I127" t="s">
        <v>382</v>
      </c>
      <c r="J127" t="s">
        <v>382</v>
      </c>
      <c r="K127" t="s">
        <v>382</v>
      </c>
      <c r="L127" t="s">
        <v>382</v>
      </c>
      <c r="M127" t="s">
        <v>382</v>
      </c>
      <c r="N127" t="s">
        <v>382</v>
      </c>
      <c r="O127" t="s">
        <v>382</v>
      </c>
      <c r="P127" t="s">
        <v>382</v>
      </c>
      <c r="Q127" t="s">
        <v>382</v>
      </c>
      <c r="R127" t="s">
        <v>382</v>
      </c>
      <c r="S127" t="s">
        <v>382</v>
      </c>
      <c r="T127" t="s">
        <v>382</v>
      </c>
      <c r="U127" t="s">
        <v>382</v>
      </c>
      <c r="V127" t="s">
        <v>382</v>
      </c>
      <c r="W127" t="s">
        <v>382</v>
      </c>
      <c r="X127" t="s">
        <v>382</v>
      </c>
      <c r="Y127" t="s">
        <v>382</v>
      </c>
      <c r="Z127" t="s">
        <v>382</v>
      </c>
      <c r="AA127" t="s">
        <v>382</v>
      </c>
      <c r="AB127" t="s">
        <v>382</v>
      </c>
      <c r="AC127">
        <v>5</v>
      </c>
      <c r="AD127">
        <v>1</v>
      </c>
      <c r="AF127" t="s">
        <v>386</v>
      </c>
      <c r="AH127" t="s">
        <v>29</v>
      </c>
      <c r="AI127" t="s">
        <v>103</v>
      </c>
      <c r="AK127">
        <v>2762</v>
      </c>
      <c r="AL127">
        <v>970</v>
      </c>
    </row>
    <row r="128" spans="1:38">
      <c r="A128" t="s">
        <v>382</v>
      </c>
      <c r="B128" t="s">
        <v>382</v>
      </c>
      <c r="C128" t="s">
        <v>382</v>
      </c>
      <c r="D128" t="s">
        <v>382</v>
      </c>
      <c r="E128" t="s">
        <v>382</v>
      </c>
      <c r="F128" t="s">
        <v>382</v>
      </c>
      <c r="G128" t="s">
        <v>382</v>
      </c>
      <c r="H128" t="s">
        <v>382</v>
      </c>
      <c r="I128" t="s">
        <v>382</v>
      </c>
      <c r="J128" t="s">
        <v>382</v>
      </c>
      <c r="K128" t="s">
        <v>382</v>
      </c>
      <c r="L128" t="s">
        <v>382</v>
      </c>
      <c r="M128" t="s">
        <v>382</v>
      </c>
      <c r="N128" t="s">
        <v>382</v>
      </c>
      <c r="O128" t="s">
        <v>382</v>
      </c>
      <c r="P128" t="s">
        <v>382</v>
      </c>
      <c r="Q128" t="s">
        <v>382</v>
      </c>
      <c r="R128" t="s">
        <v>382</v>
      </c>
      <c r="S128" t="s">
        <v>382</v>
      </c>
      <c r="T128" t="s">
        <v>382</v>
      </c>
      <c r="U128" t="s">
        <v>382</v>
      </c>
      <c r="V128" t="s">
        <v>382</v>
      </c>
      <c r="W128" t="s">
        <v>382</v>
      </c>
      <c r="X128" t="s">
        <v>382</v>
      </c>
      <c r="Y128" t="s">
        <v>382</v>
      </c>
      <c r="Z128" t="s">
        <v>382</v>
      </c>
      <c r="AA128" t="s">
        <v>382</v>
      </c>
      <c r="AB128" t="s">
        <v>382</v>
      </c>
      <c r="AC128">
        <v>5</v>
      </c>
      <c r="AD128">
        <v>2</v>
      </c>
      <c r="AF128" t="s">
        <v>385</v>
      </c>
      <c r="AH128" t="s">
        <v>27</v>
      </c>
      <c r="AI128" t="s">
        <v>109</v>
      </c>
      <c r="AK128">
        <v>544</v>
      </c>
      <c r="AL128">
        <v>1179</v>
      </c>
    </row>
    <row r="129" spans="1:38">
      <c r="A129" t="s">
        <v>382</v>
      </c>
      <c r="B129" t="s">
        <v>382</v>
      </c>
      <c r="C129" t="s">
        <v>382</v>
      </c>
      <c r="D129" t="s">
        <v>382</v>
      </c>
      <c r="E129" t="s">
        <v>382</v>
      </c>
      <c r="F129" t="s">
        <v>382</v>
      </c>
      <c r="G129" t="s">
        <v>382</v>
      </c>
      <c r="H129" t="s">
        <v>382</v>
      </c>
      <c r="I129" t="s">
        <v>382</v>
      </c>
      <c r="J129" t="s">
        <v>382</v>
      </c>
      <c r="K129" t="s">
        <v>382</v>
      </c>
      <c r="L129" t="s">
        <v>382</v>
      </c>
      <c r="M129" t="s">
        <v>382</v>
      </c>
      <c r="N129" t="s">
        <v>382</v>
      </c>
      <c r="O129" t="s">
        <v>382</v>
      </c>
      <c r="P129" t="s">
        <v>382</v>
      </c>
      <c r="Q129" t="s">
        <v>382</v>
      </c>
      <c r="R129" t="s">
        <v>382</v>
      </c>
      <c r="S129" t="s">
        <v>382</v>
      </c>
      <c r="T129" t="s">
        <v>382</v>
      </c>
      <c r="U129" t="s">
        <v>382</v>
      </c>
      <c r="V129" t="s">
        <v>382</v>
      </c>
      <c r="W129" t="s">
        <v>382</v>
      </c>
      <c r="X129" t="s">
        <v>382</v>
      </c>
      <c r="Y129" t="s">
        <v>382</v>
      </c>
      <c r="Z129" t="s">
        <v>382</v>
      </c>
      <c r="AA129" t="s">
        <v>382</v>
      </c>
      <c r="AB129" t="s">
        <v>382</v>
      </c>
      <c r="AC129">
        <v>5</v>
      </c>
      <c r="AD129">
        <v>3</v>
      </c>
      <c r="AF129" t="s">
        <v>385</v>
      </c>
      <c r="AH129" t="s">
        <v>27</v>
      </c>
      <c r="AI129" t="s">
        <v>109</v>
      </c>
      <c r="AK129">
        <v>811</v>
      </c>
      <c r="AL129">
        <v>1434</v>
      </c>
    </row>
    <row r="130" spans="1:38">
      <c r="A130" t="s">
        <v>382</v>
      </c>
      <c r="B130" t="s">
        <v>382</v>
      </c>
      <c r="C130" t="s">
        <v>382</v>
      </c>
      <c r="D130" t="s">
        <v>382</v>
      </c>
      <c r="E130" t="s">
        <v>382</v>
      </c>
      <c r="F130" t="s">
        <v>382</v>
      </c>
      <c r="G130" t="s">
        <v>382</v>
      </c>
      <c r="H130" t="s">
        <v>382</v>
      </c>
      <c r="I130" t="s">
        <v>382</v>
      </c>
      <c r="J130" t="s">
        <v>382</v>
      </c>
      <c r="K130" t="s">
        <v>382</v>
      </c>
      <c r="L130" t="s">
        <v>382</v>
      </c>
      <c r="M130" t="s">
        <v>382</v>
      </c>
      <c r="N130" t="s">
        <v>382</v>
      </c>
      <c r="O130" t="s">
        <v>382</v>
      </c>
      <c r="P130" t="s">
        <v>382</v>
      </c>
      <c r="Q130" t="s">
        <v>382</v>
      </c>
      <c r="R130" t="s">
        <v>382</v>
      </c>
      <c r="S130" t="s">
        <v>382</v>
      </c>
      <c r="T130" t="s">
        <v>382</v>
      </c>
      <c r="U130" t="s">
        <v>382</v>
      </c>
      <c r="V130" t="s">
        <v>382</v>
      </c>
      <c r="W130" t="s">
        <v>382</v>
      </c>
      <c r="X130" t="s">
        <v>382</v>
      </c>
      <c r="Y130" t="s">
        <v>382</v>
      </c>
      <c r="Z130" t="s">
        <v>382</v>
      </c>
      <c r="AA130" t="s">
        <v>382</v>
      </c>
      <c r="AB130" t="s">
        <v>382</v>
      </c>
      <c r="AC130">
        <v>5</v>
      </c>
      <c r="AD130">
        <v>4</v>
      </c>
      <c r="AF130" t="s">
        <v>386</v>
      </c>
      <c r="AH130" t="s">
        <v>29</v>
      </c>
      <c r="AI130" t="s">
        <v>103</v>
      </c>
      <c r="AK130">
        <v>2121</v>
      </c>
      <c r="AL130">
        <v>1217</v>
      </c>
    </row>
    <row r="131" spans="1:38">
      <c r="A131" t="s">
        <v>382</v>
      </c>
      <c r="B131" t="s">
        <v>382</v>
      </c>
      <c r="C131" t="s">
        <v>382</v>
      </c>
      <c r="D131" t="s">
        <v>382</v>
      </c>
      <c r="E131" t="s">
        <v>382</v>
      </c>
      <c r="F131" t="s">
        <v>382</v>
      </c>
      <c r="G131" t="s">
        <v>382</v>
      </c>
      <c r="H131" t="s">
        <v>382</v>
      </c>
      <c r="I131" t="s">
        <v>382</v>
      </c>
      <c r="J131" t="s">
        <v>382</v>
      </c>
      <c r="K131" t="s">
        <v>382</v>
      </c>
      <c r="L131" t="s">
        <v>382</v>
      </c>
      <c r="M131" t="s">
        <v>382</v>
      </c>
      <c r="N131" t="s">
        <v>382</v>
      </c>
      <c r="O131" t="s">
        <v>382</v>
      </c>
      <c r="P131" t="s">
        <v>382</v>
      </c>
      <c r="Q131" t="s">
        <v>382</v>
      </c>
      <c r="R131" t="s">
        <v>382</v>
      </c>
      <c r="S131" t="s">
        <v>382</v>
      </c>
      <c r="T131" t="s">
        <v>382</v>
      </c>
      <c r="U131" t="s">
        <v>382</v>
      </c>
      <c r="V131" t="s">
        <v>382</v>
      </c>
      <c r="W131" t="s">
        <v>382</v>
      </c>
      <c r="X131" t="s">
        <v>382</v>
      </c>
      <c r="Y131" t="s">
        <v>382</v>
      </c>
      <c r="Z131" t="s">
        <v>382</v>
      </c>
      <c r="AA131" t="s">
        <v>382</v>
      </c>
      <c r="AB131" t="s">
        <v>382</v>
      </c>
      <c r="AC131">
        <v>5</v>
      </c>
      <c r="AD131">
        <v>5</v>
      </c>
      <c r="AE131">
        <v>1</v>
      </c>
      <c r="AF131" t="s">
        <v>481</v>
      </c>
      <c r="AH131" t="s">
        <v>139</v>
      </c>
      <c r="AI131" t="s">
        <v>97</v>
      </c>
      <c r="AK131">
        <v>673</v>
      </c>
      <c r="AL131">
        <v>85</v>
      </c>
    </row>
    <row r="132" spans="1:38">
      <c r="A132" t="s">
        <v>382</v>
      </c>
      <c r="B132" t="s">
        <v>382</v>
      </c>
      <c r="C132" t="s">
        <v>382</v>
      </c>
      <c r="D132" t="s">
        <v>382</v>
      </c>
      <c r="E132" t="s">
        <v>382</v>
      </c>
      <c r="F132" t="s">
        <v>382</v>
      </c>
      <c r="G132" t="s">
        <v>382</v>
      </c>
      <c r="H132" t="s">
        <v>382</v>
      </c>
      <c r="I132" t="s">
        <v>382</v>
      </c>
      <c r="J132" t="s">
        <v>382</v>
      </c>
      <c r="K132" t="s">
        <v>382</v>
      </c>
      <c r="L132" t="s">
        <v>382</v>
      </c>
      <c r="M132" t="s">
        <v>382</v>
      </c>
      <c r="N132" t="s">
        <v>382</v>
      </c>
      <c r="O132" t="s">
        <v>382</v>
      </c>
      <c r="P132" t="s">
        <v>382</v>
      </c>
      <c r="Q132" t="s">
        <v>382</v>
      </c>
      <c r="R132" t="s">
        <v>382</v>
      </c>
      <c r="S132" t="s">
        <v>382</v>
      </c>
      <c r="T132" t="s">
        <v>382</v>
      </c>
      <c r="U132" t="s">
        <v>382</v>
      </c>
      <c r="V132" t="s">
        <v>382</v>
      </c>
      <c r="W132" t="s">
        <v>382</v>
      </c>
      <c r="X132" t="s">
        <v>382</v>
      </c>
      <c r="Y132" t="s">
        <v>382</v>
      </c>
      <c r="Z132" t="s">
        <v>382</v>
      </c>
      <c r="AA132" t="s">
        <v>382</v>
      </c>
      <c r="AB132" t="s">
        <v>382</v>
      </c>
      <c r="AC132">
        <v>5</v>
      </c>
      <c r="AD132">
        <v>1</v>
      </c>
      <c r="AE132">
        <v>1</v>
      </c>
      <c r="AF132" t="s">
        <v>393</v>
      </c>
      <c r="AH132" t="s">
        <v>51</v>
      </c>
      <c r="AI132" t="s">
        <v>97</v>
      </c>
      <c r="AK132">
        <v>903</v>
      </c>
      <c r="AL132">
        <v>1480</v>
      </c>
    </row>
    <row r="133" spans="1:38">
      <c r="A133" t="s">
        <v>382</v>
      </c>
      <c r="B133" t="s">
        <v>382</v>
      </c>
      <c r="C133" t="s">
        <v>382</v>
      </c>
      <c r="D133" t="s">
        <v>382</v>
      </c>
      <c r="E133" t="s">
        <v>382</v>
      </c>
      <c r="F133" t="s">
        <v>382</v>
      </c>
      <c r="G133" t="s">
        <v>382</v>
      </c>
      <c r="H133" t="s">
        <v>382</v>
      </c>
      <c r="I133" t="s">
        <v>382</v>
      </c>
      <c r="J133" t="s">
        <v>382</v>
      </c>
      <c r="K133" t="s">
        <v>382</v>
      </c>
      <c r="L133" t="s">
        <v>382</v>
      </c>
      <c r="M133" t="s">
        <v>382</v>
      </c>
      <c r="N133" t="s">
        <v>382</v>
      </c>
      <c r="O133" t="s">
        <v>382</v>
      </c>
      <c r="P133" t="s">
        <v>382</v>
      </c>
      <c r="Q133" t="s">
        <v>382</v>
      </c>
      <c r="R133" t="s">
        <v>382</v>
      </c>
      <c r="S133" t="s">
        <v>382</v>
      </c>
      <c r="T133" t="s">
        <v>382</v>
      </c>
      <c r="U133" t="s">
        <v>382</v>
      </c>
      <c r="V133" t="s">
        <v>382</v>
      </c>
      <c r="W133" t="s">
        <v>382</v>
      </c>
      <c r="X133" t="s">
        <v>382</v>
      </c>
      <c r="Y133" t="s">
        <v>382</v>
      </c>
      <c r="Z133" t="s">
        <v>382</v>
      </c>
      <c r="AA133" t="s">
        <v>382</v>
      </c>
      <c r="AB133" t="s">
        <v>382</v>
      </c>
      <c r="AC133">
        <v>5</v>
      </c>
      <c r="AD133">
        <v>2</v>
      </c>
      <c r="AF133" t="s">
        <v>386</v>
      </c>
      <c r="AH133" t="s">
        <v>29</v>
      </c>
      <c r="AI133" t="s">
        <v>103</v>
      </c>
      <c r="AK133">
        <v>2959</v>
      </c>
      <c r="AL133">
        <v>1651</v>
      </c>
    </row>
    <row r="134" spans="1:38">
      <c r="A134" t="s">
        <v>382</v>
      </c>
      <c r="B134" t="s">
        <v>382</v>
      </c>
      <c r="C134" t="s">
        <v>382</v>
      </c>
      <c r="D134" t="s">
        <v>382</v>
      </c>
      <c r="E134" t="s">
        <v>382</v>
      </c>
      <c r="F134" t="s">
        <v>382</v>
      </c>
      <c r="G134" t="s">
        <v>382</v>
      </c>
      <c r="H134" t="s">
        <v>382</v>
      </c>
      <c r="I134" t="s">
        <v>382</v>
      </c>
      <c r="J134" t="s">
        <v>382</v>
      </c>
      <c r="K134" t="s">
        <v>382</v>
      </c>
      <c r="L134" t="s">
        <v>382</v>
      </c>
      <c r="M134" t="s">
        <v>382</v>
      </c>
      <c r="N134" t="s">
        <v>382</v>
      </c>
      <c r="O134" t="s">
        <v>382</v>
      </c>
      <c r="P134" t="s">
        <v>382</v>
      </c>
      <c r="Q134" t="s">
        <v>382</v>
      </c>
      <c r="R134" t="s">
        <v>382</v>
      </c>
      <c r="S134" t="s">
        <v>382</v>
      </c>
      <c r="T134" t="s">
        <v>382</v>
      </c>
      <c r="U134" t="s">
        <v>382</v>
      </c>
      <c r="V134" t="s">
        <v>382</v>
      </c>
      <c r="W134" t="s">
        <v>382</v>
      </c>
      <c r="X134" t="s">
        <v>382</v>
      </c>
      <c r="Y134" t="s">
        <v>382</v>
      </c>
      <c r="Z134" t="s">
        <v>382</v>
      </c>
      <c r="AA134" t="s">
        <v>382</v>
      </c>
      <c r="AB134" t="s">
        <v>382</v>
      </c>
      <c r="AC134">
        <v>5</v>
      </c>
      <c r="AD134">
        <v>3</v>
      </c>
      <c r="AE134">
        <v>1</v>
      </c>
      <c r="AF134" t="s">
        <v>393</v>
      </c>
      <c r="AH134" t="s">
        <v>51</v>
      </c>
      <c r="AI134" t="s">
        <v>97</v>
      </c>
      <c r="AK134">
        <v>835</v>
      </c>
      <c r="AL134">
        <v>1148</v>
      </c>
    </row>
    <row r="135" spans="1:38">
      <c r="A135" t="s">
        <v>382</v>
      </c>
      <c r="B135" t="s">
        <v>382</v>
      </c>
      <c r="C135" t="s">
        <v>382</v>
      </c>
      <c r="D135" t="s">
        <v>382</v>
      </c>
      <c r="E135" t="s">
        <v>382</v>
      </c>
      <c r="F135" t="s">
        <v>382</v>
      </c>
      <c r="G135" t="s">
        <v>382</v>
      </c>
      <c r="H135" t="s">
        <v>382</v>
      </c>
      <c r="I135" t="s">
        <v>382</v>
      </c>
      <c r="J135" t="s">
        <v>382</v>
      </c>
      <c r="K135" t="s">
        <v>382</v>
      </c>
      <c r="L135" t="s">
        <v>382</v>
      </c>
      <c r="M135" t="s">
        <v>382</v>
      </c>
      <c r="N135" t="s">
        <v>382</v>
      </c>
      <c r="O135" t="s">
        <v>382</v>
      </c>
      <c r="P135" t="s">
        <v>382</v>
      </c>
      <c r="Q135" t="s">
        <v>382</v>
      </c>
      <c r="R135" t="s">
        <v>382</v>
      </c>
      <c r="S135" t="s">
        <v>382</v>
      </c>
      <c r="T135" t="s">
        <v>382</v>
      </c>
      <c r="U135" t="s">
        <v>382</v>
      </c>
      <c r="V135" t="s">
        <v>382</v>
      </c>
      <c r="W135" t="s">
        <v>382</v>
      </c>
      <c r="X135" t="s">
        <v>382</v>
      </c>
      <c r="Y135" t="s">
        <v>382</v>
      </c>
      <c r="Z135" t="s">
        <v>382</v>
      </c>
      <c r="AA135" t="s">
        <v>382</v>
      </c>
      <c r="AB135" t="s">
        <v>382</v>
      </c>
      <c r="AC135">
        <v>5</v>
      </c>
      <c r="AD135">
        <v>4</v>
      </c>
      <c r="AF135" t="s">
        <v>386</v>
      </c>
      <c r="AH135" t="s">
        <v>29</v>
      </c>
      <c r="AI135" t="s">
        <v>103</v>
      </c>
      <c r="AK135">
        <v>2929</v>
      </c>
      <c r="AL135">
        <v>1478</v>
      </c>
    </row>
    <row r="136" spans="1:38">
      <c r="A136" t="s">
        <v>382</v>
      </c>
      <c r="B136" t="s">
        <v>382</v>
      </c>
      <c r="C136" t="s">
        <v>382</v>
      </c>
      <c r="D136" t="s">
        <v>382</v>
      </c>
      <c r="E136" t="s">
        <v>382</v>
      </c>
      <c r="F136" t="s">
        <v>382</v>
      </c>
      <c r="G136" t="s">
        <v>382</v>
      </c>
      <c r="H136" t="s">
        <v>382</v>
      </c>
      <c r="I136" t="s">
        <v>382</v>
      </c>
      <c r="J136" t="s">
        <v>382</v>
      </c>
      <c r="K136" t="s">
        <v>382</v>
      </c>
      <c r="L136" t="s">
        <v>382</v>
      </c>
      <c r="M136" t="s">
        <v>382</v>
      </c>
      <c r="N136" t="s">
        <v>382</v>
      </c>
      <c r="O136" t="s">
        <v>382</v>
      </c>
      <c r="P136" t="s">
        <v>382</v>
      </c>
      <c r="Q136" t="s">
        <v>382</v>
      </c>
      <c r="R136" t="s">
        <v>382</v>
      </c>
      <c r="S136" t="s">
        <v>382</v>
      </c>
      <c r="T136" t="s">
        <v>382</v>
      </c>
      <c r="U136" t="s">
        <v>382</v>
      </c>
      <c r="V136" t="s">
        <v>382</v>
      </c>
      <c r="W136" t="s">
        <v>382</v>
      </c>
      <c r="X136" t="s">
        <v>382</v>
      </c>
      <c r="Y136" t="s">
        <v>382</v>
      </c>
      <c r="Z136" t="s">
        <v>382</v>
      </c>
      <c r="AA136" t="s">
        <v>382</v>
      </c>
      <c r="AB136" t="s">
        <v>382</v>
      </c>
      <c r="AC136">
        <v>5</v>
      </c>
      <c r="AD136">
        <v>5</v>
      </c>
      <c r="AF136" t="s">
        <v>385</v>
      </c>
      <c r="AH136" t="s">
        <v>27</v>
      </c>
      <c r="AI136" t="s">
        <v>109</v>
      </c>
      <c r="AK136">
        <v>2195</v>
      </c>
      <c r="AL136">
        <v>228</v>
      </c>
    </row>
    <row r="137" spans="1:38">
      <c r="A137" t="s">
        <v>382</v>
      </c>
      <c r="B137" t="s">
        <v>382</v>
      </c>
      <c r="C137" t="s">
        <v>382</v>
      </c>
      <c r="D137" t="s">
        <v>382</v>
      </c>
      <c r="E137" t="s">
        <v>382</v>
      </c>
      <c r="F137" t="s">
        <v>382</v>
      </c>
      <c r="G137" t="s">
        <v>382</v>
      </c>
      <c r="H137" t="s">
        <v>382</v>
      </c>
      <c r="I137" t="s">
        <v>382</v>
      </c>
      <c r="J137" t="s">
        <v>382</v>
      </c>
      <c r="K137" t="s">
        <v>382</v>
      </c>
      <c r="L137" t="s">
        <v>382</v>
      </c>
      <c r="M137" t="s">
        <v>382</v>
      </c>
      <c r="N137" t="s">
        <v>382</v>
      </c>
      <c r="O137" t="s">
        <v>382</v>
      </c>
      <c r="P137" t="s">
        <v>382</v>
      </c>
      <c r="Q137" t="s">
        <v>382</v>
      </c>
      <c r="R137" t="s">
        <v>382</v>
      </c>
      <c r="S137" t="s">
        <v>382</v>
      </c>
      <c r="T137" t="s">
        <v>382</v>
      </c>
      <c r="U137" t="s">
        <v>382</v>
      </c>
      <c r="V137" t="s">
        <v>382</v>
      </c>
      <c r="W137" t="s">
        <v>382</v>
      </c>
      <c r="X137" t="s">
        <v>382</v>
      </c>
      <c r="Y137" t="s">
        <v>382</v>
      </c>
      <c r="Z137" t="s">
        <v>382</v>
      </c>
      <c r="AA137" t="s">
        <v>382</v>
      </c>
      <c r="AB137" t="s">
        <v>382</v>
      </c>
      <c r="AC137">
        <v>5</v>
      </c>
      <c r="AD137">
        <v>1</v>
      </c>
      <c r="AE137">
        <v>1</v>
      </c>
      <c r="AF137" t="s">
        <v>398</v>
      </c>
      <c r="AH137" t="s">
        <v>69</v>
      </c>
      <c r="AI137" t="s">
        <v>97</v>
      </c>
      <c r="AK137">
        <v>1483</v>
      </c>
      <c r="AL137">
        <v>1024</v>
      </c>
    </row>
    <row r="138" spans="1:38">
      <c r="A138" t="s">
        <v>382</v>
      </c>
      <c r="B138" t="s">
        <v>382</v>
      </c>
      <c r="C138" t="s">
        <v>382</v>
      </c>
      <c r="D138" t="s">
        <v>382</v>
      </c>
      <c r="E138" t="s">
        <v>382</v>
      </c>
      <c r="F138" t="s">
        <v>382</v>
      </c>
      <c r="G138" t="s">
        <v>382</v>
      </c>
      <c r="H138" t="s">
        <v>382</v>
      </c>
      <c r="I138" t="s">
        <v>382</v>
      </c>
      <c r="J138" t="s">
        <v>382</v>
      </c>
      <c r="K138" t="s">
        <v>382</v>
      </c>
      <c r="L138" t="s">
        <v>382</v>
      </c>
      <c r="M138" t="s">
        <v>382</v>
      </c>
      <c r="N138" t="s">
        <v>382</v>
      </c>
      <c r="O138" t="s">
        <v>382</v>
      </c>
      <c r="P138" t="s">
        <v>382</v>
      </c>
      <c r="Q138" t="s">
        <v>382</v>
      </c>
      <c r="R138" t="s">
        <v>382</v>
      </c>
      <c r="S138" t="s">
        <v>382</v>
      </c>
      <c r="T138" t="s">
        <v>382</v>
      </c>
      <c r="U138" t="s">
        <v>382</v>
      </c>
      <c r="V138" t="s">
        <v>382</v>
      </c>
      <c r="W138" t="s">
        <v>382</v>
      </c>
      <c r="X138" t="s">
        <v>382</v>
      </c>
      <c r="Y138" t="s">
        <v>382</v>
      </c>
      <c r="Z138" t="s">
        <v>382</v>
      </c>
      <c r="AA138" t="s">
        <v>382</v>
      </c>
      <c r="AB138" t="s">
        <v>382</v>
      </c>
      <c r="AC138">
        <v>5</v>
      </c>
      <c r="AD138">
        <v>2</v>
      </c>
      <c r="AE138">
        <v>1</v>
      </c>
      <c r="AF138" t="s">
        <v>393</v>
      </c>
      <c r="AH138" t="s">
        <v>51</v>
      </c>
      <c r="AI138" t="s">
        <v>97</v>
      </c>
      <c r="AK138">
        <v>1638</v>
      </c>
      <c r="AL138">
        <v>1942</v>
      </c>
    </row>
    <row r="139" spans="1:38">
      <c r="A139" t="s">
        <v>382</v>
      </c>
      <c r="B139" t="s">
        <v>382</v>
      </c>
      <c r="C139" t="s">
        <v>382</v>
      </c>
      <c r="D139" t="s">
        <v>382</v>
      </c>
      <c r="E139" t="s">
        <v>382</v>
      </c>
      <c r="F139" t="s">
        <v>382</v>
      </c>
      <c r="G139" t="s">
        <v>382</v>
      </c>
      <c r="H139" t="s">
        <v>382</v>
      </c>
      <c r="I139" t="s">
        <v>382</v>
      </c>
      <c r="J139" t="s">
        <v>382</v>
      </c>
      <c r="K139" t="s">
        <v>382</v>
      </c>
      <c r="L139" t="s">
        <v>382</v>
      </c>
      <c r="M139" t="s">
        <v>382</v>
      </c>
      <c r="N139" t="s">
        <v>382</v>
      </c>
      <c r="O139" t="s">
        <v>382</v>
      </c>
      <c r="P139" t="s">
        <v>382</v>
      </c>
      <c r="Q139" t="s">
        <v>382</v>
      </c>
      <c r="R139" t="s">
        <v>382</v>
      </c>
      <c r="S139" t="s">
        <v>382</v>
      </c>
      <c r="T139" t="s">
        <v>382</v>
      </c>
      <c r="U139" t="s">
        <v>382</v>
      </c>
      <c r="V139" t="s">
        <v>382</v>
      </c>
      <c r="W139" t="s">
        <v>382</v>
      </c>
      <c r="X139" t="s">
        <v>382</v>
      </c>
      <c r="Y139" t="s">
        <v>382</v>
      </c>
      <c r="Z139" t="s">
        <v>382</v>
      </c>
      <c r="AA139" t="s">
        <v>382</v>
      </c>
      <c r="AB139" t="s">
        <v>382</v>
      </c>
      <c r="AC139">
        <v>5</v>
      </c>
      <c r="AD139">
        <v>3</v>
      </c>
      <c r="AE139">
        <v>1</v>
      </c>
      <c r="AF139" t="s">
        <v>393</v>
      </c>
      <c r="AH139" t="s">
        <v>51</v>
      </c>
      <c r="AI139" t="s">
        <v>97</v>
      </c>
      <c r="AK139">
        <v>2850</v>
      </c>
      <c r="AL139">
        <v>2560</v>
      </c>
    </row>
    <row r="140" spans="1:38">
      <c r="A140" t="s">
        <v>382</v>
      </c>
      <c r="B140" t="s">
        <v>382</v>
      </c>
      <c r="C140" t="s">
        <v>382</v>
      </c>
      <c r="D140" t="s">
        <v>382</v>
      </c>
      <c r="E140" t="s">
        <v>382</v>
      </c>
      <c r="F140" t="s">
        <v>382</v>
      </c>
      <c r="G140" t="s">
        <v>382</v>
      </c>
      <c r="H140" t="s">
        <v>382</v>
      </c>
      <c r="I140" t="s">
        <v>382</v>
      </c>
      <c r="J140" t="s">
        <v>382</v>
      </c>
      <c r="K140" t="s">
        <v>382</v>
      </c>
      <c r="L140" t="s">
        <v>382</v>
      </c>
      <c r="M140" t="s">
        <v>382</v>
      </c>
      <c r="N140" t="s">
        <v>382</v>
      </c>
      <c r="O140" t="s">
        <v>382</v>
      </c>
      <c r="P140" t="s">
        <v>382</v>
      </c>
      <c r="Q140" t="s">
        <v>382</v>
      </c>
      <c r="R140" t="s">
        <v>382</v>
      </c>
      <c r="S140" t="s">
        <v>382</v>
      </c>
      <c r="T140" t="s">
        <v>382</v>
      </c>
      <c r="U140" t="s">
        <v>382</v>
      </c>
      <c r="V140" t="s">
        <v>382</v>
      </c>
      <c r="W140" t="s">
        <v>382</v>
      </c>
      <c r="X140" t="s">
        <v>382</v>
      </c>
      <c r="Y140" t="s">
        <v>382</v>
      </c>
      <c r="Z140" t="s">
        <v>382</v>
      </c>
      <c r="AA140" t="s">
        <v>382</v>
      </c>
      <c r="AB140" t="s">
        <v>382</v>
      </c>
      <c r="AC140">
        <v>5</v>
      </c>
      <c r="AD140">
        <v>4</v>
      </c>
      <c r="AE140">
        <v>1</v>
      </c>
      <c r="AF140" t="s">
        <v>393</v>
      </c>
      <c r="AH140" t="s">
        <v>51</v>
      </c>
      <c r="AI140" t="s">
        <v>97</v>
      </c>
      <c r="AK140">
        <v>1656</v>
      </c>
      <c r="AL140">
        <v>2553</v>
      </c>
    </row>
    <row r="141" spans="1:38">
      <c r="A141" t="s">
        <v>382</v>
      </c>
      <c r="B141" t="s">
        <v>382</v>
      </c>
      <c r="C141" t="s">
        <v>382</v>
      </c>
      <c r="D141" t="s">
        <v>382</v>
      </c>
      <c r="E141" t="s">
        <v>382</v>
      </c>
      <c r="F141" t="s">
        <v>382</v>
      </c>
      <c r="G141" t="s">
        <v>382</v>
      </c>
      <c r="H141" t="s">
        <v>382</v>
      </c>
      <c r="I141" t="s">
        <v>382</v>
      </c>
      <c r="J141" t="s">
        <v>382</v>
      </c>
      <c r="K141" t="s">
        <v>382</v>
      </c>
      <c r="L141" t="s">
        <v>382</v>
      </c>
      <c r="M141" t="s">
        <v>382</v>
      </c>
      <c r="N141" t="s">
        <v>382</v>
      </c>
      <c r="O141" t="s">
        <v>382</v>
      </c>
      <c r="P141" t="s">
        <v>382</v>
      </c>
      <c r="Q141" t="s">
        <v>382</v>
      </c>
      <c r="R141" t="s">
        <v>382</v>
      </c>
      <c r="S141" t="s">
        <v>382</v>
      </c>
      <c r="T141" t="s">
        <v>382</v>
      </c>
      <c r="U141" t="s">
        <v>382</v>
      </c>
      <c r="V141" t="s">
        <v>382</v>
      </c>
      <c r="W141" t="s">
        <v>382</v>
      </c>
      <c r="X141" t="s">
        <v>382</v>
      </c>
      <c r="Y141" t="s">
        <v>382</v>
      </c>
      <c r="Z141" t="s">
        <v>382</v>
      </c>
      <c r="AA141" t="s">
        <v>382</v>
      </c>
      <c r="AB141" t="s">
        <v>382</v>
      </c>
      <c r="AC141">
        <v>5</v>
      </c>
      <c r="AD141">
        <v>5</v>
      </c>
      <c r="AE141">
        <v>1</v>
      </c>
      <c r="AF141" t="s">
        <v>398</v>
      </c>
      <c r="AH141" t="s">
        <v>69</v>
      </c>
      <c r="AI141" t="s">
        <v>97</v>
      </c>
      <c r="AK141">
        <v>1735</v>
      </c>
      <c r="AL141">
        <v>436</v>
      </c>
    </row>
    <row r="142" spans="1:38">
      <c r="A142" t="s">
        <v>382</v>
      </c>
      <c r="B142" t="s">
        <v>382</v>
      </c>
      <c r="C142" t="s">
        <v>382</v>
      </c>
      <c r="D142" t="s">
        <v>382</v>
      </c>
      <c r="E142" t="s">
        <v>382</v>
      </c>
      <c r="F142" t="s">
        <v>382</v>
      </c>
      <c r="G142" t="s">
        <v>382</v>
      </c>
      <c r="H142" t="s">
        <v>382</v>
      </c>
      <c r="I142" t="s">
        <v>382</v>
      </c>
      <c r="J142" t="s">
        <v>382</v>
      </c>
      <c r="K142" t="s">
        <v>382</v>
      </c>
      <c r="L142" t="s">
        <v>382</v>
      </c>
      <c r="M142" t="s">
        <v>382</v>
      </c>
      <c r="N142" t="s">
        <v>382</v>
      </c>
      <c r="O142" t="s">
        <v>382</v>
      </c>
      <c r="P142" t="s">
        <v>382</v>
      </c>
      <c r="Q142" t="s">
        <v>382</v>
      </c>
      <c r="R142" t="s">
        <v>382</v>
      </c>
      <c r="S142" t="s">
        <v>382</v>
      </c>
      <c r="T142" t="s">
        <v>382</v>
      </c>
      <c r="U142" t="s">
        <v>382</v>
      </c>
      <c r="V142" t="s">
        <v>382</v>
      </c>
      <c r="W142" t="s">
        <v>382</v>
      </c>
      <c r="X142" t="s">
        <v>382</v>
      </c>
      <c r="Y142" t="s">
        <v>382</v>
      </c>
      <c r="Z142" t="s">
        <v>382</v>
      </c>
      <c r="AA142" t="s">
        <v>382</v>
      </c>
      <c r="AB142" t="s">
        <v>382</v>
      </c>
      <c r="AC142">
        <v>5</v>
      </c>
      <c r="AD142">
        <v>1</v>
      </c>
      <c r="AE142">
        <v>1</v>
      </c>
      <c r="AF142" t="s">
        <v>398</v>
      </c>
      <c r="AH142" t="s">
        <v>69</v>
      </c>
      <c r="AI142" t="s">
        <v>97</v>
      </c>
      <c r="AK142">
        <v>2401</v>
      </c>
      <c r="AL142">
        <v>1401</v>
      </c>
    </row>
    <row r="143" spans="1:38">
      <c r="A143" t="s">
        <v>382</v>
      </c>
      <c r="B143" t="s">
        <v>382</v>
      </c>
      <c r="C143" t="s">
        <v>382</v>
      </c>
      <c r="D143" t="s">
        <v>382</v>
      </c>
      <c r="E143" t="s">
        <v>382</v>
      </c>
      <c r="F143" t="s">
        <v>382</v>
      </c>
      <c r="G143" t="s">
        <v>382</v>
      </c>
      <c r="H143" t="s">
        <v>382</v>
      </c>
      <c r="I143" t="s">
        <v>382</v>
      </c>
      <c r="J143" t="s">
        <v>382</v>
      </c>
      <c r="K143" t="s">
        <v>382</v>
      </c>
      <c r="L143" t="s">
        <v>382</v>
      </c>
      <c r="M143" t="s">
        <v>382</v>
      </c>
      <c r="N143" t="s">
        <v>382</v>
      </c>
      <c r="O143" t="s">
        <v>382</v>
      </c>
      <c r="P143" t="s">
        <v>382</v>
      </c>
      <c r="Q143" t="s">
        <v>382</v>
      </c>
      <c r="R143" t="s">
        <v>382</v>
      </c>
      <c r="S143" t="s">
        <v>382</v>
      </c>
      <c r="T143" t="s">
        <v>382</v>
      </c>
      <c r="U143" t="s">
        <v>382</v>
      </c>
      <c r="V143" t="s">
        <v>382</v>
      </c>
      <c r="W143" t="s">
        <v>382</v>
      </c>
      <c r="X143" t="s">
        <v>382</v>
      </c>
      <c r="Y143" t="s">
        <v>382</v>
      </c>
      <c r="Z143" t="s">
        <v>382</v>
      </c>
      <c r="AA143" t="s">
        <v>382</v>
      </c>
      <c r="AB143" t="s">
        <v>382</v>
      </c>
      <c r="AC143">
        <v>5</v>
      </c>
      <c r="AD143">
        <v>2</v>
      </c>
      <c r="AE143">
        <v>1</v>
      </c>
      <c r="AF143" t="s">
        <v>398</v>
      </c>
      <c r="AH143" t="s">
        <v>69</v>
      </c>
      <c r="AI143" t="s">
        <v>97</v>
      </c>
      <c r="AK143">
        <v>2288</v>
      </c>
      <c r="AL143">
        <v>1138</v>
      </c>
    </row>
    <row r="144" spans="1:38">
      <c r="A144" t="s">
        <v>382</v>
      </c>
      <c r="B144" t="s">
        <v>382</v>
      </c>
      <c r="C144" t="s">
        <v>382</v>
      </c>
      <c r="D144" t="s">
        <v>382</v>
      </c>
      <c r="E144" t="s">
        <v>382</v>
      </c>
      <c r="F144" t="s">
        <v>382</v>
      </c>
      <c r="G144" t="s">
        <v>382</v>
      </c>
      <c r="H144" t="s">
        <v>382</v>
      </c>
      <c r="I144" t="s">
        <v>382</v>
      </c>
      <c r="J144" t="s">
        <v>382</v>
      </c>
      <c r="K144" t="s">
        <v>382</v>
      </c>
      <c r="L144" t="s">
        <v>382</v>
      </c>
      <c r="M144" t="s">
        <v>382</v>
      </c>
      <c r="N144" t="s">
        <v>382</v>
      </c>
      <c r="O144" t="s">
        <v>382</v>
      </c>
      <c r="P144" t="s">
        <v>382</v>
      </c>
      <c r="Q144" t="s">
        <v>382</v>
      </c>
      <c r="R144" t="s">
        <v>382</v>
      </c>
      <c r="S144" t="s">
        <v>382</v>
      </c>
      <c r="T144" t="s">
        <v>382</v>
      </c>
      <c r="U144" t="s">
        <v>382</v>
      </c>
      <c r="V144" t="s">
        <v>382</v>
      </c>
      <c r="W144" t="s">
        <v>382</v>
      </c>
      <c r="X144" t="s">
        <v>382</v>
      </c>
      <c r="Y144" t="s">
        <v>382</v>
      </c>
      <c r="Z144" t="s">
        <v>382</v>
      </c>
      <c r="AA144" t="s">
        <v>382</v>
      </c>
      <c r="AB144" t="s">
        <v>382</v>
      </c>
      <c r="AC144">
        <v>5</v>
      </c>
      <c r="AD144">
        <v>3</v>
      </c>
      <c r="AE144">
        <v>1</v>
      </c>
      <c r="AF144" t="s">
        <v>401</v>
      </c>
      <c r="AH144" t="s">
        <v>95</v>
      </c>
      <c r="AI144" t="s">
        <v>97</v>
      </c>
      <c r="AK144">
        <v>2920</v>
      </c>
      <c r="AL144">
        <v>2215</v>
      </c>
    </row>
    <row r="145" spans="1:38">
      <c r="A145" t="s">
        <v>382</v>
      </c>
      <c r="B145" t="s">
        <v>382</v>
      </c>
      <c r="C145" t="s">
        <v>382</v>
      </c>
      <c r="D145" t="s">
        <v>382</v>
      </c>
      <c r="E145" t="s">
        <v>382</v>
      </c>
      <c r="F145" t="s">
        <v>382</v>
      </c>
      <c r="G145" t="s">
        <v>382</v>
      </c>
      <c r="H145" t="s">
        <v>382</v>
      </c>
      <c r="I145" t="s">
        <v>382</v>
      </c>
      <c r="J145" t="s">
        <v>382</v>
      </c>
      <c r="K145" t="s">
        <v>382</v>
      </c>
      <c r="L145" t="s">
        <v>382</v>
      </c>
      <c r="M145" t="s">
        <v>382</v>
      </c>
      <c r="N145" t="s">
        <v>382</v>
      </c>
      <c r="O145" t="s">
        <v>382</v>
      </c>
      <c r="P145" t="s">
        <v>382</v>
      </c>
      <c r="Q145" t="s">
        <v>382</v>
      </c>
      <c r="R145" t="s">
        <v>382</v>
      </c>
      <c r="S145" t="s">
        <v>382</v>
      </c>
      <c r="T145" t="s">
        <v>382</v>
      </c>
      <c r="U145" t="s">
        <v>382</v>
      </c>
      <c r="V145" t="s">
        <v>382</v>
      </c>
      <c r="W145" t="s">
        <v>382</v>
      </c>
      <c r="X145" t="s">
        <v>382</v>
      </c>
      <c r="Y145" t="s">
        <v>382</v>
      </c>
      <c r="Z145" t="s">
        <v>382</v>
      </c>
      <c r="AA145" t="s">
        <v>382</v>
      </c>
      <c r="AB145" t="s">
        <v>382</v>
      </c>
      <c r="AC145">
        <v>5</v>
      </c>
      <c r="AD145">
        <v>4</v>
      </c>
      <c r="AF145" t="s">
        <v>385</v>
      </c>
      <c r="AH145" t="s">
        <v>27</v>
      </c>
      <c r="AI145" t="s">
        <v>109</v>
      </c>
      <c r="AK145">
        <v>1900</v>
      </c>
      <c r="AL145">
        <v>1886</v>
      </c>
    </row>
    <row r="146" spans="1:38">
      <c r="A146" t="s">
        <v>382</v>
      </c>
      <c r="B146" t="s">
        <v>382</v>
      </c>
      <c r="C146" t="s">
        <v>382</v>
      </c>
      <c r="D146" t="s">
        <v>382</v>
      </c>
      <c r="E146" t="s">
        <v>382</v>
      </c>
      <c r="F146" t="s">
        <v>382</v>
      </c>
      <c r="G146" t="s">
        <v>382</v>
      </c>
      <c r="H146" t="s">
        <v>382</v>
      </c>
      <c r="I146" t="s">
        <v>382</v>
      </c>
      <c r="J146" t="s">
        <v>382</v>
      </c>
      <c r="K146" t="s">
        <v>382</v>
      </c>
      <c r="L146" t="s">
        <v>382</v>
      </c>
      <c r="M146" t="s">
        <v>382</v>
      </c>
      <c r="N146" t="s">
        <v>382</v>
      </c>
      <c r="O146" t="s">
        <v>382</v>
      </c>
      <c r="P146" t="s">
        <v>382</v>
      </c>
      <c r="Q146" t="s">
        <v>382</v>
      </c>
      <c r="R146" t="s">
        <v>382</v>
      </c>
      <c r="S146" t="s">
        <v>382</v>
      </c>
      <c r="T146" t="s">
        <v>382</v>
      </c>
      <c r="U146" t="s">
        <v>382</v>
      </c>
      <c r="V146" t="s">
        <v>382</v>
      </c>
      <c r="W146" t="s">
        <v>382</v>
      </c>
      <c r="X146" t="s">
        <v>382</v>
      </c>
      <c r="Y146" t="s">
        <v>382</v>
      </c>
      <c r="Z146" t="s">
        <v>382</v>
      </c>
      <c r="AA146" t="s">
        <v>382</v>
      </c>
      <c r="AB146" t="s">
        <v>382</v>
      </c>
      <c r="AC146">
        <v>5</v>
      </c>
      <c r="AD146">
        <v>5</v>
      </c>
      <c r="AF146" t="s">
        <v>386</v>
      </c>
      <c r="AH146" t="s">
        <v>29</v>
      </c>
      <c r="AI146" t="s">
        <v>103</v>
      </c>
      <c r="AK146">
        <v>2185</v>
      </c>
      <c r="AL146">
        <v>12</v>
      </c>
    </row>
    <row r="147" spans="1:38">
      <c r="A147" t="s">
        <v>382</v>
      </c>
      <c r="B147" t="s">
        <v>382</v>
      </c>
      <c r="C147" t="s">
        <v>382</v>
      </c>
      <c r="D147" t="s">
        <v>382</v>
      </c>
      <c r="E147" t="s">
        <v>382</v>
      </c>
      <c r="F147" t="s">
        <v>382</v>
      </c>
      <c r="G147" t="s">
        <v>382</v>
      </c>
      <c r="H147" t="s">
        <v>382</v>
      </c>
      <c r="I147" t="s">
        <v>382</v>
      </c>
      <c r="J147" t="s">
        <v>382</v>
      </c>
      <c r="K147" t="s">
        <v>382</v>
      </c>
      <c r="L147" t="s">
        <v>382</v>
      </c>
      <c r="M147" t="s">
        <v>382</v>
      </c>
      <c r="N147" t="s">
        <v>382</v>
      </c>
      <c r="O147" t="s">
        <v>382</v>
      </c>
      <c r="P147" t="s">
        <v>382</v>
      </c>
      <c r="Q147" t="s">
        <v>382</v>
      </c>
      <c r="R147" t="s">
        <v>382</v>
      </c>
      <c r="S147" t="s">
        <v>382</v>
      </c>
      <c r="T147" t="s">
        <v>382</v>
      </c>
      <c r="U147" t="s">
        <v>382</v>
      </c>
      <c r="V147" t="s">
        <v>382</v>
      </c>
      <c r="W147" t="s">
        <v>382</v>
      </c>
      <c r="X147" t="s">
        <v>382</v>
      </c>
      <c r="Y147" t="s">
        <v>382</v>
      </c>
      <c r="Z147" t="s">
        <v>382</v>
      </c>
      <c r="AA147" t="s">
        <v>382</v>
      </c>
      <c r="AB147" t="s">
        <v>382</v>
      </c>
      <c r="AC147">
        <v>5</v>
      </c>
      <c r="AD147">
        <v>1</v>
      </c>
      <c r="AE147">
        <v>1</v>
      </c>
      <c r="AF147" t="s">
        <v>383</v>
      </c>
      <c r="AH147" t="s">
        <v>22</v>
      </c>
      <c r="AI147" t="s">
        <v>97</v>
      </c>
      <c r="AK147">
        <v>2311</v>
      </c>
      <c r="AL147">
        <v>870</v>
      </c>
    </row>
    <row r="148" spans="1:38">
      <c r="A148" t="s">
        <v>382</v>
      </c>
      <c r="B148" t="s">
        <v>382</v>
      </c>
      <c r="C148" t="s">
        <v>382</v>
      </c>
      <c r="D148" t="s">
        <v>382</v>
      </c>
      <c r="E148" t="s">
        <v>382</v>
      </c>
      <c r="F148" t="s">
        <v>382</v>
      </c>
      <c r="G148" t="s">
        <v>382</v>
      </c>
      <c r="H148" t="s">
        <v>382</v>
      </c>
      <c r="I148" t="s">
        <v>382</v>
      </c>
      <c r="J148" t="s">
        <v>382</v>
      </c>
      <c r="K148" t="s">
        <v>382</v>
      </c>
      <c r="L148" t="s">
        <v>382</v>
      </c>
      <c r="M148" t="s">
        <v>382</v>
      </c>
      <c r="N148" t="s">
        <v>382</v>
      </c>
      <c r="O148" t="s">
        <v>382</v>
      </c>
      <c r="P148" t="s">
        <v>382</v>
      </c>
      <c r="Q148" t="s">
        <v>382</v>
      </c>
      <c r="R148" t="s">
        <v>382</v>
      </c>
      <c r="S148" t="s">
        <v>382</v>
      </c>
      <c r="T148" t="s">
        <v>382</v>
      </c>
      <c r="U148" t="s">
        <v>382</v>
      </c>
      <c r="V148" t="s">
        <v>382</v>
      </c>
      <c r="W148" t="s">
        <v>382</v>
      </c>
      <c r="X148" t="s">
        <v>382</v>
      </c>
      <c r="Y148" t="s">
        <v>382</v>
      </c>
      <c r="Z148" t="s">
        <v>382</v>
      </c>
      <c r="AA148" t="s">
        <v>382</v>
      </c>
      <c r="AB148" t="s">
        <v>382</v>
      </c>
      <c r="AC148">
        <v>5</v>
      </c>
      <c r="AD148">
        <v>2</v>
      </c>
      <c r="AE148">
        <v>1</v>
      </c>
      <c r="AF148" t="s">
        <v>480</v>
      </c>
      <c r="AH148" t="s">
        <v>155</v>
      </c>
      <c r="AI148" t="s">
        <v>97</v>
      </c>
      <c r="AK148">
        <v>3112</v>
      </c>
      <c r="AL148">
        <v>424</v>
      </c>
    </row>
    <row r="149" spans="1:38">
      <c r="A149" t="s">
        <v>382</v>
      </c>
      <c r="B149" t="s">
        <v>382</v>
      </c>
      <c r="C149" t="s">
        <v>382</v>
      </c>
      <c r="D149" t="s">
        <v>382</v>
      </c>
      <c r="E149" t="s">
        <v>382</v>
      </c>
      <c r="F149" t="s">
        <v>382</v>
      </c>
      <c r="G149" t="s">
        <v>382</v>
      </c>
      <c r="H149" t="s">
        <v>382</v>
      </c>
      <c r="I149" t="s">
        <v>382</v>
      </c>
      <c r="J149" t="s">
        <v>382</v>
      </c>
      <c r="K149" t="s">
        <v>382</v>
      </c>
      <c r="L149" t="s">
        <v>382</v>
      </c>
      <c r="M149" t="s">
        <v>382</v>
      </c>
      <c r="N149" t="s">
        <v>382</v>
      </c>
      <c r="O149" t="s">
        <v>382</v>
      </c>
      <c r="P149" t="s">
        <v>382</v>
      </c>
      <c r="Q149" t="s">
        <v>382</v>
      </c>
      <c r="R149" t="s">
        <v>382</v>
      </c>
      <c r="S149" t="s">
        <v>382</v>
      </c>
      <c r="T149" t="s">
        <v>382</v>
      </c>
      <c r="U149" t="s">
        <v>382</v>
      </c>
      <c r="V149" t="s">
        <v>382</v>
      </c>
      <c r="W149" t="s">
        <v>382</v>
      </c>
      <c r="X149" t="s">
        <v>382</v>
      </c>
      <c r="Y149" t="s">
        <v>382</v>
      </c>
      <c r="Z149" t="s">
        <v>382</v>
      </c>
      <c r="AA149" t="s">
        <v>382</v>
      </c>
      <c r="AB149" t="s">
        <v>382</v>
      </c>
      <c r="AC149">
        <v>5</v>
      </c>
      <c r="AD149">
        <v>3</v>
      </c>
      <c r="AE149">
        <v>1</v>
      </c>
      <c r="AF149" t="s">
        <v>383</v>
      </c>
      <c r="AH149" t="s">
        <v>22</v>
      </c>
      <c r="AI149" t="s">
        <v>97</v>
      </c>
      <c r="AK149">
        <v>2515</v>
      </c>
      <c r="AL149">
        <v>2040</v>
      </c>
    </row>
    <row r="150" spans="1:38">
      <c r="A150" t="s">
        <v>382</v>
      </c>
      <c r="B150" t="s">
        <v>382</v>
      </c>
      <c r="C150" t="s">
        <v>382</v>
      </c>
      <c r="D150" t="s">
        <v>382</v>
      </c>
      <c r="E150" t="s">
        <v>382</v>
      </c>
      <c r="F150" t="s">
        <v>382</v>
      </c>
      <c r="G150" t="s">
        <v>382</v>
      </c>
      <c r="H150" t="s">
        <v>382</v>
      </c>
      <c r="I150" t="s">
        <v>382</v>
      </c>
      <c r="J150" t="s">
        <v>382</v>
      </c>
      <c r="K150" t="s">
        <v>382</v>
      </c>
      <c r="L150" t="s">
        <v>382</v>
      </c>
      <c r="M150" t="s">
        <v>382</v>
      </c>
      <c r="N150" t="s">
        <v>382</v>
      </c>
      <c r="O150" t="s">
        <v>382</v>
      </c>
      <c r="P150" t="s">
        <v>382</v>
      </c>
      <c r="Q150" t="s">
        <v>382</v>
      </c>
      <c r="R150" t="s">
        <v>382</v>
      </c>
      <c r="S150" t="s">
        <v>382</v>
      </c>
      <c r="T150" t="s">
        <v>382</v>
      </c>
      <c r="U150" t="s">
        <v>382</v>
      </c>
      <c r="V150" t="s">
        <v>382</v>
      </c>
      <c r="W150" t="s">
        <v>382</v>
      </c>
      <c r="X150" t="s">
        <v>382</v>
      </c>
      <c r="Y150" t="s">
        <v>382</v>
      </c>
      <c r="Z150" t="s">
        <v>382</v>
      </c>
      <c r="AA150" t="s">
        <v>382</v>
      </c>
      <c r="AB150" t="s">
        <v>382</v>
      </c>
      <c r="AC150">
        <v>5</v>
      </c>
      <c r="AD150">
        <v>4</v>
      </c>
      <c r="AF150" t="s">
        <v>385</v>
      </c>
      <c r="AH150" t="s">
        <v>27</v>
      </c>
      <c r="AI150" t="s">
        <v>109</v>
      </c>
      <c r="AK150">
        <v>619</v>
      </c>
      <c r="AL150">
        <v>338</v>
      </c>
    </row>
    <row r="151" spans="1:38">
      <c r="A151" t="s">
        <v>382</v>
      </c>
      <c r="B151" t="s">
        <v>382</v>
      </c>
      <c r="C151" t="s">
        <v>382</v>
      </c>
      <c r="D151" t="s">
        <v>382</v>
      </c>
      <c r="E151" t="s">
        <v>382</v>
      </c>
      <c r="F151" t="s">
        <v>382</v>
      </c>
      <c r="G151" t="s">
        <v>382</v>
      </c>
      <c r="H151" t="s">
        <v>382</v>
      </c>
      <c r="I151" t="s">
        <v>382</v>
      </c>
      <c r="J151" t="s">
        <v>382</v>
      </c>
      <c r="K151" t="s">
        <v>382</v>
      </c>
      <c r="L151" t="s">
        <v>382</v>
      </c>
      <c r="M151" t="s">
        <v>382</v>
      </c>
      <c r="N151" t="s">
        <v>382</v>
      </c>
      <c r="O151" t="s">
        <v>382</v>
      </c>
      <c r="P151" t="s">
        <v>382</v>
      </c>
      <c r="Q151" t="s">
        <v>382</v>
      </c>
      <c r="R151" t="s">
        <v>382</v>
      </c>
      <c r="S151" t="s">
        <v>382</v>
      </c>
      <c r="T151" t="s">
        <v>382</v>
      </c>
      <c r="U151" t="s">
        <v>382</v>
      </c>
      <c r="V151" t="s">
        <v>382</v>
      </c>
      <c r="W151" t="s">
        <v>382</v>
      </c>
      <c r="X151" t="s">
        <v>382</v>
      </c>
      <c r="Y151" t="s">
        <v>382</v>
      </c>
      <c r="Z151" t="s">
        <v>382</v>
      </c>
      <c r="AA151" t="s">
        <v>382</v>
      </c>
      <c r="AB151" t="s">
        <v>382</v>
      </c>
      <c r="AC151">
        <v>5</v>
      </c>
      <c r="AD151">
        <v>5</v>
      </c>
      <c r="AE151">
        <v>1</v>
      </c>
      <c r="AF151" t="s">
        <v>383</v>
      </c>
      <c r="AH151" t="s">
        <v>22</v>
      </c>
      <c r="AI151" t="s">
        <v>97</v>
      </c>
      <c r="AK151">
        <v>1420</v>
      </c>
      <c r="AL151">
        <v>540</v>
      </c>
    </row>
    <row r="152" spans="1:38">
      <c r="A152" t="s">
        <v>382</v>
      </c>
      <c r="B152" t="s">
        <v>382</v>
      </c>
      <c r="C152" t="s">
        <v>382</v>
      </c>
      <c r="D152" t="s">
        <v>382</v>
      </c>
      <c r="E152" t="s">
        <v>382</v>
      </c>
      <c r="F152" t="s">
        <v>382</v>
      </c>
      <c r="G152" t="s">
        <v>382</v>
      </c>
      <c r="H152" t="s">
        <v>382</v>
      </c>
      <c r="I152" t="s">
        <v>382</v>
      </c>
      <c r="J152" t="s">
        <v>382</v>
      </c>
      <c r="K152" t="s">
        <v>382</v>
      </c>
      <c r="L152" t="s">
        <v>382</v>
      </c>
      <c r="M152" t="s">
        <v>382</v>
      </c>
      <c r="N152" t="s">
        <v>382</v>
      </c>
      <c r="O152" t="s">
        <v>382</v>
      </c>
      <c r="P152" t="s">
        <v>382</v>
      </c>
      <c r="Q152" t="s">
        <v>382</v>
      </c>
      <c r="R152" t="s">
        <v>382</v>
      </c>
      <c r="S152" t="s">
        <v>382</v>
      </c>
      <c r="T152" t="s">
        <v>382</v>
      </c>
      <c r="U152" t="s">
        <v>382</v>
      </c>
      <c r="V152" t="s">
        <v>382</v>
      </c>
      <c r="W152" t="s">
        <v>382</v>
      </c>
      <c r="X152" t="s">
        <v>382</v>
      </c>
      <c r="Y152" t="s">
        <v>382</v>
      </c>
      <c r="Z152" t="s">
        <v>382</v>
      </c>
      <c r="AA152" t="s">
        <v>382</v>
      </c>
      <c r="AB152" t="s">
        <v>382</v>
      </c>
      <c r="AC152">
        <v>5</v>
      </c>
      <c r="AD152">
        <v>1</v>
      </c>
      <c r="AF152" t="s">
        <v>385</v>
      </c>
      <c r="AH152" t="s">
        <v>27</v>
      </c>
      <c r="AI152" t="s">
        <v>109</v>
      </c>
      <c r="AK152">
        <v>590</v>
      </c>
      <c r="AL152">
        <v>1243</v>
      </c>
    </row>
    <row r="153" spans="1:38">
      <c r="A153" t="s">
        <v>382</v>
      </c>
      <c r="B153" t="s">
        <v>382</v>
      </c>
      <c r="C153" t="s">
        <v>382</v>
      </c>
      <c r="D153" t="s">
        <v>382</v>
      </c>
      <c r="E153" t="s">
        <v>382</v>
      </c>
      <c r="F153" t="s">
        <v>382</v>
      </c>
      <c r="G153" t="s">
        <v>382</v>
      </c>
      <c r="H153" t="s">
        <v>382</v>
      </c>
      <c r="I153" t="s">
        <v>382</v>
      </c>
      <c r="J153" t="s">
        <v>382</v>
      </c>
      <c r="K153" t="s">
        <v>382</v>
      </c>
      <c r="L153" t="s">
        <v>382</v>
      </c>
      <c r="M153" t="s">
        <v>382</v>
      </c>
      <c r="N153" t="s">
        <v>382</v>
      </c>
      <c r="O153" t="s">
        <v>382</v>
      </c>
      <c r="P153" t="s">
        <v>382</v>
      </c>
      <c r="Q153" t="s">
        <v>382</v>
      </c>
      <c r="R153" t="s">
        <v>382</v>
      </c>
      <c r="S153" t="s">
        <v>382</v>
      </c>
      <c r="T153" t="s">
        <v>382</v>
      </c>
      <c r="U153" t="s">
        <v>382</v>
      </c>
      <c r="V153" t="s">
        <v>382</v>
      </c>
      <c r="W153" t="s">
        <v>382</v>
      </c>
      <c r="X153" t="s">
        <v>382</v>
      </c>
      <c r="Y153" t="s">
        <v>382</v>
      </c>
      <c r="Z153" t="s">
        <v>382</v>
      </c>
      <c r="AA153" t="s">
        <v>382</v>
      </c>
      <c r="AB153" t="s">
        <v>382</v>
      </c>
      <c r="AC153">
        <v>5</v>
      </c>
      <c r="AD153">
        <v>2</v>
      </c>
      <c r="AF153" t="s">
        <v>386</v>
      </c>
      <c r="AH153" t="s">
        <v>29</v>
      </c>
      <c r="AI153" t="s">
        <v>103</v>
      </c>
      <c r="AK153">
        <v>2640</v>
      </c>
      <c r="AL153">
        <v>1631</v>
      </c>
    </row>
    <row r="154" spans="1:38">
      <c r="A154" t="s">
        <v>382</v>
      </c>
      <c r="B154" t="s">
        <v>382</v>
      </c>
      <c r="C154" t="s">
        <v>382</v>
      </c>
      <c r="D154" t="s">
        <v>382</v>
      </c>
      <c r="E154" t="s">
        <v>382</v>
      </c>
      <c r="F154" t="s">
        <v>382</v>
      </c>
      <c r="G154" t="s">
        <v>382</v>
      </c>
      <c r="H154" t="s">
        <v>382</v>
      </c>
      <c r="I154" t="s">
        <v>382</v>
      </c>
      <c r="J154" t="s">
        <v>382</v>
      </c>
      <c r="K154" t="s">
        <v>382</v>
      </c>
      <c r="L154" t="s">
        <v>382</v>
      </c>
      <c r="M154" t="s">
        <v>382</v>
      </c>
      <c r="N154" t="s">
        <v>382</v>
      </c>
      <c r="O154" t="s">
        <v>382</v>
      </c>
      <c r="P154" t="s">
        <v>382</v>
      </c>
      <c r="Q154" t="s">
        <v>382</v>
      </c>
      <c r="R154" t="s">
        <v>382</v>
      </c>
      <c r="S154" t="s">
        <v>382</v>
      </c>
      <c r="T154" t="s">
        <v>382</v>
      </c>
      <c r="U154" t="s">
        <v>382</v>
      </c>
      <c r="V154" t="s">
        <v>382</v>
      </c>
      <c r="W154" t="s">
        <v>382</v>
      </c>
      <c r="X154" t="s">
        <v>382</v>
      </c>
      <c r="Y154" t="s">
        <v>382</v>
      </c>
      <c r="Z154" t="s">
        <v>382</v>
      </c>
      <c r="AA154" t="s">
        <v>382</v>
      </c>
      <c r="AB154" t="s">
        <v>382</v>
      </c>
      <c r="AC154">
        <v>5</v>
      </c>
      <c r="AD154">
        <v>3</v>
      </c>
      <c r="AF154" t="s">
        <v>385</v>
      </c>
      <c r="AH154" t="s">
        <v>27</v>
      </c>
      <c r="AI154" t="s">
        <v>109</v>
      </c>
      <c r="AK154">
        <v>3093</v>
      </c>
      <c r="AL154">
        <v>1109</v>
      </c>
    </row>
    <row r="155" spans="1:38">
      <c r="A155" t="s">
        <v>382</v>
      </c>
      <c r="B155" t="s">
        <v>382</v>
      </c>
      <c r="C155" t="s">
        <v>382</v>
      </c>
      <c r="D155" t="s">
        <v>382</v>
      </c>
      <c r="E155" t="s">
        <v>382</v>
      </c>
      <c r="F155" t="s">
        <v>382</v>
      </c>
      <c r="G155" t="s">
        <v>382</v>
      </c>
      <c r="H155" t="s">
        <v>382</v>
      </c>
      <c r="I155" t="s">
        <v>382</v>
      </c>
      <c r="J155" t="s">
        <v>382</v>
      </c>
      <c r="K155" t="s">
        <v>382</v>
      </c>
      <c r="L155" t="s">
        <v>382</v>
      </c>
      <c r="M155" t="s">
        <v>382</v>
      </c>
      <c r="N155" t="s">
        <v>382</v>
      </c>
      <c r="O155" t="s">
        <v>382</v>
      </c>
      <c r="P155" t="s">
        <v>382</v>
      </c>
      <c r="Q155" t="s">
        <v>382</v>
      </c>
      <c r="R155" t="s">
        <v>382</v>
      </c>
      <c r="S155" t="s">
        <v>382</v>
      </c>
      <c r="T155" t="s">
        <v>382</v>
      </c>
      <c r="U155" t="s">
        <v>382</v>
      </c>
      <c r="V155" t="s">
        <v>382</v>
      </c>
      <c r="W155" t="s">
        <v>382</v>
      </c>
      <c r="X155" t="s">
        <v>382</v>
      </c>
      <c r="Y155" t="s">
        <v>382</v>
      </c>
      <c r="Z155" t="s">
        <v>382</v>
      </c>
      <c r="AA155" t="s">
        <v>382</v>
      </c>
      <c r="AB155" t="s">
        <v>382</v>
      </c>
      <c r="AC155">
        <v>5</v>
      </c>
      <c r="AD155">
        <v>4</v>
      </c>
      <c r="AF155" t="s">
        <v>386</v>
      </c>
      <c r="AH155" t="s">
        <v>29</v>
      </c>
      <c r="AI155" t="s">
        <v>103</v>
      </c>
      <c r="AK155">
        <v>1747</v>
      </c>
      <c r="AL155">
        <v>1728</v>
      </c>
    </row>
    <row r="156" spans="1:38">
      <c r="A156" t="s">
        <v>382</v>
      </c>
      <c r="B156" t="s">
        <v>382</v>
      </c>
      <c r="C156" t="s">
        <v>382</v>
      </c>
      <c r="D156" t="s">
        <v>382</v>
      </c>
      <c r="E156" t="s">
        <v>382</v>
      </c>
      <c r="F156" t="s">
        <v>382</v>
      </c>
      <c r="G156" t="s">
        <v>382</v>
      </c>
      <c r="H156" t="s">
        <v>382</v>
      </c>
      <c r="I156" t="s">
        <v>382</v>
      </c>
      <c r="J156" t="s">
        <v>382</v>
      </c>
      <c r="K156" t="s">
        <v>382</v>
      </c>
      <c r="L156" t="s">
        <v>382</v>
      </c>
      <c r="M156" t="s">
        <v>382</v>
      </c>
      <c r="N156" t="s">
        <v>382</v>
      </c>
      <c r="O156" t="s">
        <v>382</v>
      </c>
      <c r="P156" t="s">
        <v>382</v>
      </c>
      <c r="Q156" t="s">
        <v>382</v>
      </c>
      <c r="R156" t="s">
        <v>382</v>
      </c>
      <c r="S156" t="s">
        <v>382</v>
      </c>
      <c r="T156" t="s">
        <v>382</v>
      </c>
      <c r="U156" t="s">
        <v>382</v>
      </c>
      <c r="V156" t="s">
        <v>382</v>
      </c>
      <c r="W156" t="s">
        <v>382</v>
      </c>
      <c r="X156" t="s">
        <v>382</v>
      </c>
      <c r="Y156" t="s">
        <v>382</v>
      </c>
      <c r="Z156" t="s">
        <v>382</v>
      </c>
      <c r="AA156" t="s">
        <v>382</v>
      </c>
      <c r="AB156" t="s">
        <v>382</v>
      </c>
      <c r="AC156">
        <v>5</v>
      </c>
      <c r="AD156">
        <v>5</v>
      </c>
      <c r="AF156" t="s">
        <v>386</v>
      </c>
      <c r="AH156" t="s">
        <v>29</v>
      </c>
      <c r="AI156" t="s">
        <v>103</v>
      </c>
      <c r="AK156">
        <v>2602</v>
      </c>
      <c r="AL156">
        <v>2440</v>
      </c>
    </row>
    <row r="157" spans="1:38">
      <c r="A157" t="s">
        <v>382</v>
      </c>
      <c r="B157" t="s">
        <v>382</v>
      </c>
      <c r="C157" t="s">
        <v>382</v>
      </c>
      <c r="D157" t="s">
        <v>382</v>
      </c>
      <c r="E157" t="s">
        <v>382</v>
      </c>
      <c r="F157" t="s">
        <v>382</v>
      </c>
      <c r="G157" t="s">
        <v>382</v>
      </c>
      <c r="H157" t="s">
        <v>382</v>
      </c>
      <c r="I157" t="s">
        <v>382</v>
      </c>
      <c r="J157" t="s">
        <v>382</v>
      </c>
      <c r="K157" t="s">
        <v>382</v>
      </c>
      <c r="L157" t="s">
        <v>382</v>
      </c>
      <c r="M157" t="s">
        <v>382</v>
      </c>
      <c r="N157" t="s">
        <v>382</v>
      </c>
      <c r="O157" t="s">
        <v>382</v>
      </c>
      <c r="P157" t="s">
        <v>382</v>
      </c>
      <c r="Q157" t="s">
        <v>382</v>
      </c>
      <c r="R157" t="s">
        <v>382</v>
      </c>
      <c r="S157" t="s">
        <v>382</v>
      </c>
      <c r="T157" t="s">
        <v>382</v>
      </c>
      <c r="U157" t="s">
        <v>382</v>
      </c>
      <c r="V157" t="s">
        <v>382</v>
      </c>
      <c r="W157" t="s">
        <v>382</v>
      </c>
      <c r="X157" t="s">
        <v>382</v>
      </c>
      <c r="Y157" t="s">
        <v>382</v>
      </c>
      <c r="Z157" t="s">
        <v>382</v>
      </c>
      <c r="AA157" t="s">
        <v>382</v>
      </c>
      <c r="AB157" t="s">
        <v>382</v>
      </c>
      <c r="AC157">
        <v>5</v>
      </c>
      <c r="AD157">
        <v>1</v>
      </c>
      <c r="AE157">
        <v>1</v>
      </c>
      <c r="AF157" t="s">
        <v>383</v>
      </c>
      <c r="AH157" t="s">
        <v>22</v>
      </c>
      <c r="AI157" t="s">
        <v>97</v>
      </c>
      <c r="AK157">
        <v>2908</v>
      </c>
      <c r="AL157">
        <v>1464</v>
      </c>
    </row>
    <row r="158" spans="1:38">
      <c r="A158" t="s">
        <v>382</v>
      </c>
      <c r="B158" t="s">
        <v>382</v>
      </c>
      <c r="C158" t="s">
        <v>382</v>
      </c>
      <c r="D158" t="s">
        <v>382</v>
      </c>
      <c r="E158" t="s">
        <v>382</v>
      </c>
      <c r="F158" t="s">
        <v>382</v>
      </c>
      <c r="G158" t="s">
        <v>382</v>
      </c>
      <c r="H158" t="s">
        <v>382</v>
      </c>
      <c r="I158" t="s">
        <v>382</v>
      </c>
      <c r="J158" t="s">
        <v>382</v>
      </c>
      <c r="K158" t="s">
        <v>382</v>
      </c>
      <c r="L158" t="s">
        <v>382</v>
      </c>
      <c r="M158" t="s">
        <v>382</v>
      </c>
      <c r="N158" t="s">
        <v>382</v>
      </c>
      <c r="O158" t="s">
        <v>382</v>
      </c>
      <c r="P158" t="s">
        <v>382</v>
      </c>
      <c r="Q158" t="s">
        <v>382</v>
      </c>
      <c r="R158" t="s">
        <v>382</v>
      </c>
      <c r="S158" t="s">
        <v>382</v>
      </c>
      <c r="T158" t="s">
        <v>382</v>
      </c>
      <c r="U158" t="s">
        <v>382</v>
      </c>
      <c r="V158" t="s">
        <v>382</v>
      </c>
      <c r="W158" t="s">
        <v>382</v>
      </c>
      <c r="X158" t="s">
        <v>382</v>
      </c>
      <c r="Y158" t="s">
        <v>382</v>
      </c>
      <c r="Z158" t="s">
        <v>382</v>
      </c>
      <c r="AA158" t="s">
        <v>382</v>
      </c>
      <c r="AB158" t="s">
        <v>382</v>
      </c>
      <c r="AC158">
        <v>5</v>
      </c>
      <c r="AD158">
        <v>2</v>
      </c>
      <c r="AE158">
        <v>1</v>
      </c>
      <c r="AF158" t="s">
        <v>484</v>
      </c>
      <c r="AH158" t="s">
        <v>168</v>
      </c>
      <c r="AI158" t="s">
        <v>97</v>
      </c>
      <c r="AK158">
        <v>1240</v>
      </c>
      <c r="AL158">
        <v>1752</v>
      </c>
    </row>
    <row r="159" spans="1:38">
      <c r="A159" t="s">
        <v>382</v>
      </c>
      <c r="B159" t="s">
        <v>382</v>
      </c>
      <c r="C159" t="s">
        <v>382</v>
      </c>
      <c r="D159" t="s">
        <v>382</v>
      </c>
      <c r="E159" t="s">
        <v>382</v>
      </c>
      <c r="F159" t="s">
        <v>382</v>
      </c>
      <c r="G159" t="s">
        <v>382</v>
      </c>
      <c r="H159" t="s">
        <v>382</v>
      </c>
      <c r="I159" t="s">
        <v>382</v>
      </c>
      <c r="J159" t="s">
        <v>382</v>
      </c>
      <c r="K159" t="s">
        <v>382</v>
      </c>
      <c r="L159" t="s">
        <v>382</v>
      </c>
      <c r="M159" t="s">
        <v>382</v>
      </c>
      <c r="N159" t="s">
        <v>382</v>
      </c>
      <c r="O159" t="s">
        <v>382</v>
      </c>
      <c r="P159" t="s">
        <v>382</v>
      </c>
      <c r="Q159" t="s">
        <v>382</v>
      </c>
      <c r="R159" t="s">
        <v>382</v>
      </c>
      <c r="S159" t="s">
        <v>382</v>
      </c>
      <c r="T159" t="s">
        <v>382</v>
      </c>
      <c r="U159" t="s">
        <v>382</v>
      </c>
      <c r="V159" t="s">
        <v>382</v>
      </c>
      <c r="W159" t="s">
        <v>382</v>
      </c>
      <c r="X159" t="s">
        <v>382</v>
      </c>
      <c r="Y159" t="s">
        <v>382</v>
      </c>
      <c r="Z159" t="s">
        <v>382</v>
      </c>
      <c r="AA159" t="s">
        <v>382</v>
      </c>
      <c r="AB159" t="s">
        <v>382</v>
      </c>
      <c r="AC159">
        <v>5</v>
      </c>
      <c r="AD159">
        <v>3</v>
      </c>
      <c r="AE159">
        <v>1</v>
      </c>
      <c r="AF159" t="s">
        <v>484</v>
      </c>
      <c r="AH159" t="s">
        <v>168</v>
      </c>
      <c r="AI159" t="s">
        <v>97</v>
      </c>
      <c r="AK159">
        <v>658</v>
      </c>
      <c r="AL159">
        <v>2597</v>
      </c>
    </row>
    <row r="160" spans="1:38">
      <c r="A160" t="s">
        <v>382</v>
      </c>
      <c r="B160" t="s">
        <v>382</v>
      </c>
      <c r="C160" t="s">
        <v>382</v>
      </c>
      <c r="D160" t="s">
        <v>382</v>
      </c>
      <c r="E160" t="s">
        <v>382</v>
      </c>
      <c r="F160" t="s">
        <v>382</v>
      </c>
      <c r="G160" t="s">
        <v>382</v>
      </c>
      <c r="H160" t="s">
        <v>382</v>
      </c>
      <c r="I160" t="s">
        <v>382</v>
      </c>
      <c r="J160" t="s">
        <v>382</v>
      </c>
      <c r="K160" t="s">
        <v>382</v>
      </c>
      <c r="L160" t="s">
        <v>382</v>
      </c>
      <c r="M160" t="s">
        <v>382</v>
      </c>
      <c r="N160" t="s">
        <v>382</v>
      </c>
      <c r="O160" t="s">
        <v>382</v>
      </c>
      <c r="P160" t="s">
        <v>382</v>
      </c>
      <c r="Q160" t="s">
        <v>382</v>
      </c>
      <c r="R160" t="s">
        <v>382</v>
      </c>
      <c r="S160" t="s">
        <v>382</v>
      </c>
      <c r="T160" t="s">
        <v>382</v>
      </c>
      <c r="U160" t="s">
        <v>382</v>
      </c>
      <c r="V160" t="s">
        <v>382</v>
      </c>
      <c r="W160" t="s">
        <v>382</v>
      </c>
      <c r="X160" t="s">
        <v>382</v>
      </c>
      <c r="Y160" t="s">
        <v>382</v>
      </c>
      <c r="Z160" t="s">
        <v>382</v>
      </c>
      <c r="AA160" t="s">
        <v>382</v>
      </c>
      <c r="AB160" t="s">
        <v>382</v>
      </c>
      <c r="AC160">
        <v>5</v>
      </c>
      <c r="AD160">
        <v>4</v>
      </c>
      <c r="AE160">
        <v>1</v>
      </c>
      <c r="AF160" t="s">
        <v>393</v>
      </c>
      <c r="AH160" t="s">
        <v>51</v>
      </c>
      <c r="AI160" t="s">
        <v>97</v>
      </c>
      <c r="AK160">
        <v>3084</v>
      </c>
      <c r="AL160">
        <v>437</v>
      </c>
    </row>
    <row r="161" spans="1:38">
      <c r="A161" t="s">
        <v>382</v>
      </c>
      <c r="B161" t="s">
        <v>382</v>
      </c>
      <c r="C161" t="s">
        <v>382</v>
      </c>
      <c r="D161" t="s">
        <v>382</v>
      </c>
      <c r="E161" t="s">
        <v>382</v>
      </c>
      <c r="F161" t="s">
        <v>382</v>
      </c>
      <c r="G161" t="s">
        <v>382</v>
      </c>
      <c r="H161" t="s">
        <v>382</v>
      </c>
      <c r="I161" t="s">
        <v>382</v>
      </c>
      <c r="J161" t="s">
        <v>382</v>
      </c>
      <c r="K161" t="s">
        <v>382</v>
      </c>
      <c r="L161" t="s">
        <v>382</v>
      </c>
      <c r="M161" t="s">
        <v>382</v>
      </c>
      <c r="N161" t="s">
        <v>382</v>
      </c>
      <c r="O161" t="s">
        <v>382</v>
      </c>
      <c r="P161" t="s">
        <v>382</v>
      </c>
      <c r="Q161" t="s">
        <v>382</v>
      </c>
      <c r="R161" t="s">
        <v>382</v>
      </c>
      <c r="S161" t="s">
        <v>382</v>
      </c>
      <c r="T161" t="s">
        <v>382</v>
      </c>
      <c r="U161" t="s">
        <v>382</v>
      </c>
      <c r="V161" t="s">
        <v>382</v>
      </c>
      <c r="W161" t="s">
        <v>382</v>
      </c>
      <c r="X161" t="s">
        <v>382</v>
      </c>
      <c r="Y161" t="s">
        <v>382</v>
      </c>
      <c r="Z161" t="s">
        <v>382</v>
      </c>
      <c r="AA161" t="s">
        <v>382</v>
      </c>
      <c r="AB161" t="s">
        <v>382</v>
      </c>
      <c r="AC161">
        <v>5</v>
      </c>
      <c r="AD161">
        <v>5</v>
      </c>
      <c r="AE161">
        <v>1</v>
      </c>
      <c r="AF161" t="s">
        <v>393</v>
      </c>
      <c r="AH161" t="s">
        <v>51</v>
      </c>
      <c r="AI161" t="s">
        <v>97</v>
      </c>
      <c r="AK161">
        <v>2668</v>
      </c>
      <c r="AL161">
        <v>1057</v>
      </c>
    </row>
    <row r="162" spans="1:38">
      <c r="A162" t="s">
        <v>382</v>
      </c>
      <c r="B162" t="s">
        <v>382</v>
      </c>
      <c r="C162" t="s">
        <v>382</v>
      </c>
      <c r="D162" t="s">
        <v>382</v>
      </c>
      <c r="E162" t="s">
        <v>382</v>
      </c>
      <c r="F162" t="s">
        <v>382</v>
      </c>
      <c r="G162" t="s">
        <v>382</v>
      </c>
      <c r="H162" t="s">
        <v>382</v>
      </c>
      <c r="I162" t="s">
        <v>382</v>
      </c>
      <c r="J162" t="s">
        <v>382</v>
      </c>
      <c r="K162" t="s">
        <v>382</v>
      </c>
      <c r="L162" t="s">
        <v>382</v>
      </c>
      <c r="M162" t="s">
        <v>382</v>
      </c>
      <c r="N162" t="s">
        <v>382</v>
      </c>
      <c r="O162" t="s">
        <v>382</v>
      </c>
      <c r="P162" t="s">
        <v>382</v>
      </c>
      <c r="Q162" t="s">
        <v>382</v>
      </c>
      <c r="R162" t="s">
        <v>382</v>
      </c>
      <c r="S162" t="s">
        <v>382</v>
      </c>
      <c r="T162" t="s">
        <v>382</v>
      </c>
      <c r="U162" t="s">
        <v>382</v>
      </c>
      <c r="V162" t="s">
        <v>382</v>
      </c>
      <c r="W162" t="s">
        <v>382</v>
      </c>
      <c r="X162" t="s">
        <v>382</v>
      </c>
      <c r="Y162" t="s">
        <v>382</v>
      </c>
      <c r="Z162" t="s">
        <v>382</v>
      </c>
      <c r="AA162" t="s">
        <v>382</v>
      </c>
      <c r="AB162" t="s">
        <v>382</v>
      </c>
      <c r="AC162">
        <v>5</v>
      </c>
      <c r="AD162">
        <v>1</v>
      </c>
      <c r="AE162">
        <v>1</v>
      </c>
      <c r="AF162" t="s">
        <v>383</v>
      </c>
      <c r="AH162" t="s">
        <v>22</v>
      </c>
      <c r="AI162" t="s">
        <v>97</v>
      </c>
      <c r="AK162">
        <v>659</v>
      </c>
      <c r="AL162">
        <v>2507</v>
      </c>
    </row>
    <row r="163" spans="1:38">
      <c r="A163" t="s">
        <v>382</v>
      </c>
      <c r="B163" t="s">
        <v>382</v>
      </c>
      <c r="C163" t="s">
        <v>382</v>
      </c>
      <c r="D163" t="s">
        <v>382</v>
      </c>
      <c r="E163" t="s">
        <v>382</v>
      </c>
      <c r="F163" t="s">
        <v>382</v>
      </c>
      <c r="G163" t="s">
        <v>382</v>
      </c>
      <c r="H163" t="s">
        <v>382</v>
      </c>
      <c r="I163" t="s">
        <v>382</v>
      </c>
      <c r="J163" t="s">
        <v>382</v>
      </c>
      <c r="K163" t="s">
        <v>382</v>
      </c>
      <c r="L163" t="s">
        <v>382</v>
      </c>
      <c r="M163" t="s">
        <v>382</v>
      </c>
      <c r="N163" t="s">
        <v>382</v>
      </c>
      <c r="O163" t="s">
        <v>382</v>
      </c>
      <c r="P163" t="s">
        <v>382</v>
      </c>
      <c r="Q163" t="s">
        <v>382</v>
      </c>
      <c r="R163" t="s">
        <v>382</v>
      </c>
      <c r="S163" t="s">
        <v>382</v>
      </c>
      <c r="T163" t="s">
        <v>382</v>
      </c>
      <c r="U163" t="s">
        <v>382</v>
      </c>
      <c r="V163" t="s">
        <v>382</v>
      </c>
      <c r="W163" t="s">
        <v>382</v>
      </c>
      <c r="X163" t="s">
        <v>382</v>
      </c>
      <c r="Y163" t="s">
        <v>382</v>
      </c>
      <c r="Z163" t="s">
        <v>382</v>
      </c>
      <c r="AA163" t="s">
        <v>382</v>
      </c>
      <c r="AB163" t="s">
        <v>382</v>
      </c>
      <c r="AC163">
        <v>5</v>
      </c>
      <c r="AD163">
        <v>2</v>
      </c>
      <c r="AE163">
        <v>1</v>
      </c>
      <c r="AF163" t="s">
        <v>383</v>
      </c>
      <c r="AH163" t="s">
        <v>22</v>
      </c>
      <c r="AI163" t="s">
        <v>97</v>
      </c>
      <c r="AK163">
        <v>587</v>
      </c>
      <c r="AL163">
        <v>578</v>
      </c>
    </row>
    <row r="164" spans="1:38">
      <c r="A164" t="s">
        <v>382</v>
      </c>
      <c r="B164" t="s">
        <v>382</v>
      </c>
      <c r="C164" t="s">
        <v>382</v>
      </c>
      <c r="D164" t="s">
        <v>382</v>
      </c>
      <c r="E164" t="s">
        <v>382</v>
      </c>
      <c r="F164" t="s">
        <v>382</v>
      </c>
      <c r="G164" t="s">
        <v>382</v>
      </c>
      <c r="H164" t="s">
        <v>382</v>
      </c>
      <c r="I164" t="s">
        <v>382</v>
      </c>
      <c r="J164" t="s">
        <v>382</v>
      </c>
      <c r="K164" t="s">
        <v>382</v>
      </c>
      <c r="L164" t="s">
        <v>382</v>
      </c>
      <c r="M164" t="s">
        <v>382</v>
      </c>
      <c r="N164" t="s">
        <v>382</v>
      </c>
      <c r="O164" t="s">
        <v>382</v>
      </c>
      <c r="P164" t="s">
        <v>382</v>
      </c>
      <c r="Q164" t="s">
        <v>382</v>
      </c>
      <c r="R164" t="s">
        <v>382</v>
      </c>
      <c r="S164" t="s">
        <v>382</v>
      </c>
      <c r="T164" t="s">
        <v>382</v>
      </c>
      <c r="U164" t="s">
        <v>382</v>
      </c>
      <c r="V164" t="s">
        <v>382</v>
      </c>
      <c r="W164" t="s">
        <v>382</v>
      </c>
      <c r="X164" t="s">
        <v>382</v>
      </c>
      <c r="Y164" t="s">
        <v>382</v>
      </c>
      <c r="Z164" t="s">
        <v>382</v>
      </c>
      <c r="AA164" t="s">
        <v>382</v>
      </c>
      <c r="AB164" t="s">
        <v>382</v>
      </c>
      <c r="AC164">
        <v>5</v>
      </c>
      <c r="AD164">
        <v>3</v>
      </c>
      <c r="AE164">
        <v>1</v>
      </c>
      <c r="AF164" t="s">
        <v>383</v>
      </c>
      <c r="AH164" t="s">
        <v>22</v>
      </c>
      <c r="AI164" t="s">
        <v>97</v>
      </c>
      <c r="AK164">
        <v>1019</v>
      </c>
      <c r="AL164">
        <v>1263</v>
      </c>
    </row>
    <row r="165" spans="1:38">
      <c r="A165" t="s">
        <v>382</v>
      </c>
      <c r="B165" t="s">
        <v>382</v>
      </c>
      <c r="C165" t="s">
        <v>382</v>
      </c>
      <c r="D165" t="s">
        <v>382</v>
      </c>
      <c r="E165" t="s">
        <v>382</v>
      </c>
      <c r="F165" t="s">
        <v>382</v>
      </c>
      <c r="G165" t="s">
        <v>382</v>
      </c>
      <c r="H165" t="s">
        <v>382</v>
      </c>
      <c r="I165" t="s">
        <v>382</v>
      </c>
      <c r="J165" t="s">
        <v>382</v>
      </c>
      <c r="K165" t="s">
        <v>382</v>
      </c>
      <c r="L165" t="s">
        <v>382</v>
      </c>
      <c r="M165" t="s">
        <v>382</v>
      </c>
      <c r="N165" t="s">
        <v>382</v>
      </c>
      <c r="O165" t="s">
        <v>382</v>
      </c>
      <c r="P165" t="s">
        <v>382</v>
      </c>
      <c r="Q165" t="s">
        <v>382</v>
      </c>
      <c r="R165" t="s">
        <v>382</v>
      </c>
      <c r="S165" t="s">
        <v>382</v>
      </c>
      <c r="T165" t="s">
        <v>382</v>
      </c>
      <c r="U165" t="s">
        <v>382</v>
      </c>
      <c r="V165" t="s">
        <v>382</v>
      </c>
      <c r="W165" t="s">
        <v>382</v>
      </c>
      <c r="X165" t="s">
        <v>382</v>
      </c>
      <c r="Y165" t="s">
        <v>382</v>
      </c>
      <c r="Z165" t="s">
        <v>382</v>
      </c>
      <c r="AA165" t="s">
        <v>382</v>
      </c>
      <c r="AB165" t="s">
        <v>382</v>
      </c>
      <c r="AC165">
        <v>5</v>
      </c>
      <c r="AD165">
        <v>4</v>
      </c>
      <c r="AF165" t="s">
        <v>386</v>
      </c>
      <c r="AH165" t="s">
        <v>29</v>
      </c>
      <c r="AI165" t="s">
        <v>103</v>
      </c>
      <c r="AK165">
        <v>2198</v>
      </c>
      <c r="AL165">
        <v>2318</v>
      </c>
    </row>
    <row r="166" spans="1:38">
      <c r="A166" t="s">
        <v>382</v>
      </c>
      <c r="B166" t="s">
        <v>382</v>
      </c>
      <c r="C166" t="s">
        <v>382</v>
      </c>
      <c r="D166" t="s">
        <v>382</v>
      </c>
      <c r="E166" t="s">
        <v>382</v>
      </c>
      <c r="F166" t="s">
        <v>382</v>
      </c>
      <c r="G166" t="s">
        <v>382</v>
      </c>
      <c r="H166" t="s">
        <v>382</v>
      </c>
      <c r="I166" t="s">
        <v>382</v>
      </c>
      <c r="J166" t="s">
        <v>382</v>
      </c>
      <c r="K166" t="s">
        <v>382</v>
      </c>
      <c r="L166" t="s">
        <v>382</v>
      </c>
      <c r="M166" t="s">
        <v>382</v>
      </c>
      <c r="N166" t="s">
        <v>382</v>
      </c>
      <c r="O166" t="s">
        <v>382</v>
      </c>
      <c r="P166" t="s">
        <v>382</v>
      </c>
      <c r="Q166" t="s">
        <v>382</v>
      </c>
      <c r="R166" t="s">
        <v>382</v>
      </c>
      <c r="S166" t="s">
        <v>382</v>
      </c>
      <c r="T166" t="s">
        <v>382</v>
      </c>
      <c r="U166" t="s">
        <v>382</v>
      </c>
      <c r="V166" t="s">
        <v>382</v>
      </c>
      <c r="W166" t="s">
        <v>382</v>
      </c>
      <c r="X166" t="s">
        <v>382</v>
      </c>
      <c r="Y166" t="s">
        <v>382</v>
      </c>
      <c r="Z166" t="s">
        <v>382</v>
      </c>
      <c r="AA166" t="s">
        <v>382</v>
      </c>
      <c r="AB166" t="s">
        <v>382</v>
      </c>
      <c r="AC166">
        <v>5</v>
      </c>
      <c r="AD166">
        <v>5</v>
      </c>
      <c r="AF166" t="s">
        <v>385</v>
      </c>
      <c r="AH166" t="s">
        <v>27</v>
      </c>
      <c r="AI166" t="s">
        <v>109</v>
      </c>
      <c r="AK166">
        <v>2473</v>
      </c>
      <c r="AL166">
        <v>1477</v>
      </c>
    </row>
    <row r="167" spans="1:38">
      <c r="A167" t="s">
        <v>382</v>
      </c>
      <c r="B167" t="s">
        <v>382</v>
      </c>
      <c r="C167" t="s">
        <v>382</v>
      </c>
      <c r="D167" t="s">
        <v>382</v>
      </c>
      <c r="E167" t="s">
        <v>382</v>
      </c>
      <c r="F167" t="s">
        <v>382</v>
      </c>
      <c r="G167" t="s">
        <v>382</v>
      </c>
      <c r="H167" t="s">
        <v>382</v>
      </c>
      <c r="I167" t="s">
        <v>382</v>
      </c>
      <c r="J167" t="s">
        <v>382</v>
      </c>
      <c r="K167" t="s">
        <v>382</v>
      </c>
      <c r="L167" t="s">
        <v>382</v>
      </c>
      <c r="M167" t="s">
        <v>382</v>
      </c>
      <c r="N167" t="s">
        <v>382</v>
      </c>
      <c r="O167" t="s">
        <v>382</v>
      </c>
      <c r="P167" t="s">
        <v>382</v>
      </c>
      <c r="Q167" t="s">
        <v>382</v>
      </c>
      <c r="R167" t="s">
        <v>382</v>
      </c>
      <c r="S167" t="s">
        <v>382</v>
      </c>
      <c r="T167" t="s">
        <v>382</v>
      </c>
      <c r="U167" t="s">
        <v>382</v>
      </c>
      <c r="V167" t="s">
        <v>382</v>
      </c>
      <c r="W167" t="s">
        <v>382</v>
      </c>
      <c r="X167" t="s">
        <v>382</v>
      </c>
      <c r="Y167" t="s">
        <v>382</v>
      </c>
      <c r="Z167" t="s">
        <v>382</v>
      </c>
      <c r="AA167" t="s">
        <v>382</v>
      </c>
      <c r="AB167" t="s">
        <v>382</v>
      </c>
      <c r="AC167">
        <v>5</v>
      </c>
      <c r="AD167">
        <v>1</v>
      </c>
      <c r="AE167">
        <v>1</v>
      </c>
      <c r="AF167" t="s">
        <v>487</v>
      </c>
      <c r="AH167" t="s">
        <v>153</v>
      </c>
      <c r="AI167" t="s">
        <v>97</v>
      </c>
      <c r="AK167">
        <v>2349</v>
      </c>
      <c r="AL167">
        <v>62</v>
      </c>
    </row>
    <row r="168" spans="1:38">
      <c r="A168" t="s">
        <v>382</v>
      </c>
      <c r="B168" t="s">
        <v>382</v>
      </c>
      <c r="C168" t="s">
        <v>382</v>
      </c>
      <c r="D168" t="s">
        <v>382</v>
      </c>
      <c r="E168" t="s">
        <v>382</v>
      </c>
      <c r="F168" t="s">
        <v>382</v>
      </c>
      <c r="G168" t="s">
        <v>382</v>
      </c>
      <c r="H168" t="s">
        <v>382</v>
      </c>
      <c r="I168" t="s">
        <v>382</v>
      </c>
      <c r="J168" t="s">
        <v>382</v>
      </c>
      <c r="K168" t="s">
        <v>382</v>
      </c>
      <c r="L168" t="s">
        <v>382</v>
      </c>
      <c r="M168" t="s">
        <v>382</v>
      </c>
      <c r="N168" t="s">
        <v>382</v>
      </c>
      <c r="O168" t="s">
        <v>382</v>
      </c>
      <c r="P168" t="s">
        <v>382</v>
      </c>
      <c r="Q168" t="s">
        <v>382</v>
      </c>
      <c r="R168" t="s">
        <v>382</v>
      </c>
      <c r="S168" t="s">
        <v>382</v>
      </c>
      <c r="T168" t="s">
        <v>382</v>
      </c>
      <c r="U168" t="s">
        <v>382</v>
      </c>
      <c r="V168" t="s">
        <v>382</v>
      </c>
      <c r="W168" t="s">
        <v>382</v>
      </c>
      <c r="X168" t="s">
        <v>382</v>
      </c>
      <c r="Y168" t="s">
        <v>382</v>
      </c>
      <c r="Z168" t="s">
        <v>382</v>
      </c>
      <c r="AA168" t="s">
        <v>382</v>
      </c>
      <c r="AB168" t="s">
        <v>382</v>
      </c>
      <c r="AC168">
        <v>5</v>
      </c>
      <c r="AD168">
        <v>2</v>
      </c>
      <c r="AF168" t="s">
        <v>385</v>
      </c>
      <c r="AH168" t="s">
        <v>27</v>
      </c>
      <c r="AI168" t="s">
        <v>109</v>
      </c>
      <c r="AK168">
        <v>2041</v>
      </c>
      <c r="AL168">
        <v>1390</v>
      </c>
    </row>
    <row r="169" spans="1:38">
      <c r="A169" t="s">
        <v>382</v>
      </c>
      <c r="B169" t="s">
        <v>382</v>
      </c>
      <c r="C169" t="s">
        <v>382</v>
      </c>
      <c r="D169" t="s">
        <v>382</v>
      </c>
      <c r="E169" t="s">
        <v>382</v>
      </c>
      <c r="F169" t="s">
        <v>382</v>
      </c>
      <c r="G169" t="s">
        <v>382</v>
      </c>
      <c r="H169" t="s">
        <v>382</v>
      </c>
      <c r="I169" t="s">
        <v>382</v>
      </c>
      <c r="J169" t="s">
        <v>382</v>
      </c>
      <c r="K169" t="s">
        <v>382</v>
      </c>
      <c r="L169" t="s">
        <v>382</v>
      </c>
      <c r="M169" t="s">
        <v>382</v>
      </c>
      <c r="N169" t="s">
        <v>382</v>
      </c>
      <c r="O169" t="s">
        <v>382</v>
      </c>
      <c r="P169" t="s">
        <v>382</v>
      </c>
      <c r="Q169" t="s">
        <v>382</v>
      </c>
      <c r="R169" t="s">
        <v>382</v>
      </c>
      <c r="S169" t="s">
        <v>382</v>
      </c>
      <c r="T169" t="s">
        <v>382</v>
      </c>
      <c r="U169" t="s">
        <v>382</v>
      </c>
      <c r="V169" t="s">
        <v>382</v>
      </c>
      <c r="W169" t="s">
        <v>382</v>
      </c>
      <c r="X169" t="s">
        <v>382</v>
      </c>
      <c r="Y169" t="s">
        <v>382</v>
      </c>
      <c r="Z169" t="s">
        <v>382</v>
      </c>
      <c r="AA169" t="s">
        <v>382</v>
      </c>
      <c r="AB169" t="s">
        <v>382</v>
      </c>
      <c r="AC169">
        <v>5</v>
      </c>
      <c r="AD169">
        <v>3</v>
      </c>
      <c r="AE169">
        <v>1</v>
      </c>
      <c r="AF169" t="s">
        <v>487</v>
      </c>
      <c r="AH169" t="s">
        <v>153</v>
      </c>
      <c r="AI169" t="s">
        <v>97</v>
      </c>
      <c r="AK169">
        <v>2211</v>
      </c>
      <c r="AL169">
        <v>245</v>
      </c>
    </row>
    <row r="170" spans="1:38">
      <c r="A170" t="s">
        <v>382</v>
      </c>
      <c r="B170" t="s">
        <v>382</v>
      </c>
      <c r="C170" t="s">
        <v>382</v>
      </c>
      <c r="D170" t="s">
        <v>382</v>
      </c>
      <c r="E170" t="s">
        <v>382</v>
      </c>
      <c r="F170" t="s">
        <v>382</v>
      </c>
      <c r="G170" t="s">
        <v>382</v>
      </c>
      <c r="H170" t="s">
        <v>382</v>
      </c>
      <c r="I170" t="s">
        <v>382</v>
      </c>
      <c r="J170" t="s">
        <v>382</v>
      </c>
      <c r="K170" t="s">
        <v>382</v>
      </c>
      <c r="L170" t="s">
        <v>382</v>
      </c>
      <c r="M170" t="s">
        <v>382</v>
      </c>
      <c r="N170" t="s">
        <v>382</v>
      </c>
      <c r="O170" t="s">
        <v>382</v>
      </c>
      <c r="P170" t="s">
        <v>382</v>
      </c>
      <c r="Q170" t="s">
        <v>382</v>
      </c>
      <c r="R170" t="s">
        <v>382</v>
      </c>
      <c r="S170" t="s">
        <v>382</v>
      </c>
      <c r="T170" t="s">
        <v>382</v>
      </c>
      <c r="U170" t="s">
        <v>382</v>
      </c>
      <c r="V170" t="s">
        <v>382</v>
      </c>
      <c r="W170" t="s">
        <v>382</v>
      </c>
      <c r="X170" t="s">
        <v>382</v>
      </c>
      <c r="Y170" t="s">
        <v>382</v>
      </c>
      <c r="Z170" t="s">
        <v>382</v>
      </c>
      <c r="AA170" t="s">
        <v>382</v>
      </c>
      <c r="AB170" t="s">
        <v>382</v>
      </c>
      <c r="AC170">
        <v>5</v>
      </c>
      <c r="AD170">
        <v>4</v>
      </c>
      <c r="AE170">
        <v>1</v>
      </c>
      <c r="AF170" t="s">
        <v>383</v>
      </c>
      <c r="AH170" t="s">
        <v>22</v>
      </c>
      <c r="AI170" t="s">
        <v>97</v>
      </c>
      <c r="AK170">
        <v>3042</v>
      </c>
      <c r="AL170">
        <v>1861</v>
      </c>
    </row>
    <row r="171" spans="1:38">
      <c r="A171" t="s">
        <v>382</v>
      </c>
      <c r="B171" t="s">
        <v>382</v>
      </c>
      <c r="C171" t="s">
        <v>382</v>
      </c>
      <c r="D171" t="s">
        <v>382</v>
      </c>
      <c r="E171" t="s">
        <v>382</v>
      </c>
      <c r="F171" t="s">
        <v>382</v>
      </c>
      <c r="G171" t="s">
        <v>382</v>
      </c>
      <c r="H171" t="s">
        <v>382</v>
      </c>
      <c r="I171" t="s">
        <v>382</v>
      </c>
      <c r="J171" t="s">
        <v>382</v>
      </c>
      <c r="K171" t="s">
        <v>382</v>
      </c>
      <c r="L171" t="s">
        <v>382</v>
      </c>
      <c r="M171" t="s">
        <v>382</v>
      </c>
      <c r="N171" t="s">
        <v>382</v>
      </c>
      <c r="O171" t="s">
        <v>382</v>
      </c>
      <c r="P171" t="s">
        <v>382</v>
      </c>
      <c r="Q171" t="s">
        <v>382</v>
      </c>
      <c r="R171" t="s">
        <v>382</v>
      </c>
      <c r="S171" t="s">
        <v>382</v>
      </c>
      <c r="T171" t="s">
        <v>382</v>
      </c>
      <c r="U171" t="s">
        <v>382</v>
      </c>
      <c r="V171" t="s">
        <v>382</v>
      </c>
      <c r="W171" t="s">
        <v>382</v>
      </c>
      <c r="X171" t="s">
        <v>382</v>
      </c>
      <c r="Y171" t="s">
        <v>382</v>
      </c>
      <c r="Z171" t="s">
        <v>382</v>
      </c>
      <c r="AA171" t="s">
        <v>382</v>
      </c>
      <c r="AB171" t="s">
        <v>382</v>
      </c>
      <c r="AC171">
        <v>5</v>
      </c>
      <c r="AD171">
        <v>5</v>
      </c>
      <c r="AE171">
        <v>1</v>
      </c>
      <c r="AF171" t="s">
        <v>542</v>
      </c>
      <c r="AH171" t="s">
        <v>147</v>
      </c>
      <c r="AI171" t="s">
        <v>97</v>
      </c>
      <c r="AK171">
        <v>2028</v>
      </c>
      <c r="AL171">
        <v>1230</v>
      </c>
    </row>
    <row r="172" spans="1:38">
      <c r="A172" t="s">
        <v>382</v>
      </c>
      <c r="B172" t="s">
        <v>382</v>
      </c>
      <c r="C172" t="s">
        <v>382</v>
      </c>
      <c r="D172" t="s">
        <v>382</v>
      </c>
      <c r="E172" t="s">
        <v>382</v>
      </c>
      <c r="F172" t="s">
        <v>382</v>
      </c>
      <c r="G172" t="s">
        <v>382</v>
      </c>
      <c r="H172" t="s">
        <v>382</v>
      </c>
      <c r="I172" t="s">
        <v>382</v>
      </c>
      <c r="J172" t="s">
        <v>382</v>
      </c>
      <c r="K172" t="s">
        <v>382</v>
      </c>
      <c r="L172" t="s">
        <v>382</v>
      </c>
      <c r="M172" t="s">
        <v>382</v>
      </c>
      <c r="N172" t="s">
        <v>382</v>
      </c>
      <c r="O172" t="s">
        <v>382</v>
      </c>
      <c r="P172" t="s">
        <v>382</v>
      </c>
      <c r="Q172" t="s">
        <v>382</v>
      </c>
      <c r="R172" t="s">
        <v>382</v>
      </c>
      <c r="S172" t="s">
        <v>382</v>
      </c>
      <c r="T172" t="s">
        <v>382</v>
      </c>
      <c r="U172" t="s">
        <v>382</v>
      </c>
      <c r="V172" t="s">
        <v>382</v>
      </c>
      <c r="W172" t="s">
        <v>382</v>
      </c>
      <c r="X172" t="s">
        <v>382</v>
      </c>
      <c r="Y172" t="s">
        <v>382</v>
      </c>
      <c r="Z172" t="s">
        <v>382</v>
      </c>
      <c r="AA172" t="s">
        <v>382</v>
      </c>
      <c r="AB172" t="s">
        <v>382</v>
      </c>
      <c r="AC172">
        <v>5</v>
      </c>
      <c r="AD172">
        <v>1</v>
      </c>
      <c r="AE172">
        <v>1</v>
      </c>
      <c r="AF172" t="s">
        <v>383</v>
      </c>
      <c r="AH172" t="s">
        <v>22</v>
      </c>
      <c r="AI172" t="s">
        <v>97</v>
      </c>
      <c r="AK172">
        <v>2088</v>
      </c>
      <c r="AL172">
        <v>1161</v>
      </c>
    </row>
    <row r="173" spans="1:38">
      <c r="A173" t="s">
        <v>382</v>
      </c>
      <c r="B173" t="s">
        <v>382</v>
      </c>
      <c r="C173" t="s">
        <v>382</v>
      </c>
      <c r="D173" t="s">
        <v>382</v>
      </c>
      <c r="E173" t="s">
        <v>382</v>
      </c>
      <c r="F173" t="s">
        <v>382</v>
      </c>
      <c r="G173" t="s">
        <v>382</v>
      </c>
      <c r="H173" t="s">
        <v>382</v>
      </c>
      <c r="I173" t="s">
        <v>382</v>
      </c>
      <c r="J173" t="s">
        <v>382</v>
      </c>
      <c r="K173" t="s">
        <v>382</v>
      </c>
      <c r="L173" t="s">
        <v>382</v>
      </c>
      <c r="M173" t="s">
        <v>382</v>
      </c>
      <c r="N173" t="s">
        <v>382</v>
      </c>
      <c r="O173" t="s">
        <v>382</v>
      </c>
      <c r="P173" t="s">
        <v>382</v>
      </c>
      <c r="Q173" t="s">
        <v>382</v>
      </c>
      <c r="R173" t="s">
        <v>382</v>
      </c>
      <c r="S173" t="s">
        <v>382</v>
      </c>
      <c r="T173" t="s">
        <v>382</v>
      </c>
      <c r="U173" t="s">
        <v>382</v>
      </c>
      <c r="V173" t="s">
        <v>382</v>
      </c>
      <c r="W173" t="s">
        <v>382</v>
      </c>
      <c r="X173" t="s">
        <v>382</v>
      </c>
      <c r="Y173" t="s">
        <v>382</v>
      </c>
      <c r="Z173" t="s">
        <v>382</v>
      </c>
      <c r="AA173" t="s">
        <v>382</v>
      </c>
      <c r="AB173" t="s">
        <v>382</v>
      </c>
      <c r="AC173">
        <v>5</v>
      </c>
      <c r="AD173">
        <v>2</v>
      </c>
      <c r="AE173">
        <v>1</v>
      </c>
      <c r="AF173" t="s">
        <v>383</v>
      </c>
      <c r="AH173" t="s">
        <v>22</v>
      </c>
      <c r="AI173" t="s">
        <v>97</v>
      </c>
      <c r="AK173">
        <v>1707</v>
      </c>
      <c r="AL173">
        <v>477</v>
      </c>
    </row>
    <row r="174" spans="1:38">
      <c r="A174" t="s">
        <v>382</v>
      </c>
      <c r="B174" t="s">
        <v>382</v>
      </c>
      <c r="C174" t="s">
        <v>382</v>
      </c>
      <c r="D174" t="s">
        <v>382</v>
      </c>
      <c r="E174" t="s">
        <v>382</v>
      </c>
      <c r="F174" t="s">
        <v>382</v>
      </c>
      <c r="G174" t="s">
        <v>382</v>
      </c>
      <c r="H174" t="s">
        <v>382</v>
      </c>
      <c r="I174" t="s">
        <v>382</v>
      </c>
      <c r="J174" t="s">
        <v>382</v>
      </c>
      <c r="K174" t="s">
        <v>382</v>
      </c>
      <c r="L174" t="s">
        <v>382</v>
      </c>
      <c r="M174" t="s">
        <v>382</v>
      </c>
      <c r="N174" t="s">
        <v>382</v>
      </c>
      <c r="O174" t="s">
        <v>382</v>
      </c>
      <c r="P174" t="s">
        <v>382</v>
      </c>
      <c r="Q174" t="s">
        <v>382</v>
      </c>
      <c r="R174" t="s">
        <v>382</v>
      </c>
      <c r="S174" t="s">
        <v>382</v>
      </c>
      <c r="T174" t="s">
        <v>382</v>
      </c>
      <c r="U174" t="s">
        <v>382</v>
      </c>
      <c r="V174" t="s">
        <v>382</v>
      </c>
      <c r="W174" t="s">
        <v>382</v>
      </c>
      <c r="X174" t="s">
        <v>382</v>
      </c>
      <c r="Y174" t="s">
        <v>382</v>
      </c>
      <c r="Z174" t="s">
        <v>382</v>
      </c>
      <c r="AA174" t="s">
        <v>382</v>
      </c>
      <c r="AB174" t="s">
        <v>382</v>
      </c>
      <c r="AC174">
        <v>5</v>
      </c>
      <c r="AD174">
        <v>3</v>
      </c>
      <c r="AE174">
        <v>1</v>
      </c>
      <c r="AF174" t="s">
        <v>383</v>
      </c>
      <c r="AH174" t="s">
        <v>22</v>
      </c>
      <c r="AI174" t="s">
        <v>97</v>
      </c>
      <c r="AK174">
        <v>1442</v>
      </c>
      <c r="AL174">
        <v>611</v>
      </c>
    </row>
    <row r="175" spans="1:38">
      <c r="A175" t="s">
        <v>382</v>
      </c>
      <c r="B175" t="s">
        <v>382</v>
      </c>
      <c r="C175" t="s">
        <v>382</v>
      </c>
      <c r="D175" t="s">
        <v>382</v>
      </c>
      <c r="E175" t="s">
        <v>382</v>
      </c>
      <c r="F175" t="s">
        <v>382</v>
      </c>
      <c r="G175" t="s">
        <v>382</v>
      </c>
      <c r="H175" t="s">
        <v>382</v>
      </c>
      <c r="I175" t="s">
        <v>382</v>
      </c>
      <c r="J175" t="s">
        <v>382</v>
      </c>
      <c r="K175" t="s">
        <v>382</v>
      </c>
      <c r="L175" t="s">
        <v>382</v>
      </c>
      <c r="M175" t="s">
        <v>382</v>
      </c>
      <c r="N175" t="s">
        <v>382</v>
      </c>
      <c r="O175" t="s">
        <v>382</v>
      </c>
      <c r="P175" t="s">
        <v>382</v>
      </c>
      <c r="Q175" t="s">
        <v>382</v>
      </c>
      <c r="R175" t="s">
        <v>382</v>
      </c>
      <c r="S175" t="s">
        <v>382</v>
      </c>
      <c r="T175" t="s">
        <v>382</v>
      </c>
      <c r="U175" t="s">
        <v>382</v>
      </c>
      <c r="V175" t="s">
        <v>382</v>
      </c>
      <c r="W175" t="s">
        <v>382</v>
      </c>
      <c r="X175" t="s">
        <v>382</v>
      </c>
      <c r="Y175" t="s">
        <v>382</v>
      </c>
      <c r="Z175" t="s">
        <v>382</v>
      </c>
      <c r="AA175" t="s">
        <v>382</v>
      </c>
      <c r="AB175" t="s">
        <v>382</v>
      </c>
      <c r="AC175">
        <v>5</v>
      </c>
      <c r="AD175">
        <v>4</v>
      </c>
      <c r="AF175" t="s">
        <v>384</v>
      </c>
      <c r="AH175" t="s">
        <v>25</v>
      </c>
      <c r="AI175" t="s">
        <v>106</v>
      </c>
      <c r="AK175">
        <v>1102</v>
      </c>
      <c r="AL175">
        <v>1774</v>
      </c>
    </row>
    <row r="176" spans="1:38">
      <c r="A176" t="s">
        <v>382</v>
      </c>
      <c r="B176" t="s">
        <v>382</v>
      </c>
      <c r="C176" t="s">
        <v>382</v>
      </c>
      <c r="D176" t="s">
        <v>382</v>
      </c>
      <c r="E176" t="s">
        <v>382</v>
      </c>
      <c r="F176" t="s">
        <v>382</v>
      </c>
      <c r="G176" t="s">
        <v>382</v>
      </c>
      <c r="H176" t="s">
        <v>382</v>
      </c>
      <c r="I176" t="s">
        <v>382</v>
      </c>
      <c r="J176" t="s">
        <v>382</v>
      </c>
      <c r="K176" t="s">
        <v>382</v>
      </c>
      <c r="L176" t="s">
        <v>382</v>
      </c>
      <c r="M176" t="s">
        <v>382</v>
      </c>
      <c r="N176" t="s">
        <v>382</v>
      </c>
      <c r="O176" t="s">
        <v>382</v>
      </c>
      <c r="P176" t="s">
        <v>382</v>
      </c>
      <c r="Q176" t="s">
        <v>382</v>
      </c>
      <c r="R176" t="s">
        <v>382</v>
      </c>
      <c r="S176" t="s">
        <v>382</v>
      </c>
      <c r="T176" t="s">
        <v>382</v>
      </c>
      <c r="U176" t="s">
        <v>382</v>
      </c>
      <c r="V176" t="s">
        <v>382</v>
      </c>
      <c r="W176" t="s">
        <v>382</v>
      </c>
      <c r="X176" t="s">
        <v>382</v>
      </c>
      <c r="Y176" t="s">
        <v>382</v>
      </c>
      <c r="Z176" t="s">
        <v>382</v>
      </c>
      <c r="AA176" t="s">
        <v>382</v>
      </c>
      <c r="AB176" t="s">
        <v>382</v>
      </c>
      <c r="AC176">
        <v>5</v>
      </c>
      <c r="AD176">
        <v>5</v>
      </c>
      <c r="AE176">
        <v>1</v>
      </c>
      <c r="AF176" t="s">
        <v>383</v>
      </c>
      <c r="AH176" t="s">
        <v>22</v>
      </c>
      <c r="AI176" t="s">
        <v>97</v>
      </c>
      <c r="AK176">
        <v>776</v>
      </c>
      <c r="AL176">
        <v>979</v>
      </c>
    </row>
    <row r="177" spans="1:38">
      <c r="A177" t="s">
        <v>382</v>
      </c>
      <c r="B177" t="s">
        <v>382</v>
      </c>
      <c r="C177" t="s">
        <v>382</v>
      </c>
      <c r="D177" t="s">
        <v>382</v>
      </c>
      <c r="E177" t="s">
        <v>382</v>
      </c>
      <c r="F177" t="s">
        <v>382</v>
      </c>
      <c r="G177" t="s">
        <v>382</v>
      </c>
      <c r="H177" t="s">
        <v>382</v>
      </c>
      <c r="I177" t="s">
        <v>382</v>
      </c>
      <c r="J177" t="s">
        <v>382</v>
      </c>
      <c r="K177" t="s">
        <v>382</v>
      </c>
      <c r="L177" t="s">
        <v>382</v>
      </c>
      <c r="M177" t="s">
        <v>382</v>
      </c>
      <c r="N177" t="s">
        <v>382</v>
      </c>
      <c r="O177" t="s">
        <v>382</v>
      </c>
      <c r="P177" t="s">
        <v>382</v>
      </c>
      <c r="Q177" t="s">
        <v>382</v>
      </c>
      <c r="R177" t="s">
        <v>382</v>
      </c>
      <c r="S177" t="s">
        <v>382</v>
      </c>
      <c r="T177" t="s">
        <v>382</v>
      </c>
      <c r="U177" t="s">
        <v>382</v>
      </c>
      <c r="V177" t="s">
        <v>382</v>
      </c>
      <c r="W177" t="s">
        <v>382</v>
      </c>
      <c r="X177" t="s">
        <v>382</v>
      </c>
      <c r="Y177" t="s">
        <v>382</v>
      </c>
      <c r="Z177" t="s">
        <v>382</v>
      </c>
      <c r="AA177" t="s">
        <v>382</v>
      </c>
      <c r="AB177" t="s">
        <v>382</v>
      </c>
      <c r="AC177">
        <v>5</v>
      </c>
      <c r="AD177">
        <v>1</v>
      </c>
      <c r="AE177">
        <v>1</v>
      </c>
      <c r="AF177" t="s">
        <v>383</v>
      </c>
      <c r="AH177" t="s">
        <v>22</v>
      </c>
      <c r="AI177" t="s">
        <v>97</v>
      </c>
      <c r="AK177">
        <v>1901</v>
      </c>
      <c r="AL177">
        <v>482</v>
      </c>
    </row>
    <row r="178" spans="1:38">
      <c r="A178" t="s">
        <v>382</v>
      </c>
      <c r="B178" t="s">
        <v>382</v>
      </c>
      <c r="C178" t="s">
        <v>382</v>
      </c>
      <c r="D178" t="s">
        <v>382</v>
      </c>
      <c r="E178" t="s">
        <v>382</v>
      </c>
      <c r="F178" t="s">
        <v>382</v>
      </c>
      <c r="G178" t="s">
        <v>382</v>
      </c>
      <c r="H178" t="s">
        <v>382</v>
      </c>
      <c r="I178" t="s">
        <v>382</v>
      </c>
      <c r="J178" t="s">
        <v>382</v>
      </c>
      <c r="K178" t="s">
        <v>382</v>
      </c>
      <c r="L178" t="s">
        <v>382</v>
      </c>
      <c r="M178" t="s">
        <v>382</v>
      </c>
      <c r="N178" t="s">
        <v>382</v>
      </c>
      <c r="O178" t="s">
        <v>382</v>
      </c>
      <c r="P178" t="s">
        <v>382</v>
      </c>
      <c r="Q178" t="s">
        <v>382</v>
      </c>
      <c r="R178" t="s">
        <v>382</v>
      </c>
      <c r="S178" t="s">
        <v>382</v>
      </c>
      <c r="T178" t="s">
        <v>382</v>
      </c>
      <c r="U178" t="s">
        <v>382</v>
      </c>
      <c r="V178" t="s">
        <v>382</v>
      </c>
      <c r="W178" t="s">
        <v>382</v>
      </c>
      <c r="X178" t="s">
        <v>382</v>
      </c>
      <c r="Y178" t="s">
        <v>382</v>
      </c>
      <c r="Z178" t="s">
        <v>382</v>
      </c>
      <c r="AA178" t="s">
        <v>382</v>
      </c>
      <c r="AB178" t="s">
        <v>382</v>
      </c>
      <c r="AC178">
        <v>5</v>
      </c>
      <c r="AD178">
        <v>2</v>
      </c>
      <c r="AE178">
        <v>1</v>
      </c>
      <c r="AF178" t="s">
        <v>383</v>
      </c>
      <c r="AH178" t="s">
        <v>22</v>
      </c>
      <c r="AI178" t="s">
        <v>97</v>
      </c>
      <c r="AK178">
        <v>1613</v>
      </c>
      <c r="AL178">
        <v>1263</v>
      </c>
    </row>
    <row r="179" spans="1:38">
      <c r="A179" t="s">
        <v>382</v>
      </c>
      <c r="B179" t="s">
        <v>382</v>
      </c>
      <c r="C179" t="s">
        <v>382</v>
      </c>
      <c r="D179" t="s">
        <v>382</v>
      </c>
      <c r="E179" t="s">
        <v>382</v>
      </c>
      <c r="F179" t="s">
        <v>382</v>
      </c>
      <c r="G179" t="s">
        <v>382</v>
      </c>
      <c r="H179" t="s">
        <v>382</v>
      </c>
      <c r="I179" t="s">
        <v>382</v>
      </c>
      <c r="J179" t="s">
        <v>382</v>
      </c>
      <c r="K179" t="s">
        <v>382</v>
      </c>
      <c r="L179" t="s">
        <v>382</v>
      </c>
      <c r="M179" t="s">
        <v>382</v>
      </c>
      <c r="N179" t="s">
        <v>382</v>
      </c>
      <c r="O179" t="s">
        <v>382</v>
      </c>
      <c r="P179" t="s">
        <v>382</v>
      </c>
      <c r="Q179" t="s">
        <v>382</v>
      </c>
      <c r="R179" t="s">
        <v>382</v>
      </c>
      <c r="S179" t="s">
        <v>382</v>
      </c>
      <c r="T179" t="s">
        <v>382</v>
      </c>
      <c r="U179" t="s">
        <v>382</v>
      </c>
      <c r="V179" t="s">
        <v>382</v>
      </c>
      <c r="W179" t="s">
        <v>382</v>
      </c>
      <c r="X179" t="s">
        <v>382</v>
      </c>
      <c r="Y179" t="s">
        <v>382</v>
      </c>
      <c r="Z179" t="s">
        <v>382</v>
      </c>
      <c r="AA179" t="s">
        <v>382</v>
      </c>
      <c r="AB179" t="s">
        <v>382</v>
      </c>
      <c r="AC179">
        <v>5</v>
      </c>
      <c r="AD179">
        <v>3</v>
      </c>
      <c r="AE179">
        <v>1</v>
      </c>
      <c r="AF179" t="s">
        <v>395</v>
      </c>
      <c r="AH179" t="s">
        <v>59</v>
      </c>
      <c r="AI179" t="s">
        <v>97</v>
      </c>
      <c r="AK179">
        <v>702</v>
      </c>
      <c r="AL179">
        <v>977</v>
      </c>
    </row>
    <row r="180" spans="1:38">
      <c r="A180" t="s">
        <v>382</v>
      </c>
      <c r="B180" t="s">
        <v>382</v>
      </c>
      <c r="C180" t="s">
        <v>382</v>
      </c>
      <c r="D180" t="s">
        <v>382</v>
      </c>
      <c r="E180" t="s">
        <v>382</v>
      </c>
      <c r="F180" t="s">
        <v>382</v>
      </c>
      <c r="G180" t="s">
        <v>382</v>
      </c>
      <c r="H180" t="s">
        <v>382</v>
      </c>
      <c r="I180" t="s">
        <v>382</v>
      </c>
      <c r="J180" t="s">
        <v>382</v>
      </c>
      <c r="K180" t="s">
        <v>382</v>
      </c>
      <c r="L180" t="s">
        <v>382</v>
      </c>
      <c r="M180" t="s">
        <v>382</v>
      </c>
      <c r="N180" t="s">
        <v>382</v>
      </c>
      <c r="O180" t="s">
        <v>382</v>
      </c>
      <c r="P180" t="s">
        <v>382</v>
      </c>
      <c r="Q180" t="s">
        <v>382</v>
      </c>
      <c r="R180" t="s">
        <v>382</v>
      </c>
      <c r="S180" t="s">
        <v>382</v>
      </c>
      <c r="T180" t="s">
        <v>382</v>
      </c>
      <c r="U180" t="s">
        <v>382</v>
      </c>
      <c r="V180" t="s">
        <v>382</v>
      </c>
      <c r="W180" t="s">
        <v>382</v>
      </c>
      <c r="X180" t="s">
        <v>382</v>
      </c>
      <c r="Y180" t="s">
        <v>382</v>
      </c>
      <c r="Z180" t="s">
        <v>382</v>
      </c>
      <c r="AA180" t="s">
        <v>382</v>
      </c>
      <c r="AB180" t="s">
        <v>382</v>
      </c>
      <c r="AC180">
        <v>5</v>
      </c>
      <c r="AD180">
        <v>4</v>
      </c>
      <c r="AE180">
        <v>1</v>
      </c>
      <c r="AF180" t="s">
        <v>389</v>
      </c>
      <c r="AH180" t="s">
        <v>35</v>
      </c>
      <c r="AI180" t="s">
        <v>97</v>
      </c>
      <c r="AK180">
        <v>2653</v>
      </c>
      <c r="AL180">
        <v>1385</v>
      </c>
    </row>
    <row r="181" spans="1:38">
      <c r="A181" t="s">
        <v>382</v>
      </c>
      <c r="B181" t="s">
        <v>382</v>
      </c>
      <c r="C181" t="s">
        <v>382</v>
      </c>
      <c r="D181" t="s">
        <v>382</v>
      </c>
      <c r="E181" t="s">
        <v>382</v>
      </c>
      <c r="F181" t="s">
        <v>382</v>
      </c>
      <c r="G181" t="s">
        <v>382</v>
      </c>
      <c r="H181" t="s">
        <v>382</v>
      </c>
      <c r="I181" t="s">
        <v>382</v>
      </c>
      <c r="J181" t="s">
        <v>382</v>
      </c>
      <c r="K181" t="s">
        <v>382</v>
      </c>
      <c r="L181" t="s">
        <v>382</v>
      </c>
      <c r="M181" t="s">
        <v>382</v>
      </c>
      <c r="N181" t="s">
        <v>382</v>
      </c>
      <c r="O181" t="s">
        <v>382</v>
      </c>
      <c r="P181" t="s">
        <v>382</v>
      </c>
      <c r="Q181" t="s">
        <v>382</v>
      </c>
      <c r="R181" t="s">
        <v>382</v>
      </c>
      <c r="S181" t="s">
        <v>382</v>
      </c>
      <c r="T181" t="s">
        <v>382</v>
      </c>
      <c r="U181" t="s">
        <v>382</v>
      </c>
      <c r="V181" t="s">
        <v>382</v>
      </c>
      <c r="W181" t="s">
        <v>382</v>
      </c>
      <c r="X181" t="s">
        <v>382</v>
      </c>
      <c r="Y181" t="s">
        <v>382</v>
      </c>
      <c r="Z181" t="s">
        <v>382</v>
      </c>
      <c r="AA181" t="s">
        <v>382</v>
      </c>
      <c r="AB181" t="s">
        <v>382</v>
      </c>
      <c r="AC181">
        <v>5</v>
      </c>
      <c r="AD181">
        <v>5</v>
      </c>
      <c r="AE181">
        <v>1</v>
      </c>
      <c r="AF181" t="s">
        <v>383</v>
      </c>
      <c r="AH181" t="s">
        <v>22</v>
      </c>
      <c r="AI181" t="s">
        <v>97</v>
      </c>
      <c r="AK181">
        <v>1670</v>
      </c>
      <c r="AL181">
        <v>1259</v>
      </c>
    </row>
    <row r="182" spans="1:38">
      <c r="A182" t="s">
        <v>382</v>
      </c>
      <c r="B182" t="s">
        <v>382</v>
      </c>
      <c r="C182" t="s">
        <v>382</v>
      </c>
      <c r="D182" t="s">
        <v>382</v>
      </c>
      <c r="E182" t="s">
        <v>382</v>
      </c>
      <c r="F182" t="s">
        <v>382</v>
      </c>
      <c r="G182" t="s">
        <v>382</v>
      </c>
      <c r="H182" t="s">
        <v>382</v>
      </c>
      <c r="I182" t="s">
        <v>382</v>
      </c>
      <c r="J182" t="s">
        <v>382</v>
      </c>
      <c r="K182" t="s">
        <v>382</v>
      </c>
      <c r="L182" t="s">
        <v>382</v>
      </c>
      <c r="M182" t="s">
        <v>382</v>
      </c>
      <c r="N182" t="s">
        <v>382</v>
      </c>
      <c r="O182" t="s">
        <v>382</v>
      </c>
      <c r="P182" t="s">
        <v>382</v>
      </c>
      <c r="Q182" t="s">
        <v>382</v>
      </c>
      <c r="R182" t="s">
        <v>382</v>
      </c>
      <c r="S182" t="s">
        <v>382</v>
      </c>
      <c r="T182" t="s">
        <v>382</v>
      </c>
      <c r="U182" t="s">
        <v>382</v>
      </c>
      <c r="V182" t="s">
        <v>382</v>
      </c>
      <c r="W182" t="s">
        <v>382</v>
      </c>
      <c r="X182" t="s">
        <v>382</v>
      </c>
      <c r="Y182" t="s">
        <v>382</v>
      </c>
      <c r="Z182" t="s">
        <v>382</v>
      </c>
      <c r="AA182" t="s">
        <v>382</v>
      </c>
      <c r="AB182" t="s">
        <v>382</v>
      </c>
      <c r="AC182">
        <v>5</v>
      </c>
      <c r="AD182">
        <v>1</v>
      </c>
      <c r="AE182">
        <v>1</v>
      </c>
      <c r="AF182" t="s">
        <v>398</v>
      </c>
      <c r="AH182" t="s">
        <v>69</v>
      </c>
      <c r="AI182" t="s">
        <v>97</v>
      </c>
      <c r="AK182">
        <v>530</v>
      </c>
      <c r="AL182">
        <v>1340</v>
      </c>
    </row>
    <row r="183" spans="1:38">
      <c r="A183" t="s">
        <v>382</v>
      </c>
      <c r="B183" t="s">
        <v>382</v>
      </c>
      <c r="C183" t="s">
        <v>382</v>
      </c>
      <c r="D183" t="s">
        <v>382</v>
      </c>
      <c r="E183" t="s">
        <v>382</v>
      </c>
      <c r="F183" t="s">
        <v>382</v>
      </c>
      <c r="G183" t="s">
        <v>382</v>
      </c>
      <c r="H183" t="s">
        <v>382</v>
      </c>
      <c r="I183" t="s">
        <v>382</v>
      </c>
      <c r="J183" t="s">
        <v>382</v>
      </c>
      <c r="K183" t="s">
        <v>382</v>
      </c>
      <c r="L183" t="s">
        <v>382</v>
      </c>
      <c r="M183" t="s">
        <v>382</v>
      </c>
      <c r="N183" t="s">
        <v>382</v>
      </c>
      <c r="O183" t="s">
        <v>382</v>
      </c>
      <c r="P183" t="s">
        <v>382</v>
      </c>
      <c r="Q183" t="s">
        <v>382</v>
      </c>
      <c r="R183" t="s">
        <v>382</v>
      </c>
      <c r="S183" t="s">
        <v>382</v>
      </c>
      <c r="T183" t="s">
        <v>382</v>
      </c>
      <c r="U183" t="s">
        <v>382</v>
      </c>
      <c r="V183" t="s">
        <v>382</v>
      </c>
      <c r="W183" t="s">
        <v>382</v>
      </c>
      <c r="X183" t="s">
        <v>382</v>
      </c>
      <c r="Y183" t="s">
        <v>382</v>
      </c>
      <c r="Z183" t="s">
        <v>382</v>
      </c>
      <c r="AA183" t="s">
        <v>382</v>
      </c>
      <c r="AB183" t="s">
        <v>382</v>
      </c>
      <c r="AC183">
        <v>5</v>
      </c>
      <c r="AD183">
        <v>2</v>
      </c>
      <c r="AF183" t="s">
        <v>392</v>
      </c>
      <c r="AH183" t="s">
        <v>41</v>
      </c>
      <c r="AI183" t="s">
        <v>102</v>
      </c>
      <c r="AK183">
        <v>1622</v>
      </c>
      <c r="AL183">
        <v>1473</v>
      </c>
    </row>
    <row r="184" spans="1:38">
      <c r="A184" t="s">
        <v>382</v>
      </c>
      <c r="B184" t="s">
        <v>382</v>
      </c>
      <c r="C184" t="s">
        <v>382</v>
      </c>
      <c r="D184" t="s">
        <v>382</v>
      </c>
      <c r="E184" t="s">
        <v>382</v>
      </c>
      <c r="F184" t="s">
        <v>382</v>
      </c>
      <c r="G184" t="s">
        <v>382</v>
      </c>
      <c r="H184" t="s">
        <v>382</v>
      </c>
      <c r="I184" t="s">
        <v>382</v>
      </c>
      <c r="J184" t="s">
        <v>382</v>
      </c>
      <c r="K184" t="s">
        <v>382</v>
      </c>
      <c r="L184" t="s">
        <v>382</v>
      </c>
      <c r="M184" t="s">
        <v>382</v>
      </c>
      <c r="N184" t="s">
        <v>382</v>
      </c>
      <c r="O184" t="s">
        <v>382</v>
      </c>
      <c r="P184" t="s">
        <v>382</v>
      </c>
      <c r="Q184" t="s">
        <v>382</v>
      </c>
      <c r="R184" t="s">
        <v>382</v>
      </c>
      <c r="S184" t="s">
        <v>382</v>
      </c>
      <c r="T184" t="s">
        <v>382</v>
      </c>
      <c r="U184" t="s">
        <v>382</v>
      </c>
      <c r="V184" t="s">
        <v>382</v>
      </c>
      <c r="W184" t="s">
        <v>382</v>
      </c>
      <c r="X184" t="s">
        <v>382</v>
      </c>
      <c r="Y184" t="s">
        <v>382</v>
      </c>
      <c r="Z184" t="s">
        <v>382</v>
      </c>
      <c r="AA184" t="s">
        <v>382</v>
      </c>
      <c r="AB184" t="s">
        <v>382</v>
      </c>
      <c r="AC184">
        <v>5</v>
      </c>
      <c r="AD184">
        <v>3</v>
      </c>
      <c r="AF184" t="s">
        <v>386</v>
      </c>
      <c r="AH184" t="s">
        <v>29</v>
      </c>
      <c r="AI184" t="s">
        <v>103</v>
      </c>
      <c r="AK184">
        <v>3074</v>
      </c>
      <c r="AL184">
        <v>2318</v>
      </c>
    </row>
    <row r="185" spans="1:38">
      <c r="A185" t="s">
        <v>382</v>
      </c>
      <c r="B185" t="s">
        <v>382</v>
      </c>
      <c r="C185" t="s">
        <v>382</v>
      </c>
      <c r="D185" t="s">
        <v>382</v>
      </c>
      <c r="E185" t="s">
        <v>382</v>
      </c>
      <c r="F185" t="s">
        <v>382</v>
      </c>
      <c r="G185" t="s">
        <v>382</v>
      </c>
      <c r="H185" t="s">
        <v>382</v>
      </c>
      <c r="I185" t="s">
        <v>382</v>
      </c>
      <c r="J185" t="s">
        <v>382</v>
      </c>
      <c r="K185" t="s">
        <v>382</v>
      </c>
      <c r="L185" t="s">
        <v>382</v>
      </c>
      <c r="M185" t="s">
        <v>382</v>
      </c>
      <c r="N185" t="s">
        <v>382</v>
      </c>
      <c r="O185" t="s">
        <v>382</v>
      </c>
      <c r="P185" t="s">
        <v>382</v>
      </c>
      <c r="Q185" t="s">
        <v>382</v>
      </c>
      <c r="R185" t="s">
        <v>382</v>
      </c>
      <c r="S185" t="s">
        <v>382</v>
      </c>
      <c r="T185" t="s">
        <v>382</v>
      </c>
      <c r="U185" t="s">
        <v>382</v>
      </c>
      <c r="V185" t="s">
        <v>382</v>
      </c>
      <c r="W185" t="s">
        <v>382</v>
      </c>
      <c r="X185" t="s">
        <v>382</v>
      </c>
      <c r="Y185" t="s">
        <v>382</v>
      </c>
      <c r="Z185" t="s">
        <v>382</v>
      </c>
      <c r="AA185" t="s">
        <v>382</v>
      </c>
      <c r="AB185" t="s">
        <v>382</v>
      </c>
      <c r="AC185">
        <v>5</v>
      </c>
      <c r="AD185">
        <v>4</v>
      </c>
      <c r="AE185">
        <v>1</v>
      </c>
      <c r="AF185" t="s">
        <v>393</v>
      </c>
      <c r="AH185" t="s">
        <v>51</v>
      </c>
      <c r="AI185" t="s">
        <v>97</v>
      </c>
      <c r="AK185">
        <v>2818</v>
      </c>
      <c r="AL185">
        <v>339</v>
      </c>
    </row>
    <row r="186" spans="1:38">
      <c r="A186" t="s">
        <v>382</v>
      </c>
      <c r="B186" t="s">
        <v>382</v>
      </c>
      <c r="C186" t="s">
        <v>382</v>
      </c>
      <c r="D186" t="s">
        <v>382</v>
      </c>
      <c r="E186" t="s">
        <v>382</v>
      </c>
      <c r="F186" t="s">
        <v>382</v>
      </c>
      <c r="G186" t="s">
        <v>382</v>
      </c>
      <c r="H186" t="s">
        <v>382</v>
      </c>
      <c r="I186" t="s">
        <v>382</v>
      </c>
      <c r="J186" t="s">
        <v>382</v>
      </c>
      <c r="K186" t="s">
        <v>382</v>
      </c>
      <c r="L186" t="s">
        <v>382</v>
      </c>
      <c r="M186" t="s">
        <v>382</v>
      </c>
      <c r="N186" t="s">
        <v>382</v>
      </c>
      <c r="O186" t="s">
        <v>382</v>
      </c>
      <c r="P186" t="s">
        <v>382</v>
      </c>
      <c r="Q186" t="s">
        <v>382</v>
      </c>
      <c r="R186" t="s">
        <v>382</v>
      </c>
      <c r="S186" t="s">
        <v>382</v>
      </c>
      <c r="T186" t="s">
        <v>382</v>
      </c>
      <c r="U186" t="s">
        <v>382</v>
      </c>
      <c r="V186" t="s">
        <v>382</v>
      </c>
      <c r="W186" t="s">
        <v>382</v>
      </c>
      <c r="X186" t="s">
        <v>382</v>
      </c>
      <c r="Y186" t="s">
        <v>382</v>
      </c>
      <c r="Z186" t="s">
        <v>382</v>
      </c>
      <c r="AA186" t="s">
        <v>382</v>
      </c>
      <c r="AB186" t="s">
        <v>382</v>
      </c>
      <c r="AC186">
        <v>5</v>
      </c>
      <c r="AD186">
        <v>5</v>
      </c>
      <c r="AF186" t="s">
        <v>386</v>
      </c>
      <c r="AH186" t="s">
        <v>29</v>
      </c>
      <c r="AI186" t="s">
        <v>103</v>
      </c>
      <c r="AK186">
        <v>1657</v>
      </c>
      <c r="AL186">
        <v>1457</v>
      </c>
    </row>
    <row r="187" spans="1:38">
      <c r="A187" t="s">
        <v>382</v>
      </c>
      <c r="B187" t="s">
        <v>382</v>
      </c>
      <c r="C187" t="s">
        <v>382</v>
      </c>
      <c r="D187" t="s">
        <v>382</v>
      </c>
      <c r="E187" t="s">
        <v>382</v>
      </c>
      <c r="F187" t="s">
        <v>382</v>
      </c>
      <c r="G187" t="s">
        <v>382</v>
      </c>
      <c r="H187" t="s">
        <v>382</v>
      </c>
      <c r="I187" t="s">
        <v>382</v>
      </c>
      <c r="J187" t="s">
        <v>382</v>
      </c>
      <c r="K187" t="s">
        <v>382</v>
      </c>
      <c r="L187" t="s">
        <v>382</v>
      </c>
      <c r="M187" t="s">
        <v>382</v>
      </c>
      <c r="N187" t="s">
        <v>382</v>
      </c>
      <c r="O187" t="s">
        <v>382</v>
      </c>
      <c r="P187" t="s">
        <v>382</v>
      </c>
      <c r="Q187" t="s">
        <v>382</v>
      </c>
      <c r="R187" t="s">
        <v>382</v>
      </c>
      <c r="S187" t="s">
        <v>382</v>
      </c>
      <c r="T187" t="s">
        <v>382</v>
      </c>
      <c r="U187" t="s">
        <v>382</v>
      </c>
      <c r="V187" t="s">
        <v>382</v>
      </c>
      <c r="W187" t="s">
        <v>382</v>
      </c>
      <c r="X187" t="s">
        <v>382</v>
      </c>
      <c r="Y187" t="s">
        <v>382</v>
      </c>
      <c r="Z187" t="s">
        <v>382</v>
      </c>
      <c r="AA187" t="s">
        <v>382</v>
      </c>
      <c r="AB187" t="s">
        <v>382</v>
      </c>
      <c r="AC187">
        <v>5</v>
      </c>
      <c r="AD187">
        <v>1</v>
      </c>
      <c r="AE187">
        <v>1</v>
      </c>
      <c r="AF187" t="s">
        <v>393</v>
      </c>
      <c r="AH187" t="s">
        <v>51</v>
      </c>
      <c r="AI187" t="s">
        <v>97</v>
      </c>
      <c r="AK187">
        <v>2161</v>
      </c>
      <c r="AL187">
        <v>40</v>
      </c>
    </row>
    <row r="188" spans="1:38">
      <c r="A188" t="s">
        <v>382</v>
      </c>
      <c r="B188" t="s">
        <v>382</v>
      </c>
      <c r="C188" t="s">
        <v>382</v>
      </c>
      <c r="D188" t="s">
        <v>382</v>
      </c>
      <c r="E188" t="s">
        <v>382</v>
      </c>
      <c r="F188" t="s">
        <v>382</v>
      </c>
      <c r="G188" t="s">
        <v>382</v>
      </c>
      <c r="H188" t="s">
        <v>382</v>
      </c>
      <c r="I188" t="s">
        <v>382</v>
      </c>
      <c r="J188" t="s">
        <v>382</v>
      </c>
      <c r="K188" t="s">
        <v>382</v>
      </c>
      <c r="L188" t="s">
        <v>382</v>
      </c>
      <c r="M188" t="s">
        <v>382</v>
      </c>
      <c r="N188" t="s">
        <v>382</v>
      </c>
      <c r="O188" t="s">
        <v>382</v>
      </c>
      <c r="P188" t="s">
        <v>382</v>
      </c>
      <c r="Q188" t="s">
        <v>382</v>
      </c>
      <c r="R188" t="s">
        <v>382</v>
      </c>
      <c r="S188" t="s">
        <v>382</v>
      </c>
      <c r="T188" t="s">
        <v>382</v>
      </c>
      <c r="U188" t="s">
        <v>382</v>
      </c>
      <c r="V188" t="s">
        <v>382</v>
      </c>
      <c r="W188" t="s">
        <v>382</v>
      </c>
      <c r="X188" t="s">
        <v>382</v>
      </c>
      <c r="Y188" t="s">
        <v>382</v>
      </c>
      <c r="Z188" t="s">
        <v>382</v>
      </c>
      <c r="AA188" t="s">
        <v>382</v>
      </c>
      <c r="AB188" t="s">
        <v>382</v>
      </c>
      <c r="AC188">
        <v>5</v>
      </c>
      <c r="AD188">
        <v>2</v>
      </c>
      <c r="AE188">
        <v>1</v>
      </c>
      <c r="AF188" t="s">
        <v>393</v>
      </c>
      <c r="AH188" t="s">
        <v>51</v>
      </c>
      <c r="AI188" t="s">
        <v>97</v>
      </c>
      <c r="AK188">
        <v>2577</v>
      </c>
      <c r="AL188">
        <v>342</v>
      </c>
    </row>
    <row r="189" spans="1:38">
      <c r="A189" t="s">
        <v>382</v>
      </c>
      <c r="B189" t="s">
        <v>382</v>
      </c>
      <c r="C189" t="s">
        <v>382</v>
      </c>
      <c r="D189" t="s">
        <v>382</v>
      </c>
      <c r="E189" t="s">
        <v>382</v>
      </c>
      <c r="F189" t="s">
        <v>382</v>
      </c>
      <c r="G189" t="s">
        <v>382</v>
      </c>
      <c r="H189" t="s">
        <v>382</v>
      </c>
      <c r="I189" t="s">
        <v>382</v>
      </c>
      <c r="J189" t="s">
        <v>382</v>
      </c>
      <c r="K189" t="s">
        <v>382</v>
      </c>
      <c r="L189" t="s">
        <v>382</v>
      </c>
      <c r="M189" t="s">
        <v>382</v>
      </c>
      <c r="N189" t="s">
        <v>382</v>
      </c>
      <c r="O189" t="s">
        <v>382</v>
      </c>
      <c r="P189" t="s">
        <v>382</v>
      </c>
      <c r="Q189" t="s">
        <v>382</v>
      </c>
      <c r="R189" t="s">
        <v>382</v>
      </c>
      <c r="S189" t="s">
        <v>382</v>
      </c>
      <c r="T189" t="s">
        <v>382</v>
      </c>
      <c r="U189" t="s">
        <v>382</v>
      </c>
      <c r="V189" t="s">
        <v>382</v>
      </c>
      <c r="W189" t="s">
        <v>382</v>
      </c>
      <c r="X189" t="s">
        <v>382</v>
      </c>
      <c r="Y189" t="s">
        <v>382</v>
      </c>
      <c r="Z189" t="s">
        <v>382</v>
      </c>
      <c r="AA189" t="s">
        <v>382</v>
      </c>
      <c r="AB189" t="s">
        <v>382</v>
      </c>
      <c r="AC189">
        <v>5</v>
      </c>
      <c r="AD189">
        <v>3</v>
      </c>
      <c r="AE189">
        <v>1</v>
      </c>
      <c r="AF189" t="s">
        <v>387</v>
      </c>
      <c r="AH189" t="s">
        <v>31</v>
      </c>
      <c r="AI189" t="s">
        <v>97</v>
      </c>
      <c r="AK189">
        <v>3012</v>
      </c>
      <c r="AL189">
        <v>1593</v>
      </c>
    </row>
    <row r="190" spans="1:38">
      <c r="A190" t="s">
        <v>382</v>
      </c>
      <c r="B190" t="s">
        <v>382</v>
      </c>
      <c r="C190" t="s">
        <v>382</v>
      </c>
      <c r="D190" t="s">
        <v>382</v>
      </c>
      <c r="E190" t="s">
        <v>382</v>
      </c>
      <c r="F190" t="s">
        <v>382</v>
      </c>
      <c r="G190" t="s">
        <v>382</v>
      </c>
      <c r="H190" t="s">
        <v>382</v>
      </c>
      <c r="I190" t="s">
        <v>382</v>
      </c>
      <c r="J190" t="s">
        <v>382</v>
      </c>
      <c r="K190" t="s">
        <v>382</v>
      </c>
      <c r="L190" t="s">
        <v>382</v>
      </c>
      <c r="M190" t="s">
        <v>382</v>
      </c>
      <c r="N190" t="s">
        <v>382</v>
      </c>
      <c r="O190" t="s">
        <v>382</v>
      </c>
      <c r="P190" t="s">
        <v>382</v>
      </c>
      <c r="Q190" t="s">
        <v>382</v>
      </c>
      <c r="R190" t="s">
        <v>382</v>
      </c>
      <c r="S190" t="s">
        <v>382</v>
      </c>
      <c r="T190" t="s">
        <v>382</v>
      </c>
      <c r="U190" t="s">
        <v>382</v>
      </c>
      <c r="V190" t="s">
        <v>382</v>
      </c>
      <c r="W190" t="s">
        <v>382</v>
      </c>
      <c r="X190" t="s">
        <v>382</v>
      </c>
      <c r="Y190" t="s">
        <v>382</v>
      </c>
      <c r="Z190" t="s">
        <v>382</v>
      </c>
      <c r="AA190" t="s">
        <v>382</v>
      </c>
      <c r="AB190" t="s">
        <v>382</v>
      </c>
      <c r="AC190">
        <v>5</v>
      </c>
      <c r="AD190">
        <v>4</v>
      </c>
      <c r="AF190" t="s">
        <v>386</v>
      </c>
      <c r="AH190" t="s">
        <v>29</v>
      </c>
      <c r="AI190" t="s">
        <v>103</v>
      </c>
      <c r="AK190">
        <v>1044</v>
      </c>
      <c r="AL190">
        <v>200</v>
      </c>
    </row>
    <row r="191" spans="1:38">
      <c r="A191" t="s">
        <v>382</v>
      </c>
      <c r="B191" t="s">
        <v>382</v>
      </c>
      <c r="C191" t="s">
        <v>382</v>
      </c>
      <c r="D191" t="s">
        <v>382</v>
      </c>
      <c r="E191" t="s">
        <v>382</v>
      </c>
      <c r="F191" t="s">
        <v>382</v>
      </c>
      <c r="G191" t="s">
        <v>382</v>
      </c>
      <c r="H191" t="s">
        <v>382</v>
      </c>
      <c r="I191" t="s">
        <v>382</v>
      </c>
      <c r="J191" t="s">
        <v>382</v>
      </c>
      <c r="K191" t="s">
        <v>382</v>
      </c>
      <c r="L191" t="s">
        <v>382</v>
      </c>
      <c r="M191" t="s">
        <v>382</v>
      </c>
      <c r="N191" t="s">
        <v>382</v>
      </c>
      <c r="O191" t="s">
        <v>382</v>
      </c>
      <c r="P191" t="s">
        <v>382</v>
      </c>
      <c r="Q191" t="s">
        <v>382</v>
      </c>
      <c r="R191" t="s">
        <v>382</v>
      </c>
      <c r="S191" t="s">
        <v>382</v>
      </c>
      <c r="T191" t="s">
        <v>382</v>
      </c>
      <c r="U191" t="s">
        <v>382</v>
      </c>
      <c r="V191" t="s">
        <v>382</v>
      </c>
      <c r="W191" t="s">
        <v>382</v>
      </c>
      <c r="X191" t="s">
        <v>382</v>
      </c>
      <c r="Y191" t="s">
        <v>382</v>
      </c>
      <c r="Z191" t="s">
        <v>382</v>
      </c>
      <c r="AA191" t="s">
        <v>382</v>
      </c>
      <c r="AB191" t="s">
        <v>382</v>
      </c>
      <c r="AC191">
        <v>5</v>
      </c>
      <c r="AD191">
        <v>5</v>
      </c>
      <c r="AE191">
        <v>1</v>
      </c>
      <c r="AF191" t="s">
        <v>393</v>
      </c>
      <c r="AH191" t="s">
        <v>51</v>
      </c>
      <c r="AI191" t="s">
        <v>97</v>
      </c>
      <c r="AK191">
        <v>2098</v>
      </c>
      <c r="AL191">
        <v>241</v>
      </c>
    </row>
    <row r="192" spans="1:38">
      <c r="A192" t="s">
        <v>382</v>
      </c>
      <c r="B192" t="s">
        <v>382</v>
      </c>
      <c r="C192" t="s">
        <v>382</v>
      </c>
      <c r="D192" t="s">
        <v>382</v>
      </c>
      <c r="E192" t="s">
        <v>382</v>
      </c>
      <c r="F192" t="s">
        <v>382</v>
      </c>
      <c r="G192" t="s">
        <v>382</v>
      </c>
      <c r="H192" t="s">
        <v>382</v>
      </c>
      <c r="I192" t="s">
        <v>382</v>
      </c>
      <c r="J192" t="s">
        <v>382</v>
      </c>
      <c r="K192" t="s">
        <v>382</v>
      </c>
      <c r="L192" t="s">
        <v>382</v>
      </c>
      <c r="M192" t="s">
        <v>382</v>
      </c>
      <c r="N192" t="s">
        <v>382</v>
      </c>
      <c r="O192" t="s">
        <v>382</v>
      </c>
      <c r="P192" t="s">
        <v>382</v>
      </c>
      <c r="Q192" t="s">
        <v>382</v>
      </c>
      <c r="R192" t="s">
        <v>382</v>
      </c>
      <c r="S192" t="s">
        <v>382</v>
      </c>
      <c r="T192" t="s">
        <v>382</v>
      </c>
      <c r="U192" t="s">
        <v>382</v>
      </c>
      <c r="V192" t="s">
        <v>382</v>
      </c>
      <c r="W192" t="s">
        <v>382</v>
      </c>
      <c r="X192" t="s">
        <v>382</v>
      </c>
      <c r="Y192" t="s">
        <v>382</v>
      </c>
      <c r="Z192" t="s">
        <v>382</v>
      </c>
      <c r="AA192" t="s">
        <v>382</v>
      </c>
      <c r="AB192" t="s">
        <v>382</v>
      </c>
      <c r="AC192">
        <v>5</v>
      </c>
      <c r="AD192">
        <v>1</v>
      </c>
      <c r="AE192">
        <v>1</v>
      </c>
      <c r="AF192" t="s">
        <v>481</v>
      </c>
      <c r="AH192" t="s">
        <v>139</v>
      </c>
      <c r="AI192" t="s">
        <v>97</v>
      </c>
      <c r="AK192">
        <v>755</v>
      </c>
      <c r="AL192">
        <v>2384</v>
      </c>
    </row>
    <row r="193" spans="1:38">
      <c r="A193" t="s">
        <v>382</v>
      </c>
      <c r="B193" t="s">
        <v>382</v>
      </c>
      <c r="C193" t="s">
        <v>382</v>
      </c>
      <c r="D193" t="s">
        <v>382</v>
      </c>
      <c r="E193" t="s">
        <v>382</v>
      </c>
      <c r="F193" t="s">
        <v>382</v>
      </c>
      <c r="G193" t="s">
        <v>382</v>
      </c>
      <c r="H193" t="s">
        <v>382</v>
      </c>
      <c r="I193" t="s">
        <v>382</v>
      </c>
      <c r="J193" t="s">
        <v>382</v>
      </c>
      <c r="K193" t="s">
        <v>382</v>
      </c>
      <c r="L193" t="s">
        <v>382</v>
      </c>
      <c r="M193" t="s">
        <v>382</v>
      </c>
      <c r="N193" t="s">
        <v>382</v>
      </c>
      <c r="O193" t="s">
        <v>382</v>
      </c>
      <c r="P193" t="s">
        <v>382</v>
      </c>
      <c r="Q193" t="s">
        <v>382</v>
      </c>
      <c r="R193" t="s">
        <v>382</v>
      </c>
      <c r="S193" t="s">
        <v>382</v>
      </c>
      <c r="T193" t="s">
        <v>382</v>
      </c>
      <c r="U193" t="s">
        <v>382</v>
      </c>
      <c r="V193" t="s">
        <v>382</v>
      </c>
      <c r="W193" t="s">
        <v>382</v>
      </c>
      <c r="X193" t="s">
        <v>382</v>
      </c>
      <c r="Y193" t="s">
        <v>382</v>
      </c>
      <c r="Z193" t="s">
        <v>382</v>
      </c>
      <c r="AA193" t="s">
        <v>382</v>
      </c>
      <c r="AB193" t="s">
        <v>382</v>
      </c>
      <c r="AC193">
        <v>5</v>
      </c>
      <c r="AD193">
        <v>2</v>
      </c>
      <c r="AE193">
        <v>1</v>
      </c>
      <c r="AF193" t="s">
        <v>389</v>
      </c>
      <c r="AH193" t="s">
        <v>35</v>
      </c>
      <c r="AI193" t="s">
        <v>97</v>
      </c>
      <c r="AK193">
        <v>2205</v>
      </c>
      <c r="AL193">
        <v>2490</v>
      </c>
    </row>
    <row r="194" spans="1:38">
      <c r="A194" t="s">
        <v>382</v>
      </c>
      <c r="B194" t="s">
        <v>382</v>
      </c>
      <c r="C194" t="s">
        <v>382</v>
      </c>
      <c r="D194" t="s">
        <v>382</v>
      </c>
      <c r="E194" t="s">
        <v>382</v>
      </c>
      <c r="F194" t="s">
        <v>382</v>
      </c>
      <c r="G194" t="s">
        <v>382</v>
      </c>
      <c r="H194" t="s">
        <v>382</v>
      </c>
      <c r="I194" t="s">
        <v>382</v>
      </c>
      <c r="J194" t="s">
        <v>382</v>
      </c>
      <c r="K194" t="s">
        <v>382</v>
      </c>
      <c r="L194" t="s">
        <v>382</v>
      </c>
      <c r="M194" t="s">
        <v>382</v>
      </c>
      <c r="N194" t="s">
        <v>382</v>
      </c>
      <c r="O194" t="s">
        <v>382</v>
      </c>
      <c r="P194" t="s">
        <v>382</v>
      </c>
      <c r="Q194" t="s">
        <v>382</v>
      </c>
      <c r="R194" t="s">
        <v>382</v>
      </c>
      <c r="S194" t="s">
        <v>382</v>
      </c>
      <c r="T194" t="s">
        <v>382</v>
      </c>
      <c r="U194" t="s">
        <v>382</v>
      </c>
      <c r="V194" t="s">
        <v>382</v>
      </c>
      <c r="W194" t="s">
        <v>382</v>
      </c>
      <c r="X194" t="s">
        <v>382</v>
      </c>
      <c r="Y194" t="s">
        <v>382</v>
      </c>
      <c r="Z194" t="s">
        <v>382</v>
      </c>
      <c r="AA194" t="s">
        <v>382</v>
      </c>
      <c r="AB194" t="s">
        <v>382</v>
      </c>
      <c r="AC194">
        <v>5</v>
      </c>
      <c r="AD194">
        <v>3</v>
      </c>
      <c r="AF194" t="s">
        <v>385</v>
      </c>
      <c r="AH194" t="s">
        <v>27</v>
      </c>
      <c r="AI194" t="s">
        <v>109</v>
      </c>
      <c r="AK194">
        <v>699</v>
      </c>
      <c r="AL194">
        <v>2213</v>
      </c>
    </row>
    <row r="195" spans="1:38">
      <c r="A195" t="s">
        <v>382</v>
      </c>
      <c r="B195" t="s">
        <v>382</v>
      </c>
      <c r="C195" t="s">
        <v>382</v>
      </c>
      <c r="D195" t="s">
        <v>382</v>
      </c>
      <c r="E195" t="s">
        <v>382</v>
      </c>
      <c r="F195" t="s">
        <v>382</v>
      </c>
      <c r="G195" t="s">
        <v>382</v>
      </c>
      <c r="H195" t="s">
        <v>382</v>
      </c>
      <c r="I195" t="s">
        <v>382</v>
      </c>
      <c r="J195" t="s">
        <v>382</v>
      </c>
      <c r="K195" t="s">
        <v>382</v>
      </c>
      <c r="L195" t="s">
        <v>382</v>
      </c>
      <c r="M195" t="s">
        <v>382</v>
      </c>
      <c r="N195" t="s">
        <v>382</v>
      </c>
      <c r="O195" t="s">
        <v>382</v>
      </c>
      <c r="P195" t="s">
        <v>382</v>
      </c>
      <c r="Q195" t="s">
        <v>382</v>
      </c>
      <c r="R195" t="s">
        <v>382</v>
      </c>
      <c r="S195" t="s">
        <v>382</v>
      </c>
      <c r="T195" t="s">
        <v>382</v>
      </c>
      <c r="U195" t="s">
        <v>382</v>
      </c>
      <c r="V195" t="s">
        <v>382</v>
      </c>
      <c r="W195" t="s">
        <v>382</v>
      </c>
      <c r="X195" t="s">
        <v>382</v>
      </c>
      <c r="Y195" t="s">
        <v>382</v>
      </c>
      <c r="Z195" t="s">
        <v>382</v>
      </c>
      <c r="AA195" t="s">
        <v>382</v>
      </c>
      <c r="AB195" t="s">
        <v>382</v>
      </c>
      <c r="AC195">
        <v>5</v>
      </c>
      <c r="AD195">
        <v>4</v>
      </c>
      <c r="AE195">
        <v>1</v>
      </c>
      <c r="AF195" t="s">
        <v>393</v>
      </c>
      <c r="AH195" t="s">
        <v>51</v>
      </c>
      <c r="AI195" t="s">
        <v>97</v>
      </c>
      <c r="AK195">
        <v>2125</v>
      </c>
      <c r="AL195">
        <v>82</v>
      </c>
    </row>
    <row r="196" spans="1:38">
      <c r="A196" t="s">
        <v>382</v>
      </c>
      <c r="B196" t="s">
        <v>382</v>
      </c>
      <c r="C196" t="s">
        <v>382</v>
      </c>
      <c r="D196" t="s">
        <v>382</v>
      </c>
      <c r="E196" t="s">
        <v>382</v>
      </c>
      <c r="F196" t="s">
        <v>382</v>
      </c>
      <c r="G196" t="s">
        <v>382</v>
      </c>
      <c r="H196" t="s">
        <v>382</v>
      </c>
      <c r="I196" t="s">
        <v>382</v>
      </c>
      <c r="J196" t="s">
        <v>382</v>
      </c>
      <c r="K196" t="s">
        <v>382</v>
      </c>
      <c r="L196" t="s">
        <v>382</v>
      </c>
      <c r="M196" t="s">
        <v>382</v>
      </c>
      <c r="N196" t="s">
        <v>382</v>
      </c>
      <c r="O196" t="s">
        <v>382</v>
      </c>
      <c r="P196" t="s">
        <v>382</v>
      </c>
      <c r="Q196" t="s">
        <v>382</v>
      </c>
      <c r="R196" t="s">
        <v>382</v>
      </c>
      <c r="S196" t="s">
        <v>382</v>
      </c>
      <c r="T196" t="s">
        <v>382</v>
      </c>
      <c r="U196" t="s">
        <v>382</v>
      </c>
      <c r="V196" t="s">
        <v>382</v>
      </c>
      <c r="W196" t="s">
        <v>382</v>
      </c>
      <c r="X196" t="s">
        <v>382</v>
      </c>
      <c r="Y196" t="s">
        <v>382</v>
      </c>
      <c r="Z196" t="s">
        <v>382</v>
      </c>
      <c r="AA196" t="s">
        <v>382</v>
      </c>
      <c r="AB196" t="s">
        <v>382</v>
      </c>
      <c r="AC196">
        <v>5</v>
      </c>
      <c r="AD196">
        <v>5</v>
      </c>
      <c r="AF196" t="s">
        <v>386</v>
      </c>
      <c r="AH196" t="s">
        <v>29</v>
      </c>
      <c r="AI196" t="s">
        <v>103</v>
      </c>
      <c r="AK196">
        <v>3005</v>
      </c>
      <c r="AL196">
        <v>1197</v>
      </c>
    </row>
    <row r="197" spans="1:38">
      <c r="A197" t="s">
        <v>382</v>
      </c>
      <c r="B197" t="s">
        <v>382</v>
      </c>
      <c r="C197" t="s">
        <v>382</v>
      </c>
      <c r="D197" t="s">
        <v>382</v>
      </c>
      <c r="E197" t="s">
        <v>382</v>
      </c>
      <c r="F197" t="s">
        <v>382</v>
      </c>
      <c r="G197" t="s">
        <v>382</v>
      </c>
      <c r="H197" t="s">
        <v>382</v>
      </c>
      <c r="I197" t="s">
        <v>382</v>
      </c>
      <c r="J197" t="s">
        <v>382</v>
      </c>
      <c r="K197" t="s">
        <v>382</v>
      </c>
      <c r="L197" t="s">
        <v>382</v>
      </c>
      <c r="M197" t="s">
        <v>382</v>
      </c>
      <c r="N197" t="s">
        <v>382</v>
      </c>
      <c r="O197" t="s">
        <v>382</v>
      </c>
      <c r="P197" t="s">
        <v>382</v>
      </c>
      <c r="Q197" t="s">
        <v>382</v>
      </c>
      <c r="R197" t="s">
        <v>382</v>
      </c>
      <c r="S197" t="s">
        <v>382</v>
      </c>
      <c r="T197" t="s">
        <v>382</v>
      </c>
      <c r="U197" t="s">
        <v>382</v>
      </c>
      <c r="V197" t="s">
        <v>382</v>
      </c>
      <c r="W197" t="s">
        <v>382</v>
      </c>
      <c r="X197" t="s">
        <v>382</v>
      </c>
      <c r="Y197" t="s">
        <v>382</v>
      </c>
      <c r="Z197" t="s">
        <v>382</v>
      </c>
      <c r="AA197" t="s">
        <v>382</v>
      </c>
      <c r="AB197" t="s">
        <v>382</v>
      </c>
      <c r="AC197">
        <v>5</v>
      </c>
      <c r="AD197">
        <v>1</v>
      </c>
      <c r="AE197">
        <v>1</v>
      </c>
      <c r="AF197" t="s">
        <v>383</v>
      </c>
      <c r="AH197" t="s">
        <v>22</v>
      </c>
      <c r="AI197" t="s">
        <v>97</v>
      </c>
      <c r="AK197">
        <v>2550</v>
      </c>
      <c r="AL197">
        <v>157</v>
      </c>
    </row>
    <row r="198" spans="1:38">
      <c r="A198" t="s">
        <v>382</v>
      </c>
      <c r="B198" t="s">
        <v>382</v>
      </c>
      <c r="C198" t="s">
        <v>382</v>
      </c>
      <c r="D198" t="s">
        <v>382</v>
      </c>
      <c r="E198" t="s">
        <v>382</v>
      </c>
      <c r="F198" t="s">
        <v>382</v>
      </c>
      <c r="G198" t="s">
        <v>382</v>
      </c>
      <c r="H198" t="s">
        <v>382</v>
      </c>
      <c r="I198" t="s">
        <v>382</v>
      </c>
      <c r="J198" t="s">
        <v>382</v>
      </c>
      <c r="K198" t="s">
        <v>382</v>
      </c>
      <c r="L198" t="s">
        <v>382</v>
      </c>
      <c r="M198" t="s">
        <v>382</v>
      </c>
      <c r="N198" t="s">
        <v>382</v>
      </c>
      <c r="O198" t="s">
        <v>382</v>
      </c>
      <c r="P198" t="s">
        <v>382</v>
      </c>
      <c r="Q198" t="s">
        <v>382</v>
      </c>
      <c r="R198" t="s">
        <v>382</v>
      </c>
      <c r="S198" t="s">
        <v>382</v>
      </c>
      <c r="T198" t="s">
        <v>382</v>
      </c>
      <c r="U198" t="s">
        <v>382</v>
      </c>
      <c r="V198" t="s">
        <v>382</v>
      </c>
      <c r="W198" t="s">
        <v>382</v>
      </c>
      <c r="X198" t="s">
        <v>382</v>
      </c>
      <c r="Y198" t="s">
        <v>382</v>
      </c>
      <c r="Z198" t="s">
        <v>382</v>
      </c>
      <c r="AA198" t="s">
        <v>382</v>
      </c>
      <c r="AB198" t="s">
        <v>382</v>
      </c>
      <c r="AC198">
        <v>5</v>
      </c>
      <c r="AD198">
        <v>2</v>
      </c>
      <c r="AE198">
        <v>1</v>
      </c>
      <c r="AF198" t="s">
        <v>387</v>
      </c>
      <c r="AH198" t="s">
        <v>31</v>
      </c>
      <c r="AI198" t="s">
        <v>97</v>
      </c>
      <c r="AK198">
        <v>541</v>
      </c>
      <c r="AL198">
        <v>2412</v>
      </c>
    </row>
    <row r="199" spans="1:38">
      <c r="A199" t="s">
        <v>382</v>
      </c>
      <c r="B199" t="s">
        <v>382</v>
      </c>
      <c r="C199" t="s">
        <v>382</v>
      </c>
      <c r="D199" t="s">
        <v>382</v>
      </c>
      <c r="E199" t="s">
        <v>382</v>
      </c>
      <c r="F199" t="s">
        <v>382</v>
      </c>
      <c r="G199" t="s">
        <v>382</v>
      </c>
      <c r="H199" t="s">
        <v>382</v>
      </c>
      <c r="I199" t="s">
        <v>382</v>
      </c>
      <c r="J199" t="s">
        <v>382</v>
      </c>
      <c r="K199" t="s">
        <v>382</v>
      </c>
      <c r="L199" t="s">
        <v>382</v>
      </c>
      <c r="M199" t="s">
        <v>382</v>
      </c>
      <c r="N199" t="s">
        <v>382</v>
      </c>
      <c r="O199" t="s">
        <v>382</v>
      </c>
      <c r="P199" t="s">
        <v>382</v>
      </c>
      <c r="Q199" t="s">
        <v>382</v>
      </c>
      <c r="R199" t="s">
        <v>382</v>
      </c>
      <c r="S199" t="s">
        <v>382</v>
      </c>
      <c r="T199" t="s">
        <v>382</v>
      </c>
      <c r="U199" t="s">
        <v>382</v>
      </c>
      <c r="V199" t="s">
        <v>382</v>
      </c>
      <c r="W199" t="s">
        <v>382</v>
      </c>
      <c r="X199" t="s">
        <v>382</v>
      </c>
      <c r="Y199" t="s">
        <v>382</v>
      </c>
      <c r="Z199" t="s">
        <v>382</v>
      </c>
      <c r="AA199" t="s">
        <v>382</v>
      </c>
      <c r="AB199" t="s">
        <v>382</v>
      </c>
      <c r="AC199">
        <v>5</v>
      </c>
      <c r="AD199">
        <v>3</v>
      </c>
      <c r="AE199">
        <v>1</v>
      </c>
      <c r="AF199" t="s">
        <v>596</v>
      </c>
      <c r="AH199" t="s">
        <v>207</v>
      </c>
      <c r="AI199" t="s">
        <v>97</v>
      </c>
      <c r="AK199">
        <v>2534</v>
      </c>
      <c r="AL199">
        <v>2169</v>
      </c>
    </row>
    <row r="200" spans="1:38">
      <c r="A200" t="s">
        <v>382</v>
      </c>
      <c r="B200" t="s">
        <v>382</v>
      </c>
      <c r="C200" t="s">
        <v>382</v>
      </c>
      <c r="D200" t="s">
        <v>382</v>
      </c>
      <c r="E200" t="s">
        <v>382</v>
      </c>
      <c r="F200" t="s">
        <v>382</v>
      </c>
      <c r="G200" t="s">
        <v>382</v>
      </c>
      <c r="H200" t="s">
        <v>382</v>
      </c>
      <c r="I200" t="s">
        <v>382</v>
      </c>
      <c r="J200" t="s">
        <v>382</v>
      </c>
      <c r="K200" t="s">
        <v>382</v>
      </c>
      <c r="L200" t="s">
        <v>382</v>
      </c>
      <c r="M200" t="s">
        <v>382</v>
      </c>
      <c r="N200" t="s">
        <v>382</v>
      </c>
      <c r="O200" t="s">
        <v>382</v>
      </c>
      <c r="P200" t="s">
        <v>382</v>
      </c>
      <c r="Q200" t="s">
        <v>382</v>
      </c>
      <c r="R200" t="s">
        <v>382</v>
      </c>
      <c r="S200" t="s">
        <v>382</v>
      </c>
      <c r="T200" t="s">
        <v>382</v>
      </c>
      <c r="U200" t="s">
        <v>382</v>
      </c>
      <c r="V200" t="s">
        <v>382</v>
      </c>
      <c r="W200" t="s">
        <v>382</v>
      </c>
      <c r="X200" t="s">
        <v>382</v>
      </c>
      <c r="Y200" t="s">
        <v>382</v>
      </c>
      <c r="Z200" t="s">
        <v>382</v>
      </c>
      <c r="AA200" t="s">
        <v>382</v>
      </c>
      <c r="AB200" t="s">
        <v>382</v>
      </c>
      <c r="AC200">
        <v>5</v>
      </c>
      <c r="AD200">
        <v>4</v>
      </c>
      <c r="AE200">
        <v>1</v>
      </c>
      <c r="AF200" t="s">
        <v>596</v>
      </c>
      <c r="AH200" t="s">
        <v>207</v>
      </c>
      <c r="AI200" t="s">
        <v>97</v>
      </c>
      <c r="AK200">
        <v>2780</v>
      </c>
      <c r="AL200">
        <v>2342</v>
      </c>
    </row>
    <row r="201" spans="1:38">
      <c r="A201" t="s">
        <v>382</v>
      </c>
      <c r="B201" t="s">
        <v>382</v>
      </c>
      <c r="C201" t="s">
        <v>382</v>
      </c>
      <c r="D201" t="s">
        <v>382</v>
      </c>
      <c r="E201" t="s">
        <v>382</v>
      </c>
      <c r="F201" t="s">
        <v>382</v>
      </c>
      <c r="G201" t="s">
        <v>382</v>
      </c>
      <c r="H201" t="s">
        <v>382</v>
      </c>
      <c r="I201" t="s">
        <v>382</v>
      </c>
      <c r="J201" t="s">
        <v>382</v>
      </c>
      <c r="K201" t="s">
        <v>382</v>
      </c>
      <c r="L201" t="s">
        <v>382</v>
      </c>
      <c r="M201" t="s">
        <v>382</v>
      </c>
      <c r="N201" t="s">
        <v>382</v>
      </c>
      <c r="O201" t="s">
        <v>382</v>
      </c>
      <c r="P201" t="s">
        <v>382</v>
      </c>
      <c r="Q201" t="s">
        <v>382</v>
      </c>
      <c r="R201" t="s">
        <v>382</v>
      </c>
      <c r="S201" t="s">
        <v>382</v>
      </c>
      <c r="T201" t="s">
        <v>382</v>
      </c>
      <c r="U201" t="s">
        <v>382</v>
      </c>
      <c r="V201" t="s">
        <v>382</v>
      </c>
      <c r="W201" t="s">
        <v>382</v>
      </c>
      <c r="X201" t="s">
        <v>382</v>
      </c>
      <c r="Y201" t="s">
        <v>382</v>
      </c>
      <c r="Z201" t="s">
        <v>382</v>
      </c>
      <c r="AA201" t="s">
        <v>382</v>
      </c>
      <c r="AB201" t="s">
        <v>382</v>
      </c>
      <c r="AC201">
        <v>5</v>
      </c>
      <c r="AD201">
        <v>5</v>
      </c>
      <c r="AE201">
        <v>1</v>
      </c>
      <c r="AF201" t="s">
        <v>596</v>
      </c>
      <c r="AH201" t="s">
        <v>207</v>
      </c>
      <c r="AI201" t="s">
        <v>97</v>
      </c>
      <c r="AK201">
        <v>2867</v>
      </c>
      <c r="AL201">
        <v>619</v>
      </c>
    </row>
    <row r="202" spans="1:38">
      <c r="A202" t="s">
        <v>382</v>
      </c>
      <c r="B202" t="s">
        <v>382</v>
      </c>
      <c r="C202" t="s">
        <v>382</v>
      </c>
      <c r="D202" t="s">
        <v>382</v>
      </c>
      <c r="E202" t="s">
        <v>382</v>
      </c>
      <c r="F202" t="s">
        <v>382</v>
      </c>
      <c r="G202" t="s">
        <v>382</v>
      </c>
      <c r="H202" t="s">
        <v>382</v>
      </c>
      <c r="I202" t="s">
        <v>382</v>
      </c>
      <c r="J202" t="s">
        <v>382</v>
      </c>
      <c r="K202" t="s">
        <v>382</v>
      </c>
      <c r="L202" t="s">
        <v>382</v>
      </c>
      <c r="M202" t="s">
        <v>382</v>
      </c>
      <c r="N202" t="s">
        <v>382</v>
      </c>
      <c r="O202" t="s">
        <v>382</v>
      </c>
      <c r="P202" t="s">
        <v>382</v>
      </c>
      <c r="Q202" t="s">
        <v>382</v>
      </c>
      <c r="R202" t="s">
        <v>382</v>
      </c>
      <c r="S202" t="s">
        <v>382</v>
      </c>
      <c r="T202" t="s">
        <v>382</v>
      </c>
      <c r="U202" t="s">
        <v>382</v>
      </c>
      <c r="V202" t="s">
        <v>382</v>
      </c>
      <c r="W202" t="s">
        <v>382</v>
      </c>
      <c r="X202" t="s">
        <v>382</v>
      </c>
      <c r="Y202" t="s">
        <v>382</v>
      </c>
      <c r="Z202" t="s">
        <v>382</v>
      </c>
      <c r="AA202" t="s">
        <v>382</v>
      </c>
      <c r="AB202" t="s">
        <v>382</v>
      </c>
      <c r="AC202">
        <v>5</v>
      </c>
      <c r="AD202">
        <v>1</v>
      </c>
      <c r="AE202">
        <v>1</v>
      </c>
      <c r="AF202" t="s">
        <v>383</v>
      </c>
      <c r="AH202" t="s">
        <v>22</v>
      </c>
      <c r="AI202" t="s">
        <v>97</v>
      </c>
      <c r="AK202">
        <v>1756</v>
      </c>
      <c r="AL202">
        <v>1648</v>
      </c>
    </row>
    <row r="203" spans="1:38">
      <c r="A203" t="s">
        <v>382</v>
      </c>
      <c r="B203" t="s">
        <v>382</v>
      </c>
      <c r="C203" t="s">
        <v>382</v>
      </c>
      <c r="D203" t="s">
        <v>382</v>
      </c>
      <c r="E203" t="s">
        <v>382</v>
      </c>
      <c r="F203" t="s">
        <v>382</v>
      </c>
      <c r="G203" t="s">
        <v>382</v>
      </c>
      <c r="H203" t="s">
        <v>382</v>
      </c>
      <c r="I203" t="s">
        <v>382</v>
      </c>
      <c r="J203" t="s">
        <v>382</v>
      </c>
      <c r="K203" t="s">
        <v>382</v>
      </c>
      <c r="L203" t="s">
        <v>382</v>
      </c>
      <c r="M203" t="s">
        <v>382</v>
      </c>
      <c r="N203" t="s">
        <v>382</v>
      </c>
      <c r="O203" t="s">
        <v>382</v>
      </c>
      <c r="P203" t="s">
        <v>382</v>
      </c>
      <c r="Q203" t="s">
        <v>382</v>
      </c>
      <c r="R203" t="s">
        <v>382</v>
      </c>
      <c r="S203" t="s">
        <v>382</v>
      </c>
      <c r="T203" t="s">
        <v>382</v>
      </c>
      <c r="U203" t="s">
        <v>382</v>
      </c>
      <c r="V203" t="s">
        <v>382</v>
      </c>
      <c r="W203" t="s">
        <v>382</v>
      </c>
      <c r="X203" t="s">
        <v>382</v>
      </c>
      <c r="Y203" t="s">
        <v>382</v>
      </c>
      <c r="Z203" t="s">
        <v>382</v>
      </c>
      <c r="AA203" t="s">
        <v>382</v>
      </c>
      <c r="AB203" t="s">
        <v>382</v>
      </c>
      <c r="AC203">
        <v>5</v>
      </c>
      <c r="AD203">
        <v>2</v>
      </c>
      <c r="AE203">
        <v>1</v>
      </c>
      <c r="AF203" t="s">
        <v>383</v>
      </c>
      <c r="AH203" t="s">
        <v>22</v>
      </c>
      <c r="AI203" t="s">
        <v>97</v>
      </c>
      <c r="AK203">
        <v>2795</v>
      </c>
      <c r="AL203">
        <v>2143</v>
      </c>
    </row>
    <row r="204" spans="1:38">
      <c r="A204" t="s">
        <v>382</v>
      </c>
      <c r="B204" t="s">
        <v>382</v>
      </c>
      <c r="C204" t="s">
        <v>382</v>
      </c>
      <c r="D204" t="s">
        <v>382</v>
      </c>
      <c r="E204" t="s">
        <v>382</v>
      </c>
      <c r="F204" t="s">
        <v>382</v>
      </c>
      <c r="G204" t="s">
        <v>382</v>
      </c>
      <c r="H204" t="s">
        <v>382</v>
      </c>
      <c r="I204" t="s">
        <v>382</v>
      </c>
      <c r="J204" t="s">
        <v>382</v>
      </c>
      <c r="K204" t="s">
        <v>382</v>
      </c>
      <c r="L204" t="s">
        <v>382</v>
      </c>
      <c r="M204" t="s">
        <v>382</v>
      </c>
      <c r="N204" t="s">
        <v>382</v>
      </c>
      <c r="O204" t="s">
        <v>382</v>
      </c>
      <c r="P204" t="s">
        <v>382</v>
      </c>
      <c r="Q204" t="s">
        <v>382</v>
      </c>
      <c r="R204" t="s">
        <v>382</v>
      </c>
      <c r="S204" t="s">
        <v>382</v>
      </c>
      <c r="T204" t="s">
        <v>382</v>
      </c>
      <c r="U204" t="s">
        <v>382</v>
      </c>
      <c r="V204" t="s">
        <v>382</v>
      </c>
      <c r="W204" t="s">
        <v>382</v>
      </c>
      <c r="X204" t="s">
        <v>382</v>
      </c>
      <c r="Y204" t="s">
        <v>382</v>
      </c>
      <c r="Z204" t="s">
        <v>382</v>
      </c>
      <c r="AA204" t="s">
        <v>382</v>
      </c>
      <c r="AB204" t="s">
        <v>382</v>
      </c>
      <c r="AC204">
        <v>5</v>
      </c>
      <c r="AD204">
        <v>3</v>
      </c>
      <c r="AE204">
        <v>1</v>
      </c>
      <c r="AF204" t="s">
        <v>383</v>
      </c>
      <c r="AH204" t="s">
        <v>22</v>
      </c>
      <c r="AI204" t="s">
        <v>97</v>
      </c>
      <c r="AK204">
        <v>971</v>
      </c>
      <c r="AL204">
        <v>2212</v>
      </c>
    </row>
    <row r="205" spans="1:38">
      <c r="A205" t="s">
        <v>382</v>
      </c>
      <c r="B205" t="s">
        <v>382</v>
      </c>
      <c r="C205" t="s">
        <v>382</v>
      </c>
      <c r="D205" t="s">
        <v>382</v>
      </c>
      <c r="E205" t="s">
        <v>382</v>
      </c>
      <c r="F205" t="s">
        <v>382</v>
      </c>
      <c r="G205" t="s">
        <v>382</v>
      </c>
      <c r="H205" t="s">
        <v>382</v>
      </c>
      <c r="I205" t="s">
        <v>382</v>
      </c>
      <c r="J205" t="s">
        <v>382</v>
      </c>
      <c r="K205" t="s">
        <v>382</v>
      </c>
      <c r="L205" t="s">
        <v>382</v>
      </c>
      <c r="M205" t="s">
        <v>382</v>
      </c>
      <c r="N205" t="s">
        <v>382</v>
      </c>
      <c r="O205" t="s">
        <v>382</v>
      </c>
      <c r="P205" t="s">
        <v>382</v>
      </c>
      <c r="Q205" t="s">
        <v>382</v>
      </c>
      <c r="R205" t="s">
        <v>382</v>
      </c>
      <c r="S205" t="s">
        <v>382</v>
      </c>
      <c r="T205" t="s">
        <v>382</v>
      </c>
      <c r="U205" t="s">
        <v>382</v>
      </c>
      <c r="V205" t="s">
        <v>382</v>
      </c>
      <c r="W205" t="s">
        <v>382</v>
      </c>
      <c r="X205" t="s">
        <v>382</v>
      </c>
      <c r="Y205" t="s">
        <v>382</v>
      </c>
      <c r="Z205" t="s">
        <v>382</v>
      </c>
      <c r="AA205" t="s">
        <v>382</v>
      </c>
      <c r="AB205" t="s">
        <v>382</v>
      </c>
      <c r="AC205">
        <v>5</v>
      </c>
      <c r="AD205">
        <v>4</v>
      </c>
      <c r="AE205">
        <v>1</v>
      </c>
      <c r="AF205" t="s">
        <v>383</v>
      </c>
      <c r="AH205" t="s">
        <v>22</v>
      </c>
      <c r="AI205" t="s">
        <v>97</v>
      </c>
      <c r="AK205">
        <v>2728</v>
      </c>
      <c r="AL205">
        <v>414</v>
      </c>
    </row>
    <row r="206" spans="1:38">
      <c r="A206" t="s">
        <v>382</v>
      </c>
      <c r="B206" t="s">
        <v>382</v>
      </c>
      <c r="C206" t="s">
        <v>382</v>
      </c>
      <c r="D206" t="s">
        <v>382</v>
      </c>
      <c r="E206" t="s">
        <v>382</v>
      </c>
      <c r="F206" t="s">
        <v>382</v>
      </c>
      <c r="G206" t="s">
        <v>382</v>
      </c>
      <c r="H206" t="s">
        <v>382</v>
      </c>
      <c r="I206" t="s">
        <v>382</v>
      </c>
      <c r="J206" t="s">
        <v>382</v>
      </c>
      <c r="K206" t="s">
        <v>382</v>
      </c>
      <c r="L206" t="s">
        <v>382</v>
      </c>
      <c r="M206" t="s">
        <v>382</v>
      </c>
      <c r="N206" t="s">
        <v>382</v>
      </c>
      <c r="O206" t="s">
        <v>382</v>
      </c>
      <c r="P206" t="s">
        <v>382</v>
      </c>
      <c r="Q206" t="s">
        <v>382</v>
      </c>
      <c r="R206" t="s">
        <v>382</v>
      </c>
      <c r="S206" t="s">
        <v>382</v>
      </c>
      <c r="T206" t="s">
        <v>382</v>
      </c>
      <c r="U206" t="s">
        <v>382</v>
      </c>
      <c r="V206" t="s">
        <v>382</v>
      </c>
      <c r="W206" t="s">
        <v>382</v>
      </c>
      <c r="X206" t="s">
        <v>382</v>
      </c>
      <c r="Y206" t="s">
        <v>382</v>
      </c>
      <c r="Z206" t="s">
        <v>382</v>
      </c>
      <c r="AA206" t="s">
        <v>382</v>
      </c>
      <c r="AB206" t="s">
        <v>382</v>
      </c>
      <c r="AC206">
        <v>5</v>
      </c>
      <c r="AD206">
        <v>5</v>
      </c>
      <c r="AE206">
        <v>1</v>
      </c>
      <c r="AF206" t="s">
        <v>383</v>
      </c>
      <c r="AH206" t="s">
        <v>22</v>
      </c>
      <c r="AI206" t="s">
        <v>97</v>
      </c>
      <c r="AK206">
        <v>1113</v>
      </c>
      <c r="AL206">
        <v>1542</v>
      </c>
    </row>
    <row r="207" spans="1:38">
      <c r="A207" t="s">
        <v>382</v>
      </c>
      <c r="B207" t="s">
        <v>382</v>
      </c>
      <c r="C207" t="s">
        <v>382</v>
      </c>
      <c r="D207" t="s">
        <v>382</v>
      </c>
      <c r="E207" t="s">
        <v>382</v>
      </c>
      <c r="F207" t="s">
        <v>382</v>
      </c>
      <c r="G207" t="s">
        <v>382</v>
      </c>
      <c r="H207" t="s">
        <v>382</v>
      </c>
      <c r="I207" t="s">
        <v>382</v>
      </c>
      <c r="J207" t="s">
        <v>382</v>
      </c>
      <c r="K207" t="s">
        <v>382</v>
      </c>
      <c r="L207" t="s">
        <v>382</v>
      </c>
      <c r="M207" t="s">
        <v>382</v>
      </c>
      <c r="N207" t="s">
        <v>382</v>
      </c>
      <c r="O207" t="s">
        <v>382</v>
      </c>
      <c r="P207" t="s">
        <v>382</v>
      </c>
      <c r="Q207" t="s">
        <v>382</v>
      </c>
      <c r="R207" t="s">
        <v>382</v>
      </c>
      <c r="S207" t="s">
        <v>382</v>
      </c>
      <c r="T207" t="s">
        <v>382</v>
      </c>
      <c r="U207" t="s">
        <v>382</v>
      </c>
      <c r="V207" t="s">
        <v>382</v>
      </c>
      <c r="W207" t="s">
        <v>382</v>
      </c>
      <c r="X207" t="s">
        <v>382</v>
      </c>
      <c r="Y207" t="s">
        <v>382</v>
      </c>
      <c r="Z207" t="s">
        <v>382</v>
      </c>
      <c r="AA207" t="s">
        <v>382</v>
      </c>
      <c r="AB207" t="s">
        <v>382</v>
      </c>
      <c r="AC207">
        <v>5</v>
      </c>
      <c r="AD207">
        <v>1</v>
      </c>
      <c r="AE207">
        <v>1</v>
      </c>
      <c r="AF207" t="s">
        <v>383</v>
      </c>
      <c r="AH207" t="s">
        <v>22</v>
      </c>
      <c r="AI207" t="s">
        <v>97</v>
      </c>
      <c r="AK207">
        <v>521</v>
      </c>
      <c r="AL207">
        <v>191</v>
      </c>
    </row>
    <row r="208" spans="1:38">
      <c r="A208" t="s">
        <v>382</v>
      </c>
      <c r="B208" t="s">
        <v>382</v>
      </c>
      <c r="C208" t="s">
        <v>382</v>
      </c>
      <c r="D208" t="s">
        <v>382</v>
      </c>
      <c r="E208" t="s">
        <v>382</v>
      </c>
      <c r="F208" t="s">
        <v>382</v>
      </c>
      <c r="G208" t="s">
        <v>382</v>
      </c>
      <c r="H208" t="s">
        <v>382</v>
      </c>
      <c r="I208" t="s">
        <v>382</v>
      </c>
      <c r="J208" t="s">
        <v>382</v>
      </c>
      <c r="K208" t="s">
        <v>382</v>
      </c>
      <c r="L208" t="s">
        <v>382</v>
      </c>
      <c r="M208" t="s">
        <v>382</v>
      </c>
      <c r="N208" t="s">
        <v>382</v>
      </c>
      <c r="O208" t="s">
        <v>382</v>
      </c>
      <c r="P208" t="s">
        <v>382</v>
      </c>
      <c r="Q208" t="s">
        <v>382</v>
      </c>
      <c r="R208" t="s">
        <v>382</v>
      </c>
      <c r="S208" t="s">
        <v>382</v>
      </c>
      <c r="T208" t="s">
        <v>382</v>
      </c>
      <c r="U208" t="s">
        <v>382</v>
      </c>
      <c r="V208" t="s">
        <v>382</v>
      </c>
      <c r="W208" t="s">
        <v>382</v>
      </c>
      <c r="X208" t="s">
        <v>382</v>
      </c>
      <c r="Y208" t="s">
        <v>382</v>
      </c>
      <c r="Z208" t="s">
        <v>382</v>
      </c>
      <c r="AA208" t="s">
        <v>382</v>
      </c>
      <c r="AB208" t="s">
        <v>382</v>
      </c>
      <c r="AC208">
        <v>5</v>
      </c>
      <c r="AD208">
        <v>2</v>
      </c>
      <c r="AF208" t="s">
        <v>385</v>
      </c>
      <c r="AH208" t="s">
        <v>27</v>
      </c>
      <c r="AI208" t="s">
        <v>109</v>
      </c>
      <c r="AK208">
        <v>2190</v>
      </c>
      <c r="AL208">
        <v>1218</v>
      </c>
    </row>
    <row r="209" spans="1:38">
      <c r="A209" t="s">
        <v>382</v>
      </c>
      <c r="B209" t="s">
        <v>382</v>
      </c>
      <c r="C209" t="s">
        <v>382</v>
      </c>
      <c r="D209" t="s">
        <v>382</v>
      </c>
      <c r="E209" t="s">
        <v>382</v>
      </c>
      <c r="F209" t="s">
        <v>382</v>
      </c>
      <c r="G209" t="s">
        <v>382</v>
      </c>
      <c r="H209" t="s">
        <v>382</v>
      </c>
      <c r="I209" t="s">
        <v>382</v>
      </c>
      <c r="J209" t="s">
        <v>382</v>
      </c>
      <c r="K209" t="s">
        <v>382</v>
      </c>
      <c r="L209" t="s">
        <v>382</v>
      </c>
      <c r="M209" t="s">
        <v>382</v>
      </c>
      <c r="N209" t="s">
        <v>382</v>
      </c>
      <c r="O209" t="s">
        <v>382</v>
      </c>
      <c r="P209" t="s">
        <v>382</v>
      </c>
      <c r="Q209" t="s">
        <v>382</v>
      </c>
      <c r="R209" t="s">
        <v>382</v>
      </c>
      <c r="S209" t="s">
        <v>382</v>
      </c>
      <c r="T209" t="s">
        <v>382</v>
      </c>
      <c r="U209" t="s">
        <v>382</v>
      </c>
      <c r="V209" t="s">
        <v>382</v>
      </c>
      <c r="W209" t="s">
        <v>382</v>
      </c>
      <c r="X209" t="s">
        <v>382</v>
      </c>
      <c r="Y209" t="s">
        <v>382</v>
      </c>
      <c r="Z209" t="s">
        <v>382</v>
      </c>
      <c r="AA209" t="s">
        <v>382</v>
      </c>
      <c r="AB209" t="s">
        <v>382</v>
      </c>
      <c r="AC209">
        <v>5</v>
      </c>
      <c r="AD209">
        <v>3</v>
      </c>
      <c r="AF209" t="s">
        <v>385</v>
      </c>
      <c r="AH209" t="s">
        <v>27</v>
      </c>
      <c r="AI209" t="s">
        <v>109</v>
      </c>
      <c r="AK209">
        <v>1141</v>
      </c>
      <c r="AL209">
        <v>1714</v>
      </c>
    </row>
    <row r="210" spans="1:38">
      <c r="A210" t="s">
        <v>382</v>
      </c>
      <c r="B210" t="s">
        <v>382</v>
      </c>
      <c r="C210" t="s">
        <v>382</v>
      </c>
      <c r="D210" t="s">
        <v>382</v>
      </c>
      <c r="E210" t="s">
        <v>382</v>
      </c>
      <c r="F210" t="s">
        <v>382</v>
      </c>
      <c r="G210" t="s">
        <v>382</v>
      </c>
      <c r="H210" t="s">
        <v>382</v>
      </c>
      <c r="I210" t="s">
        <v>382</v>
      </c>
      <c r="J210" t="s">
        <v>382</v>
      </c>
      <c r="K210" t="s">
        <v>382</v>
      </c>
      <c r="L210" t="s">
        <v>382</v>
      </c>
      <c r="M210" t="s">
        <v>382</v>
      </c>
      <c r="N210" t="s">
        <v>382</v>
      </c>
      <c r="O210" t="s">
        <v>382</v>
      </c>
      <c r="P210" t="s">
        <v>382</v>
      </c>
      <c r="Q210" t="s">
        <v>382</v>
      </c>
      <c r="R210" t="s">
        <v>382</v>
      </c>
      <c r="S210" t="s">
        <v>382</v>
      </c>
      <c r="T210" t="s">
        <v>382</v>
      </c>
      <c r="U210" t="s">
        <v>382</v>
      </c>
      <c r="V210" t="s">
        <v>382</v>
      </c>
      <c r="W210" t="s">
        <v>382</v>
      </c>
      <c r="X210" t="s">
        <v>382</v>
      </c>
      <c r="Y210" t="s">
        <v>382</v>
      </c>
      <c r="Z210" t="s">
        <v>382</v>
      </c>
      <c r="AA210" t="s">
        <v>382</v>
      </c>
      <c r="AB210" t="s">
        <v>382</v>
      </c>
      <c r="AC210">
        <v>5</v>
      </c>
      <c r="AD210">
        <v>4</v>
      </c>
      <c r="AF210" t="s">
        <v>386</v>
      </c>
      <c r="AH210" t="s">
        <v>29</v>
      </c>
      <c r="AI210" t="s">
        <v>103</v>
      </c>
      <c r="AK210">
        <v>1069</v>
      </c>
      <c r="AL210">
        <v>2566</v>
      </c>
    </row>
    <row r="211" spans="1:38">
      <c r="A211" t="s">
        <v>382</v>
      </c>
      <c r="B211" t="s">
        <v>382</v>
      </c>
      <c r="C211" t="s">
        <v>382</v>
      </c>
      <c r="D211" t="s">
        <v>382</v>
      </c>
      <c r="E211" t="s">
        <v>382</v>
      </c>
      <c r="F211" t="s">
        <v>382</v>
      </c>
      <c r="G211" t="s">
        <v>382</v>
      </c>
      <c r="H211" t="s">
        <v>382</v>
      </c>
      <c r="I211" t="s">
        <v>382</v>
      </c>
      <c r="J211" t="s">
        <v>382</v>
      </c>
      <c r="K211" t="s">
        <v>382</v>
      </c>
      <c r="L211" t="s">
        <v>382</v>
      </c>
      <c r="M211" t="s">
        <v>382</v>
      </c>
      <c r="N211" t="s">
        <v>382</v>
      </c>
      <c r="O211" t="s">
        <v>382</v>
      </c>
      <c r="P211" t="s">
        <v>382</v>
      </c>
      <c r="Q211" t="s">
        <v>382</v>
      </c>
      <c r="R211" t="s">
        <v>382</v>
      </c>
      <c r="S211" t="s">
        <v>382</v>
      </c>
      <c r="T211" t="s">
        <v>382</v>
      </c>
      <c r="U211" t="s">
        <v>382</v>
      </c>
      <c r="V211" t="s">
        <v>382</v>
      </c>
      <c r="W211" t="s">
        <v>382</v>
      </c>
      <c r="X211" t="s">
        <v>382</v>
      </c>
      <c r="Y211" t="s">
        <v>382</v>
      </c>
      <c r="Z211" t="s">
        <v>382</v>
      </c>
      <c r="AA211" t="s">
        <v>382</v>
      </c>
      <c r="AB211" t="s">
        <v>382</v>
      </c>
      <c r="AC211">
        <v>5</v>
      </c>
      <c r="AD211">
        <v>5</v>
      </c>
      <c r="AF211" t="s">
        <v>385</v>
      </c>
      <c r="AH211" t="s">
        <v>27</v>
      </c>
      <c r="AI211" t="s">
        <v>109</v>
      </c>
      <c r="AK211">
        <v>1622</v>
      </c>
      <c r="AL211">
        <v>1936</v>
      </c>
    </row>
    <row r="212" spans="1:38">
      <c r="A212" t="s">
        <v>382</v>
      </c>
      <c r="B212" t="s">
        <v>382</v>
      </c>
      <c r="C212" t="s">
        <v>382</v>
      </c>
      <c r="D212" t="s">
        <v>382</v>
      </c>
      <c r="E212" t="s">
        <v>382</v>
      </c>
      <c r="F212" t="s">
        <v>382</v>
      </c>
      <c r="G212" t="s">
        <v>382</v>
      </c>
      <c r="H212" t="s">
        <v>382</v>
      </c>
      <c r="I212" t="s">
        <v>382</v>
      </c>
      <c r="J212" t="s">
        <v>382</v>
      </c>
      <c r="K212" t="s">
        <v>382</v>
      </c>
      <c r="L212" t="s">
        <v>382</v>
      </c>
      <c r="M212" t="s">
        <v>382</v>
      </c>
      <c r="N212" t="s">
        <v>382</v>
      </c>
      <c r="O212" t="s">
        <v>382</v>
      </c>
      <c r="P212" t="s">
        <v>382</v>
      </c>
      <c r="Q212" t="s">
        <v>382</v>
      </c>
      <c r="R212" t="s">
        <v>382</v>
      </c>
      <c r="S212" t="s">
        <v>382</v>
      </c>
      <c r="T212" t="s">
        <v>382</v>
      </c>
      <c r="U212" t="s">
        <v>382</v>
      </c>
      <c r="V212" t="s">
        <v>382</v>
      </c>
      <c r="W212" t="s">
        <v>382</v>
      </c>
      <c r="X212" t="s">
        <v>382</v>
      </c>
      <c r="Y212" t="s">
        <v>382</v>
      </c>
      <c r="Z212" t="s">
        <v>382</v>
      </c>
      <c r="AA212" t="s">
        <v>382</v>
      </c>
      <c r="AB212" t="s">
        <v>382</v>
      </c>
      <c r="AC212">
        <v>5</v>
      </c>
      <c r="AD212">
        <v>1</v>
      </c>
      <c r="AE212">
        <v>1</v>
      </c>
      <c r="AF212" t="s">
        <v>387</v>
      </c>
      <c r="AH212" t="s">
        <v>31</v>
      </c>
      <c r="AI212" t="s">
        <v>97</v>
      </c>
      <c r="AK212">
        <v>1311</v>
      </c>
      <c r="AL212">
        <v>2134</v>
      </c>
    </row>
    <row r="213" spans="1:38">
      <c r="A213" t="s">
        <v>382</v>
      </c>
      <c r="B213" t="s">
        <v>382</v>
      </c>
      <c r="C213" t="s">
        <v>382</v>
      </c>
      <c r="D213" t="s">
        <v>382</v>
      </c>
      <c r="E213" t="s">
        <v>382</v>
      </c>
      <c r="F213" t="s">
        <v>382</v>
      </c>
      <c r="G213" t="s">
        <v>382</v>
      </c>
      <c r="H213" t="s">
        <v>382</v>
      </c>
      <c r="I213" t="s">
        <v>382</v>
      </c>
      <c r="J213" t="s">
        <v>382</v>
      </c>
      <c r="K213" t="s">
        <v>382</v>
      </c>
      <c r="L213" t="s">
        <v>382</v>
      </c>
      <c r="M213" t="s">
        <v>382</v>
      </c>
      <c r="N213" t="s">
        <v>382</v>
      </c>
      <c r="O213" t="s">
        <v>382</v>
      </c>
      <c r="P213" t="s">
        <v>382</v>
      </c>
      <c r="Q213" t="s">
        <v>382</v>
      </c>
      <c r="R213" t="s">
        <v>382</v>
      </c>
      <c r="S213" t="s">
        <v>382</v>
      </c>
      <c r="T213" t="s">
        <v>382</v>
      </c>
      <c r="U213" t="s">
        <v>382</v>
      </c>
      <c r="V213" t="s">
        <v>382</v>
      </c>
      <c r="W213" t="s">
        <v>382</v>
      </c>
      <c r="X213" t="s">
        <v>382</v>
      </c>
      <c r="Y213" t="s">
        <v>382</v>
      </c>
      <c r="Z213" t="s">
        <v>382</v>
      </c>
      <c r="AA213" t="s">
        <v>382</v>
      </c>
      <c r="AB213" t="s">
        <v>382</v>
      </c>
      <c r="AC213">
        <v>5</v>
      </c>
      <c r="AD213">
        <v>2</v>
      </c>
      <c r="AE213">
        <v>1</v>
      </c>
      <c r="AF213" t="s">
        <v>383</v>
      </c>
      <c r="AH213" t="s">
        <v>22</v>
      </c>
      <c r="AI213" t="s">
        <v>97</v>
      </c>
      <c r="AK213">
        <v>2291</v>
      </c>
      <c r="AL213">
        <v>1556</v>
      </c>
    </row>
    <row r="214" spans="1:38">
      <c r="A214" t="s">
        <v>382</v>
      </c>
      <c r="B214" t="s">
        <v>382</v>
      </c>
      <c r="C214" t="s">
        <v>382</v>
      </c>
      <c r="D214" t="s">
        <v>382</v>
      </c>
      <c r="E214" t="s">
        <v>382</v>
      </c>
      <c r="F214" t="s">
        <v>382</v>
      </c>
      <c r="G214" t="s">
        <v>382</v>
      </c>
      <c r="H214" t="s">
        <v>382</v>
      </c>
      <c r="I214" t="s">
        <v>382</v>
      </c>
      <c r="J214" t="s">
        <v>382</v>
      </c>
      <c r="K214" t="s">
        <v>382</v>
      </c>
      <c r="L214" t="s">
        <v>382</v>
      </c>
      <c r="M214" t="s">
        <v>382</v>
      </c>
      <c r="N214" t="s">
        <v>382</v>
      </c>
      <c r="O214" t="s">
        <v>382</v>
      </c>
      <c r="P214" t="s">
        <v>382</v>
      </c>
      <c r="Q214" t="s">
        <v>382</v>
      </c>
      <c r="R214" t="s">
        <v>382</v>
      </c>
      <c r="S214" t="s">
        <v>382</v>
      </c>
      <c r="T214" t="s">
        <v>382</v>
      </c>
      <c r="U214" t="s">
        <v>382</v>
      </c>
      <c r="V214" t="s">
        <v>382</v>
      </c>
      <c r="W214" t="s">
        <v>382</v>
      </c>
      <c r="X214" t="s">
        <v>382</v>
      </c>
      <c r="Y214" t="s">
        <v>382</v>
      </c>
      <c r="Z214" t="s">
        <v>382</v>
      </c>
      <c r="AA214" t="s">
        <v>382</v>
      </c>
      <c r="AB214" t="s">
        <v>382</v>
      </c>
      <c r="AC214">
        <v>5</v>
      </c>
      <c r="AD214">
        <v>3</v>
      </c>
      <c r="AF214" t="s">
        <v>385</v>
      </c>
      <c r="AH214" t="s">
        <v>27</v>
      </c>
      <c r="AI214" t="s">
        <v>109</v>
      </c>
      <c r="AK214">
        <v>2480</v>
      </c>
      <c r="AL214">
        <v>1673</v>
      </c>
    </row>
    <row r="215" spans="1:38">
      <c r="A215" t="s">
        <v>382</v>
      </c>
      <c r="B215" t="s">
        <v>382</v>
      </c>
      <c r="C215" t="s">
        <v>382</v>
      </c>
      <c r="D215" t="s">
        <v>382</v>
      </c>
      <c r="E215" t="s">
        <v>382</v>
      </c>
      <c r="F215" t="s">
        <v>382</v>
      </c>
      <c r="G215" t="s">
        <v>382</v>
      </c>
      <c r="H215" t="s">
        <v>382</v>
      </c>
      <c r="I215" t="s">
        <v>382</v>
      </c>
      <c r="J215" t="s">
        <v>382</v>
      </c>
      <c r="K215" t="s">
        <v>382</v>
      </c>
      <c r="L215" t="s">
        <v>382</v>
      </c>
      <c r="M215" t="s">
        <v>382</v>
      </c>
      <c r="N215" t="s">
        <v>382</v>
      </c>
      <c r="O215" t="s">
        <v>382</v>
      </c>
      <c r="P215" t="s">
        <v>382</v>
      </c>
      <c r="Q215" t="s">
        <v>382</v>
      </c>
      <c r="R215" t="s">
        <v>382</v>
      </c>
      <c r="S215" t="s">
        <v>382</v>
      </c>
      <c r="T215" t="s">
        <v>382</v>
      </c>
      <c r="U215" t="s">
        <v>382</v>
      </c>
      <c r="V215" t="s">
        <v>382</v>
      </c>
      <c r="W215" t="s">
        <v>382</v>
      </c>
      <c r="X215" t="s">
        <v>382</v>
      </c>
      <c r="Y215" t="s">
        <v>382</v>
      </c>
      <c r="Z215" t="s">
        <v>382</v>
      </c>
      <c r="AA215" t="s">
        <v>382</v>
      </c>
      <c r="AB215" t="s">
        <v>382</v>
      </c>
      <c r="AC215">
        <v>5</v>
      </c>
      <c r="AD215">
        <v>4</v>
      </c>
      <c r="AE215">
        <v>1</v>
      </c>
      <c r="AF215" t="s">
        <v>393</v>
      </c>
      <c r="AH215" t="s">
        <v>51</v>
      </c>
      <c r="AI215" t="s">
        <v>97</v>
      </c>
      <c r="AK215">
        <v>1174</v>
      </c>
      <c r="AL215">
        <v>2542</v>
      </c>
    </row>
    <row r="216" spans="1:38">
      <c r="A216" t="s">
        <v>382</v>
      </c>
      <c r="B216" t="s">
        <v>382</v>
      </c>
      <c r="C216" t="s">
        <v>382</v>
      </c>
      <c r="D216" t="s">
        <v>382</v>
      </c>
      <c r="E216" t="s">
        <v>382</v>
      </c>
      <c r="F216" t="s">
        <v>382</v>
      </c>
      <c r="G216" t="s">
        <v>382</v>
      </c>
      <c r="H216" t="s">
        <v>382</v>
      </c>
      <c r="I216" t="s">
        <v>382</v>
      </c>
      <c r="J216" t="s">
        <v>382</v>
      </c>
      <c r="K216" t="s">
        <v>382</v>
      </c>
      <c r="L216" t="s">
        <v>382</v>
      </c>
      <c r="M216" t="s">
        <v>382</v>
      </c>
      <c r="N216" t="s">
        <v>382</v>
      </c>
      <c r="O216" t="s">
        <v>382</v>
      </c>
      <c r="P216" t="s">
        <v>382</v>
      </c>
      <c r="Q216" t="s">
        <v>382</v>
      </c>
      <c r="R216" t="s">
        <v>382</v>
      </c>
      <c r="S216" t="s">
        <v>382</v>
      </c>
      <c r="T216" t="s">
        <v>382</v>
      </c>
      <c r="U216" t="s">
        <v>382</v>
      </c>
      <c r="V216" t="s">
        <v>382</v>
      </c>
      <c r="W216" t="s">
        <v>382</v>
      </c>
      <c r="X216" t="s">
        <v>382</v>
      </c>
      <c r="Y216" t="s">
        <v>382</v>
      </c>
      <c r="Z216" t="s">
        <v>382</v>
      </c>
      <c r="AA216" t="s">
        <v>382</v>
      </c>
      <c r="AB216" t="s">
        <v>382</v>
      </c>
      <c r="AC216">
        <v>5</v>
      </c>
      <c r="AD216">
        <v>5</v>
      </c>
      <c r="AE216">
        <v>1</v>
      </c>
      <c r="AF216" t="s">
        <v>383</v>
      </c>
      <c r="AH216" t="s">
        <v>22</v>
      </c>
      <c r="AI216" t="s">
        <v>97</v>
      </c>
      <c r="AK216">
        <v>2478</v>
      </c>
      <c r="AL216">
        <v>560</v>
      </c>
    </row>
    <row r="217" spans="1:38">
      <c r="A217" t="s">
        <v>382</v>
      </c>
      <c r="B217" t="s">
        <v>382</v>
      </c>
      <c r="C217" t="s">
        <v>382</v>
      </c>
      <c r="D217" t="s">
        <v>382</v>
      </c>
      <c r="E217" t="s">
        <v>382</v>
      </c>
      <c r="F217" t="s">
        <v>382</v>
      </c>
      <c r="G217" t="s">
        <v>382</v>
      </c>
      <c r="H217" t="s">
        <v>382</v>
      </c>
      <c r="I217" t="s">
        <v>382</v>
      </c>
      <c r="J217" t="s">
        <v>382</v>
      </c>
      <c r="K217" t="s">
        <v>382</v>
      </c>
      <c r="L217" t="s">
        <v>382</v>
      </c>
      <c r="M217" t="s">
        <v>382</v>
      </c>
      <c r="N217" t="s">
        <v>382</v>
      </c>
      <c r="O217" t="s">
        <v>382</v>
      </c>
      <c r="P217" t="s">
        <v>382</v>
      </c>
      <c r="Q217" t="s">
        <v>382</v>
      </c>
      <c r="R217" t="s">
        <v>382</v>
      </c>
      <c r="S217" t="s">
        <v>382</v>
      </c>
      <c r="T217" t="s">
        <v>382</v>
      </c>
      <c r="U217" t="s">
        <v>382</v>
      </c>
      <c r="V217" t="s">
        <v>382</v>
      </c>
      <c r="W217" t="s">
        <v>382</v>
      </c>
      <c r="X217" t="s">
        <v>382</v>
      </c>
      <c r="Y217" t="s">
        <v>382</v>
      </c>
      <c r="Z217" t="s">
        <v>382</v>
      </c>
      <c r="AA217" t="s">
        <v>382</v>
      </c>
      <c r="AB217" t="s">
        <v>382</v>
      </c>
      <c r="AC217">
        <v>5</v>
      </c>
      <c r="AD217">
        <v>1</v>
      </c>
      <c r="AE217">
        <v>1</v>
      </c>
      <c r="AF217" t="s">
        <v>383</v>
      </c>
      <c r="AH217" t="s">
        <v>22</v>
      </c>
      <c r="AI217" t="s">
        <v>97</v>
      </c>
      <c r="AK217">
        <v>1184</v>
      </c>
      <c r="AL217">
        <v>1440</v>
      </c>
    </row>
    <row r="218" spans="1:38">
      <c r="A218" t="s">
        <v>382</v>
      </c>
      <c r="B218" t="s">
        <v>382</v>
      </c>
      <c r="C218" t="s">
        <v>382</v>
      </c>
      <c r="D218" t="s">
        <v>382</v>
      </c>
      <c r="E218" t="s">
        <v>382</v>
      </c>
      <c r="F218" t="s">
        <v>382</v>
      </c>
      <c r="G218" t="s">
        <v>382</v>
      </c>
      <c r="H218" t="s">
        <v>382</v>
      </c>
      <c r="I218" t="s">
        <v>382</v>
      </c>
      <c r="J218" t="s">
        <v>382</v>
      </c>
      <c r="K218" t="s">
        <v>382</v>
      </c>
      <c r="L218" t="s">
        <v>382</v>
      </c>
      <c r="M218" t="s">
        <v>382</v>
      </c>
      <c r="N218" t="s">
        <v>382</v>
      </c>
      <c r="O218" t="s">
        <v>382</v>
      </c>
      <c r="P218" t="s">
        <v>382</v>
      </c>
      <c r="Q218" t="s">
        <v>382</v>
      </c>
      <c r="R218" t="s">
        <v>382</v>
      </c>
      <c r="S218" t="s">
        <v>382</v>
      </c>
      <c r="T218" t="s">
        <v>382</v>
      </c>
      <c r="U218" t="s">
        <v>382</v>
      </c>
      <c r="V218" t="s">
        <v>382</v>
      </c>
      <c r="W218" t="s">
        <v>382</v>
      </c>
      <c r="X218" t="s">
        <v>382</v>
      </c>
      <c r="Y218" t="s">
        <v>382</v>
      </c>
      <c r="Z218" t="s">
        <v>382</v>
      </c>
      <c r="AA218" t="s">
        <v>382</v>
      </c>
      <c r="AB218" t="s">
        <v>382</v>
      </c>
      <c r="AC218">
        <v>5</v>
      </c>
      <c r="AD218">
        <v>2</v>
      </c>
      <c r="AF218" t="s">
        <v>385</v>
      </c>
      <c r="AH218" t="s">
        <v>27</v>
      </c>
      <c r="AI218" t="s">
        <v>109</v>
      </c>
      <c r="AK218">
        <v>2295</v>
      </c>
      <c r="AL218">
        <v>990</v>
      </c>
    </row>
    <row r="219" spans="1:38">
      <c r="A219" t="s">
        <v>382</v>
      </c>
      <c r="B219" t="s">
        <v>382</v>
      </c>
      <c r="C219" t="s">
        <v>382</v>
      </c>
      <c r="D219" t="s">
        <v>382</v>
      </c>
      <c r="E219" t="s">
        <v>382</v>
      </c>
      <c r="F219" t="s">
        <v>382</v>
      </c>
      <c r="G219" t="s">
        <v>382</v>
      </c>
      <c r="H219" t="s">
        <v>382</v>
      </c>
      <c r="I219" t="s">
        <v>382</v>
      </c>
      <c r="J219" t="s">
        <v>382</v>
      </c>
      <c r="K219" t="s">
        <v>382</v>
      </c>
      <c r="L219" t="s">
        <v>382</v>
      </c>
      <c r="M219" t="s">
        <v>382</v>
      </c>
      <c r="N219" t="s">
        <v>382</v>
      </c>
      <c r="O219" t="s">
        <v>382</v>
      </c>
      <c r="P219" t="s">
        <v>382</v>
      </c>
      <c r="Q219" t="s">
        <v>382</v>
      </c>
      <c r="R219" t="s">
        <v>382</v>
      </c>
      <c r="S219" t="s">
        <v>382</v>
      </c>
      <c r="T219" t="s">
        <v>382</v>
      </c>
      <c r="U219" t="s">
        <v>382</v>
      </c>
      <c r="V219" t="s">
        <v>382</v>
      </c>
      <c r="W219" t="s">
        <v>382</v>
      </c>
      <c r="X219" t="s">
        <v>382</v>
      </c>
      <c r="Y219" t="s">
        <v>382</v>
      </c>
      <c r="Z219" t="s">
        <v>382</v>
      </c>
      <c r="AA219" t="s">
        <v>382</v>
      </c>
      <c r="AB219" t="s">
        <v>382</v>
      </c>
      <c r="AC219">
        <v>5</v>
      </c>
      <c r="AD219">
        <v>3</v>
      </c>
      <c r="AE219">
        <v>1</v>
      </c>
      <c r="AF219" t="s">
        <v>389</v>
      </c>
      <c r="AH219" t="s">
        <v>35</v>
      </c>
      <c r="AI219" t="s">
        <v>97</v>
      </c>
      <c r="AK219">
        <v>2520</v>
      </c>
      <c r="AL219">
        <v>1415</v>
      </c>
    </row>
    <row r="220" spans="1:38">
      <c r="A220" t="s">
        <v>382</v>
      </c>
      <c r="B220" t="s">
        <v>382</v>
      </c>
      <c r="C220" t="s">
        <v>382</v>
      </c>
      <c r="D220" t="s">
        <v>382</v>
      </c>
      <c r="E220" t="s">
        <v>382</v>
      </c>
      <c r="F220" t="s">
        <v>382</v>
      </c>
      <c r="G220" t="s">
        <v>382</v>
      </c>
      <c r="H220" t="s">
        <v>382</v>
      </c>
      <c r="I220" t="s">
        <v>382</v>
      </c>
      <c r="J220" t="s">
        <v>382</v>
      </c>
      <c r="K220" t="s">
        <v>382</v>
      </c>
      <c r="L220" t="s">
        <v>382</v>
      </c>
      <c r="M220" t="s">
        <v>382</v>
      </c>
      <c r="N220" t="s">
        <v>382</v>
      </c>
      <c r="O220" t="s">
        <v>382</v>
      </c>
      <c r="P220" t="s">
        <v>382</v>
      </c>
      <c r="Q220" t="s">
        <v>382</v>
      </c>
      <c r="R220" t="s">
        <v>382</v>
      </c>
      <c r="S220" t="s">
        <v>382</v>
      </c>
      <c r="T220" t="s">
        <v>382</v>
      </c>
      <c r="U220" t="s">
        <v>382</v>
      </c>
      <c r="V220" t="s">
        <v>382</v>
      </c>
      <c r="W220" t="s">
        <v>382</v>
      </c>
      <c r="X220" t="s">
        <v>382</v>
      </c>
      <c r="Y220" t="s">
        <v>382</v>
      </c>
      <c r="Z220" t="s">
        <v>382</v>
      </c>
      <c r="AA220" t="s">
        <v>382</v>
      </c>
      <c r="AB220" t="s">
        <v>382</v>
      </c>
      <c r="AC220">
        <v>5</v>
      </c>
      <c r="AD220">
        <v>4</v>
      </c>
      <c r="AE220">
        <v>1</v>
      </c>
      <c r="AF220" t="s">
        <v>383</v>
      </c>
      <c r="AH220" t="s">
        <v>22</v>
      </c>
      <c r="AI220" t="s">
        <v>97</v>
      </c>
      <c r="AK220">
        <v>1030</v>
      </c>
      <c r="AL220">
        <v>757</v>
      </c>
    </row>
    <row r="221" spans="1:38">
      <c r="A221" t="s">
        <v>382</v>
      </c>
      <c r="B221" t="s">
        <v>382</v>
      </c>
      <c r="C221" t="s">
        <v>382</v>
      </c>
      <c r="D221" t="s">
        <v>382</v>
      </c>
      <c r="E221" t="s">
        <v>382</v>
      </c>
      <c r="F221" t="s">
        <v>382</v>
      </c>
      <c r="G221" t="s">
        <v>382</v>
      </c>
      <c r="H221" t="s">
        <v>382</v>
      </c>
      <c r="I221" t="s">
        <v>382</v>
      </c>
      <c r="J221" t="s">
        <v>382</v>
      </c>
      <c r="K221" t="s">
        <v>382</v>
      </c>
      <c r="L221" t="s">
        <v>382</v>
      </c>
      <c r="M221" t="s">
        <v>382</v>
      </c>
      <c r="N221" t="s">
        <v>382</v>
      </c>
      <c r="O221" t="s">
        <v>382</v>
      </c>
      <c r="P221" t="s">
        <v>382</v>
      </c>
      <c r="Q221" t="s">
        <v>382</v>
      </c>
      <c r="R221" t="s">
        <v>382</v>
      </c>
      <c r="S221" t="s">
        <v>382</v>
      </c>
      <c r="T221" t="s">
        <v>382</v>
      </c>
      <c r="U221" t="s">
        <v>382</v>
      </c>
      <c r="V221" t="s">
        <v>382</v>
      </c>
      <c r="W221" t="s">
        <v>382</v>
      </c>
      <c r="X221" t="s">
        <v>382</v>
      </c>
      <c r="Y221" t="s">
        <v>382</v>
      </c>
      <c r="Z221" t="s">
        <v>382</v>
      </c>
      <c r="AA221" t="s">
        <v>382</v>
      </c>
      <c r="AB221" t="s">
        <v>382</v>
      </c>
      <c r="AC221">
        <v>5</v>
      </c>
      <c r="AD221">
        <v>5</v>
      </c>
      <c r="AE221">
        <v>1</v>
      </c>
      <c r="AF221" t="s">
        <v>383</v>
      </c>
      <c r="AH221" t="s">
        <v>22</v>
      </c>
      <c r="AI221" t="s">
        <v>97</v>
      </c>
      <c r="AK221">
        <v>884</v>
      </c>
      <c r="AL221">
        <v>1185</v>
      </c>
    </row>
    <row r="222" spans="1:38">
      <c r="A222" t="s">
        <v>382</v>
      </c>
      <c r="B222" t="s">
        <v>382</v>
      </c>
      <c r="C222" t="s">
        <v>382</v>
      </c>
      <c r="D222" t="s">
        <v>382</v>
      </c>
      <c r="E222" t="s">
        <v>382</v>
      </c>
      <c r="F222" t="s">
        <v>382</v>
      </c>
      <c r="G222" t="s">
        <v>382</v>
      </c>
      <c r="H222" t="s">
        <v>382</v>
      </c>
      <c r="I222" t="s">
        <v>382</v>
      </c>
      <c r="J222" t="s">
        <v>382</v>
      </c>
      <c r="K222" t="s">
        <v>382</v>
      </c>
      <c r="L222" t="s">
        <v>382</v>
      </c>
      <c r="M222" t="s">
        <v>382</v>
      </c>
      <c r="N222" t="s">
        <v>382</v>
      </c>
      <c r="O222" t="s">
        <v>382</v>
      </c>
      <c r="P222" t="s">
        <v>382</v>
      </c>
      <c r="Q222" t="s">
        <v>382</v>
      </c>
      <c r="R222" t="s">
        <v>382</v>
      </c>
      <c r="S222" t="s">
        <v>382</v>
      </c>
      <c r="T222" t="s">
        <v>382</v>
      </c>
      <c r="U222" t="s">
        <v>382</v>
      </c>
      <c r="V222" t="s">
        <v>382</v>
      </c>
      <c r="W222" t="s">
        <v>382</v>
      </c>
      <c r="X222" t="s">
        <v>382</v>
      </c>
      <c r="Y222" t="s">
        <v>382</v>
      </c>
      <c r="Z222" t="s">
        <v>382</v>
      </c>
      <c r="AA222" t="s">
        <v>382</v>
      </c>
      <c r="AB222" t="s">
        <v>382</v>
      </c>
      <c r="AC222">
        <v>5</v>
      </c>
      <c r="AD222">
        <v>1</v>
      </c>
      <c r="AE222">
        <v>1</v>
      </c>
      <c r="AF222" t="s">
        <v>389</v>
      </c>
      <c r="AH222" t="s">
        <v>35</v>
      </c>
      <c r="AI222" t="s">
        <v>97</v>
      </c>
      <c r="AK222">
        <v>2882</v>
      </c>
      <c r="AL222">
        <v>299</v>
      </c>
    </row>
    <row r="223" spans="1:38">
      <c r="A223" t="s">
        <v>382</v>
      </c>
      <c r="B223" t="s">
        <v>382</v>
      </c>
      <c r="C223" t="s">
        <v>382</v>
      </c>
      <c r="D223" t="s">
        <v>382</v>
      </c>
      <c r="E223" t="s">
        <v>382</v>
      </c>
      <c r="F223" t="s">
        <v>382</v>
      </c>
      <c r="G223" t="s">
        <v>382</v>
      </c>
      <c r="H223" t="s">
        <v>382</v>
      </c>
      <c r="I223" t="s">
        <v>382</v>
      </c>
      <c r="J223" t="s">
        <v>382</v>
      </c>
      <c r="K223" t="s">
        <v>382</v>
      </c>
      <c r="L223" t="s">
        <v>382</v>
      </c>
      <c r="M223" t="s">
        <v>382</v>
      </c>
      <c r="N223" t="s">
        <v>382</v>
      </c>
      <c r="O223" t="s">
        <v>382</v>
      </c>
      <c r="P223" t="s">
        <v>382</v>
      </c>
      <c r="Q223" t="s">
        <v>382</v>
      </c>
      <c r="R223" t="s">
        <v>382</v>
      </c>
      <c r="S223" t="s">
        <v>382</v>
      </c>
      <c r="T223" t="s">
        <v>382</v>
      </c>
      <c r="U223" t="s">
        <v>382</v>
      </c>
      <c r="V223" t="s">
        <v>382</v>
      </c>
      <c r="W223" t="s">
        <v>382</v>
      </c>
      <c r="X223" t="s">
        <v>382</v>
      </c>
      <c r="Y223" t="s">
        <v>382</v>
      </c>
      <c r="Z223" t="s">
        <v>382</v>
      </c>
      <c r="AA223" t="s">
        <v>382</v>
      </c>
      <c r="AB223" t="s">
        <v>382</v>
      </c>
      <c r="AC223">
        <v>5</v>
      </c>
      <c r="AD223">
        <v>2</v>
      </c>
      <c r="AE223">
        <v>1</v>
      </c>
      <c r="AF223" t="s">
        <v>389</v>
      </c>
      <c r="AH223" t="s">
        <v>35</v>
      </c>
      <c r="AI223" t="s">
        <v>97</v>
      </c>
      <c r="AK223">
        <v>1886</v>
      </c>
      <c r="AL223">
        <v>517</v>
      </c>
    </row>
    <row r="224" spans="1:38">
      <c r="A224" t="s">
        <v>382</v>
      </c>
      <c r="B224" t="s">
        <v>382</v>
      </c>
      <c r="C224" t="s">
        <v>382</v>
      </c>
      <c r="D224" t="s">
        <v>382</v>
      </c>
      <c r="E224" t="s">
        <v>382</v>
      </c>
      <c r="F224" t="s">
        <v>382</v>
      </c>
      <c r="G224" t="s">
        <v>382</v>
      </c>
      <c r="H224" t="s">
        <v>382</v>
      </c>
      <c r="I224" t="s">
        <v>382</v>
      </c>
      <c r="J224" t="s">
        <v>382</v>
      </c>
      <c r="K224" t="s">
        <v>382</v>
      </c>
      <c r="L224" t="s">
        <v>382</v>
      </c>
      <c r="M224" t="s">
        <v>382</v>
      </c>
      <c r="N224" t="s">
        <v>382</v>
      </c>
      <c r="O224" t="s">
        <v>382</v>
      </c>
      <c r="P224" t="s">
        <v>382</v>
      </c>
      <c r="Q224" t="s">
        <v>382</v>
      </c>
      <c r="R224" t="s">
        <v>382</v>
      </c>
      <c r="S224" t="s">
        <v>382</v>
      </c>
      <c r="T224" t="s">
        <v>382</v>
      </c>
      <c r="U224" t="s">
        <v>382</v>
      </c>
      <c r="V224" t="s">
        <v>382</v>
      </c>
      <c r="W224" t="s">
        <v>382</v>
      </c>
      <c r="X224" t="s">
        <v>382</v>
      </c>
      <c r="Y224" t="s">
        <v>382</v>
      </c>
      <c r="Z224" t="s">
        <v>382</v>
      </c>
      <c r="AA224" t="s">
        <v>382</v>
      </c>
      <c r="AB224" t="s">
        <v>382</v>
      </c>
      <c r="AC224">
        <v>5</v>
      </c>
      <c r="AD224">
        <v>3</v>
      </c>
      <c r="AE224">
        <v>1</v>
      </c>
      <c r="AF224" t="s">
        <v>389</v>
      </c>
      <c r="AH224" t="s">
        <v>35</v>
      </c>
      <c r="AI224" t="s">
        <v>97</v>
      </c>
      <c r="AK224">
        <v>2133</v>
      </c>
      <c r="AL224">
        <v>2671</v>
      </c>
    </row>
    <row r="225" spans="1:38">
      <c r="A225" t="s">
        <v>382</v>
      </c>
      <c r="B225" t="s">
        <v>382</v>
      </c>
      <c r="C225" t="s">
        <v>382</v>
      </c>
      <c r="D225" t="s">
        <v>382</v>
      </c>
      <c r="E225" t="s">
        <v>382</v>
      </c>
      <c r="F225" t="s">
        <v>382</v>
      </c>
      <c r="G225" t="s">
        <v>382</v>
      </c>
      <c r="H225" t="s">
        <v>382</v>
      </c>
      <c r="I225" t="s">
        <v>382</v>
      </c>
      <c r="J225" t="s">
        <v>382</v>
      </c>
      <c r="K225" t="s">
        <v>382</v>
      </c>
      <c r="L225" t="s">
        <v>382</v>
      </c>
      <c r="M225" t="s">
        <v>382</v>
      </c>
      <c r="N225" t="s">
        <v>382</v>
      </c>
      <c r="O225" t="s">
        <v>382</v>
      </c>
      <c r="P225" t="s">
        <v>382</v>
      </c>
      <c r="Q225" t="s">
        <v>382</v>
      </c>
      <c r="R225" t="s">
        <v>382</v>
      </c>
      <c r="S225" t="s">
        <v>382</v>
      </c>
      <c r="T225" t="s">
        <v>382</v>
      </c>
      <c r="U225" t="s">
        <v>382</v>
      </c>
      <c r="V225" t="s">
        <v>382</v>
      </c>
      <c r="W225" t="s">
        <v>382</v>
      </c>
      <c r="X225" t="s">
        <v>382</v>
      </c>
      <c r="Y225" t="s">
        <v>382</v>
      </c>
      <c r="Z225" t="s">
        <v>382</v>
      </c>
      <c r="AA225" t="s">
        <v>382</v>
      </c>
      <c r="AB225" t="s">
        <v>382</v>
      </c>
      <c r="AC225">
        <v>5</v>
      </c>
      <c r="AD225">
        <v>4</v>
      </c>
      <c r="AE225">
        <v>1</v>
      </c>
      <c r="AF225" t="s">
        <v>389</v>
      </c>
      <c r="AH225" t="s">
        <v>35</v>
      </c>
      <c r="AI225" t="s">
        <v>97</v>
      </c>
      <c r="AK225">
        <v>2539</v>
      </c>
      <c r="AL225">
        <v>2113</v>
      </c>
    </row>
    <row r="226" spans="1:38">
      <c r="A226" t="s">
        <v>382</v>
      </c>
      <c r="B226" t="s">
        <v>382</v>
      </c>
      <c r="C226" t="s">
        <v>382</v>
      </c>
      <c r="D226" t="s">
        <v>382</v>
      </c>
      <c r="E226" t="s">
        <v>382</v>
      </c>
      <c r="F226" t="s">
        <v>382</v>
      </c>
      <c r="G226" t="s">
        <v>382</v>
      </c>
      <c r="H226" t="s">
        <v>382</v>
      </c>
      <c r="I226" t="s">
        <v>382</v>
      </c>
      <c r="J226" t="s">
        <v>382</v>
      </c>
      <c r="K226" t="s">
        <v>382</v>
      </c>
      <c r="L226" t="s">
        <v>382</v>
      </c>
      <c r="M226" t="s">
        <v>382</v>
      </c>
      <c r="N226" t="s">
        <v>382</v>
      </c>
      <c r="O226" t="s">
        <v>382</v>
      </c>
      <c r="P226" t="s">
        <v>382</v>
      </c>
      <c r="Q226" t="s">
        <v>382</v>
      </c>
      <c r="R226" t="s">
        <v>382</v>
      </c>
      <c r="S226" t="s">
        <v>382</v>
      </c>
      <c r="T226" t="s">
        <v>382</v>
      </c>
      <c r="U226" t="s">
        <v>382</v>
      </c>
      <c r="V226" t="s">
        <v>382</v>
      </c>
      <c r="W226" t="s">
        <v>382</v>
      </c>
      <c r="X226" t="s">
        <v>382</v>
      </c>
      <c r="Y226" t="s">
        <v>382</v>
      </c>
      <c r="Z226" t="s">
        <v>382</v>
      </c>
      <c r="AA226" t="s">
        <v>382</v>
      </c>
      <c r="AB226" t="s">
        <v>382</v>
      </c>
      <c r="AC226">
        <v>5</v>
      </c>
      <c r="AD226">
        <v>5</v>
      </c>
      <c r="AF226" t="s">
        <v>385</v>
      </c>
      <c r="AH226" t="s">
        <v>27</v>
      </c>
      <c r="AI226" t="s">
        <v>109</v>
      </c>
      <c r="AK226">
        <v>2482</v>
      </c>
      <c r="AL226">
        <v>473</v>
      </c>
    </row>
    <row r="227" spans="1:38">
      <c r="A227" t="s">
        <v>382</v>
      </c>
      <c r="B227" t="s">
        <v>382</v>
      </c>
      <c r="C227" t="s">
        <v>382</v>
      </c>
      <c r="D227" t="s">
        <v>382</v>
      </c>
      <c r="E227" t="s">
        <v>382</v>
      </c>
      <c r="F227" t="s">
        <v>382</v>
      </c>
      <c r="G227" t="s">
        <v>382</v>
      </c>
      <c r="H227" t="s">
        <v>382</v>
      </c>
      <c r="I227" t="s">
        <v>382</v>
      </c>
      <c r="J227" t="s">
        <v>382</v>
      </c>
      <c r="K227" t="s">
        <v>382</v>
      </c>
      <c r="L227" t="s">
        <v>382</v>
      </c>
      <c r="M227" t="s">
        <v>382</v>
      </c>
      <c r="N227" t="s">
        <v>382</v>
      </c>
      <c r="O227" t="s">
        <v>382</v>
      </c>
      <c r="P227" t="s">
        <v>382</v>
      </c>
      <c r="Q227" t="s">
        <v>382</v>
      </c>
      <c r="R227" t="s">
        <v>382</v>
      </c>
      <c r="S227" t="s">
        <v>382</v>
      </c>
      <c r="T227" t="s">
        <v>382</v>
      </c>
      <c r="U227" t="s">
        <v>382</v>
      </c>
      <c r="V227" t="s">
        <v>382</v>
      </c>
      <c r="W227" t="s">
        <v>382</v>
      </c>
      <c r="X227" t="s">
        <v>382</v>
      </c>
      <c r="Y227" t="s">
        <v>382</v>
      </c>
      <c r="Z227" t="s">
        <v>382</v>
      </c>
      <c r="AA227" t="s">
        <v>382</v>
      </c>
      <c r="AB227" t="s">
        <v>382</v>
      </c>
      <c r="AC227">
        <v>5</v>
      </c>
      <c r="AD227">
        <v>1</v>
      </c>
      <c r="AF227" t="s">
        <v>386</v>
      </c>
      <c r="AH227" t="s">
        <v>29</v>
      </c>
      <c r="AI227" t="s">
        <v>103</v>
      </c>
      <c r="AK227">
        <v>2416</v>
      </c>
      <c r="AL227">
        <v>2407</v>
      </c>
    </row>
    <row r="228" spans="1:38">
      <c r="A228" t="s">
        <v>382</v>
      </c>
      <c r="B228" t="s">
        <v>382</v>
      </c>
      <c r="C228" t="s">
        <v>382</v>
      </c>
      <c r="D228" t="s">
        <v>382</v>
      </c>
      <c r="E228" t="s">
        <v>382</v>
      </c>
      <c r="F228" t="s">
        <v>382</v>
      </c>
      <c r="G228" t="s">
        <v>382</v>
      </c>
      <c r="H228" t="s">
        <v>382</v>
      </c>
      <c r="I228" t="s">
        <v>382</v>
      </c>
      <c r="J228" t="s">
        <v>382</v>
      </c>
      <c r="K228" t="s">
        <v>382</v>
      </c>
      <c r="L228" t="s">
        <v>382</v>
      </c>
      <c r="M228" t="s">
        <v>382</v>
      </c>
      <c r="N228" t="s">
        <v>382</v>
      </c>
      <c r="O228" t="s">
        <v>382</v>
      </c>
      <c r="P228" t="s">
        <v>382</v>
      </c>
      <c r="Q228" t="s">
        <v>382</v>
      </c>
      <c r="R228" t="s">
        <v>382</v>
      </c>
      <c r="S228" t="s">
        <v>382</v>
      </c>
      <c r="T228" t="s">
        <v>382</v>
      </c>
      <c r="U228" t="s">
        <v>382</v>
      </c>
      <c r="V228" t="s">
        <v>382</v>
      </c>
      <c r="W228" t="s">
        <v>382</v>
      </c>
      <c r="X228" t="s">
        <v>382</v>
      </c>
      <c r="Y228" t="s">
        <v>382</v>
      </c>
      <c r="Z228" t="s">
        <v>382</v>
      </c>
      <c r="AA228" t="s">
        <v>382</v>
      </c>
      <c r="AB228" t="s">
        <v>382</v>
      </c>
      <c r="AC228">
        <v>5</v>
      </c>
      <c r="AD228">
        <v>2</v>
      </c>
      <c r="AF228" t="s">
        <v>384</v>
      </c>
      <c r="AH228" t="s">
        <v>25</v>
      </c>
      <c r="AI228" t="s">
        <v>106</v>
      </c>
      <c r="AK228">
        <v>2832</v>
      </c>
      <c r="AL228">
        <v>1512</v>
      </c>
    </row>
    <row r="229" spans="1:38">
      <c r="A229" t="s">
        <v>382</v>
      </c>
      <c r="B229" t="s">
        <v>382</v>
      </c>
      <c r="C229" t="s">
        <v>382</v>
      </c>
      <c r="D229" t="s">
        <v>382</v>
      </c>
      <c r="E229" t="s">
        <v>382</v>
      </c>
      <c r="F229" t="s">
        <v>382</v>
      </c>
      <c r="G229" t="s">
        <v>382</v>
      </c>
      <c r="H229" t="s">
        <v>382</v>
      </c>
      <c r="I229" t="s">
        <v>382</v>
      </c>
      <c r="J229" t="s">
        <v>382</v>
      </c>
      <c r="K229" t="s">
        <v>382</v>
      </c>
      <c r="L229" t="s">
        <v>382</v>
      </c>
      <c r="M229" t="s">
        <v>382</v>
      </c>
      <c r="N229" t="s">
        <v>382</v>
      </c>
      <c r="O229" t="s">
        <v>382</v>
      </c>
      <c r="P229" t="s">
        <v>382</v>
      </c>
      <c r="Q229" t="s">
        <v>382</v>
      </c>
      <c r="R229" t="s">
        <v>382</v>
      </c>
      <c r="S229" t="s">
        <v>382</v>
      </c>
      <c r="T229" t="s">
        <v>382</v>
      </c>
      <c r="U229" t="s">
        <v>382</v>
      </c>
      <c r="V229" t="s">
        <v>382</v>
      </c>
      <c r="W229" t="s">
        <v>382</v>
      </c>
      <c r="X229" t="s">
        <v>382</v>
      </c>
      <c r="Y229" t="s">
        <v>382</v>
      </c>
      <c r="Z229" t="s">
        <v>382</v>
      </c>
      <c r="AA229" t="s">
        <v>382</v>
      </c>
      <c r="AB229" t="s">
        <v>382</v>
      </c>
      <c r="AC229">
        <v>5</v>
      </c>
      <c r="AD229">
        <v>3</v>
      </c>
      <c r="AE229">
        <v>1</v>
      </c>
      <c r="AF229" t="s">
        <v>383</v>
      </c>
      <c r="AH229" t="s">
        <v>22</v>
      </c>
      <c r="AI229" t="s">
        <v>97</v>
      </c>
      <c r="AK229">
        <v>950</v>
      </c>
      <c r="AL229">
        <v>461</v>
      </c>
    </row>
    <row r="230" spans="1:38">
      <c r="A230" t="s">
        <v>382</v>
      </c>
      <c r="B230" t="s">
        <v>382</v>
      </c>
      <c r="C230" t="s">
        <v>382</v>
      </c>
      <c r="D230" t="s">
        <v>382</v>
      </c>
      <c r="E230" t="s">
        <v>382</v>
      </c>
      <c r="F230" t="s">
        <v>382</v>
      </c>
      <c r="G230" t="s">
        <v>382</v>
      </c>
      <c r="H230" t="s">
        <v>382</v>
      </c>
      <c r="I230" t="s">
        <v>382</v>
      </c>
      <c r="J230" t="s">
        <v>382</v>
      </c>
      <c r="K230" t="s">
        <v>382</v>
      </c>
      <c r="L230" t="s">
        <v>382</v>
      </c>
      <c r="M230" t="s">
        <v>382</v>
      </c>
      <c r="N230" t="s">
        <v>382</v>
      </c>
      <c r="O230" t="s">
        <v>382</v>
      </c>
      <c r="P230" t="s">
        <v>382</v>
      </c>
      <c r="Q230" t="s">
        <v>382</v>
      </c>
      <c r="R230" t="s">
        <v>382</v>
      </c>
      <c r="S230" t="s">
        <v>382</v>
      </c>
      <c r="T230" t="s">
        <v>382</v>
      </c>
      <c r="U230" t="s">
        <v>382</v>
      </c>
      <c r="V230" t="s">
        <v>382</v>
      </c>
      <c r="W230" t="s">
        <v>382</v>
      </c>
      <c r="X230" t="s">
        <v>382</v>
      </c>
      <c r="Y230" t="s">
        <v>382</v>
      </c>
      <c r="Z230" t="s">
        <v>382</v>
      </c>
      <c r="AA230" t="s">
        <v>382</v>
      </c>
      <c r="AB230" t="s">
        <v>382</v>
      </c>
      <c r="AC230">
        <v>5</v>
      </c>
      <c r="AD230">
        <v>4</v>
      </c>
      <c r="AE230">
        <v>1</v>
      </c>
      <c r="AF230" t="s">
        <v>383</v>
      </c>
      <c r="AH230" t="s">
        <v>22</v>
      </c>
      <c r="AI230" t="s">
        <v>97</v>
      </c>
      <c r="AK230">
        <v>1371</v>
      </c>
      <c r="AL230">
        <v>108</v>
      </c>
    </row>
    <row r="231" spans="1:38">
      <c r="A231" t="s">
        <v>382</v>
      </c>
      <c r="B231" t="s">
        <v>382</v>
      </c>
      <c r="C231" t="s">
        <v>382</v>
      </c>
      <c r="D231" t="s">
        <v>382</v>
      </c>
      <c r="E231" t="s">
        <v>382</v>
      </c>
      <c r="F231" t="s">
        <v>382</v>
      </c>
      <c r="G231" t="s">
        <v>382</v>
      </c>
      <c r="H231" t="s">
        <v>382</v>
      </c>
      <c r="I231" t="s">
        <v>382</v>
      </c>
      <c r="J231" t="s">
        <v>382</v>
      </c>
      <c r="K231" t="s">
        <v>382</v>
      </c>
      <c r="L231" t="s">
        <v>382</v>
      </c>
      <c r="M231" t="s">
        <v>382</v>
      </c>
      <c r="N231" t="s">
        <v>382</v>
      </c>
      <c r="O231" t="s">
        <v>382</v>
      </c>
      <c r="P231" t="s">
        <v>382</v>
      </c>
      <c r="Q231" t="s">
        <v>382</v>
      </c>
      <c r="R231" t="s">
        <v>382</v>
      </c>
      <c r="S231" t="s">
        <v>382</v>
      </c>
      <c r="T231" t="s">
        <v>382</v>
      </c>
      <c r="U231" t="s">
        <v>382</v>
      </c>
      <c r="V231" t="s">
        <v>382</v>
      </c>
      <c r="W231" t="s">
        <v>382</v>
      </c>
      <c r="X231" t="s">
        <v>382</v>
      </c>
      <c r="Y231" t="s">
        <v>382</v>
      </c>
      <c r="Z231" t="s">
        <v>382</v>
      </c>
      <c r="AA231" t="s">
        <v>382</v>
      </c>
      <c r="AB231" t="s">
        <v>382</v>
      </c>
      <c r="AC231">
        <v>5</v>
      </c>
      <c r="AD231">
        <v>5</v>
      </c>
      <c r="AE231">
        <v>1</v>
      </c>
      <c r="AF231" t="s">
        <v>393</v>
      </c>
      <c r="AH231" t="s">
        <v>51</v>
      </c>
      <c r="AI231" t="s">
        <v>97</v>
      </c>
      <c r="AK231">
        <v>3023</v>
      </c>
      <c r="AL231">
        <v>309</v>
      </c>
    </row>
    <row r="232" spans="1:38">
      <c r="A232" t="s">
        <v>382</v>
      </c>
      <c r="B232" t="s">
        <v>382</v>
      </c>
      <c r="C232" t="s">
        <v>382</v>
      </c>
      <c r="D232" t="s">
        <v>382</v>
      </c>
      <c r="E232" t="s">
        <v>382</v>
      </c>
      <c r="F232" t="s">
        <v>382</v>
      </c>
      <c r="G232" t="s">
        <v>382</v>
      </c>
      <c r="H232" t="s">
        <v>382</v>
      </c>
      <c r="I232" t="s">
        <v>382</v>
      </c>
      <c r="J232" t="s">
        <v>382</v>
      </c>
      <c r="K232" t="s">
        <v>382</v>
      </c>
      <c r="L232" t="s">
        <v>382</v>
      </c>
      <c r="M232" t="s">
        <v>382</v>
      </c>
      <c r="N232" t="s">
        <v>382</v>
      </c>
      <c r="O232" t="s">
        <v>382</v>
      </c>
      <c r="P232" t="s">
        <v>382</v>
      </c>
      <c r="Q232" t="s">
        <v>382</v>
      </c>
      <c r="R232" t="s">
        <v>382</v>
      </c>
      <c r="S232" t="s">
        <v>382</v>
      </c>
      <c r="T232" t="s">
        <v>382</v>
      </c>
      <c r="U232" t="s">
        <v>382</v>
      </c>
      <c r="V232" t="s">
        <v>382</v>
      </c>
      <c r="W232" t="s">
        <v>382</v>
      </c>
      <c r="X232" t="s">
        <v>382</v>
      </c>
      <c r="Y232" t="s">
        <v>382</v>
      </c>
      <c r="Z232" t="s">
        <v>382</v>
      </c>
      <c r="AA232" t="s">
        <v>382</v>
      </c>
      <c r="AB232" t="s">
        <v>382</v>
      </c>
      <c r="AC232">
        <v>5</v>
      </c>
      <c r="AD232">
        <v>1</v>
      </c>
      <c r="AF232" t="s">
        <v>386</v>
      </c>
      <c r="AH232" t="s">
        <v>29</v>
      </c>
      <c r="AI232" t="s">
        <v>103</v>
      </c>
      <c r="AK232">
        <v>566</v>
      </c>
      <c r="AL232">
        <v>72</v>
      </c>
    </row>
    <row r="233" spans="1:38">
      <c r="A233" t="s">
        <v>382</v>
      </c>
      <c r="B233" t="s">
        <v>382</v>
      </c>
      <c r="C233" t="s">
        <v>382</v>
      </c>
      <c r="D233" t="s">
        <v>382</v>
      </c>
      <c r="E233" t="s">
        <v>382</v>
      </c>
      <c r="F233" t="s">
        <v>382</v>
      </c>
      <c r="G233" t="s">
        <v>382</v>
      </c>
      <c r="H233" t="s">
        <v>382</v>
      </c>
      <c r="I233" t="s">
        <v>382</v>
      </c>
      <c r="J233" t="s">
        <v>382</v>
      </c>
      <c r="K233" t="s">
        <v>382</v>
      </c>
      <c r="L233" t="s">
        <v>382</v>
      </c>
      <c r="M233" t="s">
        <v>382</v>
      </c>
      <c r="N233" t="s">
        <v>382</v>
      </c>
      <c r="O233" t="s">
        <v>382</v>
      </c>
      <c r="P233" t="s">
        <v>382</v>
      </c>
      <c r="Q233" t="s">
        <v>382</v>
      </c>
      <c r="R233" t="s">
        <v>382</v>
      </c>
      <c r="S233" t="s">
        <v>382</v>
      </c>
      <c r="T233" t="s">
        <v>382</v>
      </c>
      <c r="U233" t="s">
        <v>382</v>
      </c>
      <c r="V233" t="s">
        <v>382</v>
      </c>
      <c r="W233" t="s">
        <v>382</v>
      </c>
      <c r="X233" t="s">
        <v>382</v>
      </c>
      <c r="Y233" t="s">
        <v>382</v>
      </c>
      <c r="Z233" t="s">
        <v>382</v>
      </c>
      <c r="AA233" t="s">
        <v>382</v>
      </c>
      <c r="AB233" t="s">
        <v>382</v>
      </c>
      <c r="AC233">
        <v>5</v>
      </c>
      <c r="AD233">
        <v>2</v>
      </c>
      <c r="AE233">
        <v>1</v>
      </c>
      <c r="AF233" t="s">
        <v>393</v>
      </c>
      <c r="AH233" t="s">
        <v>51</v>
      </c>
      <c r="AI233" t="s">
        <v>97</v>
      </c>
      <c r="AK233">
        <v>838</v>
      </c>
      <c r="AL233">
        <v>2530</v>
      </c>
    </row>
    <row r="234" spans="1:38">
      <c r="A234" t="s">
        <v>382</v>
      </c>
      <c r="B234" t="s">
        <v>382</v>
      </c>
      <c r="C234" t="s">
        <v>382</v>
      </c>
      <c r="D234" t="s">
        <v>382</v>
      </c>
      <c r="E234" t="s">
        <v>382</v>
      </c>
      <c r="F234" t="s">
        <v>382</v>
      </c>
      <c r="G234" t="s">
        <v>382</v>
      </c>
      <c r="H234" t="s">
        <v>382</v>
      </c>
      <c r="I234" t="s">
        <v>382</v>
      </c>
      <c r="J234" t="s">
        <v>382</v>
      </c>
      <c r="K234" t="s">
        <v>382</v>
      </c>
      <c r="L234" t="s">
        <v>382</v>
      </c>
      <c r="M234" t="s">
        <v>382</v>
      </c>
      <c r="N234" t="s">
        <v>382</v>
      </c>
      <c r="O234" t="s">
        <v>382</v>
      </c>
      <c r="P234" t="s">
        <v>382</v>
      </c>
      <c r="Q234" t="s">
        <v>382</v>
      </c>
      <c r="R234" t="s">
        <v>382</v>
      </c>
      <c r="S234" t="s">
        <v>382</v>
      </c>
      <c r="T234" t="s">
        <v>382</v>
      </c>
      <c r="U234" t="s">
        <v>382</v>
      </c>
      <c r="V234" t="s">
        <v>382</v>
      </c>
      <c r="W234" t="s">
        <v>382</v>
      </c>
      <c r="X234" t="s">
        <v>382</v>
      </c>
      <c r="Y234" t="s">
        <v>382</v>
      </c>
      <c r="Z234" t="s">
        <v>382</v>
      </c>
      <c r="AA234" t="s">
        <v>382</v>
      </c>
      <c r="AB234" t="s">
        <v>382</v>
      </c>
      <c r="AC234">
        <v>5</v>
      </c>
      <c r="AD234">
        <v>3</v>
      </c>
      <c r="AE234">
        <v>1</v>
      </c>
      <c r="AF234" t="s">
        <v>383</v>
      </c>
      <c r="AH234" t="s">
        <v>22</v>
      </c>
      <c r="AI234" t="s">
        <v>97</v>
      </c>
      <c r="AK234">
        <v>2295</v>
      </c>
      <c r="AL234">
        <v>1615</v>
      </c>
    </row>
    <row r="235" spans="1:38">
      <c r="A235" t="s">
        <v>382</v>
      </c>
      <c r="B235" t="s">
        <v>382</v>
      </c>
      <c r="C235" t="s">
        <v>382</v>
      </c>
      <c r="D235" t="s">
        <v>382</v>
      </c>
      <c r="E235" t="s">
        <v>382</v>
      </c>
      <c r="F235" t="s">
        <v>382</v>
      </c>
      <c r="G235" t="s">
        <v>382</v>
      </c>
      <c r="H235" t="s">
        <v>382</v>
      </c>
      <c r="I235" t="s">
        <v>382</v>
      </c>
      <c r="J235" t="s">
        <v>382</v>
      </c>
      <c r="K235" t="s">
        <v>382</v>
      </c>
      <c r="L235" t="s">
        <v>382</v>
      </c>
      <c r="M235" t="s">
        <v>382</v>
      </c>
      <c r="N235" t="s">
        <v>382</v>
      </c>
      <c r="O235" t="s">
        <v>382</v>
      </c>
      <c r="P235" t="s">
        <v>382</v>
      </c>
      <c r="Q235" t="s">
        <v>382</v>
      </c>
      <c r="R235" t="s">
        <v>382</v>
      </c>
      <c r="S235" t="s">
        <v>382</v>
      </c>
      <c r="T235" t="s">
        <v>382</v>
      </c>
      <c r="U235" t="s">
        <v>382</v>
      </c>
      <c r="V235" t="s">
        <v>382</v>
      </c>
      <c r="W235" t="s">
        <v>382</v>
      </c>
      <c r="X235" t="s">
        <v>382</v>
      </c>
      <c r="Y235" t="s">
        <v>382</v>
      </c>
      <c r="Z235" t="s">
        <v>382</v>
      </c>
      <c r="AA235" t="s">
        <v>382</v>
      </c>
      <c r="AB235" t="s">
        <v>382</v>
      </c>
      <c r="AC235">
        <v>5</v>
      </c>
      <c r="AD235">
        <v>4</v>
      </c>
      <c r="AE235">
        <v>1</v>
      </c>
      <c r="AF235" t="s">
        <v>483</v>
      </c>
      <c r="AH235" t="s">
        <v>157</v>
      </c>
      <c r="AI235" t="s">
        <v>97</v>
      </c>
      <c r="AK235">
        <v>2559</v>
      </c>
      <c r="AL235">
        <v>1194</v>
      </c>
    </row>
    <row r="236" spans="1:38">
      <c r="A236" t="s">
        <v>382</v>
      </c>
      <c r="B236" t="s">
        <v>382</v>
      </c>
      <c r="C236" t="s">
        <v>382</v>
      </c>
      <c r="D236" t="s">
        <v>382</v>
      </c>
      <c r="E236" t="s">
        <v>382</v>
      </c>
      <c r="F236" t="s">
        <v>382</v>
      </c>
      <c r="G236" t="s">
        <v>382</v>
      </c>
      <c r="H236" t="s">
        <v>382</v>
      </c>
      <c r="I236" t="s">
        <v>382</v>
      </c>
      <c r="J236" t="s">
        <v>382</v>
      </c>
      <c r="K236" t="s">
        <v>382</v>
      </c>
      <c r="L236" t="s">
        <v>382</v>
      </c>
      <c r="M236" t="s">
        <v>382</v>
      </c>
      <c r="N236" t="s">
        <v>382</v>
      </c>
      <c r="O236" t="s">
        <v>382</v>
      </c>
      <c r="P236" t="s">
        <v>382</v>
      </c>
      <c r="Q236" t="s">
        <v>382</v>
      </c>
      <c r="R236" t="s">
        <v>382</v>
      </c>
      <c r="S236" t="s">
        <v>382</v>
      </c>
      <c r="T236" t="s">
        <v>382</v>
      </c>
      <c r="U236" t="s">
        <v>382</v>
      </c>
      <c r="V236" t="s">
        <v>382</v>
      </c>
      <c r="W236" t="s">
        <v>382</v>
      </c>
      <c r="X236" t="s">
        <v>382</v>
      </c>
      <c r="Y236" t="s">
        <v>382</v>
      </c>
      <c r="Z236" t="s">
        <v>382</v>
      </c>
      <c r="AA236" t="s">
        <v>382</v>
      </c>
      <c r="AB236" t="s">
        <v>382</v>
      </c>
      <c r="AC236">
        <v>5</v>
      </c>
      <c r="AD236">
        <v>5</v>
      </c>
      <c r="AE236">
        <v>1</v>
      </c>
      <c r="AF236" t="s">
        <v>383</v>
      </c>
      <c r="AH236" t="s">
        <v>22</v>
      </c>
      <c r="AI236" t="s">
        <v>97</v>
      </c>
      <c r="AK236">
        <v>1532</v>
      </c>
      <c r="AL236">
        <v>1694</v>
      </c>
    </row>
    <row r="237" spans="1:38">
      <c r="A237" t="s">
        <v>382</v>
      </c>
      <c r="B237" t="s">
        <v>382</v>
      </c>
      <c r="C237" t="s">
        <v>382</v>
      </c>
      <c r="D237" t="s">
        <v>382</v>
      </c>
      <c r="E237" t="s">
        <v>382</v>
      </c>
      <c r="F237" t="s">
        <v>382</v>
      </c>
      <c r="G237" t="s">
        <v>382</v>
      </c>
      <c r="H237" t="s">
        <v>382</v>
      </c>
      <c r="I237" t="s">
        <v>382</v>
      </c>
      <c r="J237" t="s">
        <v>382</v>
      </c>
      <c r="K237" t="s">
        <v>382</v>
      </c>
      <c r="L237" t="s">
        <v>382</v>
      </c>
      <c r="M237" t="s">
        <v>382</v>
      </c>
      <c r="N237" t="s">
        <v>382</v>
      </c>
      <c r="O237" t="s">
        <v>382</v>
      </c>
      <c r="P237" t="s">
        <v>382</v>
      </c>
      <c r="Q237" t="s">
        <v>382</v>
      </c>
      <c r="R237" t="s">
        <v>382</v>
      </c>
      <c r="S237" t="s">
        <v>382</v>
      </c>
      <c r="T237" t="s">
        <v>382</v>
      </c>
      <c r="U237" t="s">
        <v>382</v>
      </c>
      <c r="V237" t="s">
        <v>382</v>
      </c>
      <c r="W237" t="s">
        <v>382</v>
      </c>
      <c r="X237" t="s">
        <v>382</v>
      </c>
      <c r="Y237" t="s">
        <v>382</v>
      </c>
      <c r="Z237" t="s">
        <v>382</v>
      </c>
      <c r="AA237" t="s">
        <v>382</v>
      </c>
      <c r="AB237" t="s">
        <v>382</v>
      </c>
      <c r="AC237">
        <v>5</v>
      </c>
      <c r="AD237">
        <v>1</v>
      </c>
      <c r="AF237" t="s">
        <v>385</v>
      </c>
      <c r="AH237" t="s">
        <v>27</v>
      </c>
      <c r="AI237" t="s">
        <v>109</v>
      </c>
      <c r="AK237">
        <v>681</v>
      </c>
      <c r="AL237">
        <v>1899</v>
      </c>
    </row>
    <row r="238" spans="1:38">
      <c r="A238" t="s">
        <v>382</v>
      </c>
      <c r="B238" t="s">
        <v>382</v>
      </c>
      <c r="C238" t="s">
        <v>382</v>
      </c>
      <c r="D238" t="s">
        <v>382</v>
      </c>
      <c r="E238" t="s">
        <v>382</v>
      </c>
      <c r="F238" t="s">
        <v>382</v>
      </c>
      <c r="G238" t="s">
        <v>382</v>
      </c>
      <c r="H238" t="s">
        <v>382</v>
      </c>
      <c r="I238" t="s">
        <v>382</v>
      </c>
      <c r="J238" t="s">
        <v>382</v>
      </c>
      <c r="K238" t="s">
        <v>382</v>
      </c>
      <c r="L238" t="s">
        <v>382</v>
      </c>
      <c r="M238" t="s">
        <v>382</v>
      </c>
      <c r="N238" t="s">
        <v>382</v>
      </c>
      <c r="O238" t="s">
        <v>382</v>
      </c>
      <c r="P238" t="s">
        <v>382</v>
      </c>
      <c r="Q238" t="s">
        <v>382</v>
      </c>
      <c r="R238" t="s">
        <v>382</v>
      </c>
      <c r="S238" t="s">
        <v>382</v>
      </c>
      <c r="T238" t="s">
        <v>382</v>
      </c>
      <c r="U238" t="s">
        <v>382</v>
      </c>
      <c r="V238" t="s">
        <v>382</v>
      </c>
      <c r="W238" t="s">
        <v>382</v>
      </c>
      <c r="X238" t="s">
        <v>382</v>
      </c>
      <c r="Y238" t="s">
        <v>382</v>
      </c>
      <c r="Z238" t="s">
        <v>382</v>
      </c>
      <c r="AA238" t="s">
        <v>382</v>
      </c>
      <c r="AB238" t="s">
        <v>382</v>
      </c>
      <c r="AC238">
        <v>5</v>
      </c>
      <c r="AD238">
        <v>2</v>
      </c>
      <c r="AE238">
        <v>1</v>
      </c>
      <c r="AF238" t="s">
        <v>387</v>
      </c>
      <c r="AH238" t="s">
        <v>31</v>
      </c>
      <c r="AI238" t="s">
        <v>97</v>
      </c>
      <c r="AK238">
        <v>1420</v>
      </c>
      <c r="AL238">
        <v>1741</v>
      </c>
    </row>
    <row r="239" spans="1:38">
      <c r="A239" t="s">
        <v>382</v>
      </c>
      <c r="B239" t="s">
        <v>382</v>
      </c>
      <c r="C239" t="s">
        <v>382</v>
      </c>
      <c r="D239" t="s">
        <v>382</v>
      </c>
      <c r="E239" t="s">
        <v>382</v>
      </c>
      <c r="F239" t="s">
        <v>382</v>
      </c>
      <c r="G239" t="s">
        <v>382</v>
      </c>
      <c r="H239" t="s">
        <v>382</v>
      </c>
      <c r="I239" t="s">
        <v>382</v>
      </c>
      <c r="J239" t="s">
        <v>382</v>
      </c>
      <c r="K239" t="s">
        <v>382</v>
      </c>
      <c r="L239" t="s">
        <v>382</v>
      </c>
      <c r="M239" t="s">
        <v>382</v>
      </c>
      <c r="N239" t="s">
        <v>382</v>
      </c>
      <c r="O239" t="s">
        <v>382</v>
      </c>
      <c r="P239" t="s">
        <v>382</v>
      </c>
      <c r="Q239" t="s">
        <v>382</v>
      </c>
      <c r="R239" t="s">
        <v>382</v>
      </c>
      <c r="S239" t="s">
        <v>382</v>
      </c>
      <c r="T239" t="s">
        <v>382</v>
      </c>
      <c r="U239" t="s">
        <v>382</v>
      </c>
      <c r="V239" t="s">
        <v>382</v>
      </c>
      <c r="W239" t="s">
        <v>382</v>
      </c>
      <c r="X239" t="s">
        <v>382</v>
      </c>
      <c r="Y239" t="s">
        <v>382</v>
      </c>
      <c r="Z239" t="s">
        <v>382</v>
      </c>
      <c r="AA239" t="s">
        <v>382</v>
      </c>
      <c r="AB239" t="s">
        <v>382</v>
      </c>
      <c r="AC239">
        <v>5</v>
      </c>
      <c r="AD239">
        <v>3</v>
      </c>
      <c r="AE239">
        <v>1</v>
      </c>
      <c r="AF239" t="s">
        <v>389</v>
      </c>
      <c r="AH239" t="s">
        <v>35</v>
      </c>
      <c r="AI239" t="s">
        <v>97</v>
      </c>
      <c r="AK239">
        <v>1973</v>
      </c>
      <c r="AL239">
        <v>1468</v>
      </c>
    </row>
    <row r="240" spans="1:38">
      <c r="A240" t="s">
        <v>382</v>
      </c>
      <c r="B240" t="s">
        <v>382</v>
      </c>
      <c r="C240" t="s">
        <v>382</v>
      </c>
      <c r="D240" t="s">
        <v>382</v>
      </c>
      <c r="E240" t="s">
        <v>382</v>
      </c>
      <c r="F240" t="s">
        <v>382</v>
      </c>
      <c r="G240" t="s">
        <v>382</v>
      </c>
      <c r="H240" t="s">
        <v>382</v>
      </c>
      <c r="I240" t="s">
        <v>382</v>
      </c>
      <c r="J240" t="s">
        <v>382</v>
      </c>
      <c r="K240" t="s">
        <v>382</v>
      </c>
      <c r="L240" t="s">
        <v>382</v>
      </c>
      <c r="M240" t="s">
        <v>382</v>
      </c>
      <c r="N240" t="s">
        <v>382</v>
      </c>
      <c r="O240" t="s">
        <v>382</v>
      </c>
      <c r="P240" t="s">
        <v>382</v>
      </c>
      <c r="Q240" t="s">
        <v>382</v>
      </c>
      <c r="R240" t="s">
        <v>382</v>
      </c>
      <c r="S240" t="s">
        <v>382</v>
      </c>
      <c r="T240" t="s">
        <v>382</v>
      </c>
      <c r="U240" t="s">
        <v>382</v>
      </c>
      <c r="V240" t="s">
        <v>382</v>
      </c>
      <c r="W240" t="s">
        <v>382</v>
      </c>
      <c r="X240" t="s">
        <v>382</v>
      </c>
      <c r="Y240" t="s">
        <v>382</v>
      </c>
      <c r="Z240" t="s">
        <v>382</v>
      </c>
      <c r="AA240" t="s">
        <v>382</v>
      </c>
      <c r="AB240" t="s">
        <v>382</v>
      </c>
      <c r="AC240">
        <v>5</v>
      </c>
      <c r="AD240">
        <v>4</v>
      </c>
      <c r="AE240">
        <v>1</v>
      </c>
      <c r="AF240" t="s">
        <v>389</v>
      </c>
      <c r="AH240" t="s">
        <v>35</v>
      </c>
      <c r="AI240" t="s">
        <v>97</v>
      </c>
      <c r="AK240">
        <v>960</v>
      </c>
      <c r="AL240">
        <v>1465</v>
      </c>
    </row>
    <row r="241" spans="1:38">
      <c r="A241" t="s">
        <v>382</v>
      </c>
      <c r="B241" t="s">
        <v>382</v>
      </c>
      <c r="C241" t="s">
        <v>382</v>
      </c>
      <c r="D241" t="s">
        <v>382</v>
      </c>
      <c r="E241" t="s">
        <v>382</v>
      </c>
      <c r="F241" t="s">
        <v>382</v>
      </c>
      <c r="G241" t="s">
        <v>382</v>
      </c>
      <c r="H241" t="s">
        <v>382</v>
      </c>
      <c r="I241" t="s">
        <v>382</v>
      </c>
      <c r="J241" t="s">
        <v>382</v>
      </c>
      <c r="K241" t="s">
        <v>382</v>
      </c>
      <c r="L241" t="s">
        <v>382</v>
      </c>
      <c r="M241" t="s">
        <v>382</v>
      </c>
      <c r="N241" t="s">
        <v>382</v>
      </c>
      <c r="O241" t="s">
        <v>382</v>
      </c>
      <c r="P241" t="s">
        <v>382</v>
      </c>
      <c r="Q241" t="s">
        <v>382</v>
      </c>
      <c r="R241" t="s">
        <v>382</v>
      </c>
      <c r="S241" t="s">
        <v>382</v>
      </c>
      <c r="T241" t="s">
        <v>382</v>
      </c>
      <c r="U241" t="s">
        <v>382</v>
      </c>
      <c r="V241" t="s">
        <v>382</v>
      </c>
      <c r="W241" t="s">
        <v>382</v>
      </c>
      <c r="X241" t="s">
        <v>382</v>
      </c>
      <c r="Y241" t="s">
        <v>382</v>
      </c>
      <c r="Z241" t="s">
        <v>382</v>
      </c>
      <c r="AA241" t="s">
        <v>382</v>
      </c>
      <c r="AB241" t="s">
        <v>382</v>
      </c>
      <c r="AC241">
        <v>5</v>
      </c>
      <c r="AD241">
        <v>5</v>
      </c>
      <c r="AE241">
        <v>1</v>
      </c>
      <c r="AF241" t="s">
        <v>389</v>
      </c>
      <c r="AH241" t="s">
        <v>35</v>
      </c>
      <c r="AI241" t="s">
        <v>97</v>
      </c>
      <c r="AK241">
        <v>742</v>
      </c>
      <c r="AL241">
        <v>1982</v>
      </c>
    </row>
    <row r="242" spans="1:38">
      <c r="A242" t="s">
        <v>382</v>
      </c>
      <c r="B242" t="s">
        <v>382</v>
      </c>
      <c r="C242" t="s">
        <v>382</v>
      </c>
      <c r="D242" t="s">
        <v>382</v>
      </c>
      <c r="E242" t="s">
        <v>382</v>
      </c>
      <c r="F242" t="s">
        <v>382</v>
      </c>
      <c r="G242" t="s">
        <v>382</v>
      </c>
      <c r="H242" t="s">
        <v>382</v>
      </c>
      <c r="I242" t="s">
        <v>382</v>
      </c>
      <c r="J242" t="s">
        <v>382</v>
      </c>
      <c r="K242" t="s">
        <v>382</v>
      </c>
      <c r="L242" t="s">
        <v>382</v>
      </c>
      <c r="M242" t="s">
        <v>382</v>
      </c>
      <c r="N242" t="s">
        <v>382</v>
      </c>
      <c r="O242" t="s">
        <v>382</v>
      </c>
      <c r="P242" t="s">
        <v>382</v>
      </c>
      <c r="Q242" t="s">
        <v>382</v>
      </c>
      <c r="R242" t="s">
        <v>382</v>
      </c>
      <c r="S242" t="s">
        <v>382</v>
      </c>
      <c r="T242" t="s">
        <v>382</v>
      </c>
      <c r="U242" t="s">
        <v>382</v>
      </c>
      <c r="V242" t="s">
        <v>382</v>
      </c>
      <c r="W242" t="s">
        <v>382</v>
      </c>
      <c r="X242" t="s">
        <v>382</v>
      </c>
      <c r="Y242" t="s">
        <v>382</v>
      </c>
      <c r="Z242" t="s">
        <v>382</v>
      </c>
      <c r="AA242" t="s">
        <v>382</v>
      </c>
      <c r="AB242" t="s">
        <v>382</v>
      </c>
      <c r="AC242">
        <v>5</v>
      </c>
      <c r="AD242">
        <v>1</v>
      </c>
      <c r="AF242" t="s">
        <v>385</v>
      </c>
      <c r="AH242" t="s">
        <v>27</v>
      </c>
      <c r="AI242" t="s">
        <v>109</v>
      </c>
      <c r="AK242">
        <v>2760</v>
      </c>
      <c r="AL242">
        <v>1623</v>
      </c>
    </row>
    <row r="243" spans="1:38">
      <c r="A243" t="s">
        <v>382</v>
      </c>
      <c r="B243" t="s">
        <v>382</v>
      </c>
      <c r="C243" t="s">
        <v>382</v>
      </c>
      <c r="D243" t="s">
        <v>382</v>
      </c>
      <c r="E243" t="s">
        <v>382</v>
      </c>
      <c r="F243" t="s">
        <v>382</v>
      </c>
      <c r="G243" t="s">
        <v>382</v>
      </c>
      <c r="H243" t="s">
        <v>382</v>
      </c>
      <c r="I243" t="s">
        <v>382</v>
      </c>
      <c r="J243" t="s">
        <v>382</v>
      </c>
      <c r="K243" t="s">
        <v>382</v>
      </c>
      <c r="L243" t="s">
        <v>382</v>
      </c>
      <c r="M243" t="s">
        <v>382</v>
      </c>
      <c r="N243" t="s">
        <v>382</v>
      </c>
      <c r="O243" t="s">
        <v>382</v>
      </c>
      <c r="P243" t="s">
        <v>382</v>
      </c>
      <c r="Q243" t="s">
        <v>382</v>
      </c>
      <c r="R243" t="s">
        <v>382</v>
      </c>
      <c r="S243" t="s">
        <v>382</v>
      </c>
      <c r="T243" t="s">
        <v>382</v>
      </c>
      <c r="U243" t="s">
        <v>382</v>
      </c>
      <c r="V243" t="s">
        <v>382</v>
      </c>
      <c r="W243" t="s">
        <v>382</v>
      </c>
      <c r="X243" t="s">
        <v>382</v>
      </c>
      <c r="Y243" t="s">
        <v>382</v>
      </c>
      <c r="Z243" t="s">
        <v>382</v>
      </c>
      <c r="AA243" t="s">
        <v>382</v>
      </c>
      <c r="AB243" t="s">
        <v>382</v>
      </c>
      <c r="AC243">
        <v>5</v>
      </c>
      <c r="AD243">
        <v>2</v>
      </c>
      <c r="AF243" t="s">
        <v>386</v>
      </c>
      <c r="AH243" t="s">
        <v>29</v>
      </c>
      <c r="AI243" t="s">
        <v>103</v>
      </c>
      <c r="AK243">
        <v>1733</v>
      </c>
      <c r="AL243">
        <v>476</v>
      </c>
    </row>
    <row r="244" spans="1:38">
      <c r="A244" t="s">
        <v>382</v>
      </c>
      <c r="B244" t="s">
        <v>382</v>
      </c>
      <c r="C244" t="s">
        <v>382</v>
      </c>
      <c r="D244" t="s">
        <v>382</v>
      </c>
      <c r="E244" t="s">
        <v>382</v>
      </c>
      <c r="F244" t="s">
        <v>382</v>
      </c>
      <c r="G244" t="s">
        <v>382</v>
      </c>
      <c r="H244" t="s">
        <v>382</v>
      </c>
      <c r="I244" t="s">
        <v>382</v>
      </c>
      <c r="J244" t="s">
        <v>382</v>
      </c>
      <c r="K244" t="s">
        <v>382</v>
      </c>
      <c r="L244" t="s">
        <v>382</v>
      </c>
      <c r="M244" t="s">
        <v>382</v>
      </c>
      <c r="N244" t="s">
        <v>382</v>
      </c>
      <c r="O244" t="s">
        <v>382</v>
      </c>
      <c r="P244" t="s">
        <v>382</v>
      </c>
      <c r="Q244" t="s">
        <v>382</v>
      </c>
      <c r="R244" t="s">
        <v>382</v>
      </c>
      <c r="S244" t="s">
        <v>382</v>
      </c>
      <c r="T244" t="s">
        <v>382</v>
      </c>
      <c r="U244" t="s">
        <v>382</v>
      </c>
      <c r="V244" t="s">
        <v>382</v>
      </c>
      <c r="W244" t="s">
        <v>382</v>
      </c>
      <c r="X244" t="s">
        <v>382</v>
      </c>
      <c r="Y244" t="s">
        <v>382</v>
      </c>
      <c r="Z244" t="s">
        <v>382</v>
      </c>
      <c r="AA244" t="s">
        <v>382</v>
      </c>
      <c r="AB244" t="s">
        <v>382</v>
      </c>
      <c r="AC244">
        <v>5</v>
      </c>
      <c r="AD244">
        <v>3</v>
      </c>
      <c r="AE244">
        <v>1</v>
      </c>
      <c r="AF244" t="s">
        <v>389</v>
      </c>
      <c r="AH244" t="s">
        <v>35</v>
      </c>
      <c r="AI244" t="s">
        <v>97</v>
      </c>
      <c r="AK244">
        <v>1800</v>
      </c>
      <c r="AL244">
        <v>1810</v>
      </c>
    </row>
    <row r="245" spans="1:38">
      <c r="A245" t="s">
        <v>382</v>
      </c>
      <c r="B245" t="s">
        <v>382</v>
      </c>
      <c r="C245" t="s">
        <v>382</v>
      </c>
      <c r="D245" t="s">
        <v>382</v>
      </c>
      <c r="E245" t="s">
        <v>382</v>
      </c>
      <c r="F245" t="s">
        <v>382</v>
      </c>
      <c r="G245" t="s">
        <v>382</v>
      </c>
      <c r="H245" t="s">
        <v>382</v>
      </c>
      <c r="I245" t="s">
        <v>382</v>
      </c>
      <c r="J245" t="s">
        <v>382</v>
      </c>
      <c r="K245" t="s">
        <v>382</v>
      </c>
      <c r="L245" t="s">
        <v>382</v>
      </c>
      <c r="M245" t="s">
        <v>382</v>
      </c>
      <c r="N245" t="s">
        <v>382</v>
      </c>
      <c r="O245" t="s">
        <v>382</v>
      </c>
      <c r="P245" t="s">
        <v>382</v>
      </c>
      <c r="Q245" t="s">
        <v>382</v>
      </c>
      <c r="R245" t="s">
        <v>382</v>
      </c>
      <c r="S245" t="s">
        <v>382</v>
      </c>
      <c r="T245" t="s">
        <v>382</v>
      </c>
      <c r="U245" t="s">
        <v>382</v>
      </c>
      <c r="V245" t="s">
        <v>382</v>
      </c>
      <c r="W245" t="s">
        <v>382</v>
      </c>
      <c r="X245" t="s">
        <v>382</v>
      </c>
      <c r="Y245" t="s">
        <v>382</v>
      </c>
      <c r="Z245" t="s">
        <v>382</v>
      </c>
      <c r="AA245" t="s">
        <v>382</v>
      </c>
      <c r="AB245" t="s">
        <v>382</v>
      </c>
      <c r="AC245">
        <v>5</v>
      </c>
      <c r="AD245">
        <v>4</v>
      </c>
      <c r="AF245" t="s">
        <v>386</v>
      </c>
      <c r="AH245" t="s">
        <v>29</v>
      </c>
      <c r="AI245" t="s">
        <v>103</v>
      </c>
      <c r="AK245">
        <v>2304</v>
      </c>
      <c r="AL245">
        <v>1637</v>
      </c>
    </row>
    <row r="246" spans="1:38">
      <c r="A246" t="s">
        <v>382</v>
      </c>
      <c r="B246" t="s">
        <v>382</v>
      </c>
      <c r="C246" t="s">
        <v>382</v>
      </c>
      <c r="D246" t="s">
        <v>382</v>
      </c>
      <c r="E246" t="s">
        <v>382</v>
      </c>
      <c r="F246" t="s">
        <v>382</v>
      </c>
      <c r="G246" t="s">
        <v>382</v>
      </c>
      <c r="H246" t="s">
        <v>382</v>
      </c>
      <c r="I246" t="s">
        <v>382</v>
      </c>
      <c r="J246" t="s">
        <v>382</v>
      </c>
      <c r="K246" t="s">
        <v>382</v>
      </c>
      <c r="L246" t="s">
        <v>382</v>
      </c>
      <c r="M246" t="s">
        <v>382</v>
      </c>
      <c r="N246" t="s">
        <v>382</v>
      </c>
      <c r="O246" t="s">
        <v>382</v>
      </c>
      <c r="P246" t="s">
        <v>382</v>
      </c>
      <c r="Q246" t="s">
        <v>382</v>
      </c>
      <c r="R246" t="s">
        <v>382</v>
      </c>
      <c r="S246" t="s">
        <v>382</v>
      </c>
      <c r="T246" t="s">
        <v>382</v>
      </c>
      <c r="U246" t="s">
        <v>382</v>
      </c>
      <c r="V246" t="s">
        <v>382</v>
      </c>
      <c r="W246" t="s">
        <v>382</v>
      </c>
      <c r="X246" t="s">
        <v>382</v>
      </c>
      <c r="Y246" t="s">
        <v>382</v>
      </c>
      <c r="Z246" t="s">
        <v>382</v>
      </c>
      <c r="AA246" t="s">
        <v>382</v>
      </c>
      <c r="AB246" t="s">
        <v>382</v>
      </c>
      <c r="AC246">
        <v>5</v>
      </c>
      <c r="AD246">
        <v>5</v>
      </c>
      <c r="AE246">
        <v>1</v>
      </c>
      <c r="AF246" t="s">
        <v>393</v>
      </c>
      <c r="AH246" t="s">
        <v>51</v>
      </c>
      <c r="AI246" t="s">
        <v>97</v>
      </c>
      <c r="AK246">
        <v>3023</v>
      </c>
      <c r="AL246">
        <v>1837</v>
      </c>
    </row>
    <row r="247" spans="1:38">
      <c r="A247" t="s">
        <v>382</v>
      </c>
      <c r="B247" t="s">
        <v>382</v>
      </c>
      <c r="C247" t="s">
        <v>382</v>
      </c>
      <c r="D247" t="s">
        <v>382</v>
      </c>
      <c r="E247" t="s">
        <v>382</v>
      </c>
      <c r="F247" t="s">
        <v>382</v>
      </c>
      <c r="G247" t="s">
        <v>382</v>
      </c>
      <c r="H247" t="s">
        <v>382</v>
      </c>
      <c r="I247" t="s">
        <v>382</v>
      </c>
      <c r="J247" t="s">
        <v>382</v>
      </c>
      <c r="K247" t="s">
        <v>382</v>
      </c>
      <c r="L247" t="s">
        <v>382</v>
      </c>
      <c r="M247" t="s">
        <v>382</v>
      </c>
      <c r="N247" t="s">
        <v>382</v>
      </c>
      <c r="O247" t="s">
        <v>382</v>
      </c>
      <c r="P247" t="s">
        <v>382</v>
      </c>
      <c r="Q247" t="s">
        <v>382</v>
      </c>
      <c r="R247" t="s">
        <v>382</v>
      </c>
      <c r="S247" t="s">
        <v>382</v>
      </c>
      <c r="T247" t="s">
        <v>382</v>
      </c>
      <c r="U247" t="s">
        <v>382</v>
      </c>
      <c r="V247" t="s">
        <v>382</v>
      </c>
      <c r="W247" t="s">
        <v>382</v>
      </c>
      <c r="X247" t="s">
        <v>382</v>
      </c>
      <c r="Y247" t="s">
        <v>382</v>
      </c>
      <c r="Z247" t="s">
        <v>382</v>
      </c>
      <c r="AA247" t="s">
        <v>382</v>
      </c>
      <c r="AB247" t="s">
        <v>382</v>
      </c>
      <c r="AC247">
        <v>5</v>
      </c>
      <c r="AD247">
        <v>1</v>
      </c>
      <c r="AE247">
        <v>1</v>
      </c>
      <c r="AF247" t="s">
        <v>400</v>
      </c>
      <c r="AH247" t="s">
        <v>89</v>
      </c>
      <c r="AI247" t="s">
        <v>97</v>
      </c>
      <c r="AK247">
        <v>1623</v>
      </c>
      <c r="AL247">
        <v>1055</v>
      </c>
    </row>
    <row r="248" spans="1:38">
      <c r="A248" t="s">
        <v>382</v>
      </c>
      <c r="B248" t="s">
        <v>382</v>
      </c>
      <c r="C248" t="s">
        <v>382</v>
      </c>
      <c r="D248" t="s">
        <v>382</v>
      </c>
      <c r="E248" t="s">
        <v>382</v>
      </c>
      <c r="F248" t="s">
        <v>382</v>
      </c>
      <c r="G248" t="s">
        <v>382</v>
      </c>
      <c r="H248" t="s">
        <v>382</v>
      </c>
      <c r="I248" t="s">
        <v>382</v>
      </c>
      <c r="J248" t="s">
        <v>382</v>
      </c>
      <c r="K248" t="s">
        <v>382</v>
      </c>
      <c r="L248" t="s">
        <v>382</v>
      </c>
      <c r="M248" t="s">
        <v>382</v>
      </c>
      <c r="N248" t="s">
        <v>382</v>
      </c>
      <c r="O248" t="s">
        <v>382</v>
      </c>
      <c r="P248" t="s">
        <v>382</v>
      </c>
      <c r="Q248" t="s">
        <v>382</v>
      </c>
      <c r="R248" t="s">
        <v>382</v>
      </c>
      <c r="S248" t="s">
        <v>382</v>
      </c>
      <c r="T248" t="s">
        <v>382</v>
      </c>
      <c r="U248" t="s">
        <v>382</v>
      </c>
      <c r="V248" t="s">
        <v>382</v>
      </c>
      <c r="W248" t="s">
        <v>382</v>
      </c>
      <c r="X248" t="s">
        <v>382</v>
      </c>
      <c r="Y248" t="s">
        <v>382</v>
      </c>
      <c r="Z248" t="s">
        <v>382</v>
      </c>
      <c r="AA248" t="s">
        <v>382</v>
      </c>
      <c r="AB248" t="s">
        <v>382</v>
      </c>
      <c r="AC248">
        <v>5</v>
      </c>
      <c r="AD248">
        <v>2</v>
      </c>
      <c r="AE248">
        <v>1</v>
      </c>
      <c r="AF248" t="s">
        <v>389</v>
      </c>
      <c r="AH248" t="s">
        <v>35</v>
      </c>
      <c r="AI248" t="s">
        <v>97</v>
      </c>
      <c r="AK248">
        <v>927</v>
      </c>
      <c r="AL248">
        <v>1733</v>
      </c>
    </row>
    <row r="249" spans="1:38">
      <c r="A249" t="s">
        <v>382</v>
      </c>
      <c r="B249" t="s">
        <v>382</v>
      </c>
      <c r="C249" t="s">
        <v>382</v>
      </c>
      <c r="D249" t="s">
        <v>382</v>
      </c>
      <c r="E249" t="s">
        <v>382</v>
      </c>
      <c r="F249" t="s">
        <v>382</v>
      </c>
      <c r="G249" t="s">
        <v>382</v>
      </c>
      <c r="H249" t="s">
        <v>382</v>
      </c>
      <c r="I249" t="s">
        <v>382</v>
      </c>
      <c r="J249" t="s">
        <v>382</v>
      </c>
      <c r="K249" t="s">
        <v>382</v>
      </c>
      <c r="L249" t="s">
        <v>382</v>
      </c>
      <c r="M249" t="s">
        <v>382</v>
      </c>
      <c r="N249" t="s">
        <v>382</v>
      </c>
      <c r="O249" t="s">
        <v>382</v>
      </c>
      <c r="P249" t="s">
        <v>382</v>
      </c>
      <c r="Q249" t="s">
        <v>382</v>
      </c>
      <c r="R249" t="s">
        <v>382</v>
      </c>
      <c r="S249" t="s">
        <v>382</v>
      </c>
      <c r="T249" t="s">
        <v>382</v>
      </c>
      <c r="U249" t="s">
        <v>382</v>
      </c>
      <c r="V249" t="s">
        <v>382</v>
      </c>
      <c r="W249" t="s">
        <v>382</v>
      </c>
      <c r="X249" t="s">
        <v>382</v>
      </c>
      <c r="Y249" t="s">
        <v>382</v>
      </c>
      <c r="Z249" t="s">
        <v>382</v>
      </c>
      <c r="AA249" t="s">
        <v>382</v>
      </c>
      <c r="AB249" t="s">
        <v>382</v>
      </c>
      <c r="AC249">
        <v>5</v>
      </c>
      <c r="AD249">
        <v>3</v>
      </c>
      <c r="AF249" t="s">
        <v>385</v>
      </c>
      <c r="AH249" t="s">
        <v>27</v>
      </c>
      <c r="AI249" t="s">
        <v>109</v>
      </c>
      <c r="AK249">
        <v>2871</v>
      </c>
      <c r="AL249">
        <v>1195</v>
      </c>
    </row>
    <row r="250" spans="1:38">
      <c r="A250" t="s">
        <v>382</v>
      </c>
      <c r="B250" t="s">
        <v>382</v>
      </c>
      <c r="C250" t="s">
        <v>382</v>
      </c>
      <c r="D250" t="s">
        <v>382</v>
      </c>
      <c r="E250" t="s">
        <v>382</v>
      </c>
      <c r="F250" t="s">
        <v>382</v>
      </c>
      <c r="G250" t="s">
        <v>382</v>
      </c>
      <c r="H250" t="s">
        <v>382</v>
      </c>
      <c r="I250" t="s">
        <v>382</v>
      </c>
      <c r="J250" t="s">
        <v>382</v>
      </c>
      <c r="K250" t="s">
        <v>382</v>
      </c>
      <c r="L250" t="s">
        <v>382</v>
      </c>
      <c r="M250" t="s">
        <v>382</v>
      </c>
      <c r="N250" t="s">
        <v>382</v>
      </c>
      <c r="O250" t="s">
        <v>382</v>
      </c>
      <c r="P250" t="s">
        <v>382</v>
      </c>
      <c r="Q250" t="s">
        <v>382</v>
      </c>
      <c r="R250" t="s">
        <v>382</v>
      </c>
      <c r="S250" t="s">
        <v>382</v>
      </c>
      <c r="T250" t="s">
        <v>382</v>
      </c>
      <c r="U250" t="s">
        <v>382</v>
      </c>
      <c r="V250" t="s">
        <v>382</v>
      </c>
      <c r="W250" t="s">
        <v>382</v>
      </c>
      <c r="X250" t="s">
        <v>382</v>
      </c>
      <c r="Y250" t="s">
        <v>382</v>
      </c>
      <c r="Z250" t="s">
        <v>382</v>
      </c>
      <c r="AA250" t="s">
        <v>382</v>
      </c>
      <c r="AB250" t="s">
        <v>382</v>
      </c>
      <c r="AC250">
        <v>5</v>
      </c>
      <c r="AD250">
        <v>4</v>
      </c>
      <c r="AE250">
        <v>1</v>
      </c>
      <c r="AF250" t="s">
        <v>400</v>
      </c>
      <c r="AH250" t="s">
        <v>89</v>
      </c>
      <c r="AI250" t="s">
        <v>97</v>
      </c>
      <c r="AK250">
        <v>2429</v>
      </c>
      <c r="AL250">
        <v>1796</v>
      </c>
    </row>
    <row r="251" spans="1:38">
      <c r="A251" t="s">
        <v>382</v>
      </c>
      <c r="B251" t="s">
        <v>382</v>
      </c>
      <c r="C251" t="s">
        <v>382</v>
      </c>
      <c r="D251" t="s">
        <v>382</v>
      </c>
      <c r="E251" t="s">
        <v>382</v>
      </c>
      <c r="F251" t="s">
        <v>382</v>
      </c>
      <c r="G251" t="s">
        <v>382</v>
      </c>
      <c r="H251" t="s">
        <v>382</v>
      </c>
      <c r="I251" t="s">
        <v>382</v>
      </c>
      <c r="J251" t="s">
        <v>382</v>
      </c>
      <c r="K251" t="s">
        <v>382</v>
      </c>
      <c r="L251" t="s">
        <v>382</v>
      </c>
      <c r="M251" t="s">
        <v>382</v>
      </c>
      <c r="N251" t="s">
        <v>382</v>
      </c>
      <c r="O251" t="s">
        <v>382</v>
      </c>
      <c r="P251" t="s">
        <v>382</v>
      </c>
      <c r="Q251" t="s">
        <v>382</v>
      </c>
      <c r="R251" t="s">
        <v>382</v>
      </c>
      <c r="S251" t="s">
        <v>382</v>
      </c>
      <c r="T251" t="s">
        <v>382</v>
      </c>
      <c r="U251" t="s">
        <v>382</v>
      </c>
      <c r="V251" t="s">
        <v>382</v>
      </c>
      <c r="W251" t="s">
        <v>382</v>
      </c>
      <c r="X251" t="s">
        <v>382</v>
      </c>
      <c r="Y251" t="s">
        <v>382</v>
      </c>
      <c r="Z251" t="s">
        <v>382</v>
      </c>
      <c r="AA251" t="s">
        <v>382</v>
      </c>
      <c r="AB251" t="s">
        <v>382</v>
      </c>
      <c r="AC251">
        <v>5</v>
      </c>
      <c r="AD251">
        <v>5</v>
      </c>
      <c r="AF251" t="s">
        <v>386</v>
      </c>
      <c r="AH251" t="s">
        <v>29</v>
      </c>
      <c r="AI251" t="s">
        <v>103</v>
      </c>
      <c r="AK251">
        <v>1263</v>
      </c>
      <c r="AL251">
        <v>2599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1"/>
  <sheetViews>
    <sheetView topLeftCell="AC178" workbookViewId="0">
      <selection activeCell="AC178" sqref="AC178:AD251"/>
    </sheetView>
  </sheetViews>
  <sheetFormatPr baseColWidth="10" defaultColWidth="8.83203125" defaultRowHeight="14" x14ac:dyDescent="0"/>
  <cols>
    <col min="1" max="1" width="9.6640625" bestFit="1" customWidth="1"/>
    <col min="2" max="2" width="12.1640625" bestFit="1" customWidth="1"/>
    <col min="3" max="3" width="6.83203125" bestFit="1" customWidth="1"/>
    <col min="4" max="4" width="7.83203125" bestFit="1" customWidth="1"/>
    <col min="5" max="5" width="7.5" bestFit="1" customWidth="1"/>
    <col min="6" max="6" width="9.33203125" bestFit="1" customWidth="1"/>
    <col min="7" max="7" width="6.1640625" bestFit="1" customWidth="1"/>
    <col min="8" max="8" width="8.6640625" bestFit="1" customWidth="1"/>
    <col min="9" max="9" width="7.6640625" bestFit="1" customWidth="1"/>
    <col min="10" max="10" width="9.1640625" bestFit="1" customWidth="1"/>
    <col min="11" max="11" width="6.83203125" bestFit="1" customWidth="1"/>
    <col min="12" max="12" width="8.1640625" bestFit="1" customWidth="1"/>
    <col min="13" max="13" width="9.5" bestFit="1" customWidth="1"/>
    <col min="14" max="14" width="6.5" bestFit="1" customWidth="1"/>
    <col min="15" max="15" width="8" bestFit="1" customWidth="1"/>
    <col min="16" max="16" width="11.5" bestFit="1" customWidth="1"/>
    <col min="17" max="17" width="14.1640625" bestFit="1" customWidth="1"/>
    <col min="18" max="18" width="6" bestFit="1" customWidth="1"/>
    <col min="19" max="19" width="5.33203125" bestFit="1" customWidth="1"/>
    <col min="20" max="20" width="7.1640625" bestFit="1" customWidth="1"/>
    <col min="21" max="21" width="11" bestFit="1" customWidth="1"/>
    <col min="22" max="22" width="10.33203125" bestFit="1" customWidth="1"/>
    <col min="23" max="23" width="10.5" bestFit="1" customWidth="1"/>
    <col min="24" max="24" width="12.5" bestFit="1" customWidth="1"/>
    <col min="25" max="25" width="7.33203125" bestFit="1" customWidth="1"/>
    <col min="26" max="26" width="4.5" bestFit="1" customWidth="1"/>
    <col min="27" max="27" width="12" bestFit="1" customWidth="1"/>
    <col min="28" max="28" width="12.5" bestFit="1" customWidth="1"/>
    <col min="29" max="29" width="10.83203125" bestFit="1" customWidth="1"/>
    <col min="30" max="30" width="6.6640625" bestFit="1" customWidth="1"/>
    <col min="31" max="31" width="7.33203125" bestFit="1" customWidth="1"/>
    <col min="32" max="32" width="23.83203125" bestFit="1" customWidth="1"/>
    <col min="33" max="33" width="7.33203125" bestFit="1" customWidth="1"/>
    <col min="34" max="34" width="11.1640625" bestFit="1" customWidth="1"/>
    <col min="35" max="35" width="22.1640625" bestFit="1" customWidth="1"/>
    <col min="36" max="36" width="5.6640625" bestFit="1" customWidth="1"/>
    <col min="37" max="38" width="4.83203125" bestFit="1" customWidth="1"/>
  </cols>
  <sheetData>
    <row r="1" spans="1:38">
      <c r="A1" s="1" t="s">
        <v>322</v>
      </c>
      <c r="B1" s="1" t="s">
        <v>367</v>
      </c>
      <c r="C1" s="1" t="s">
        <v>324</v>
      </c>
      <c r="D1" s="1" t="s">
        <v>325</v>
      </c>
      <c r="E1" s="1" t="s">
        <v>326</v>
      </c>
      <c r="F1" s="1" t="s">
        <v>368</v>
      </c>
      <c r="G1" s="1" t="s">
        <v>328</v>
      </c>
      <c r="H1" s="1" t="s">
        <v>329</v>
      </c>
      <c r="I1" s="1" t="s">
        <v>330</v>
      </c>
      <c r="J1" s="1" t="s">
        <v>369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370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371</v>
      </c>
      <c r="V1" s="1" t="s">
        <v>372</v>
      </c>
      <c r="W1" s="1" t="s">
        <v>373</v>
      </c>
      <c r="X1" s="1" t="s">
        <v>345</v>
      </c>
      <c r="Y1" s="1" t="s">
        <v>346</v>
      </c>
      <c r="Z1" s="1" t="s">
        <v>347</v>
      </c>
      <c r="AA1" s="1" t="s">
        <v>374</v>
      </c>
      <c r="AB1" s="1" t="s">
        <v>375</v>
      </c>
      <c r="AC1" s="1" t="s">
        <v>376</v>
      </c>
      <c r="AD1" s="1" t="s">
        <v>377</v>
      </c>
      <c r="AE1" s="1" t="s">
        <v>378</v>
      </c>
      <c r="AF1" s="1" t="s">
        <v>379</v>
      </c>
      <c r="AG1" s="1" t="s">
        <v>380</v>
      </c>
      <c r="AH1" s="1" t="s">
        <v>381</v>
      </c>
      <c r="AI1" s="1" t="s">
        <v>320</v>
      </c>
      <c r="AJ1" s="1" t="s">
        <v>16</v>
      </c>
      <c r="AK1" s="1" t="s">
        <v>1</v>
      </c>
      <c r="AL1" s="1" t="s">
        <v>2</v>
      </c>
    </row>
    <row r="2" spans="1:38">
      <c r="A2" t="s">
        <v>382</v>
      </c>
      <c r="B2" t="s">
        <v>382</v>
      </c>
      <c r="C2" t="s">
        <v>382</v>
      </c>
      <c r="D2" t="s">
        <v>382</v>
      </c>
      <c r="E2" t="s">
        <v>382</v>
      </c>
      <c r="F2" t="s">
        <v>382</v>
      </c>
      <c r="G2" t="s">
        <v>382</v>
      </c>
      <c r="H2" t="s">
        <v>382</v>
      </c>
      <c r="I2" t="s">
        <v>382</v>
      </c>
      <c r="J2" t="s">
        <v>382</v>
      </c>
      <c r="K2" t="s">
        <v>382</v>
      </c>
      <c r="L2" t="s">
        <v>382</v>
      </c>
      <c r="M2" t="s">
        <v>382</v>
      </c>
      <c r="N2" t="s">
        <v>382</v>
      </c>
      <c r="O2" t="s">
        <v>382</v>
      </c>
      <c r="P2" t="s">
        <v>382</v>
      </c>
      <c r="Q2" t="s">
        <v>382</v>
      </c>
      <c r="R2" t="s">
        <v>382</v>
      </c>
      <c r="S2" t="s">
        <v>382</v>
      </c>
      <c r="T2" t="s">
        <v>382</v>
      </c>
      <c r="U2" t="s">
        <v>382</v>
      </c>
      <c r="V2" t="s">
        <v>382</v>
      </c>
      <c r="W2" t="s">
        <v>382</v>
      </c>
      <c r="X2" t="s">
        <v>382</v>
      </c>
      <c r="Y2" t="s">
        <v>382</v>
      </c>
      <c r="Z2" t="s">
        <v>382</v>
      </c>
      <c r="AA2" t="s">
        <v>382</v>
      </c>
      <c r="AB2" t="s">
        <v>382</v>
      </c>
      <c r="AC2">
        <v>5</v>
      </c>
      <c r="AD2">
        <v>1</v>
      </c>
      <c r="AF2" t="s">
        <v>385</v>
      </c>
      <c r="AH2" t="s">
        <v>27</v>
      </c>
      <c r="AI2" t="s">
        <v>109</v>
      </c>
      <c r="AK2">
        <v>2959</v>
      </c>
      <c r="AL2">
        <v>2229</v>
      </c>
    </row>
    <row r="3" spans="1:38">
      <c r="A3" t="s">
        <v>382</v>
      </c>
      <c r="B3" t="s">
        <v>382</v>
      </c>
      <c r="C3" t="s">
        <v>382</v>
      </c>
      <c r="D3" t="s">
        <v>382</v>
      </c>
      <c r="E3" t="s">
        <v>382</v>
      </c>
      <c r="F3" t="s">
        <v>382</v>
      </c>
      <c r="G3" t="s">
        <v>382</v>
      </c>
      <c r="H3" t="s">
        <v>382</v>
      </c>
      <c r="I3" t="s">
        <v>382</v>
      </c>
      <c r="J3" t="s">
        <v>382</v>
      </c>
      <c r="K3" t="s">
        <v>382</v>
      </c>
      <c r="L3" t="s">
        <v>382</v>
      </c>
      <c r="M3" t="s">
        <v>382</v>
      </c>
      <c r="N3" t="s">
        <v>382</v>
      </c>
      <c r="O3" t="s">
        <v>382</v>
      </c>
      <c r="P3" t="s">
        <v>382</v>
      </c>
      <c r="Q3" t="s">
        <v>382</v>
      </c>
      <c r="R3" t="s">
        <v>382</v>
      </c>
      <c r="S3" t="s">
        <v>382</v>
      </c>
      <c r="T3" t="s">
        <v>382</v>
      </c>
      <c r="U3" t="s">
        <v>382</v>
      </c>
      <c r="V3" t="s">
        <v>382</v>
      </c>
      <c r="W3" t="s">
        <v>382</v>
      </c>
      <c r="X3" t="s">
        <v>382</v>
      </c>
      <c r="Y3" t="s">
        <v>382</v>
      </c>
      <c r="Z3" t="s">
        <v>382</v>
      </c>
      <c r="AA3" t="s">
        <v>382</v>
      </c>
      <c r="AB3" t="s">
        <v>382</v>
      </c>
      <c r="AC3">
        <v>5</v>
      </c>
      <c r="AD3">
        <v>2</v>
      </c>
      <c r="AF3" t="s">
        <v>385</v>
      </c>
      <c r="AH3" t="s">
        <v>27</v>
      </c>
      <c r="AI3" t="s">
        <v>109</v>
      </c>
      <c r="AK3">
        <v>2881</v>
      </c>
      <c r="AL3">
        <v>967</v>
      </c>
    </row>
    <row r="4" spans="1:38">
      <c r="A4" t="s">
        <v>382</v>
      </c>
      <c r="B4" t="s">
        <v>382</v>
      </c>
      <c r="C4" t="s">
        <v>382</v>
      </c>
      <c r="D4" t="s">
        <v>382</v>
      </c>
      <c r="E4" t="s">
        <v>382</v>
      </c>
      <c r="F4" t="s">
        <v>382</v>
      </c>
      <c r="G4" t="s">
        <v>382</v>
      </c>
      <c r="H4" t="s">
        <v>382</v>
      </c>
      <c r="I4" t="s">
        <v>382</v>
      </c>
      <c r="J4" t="s">
        <v>382</v>
      </c>
      <c r="K4" t="s">
        <v>382</v>
      </c>
      <c r="L4" t="s">
        <v>382</v>
      </c>
      <c r="M4" t="s">
        <v>382</v>
      </c>
      <c r="N4" t="s">
        <v>382</v>
      </c>
      <c r="O4" t="s">
        <v>382</v>
      </c>
      <c r="P4" t="s">
        <v>382</v>
      </c>
      <c r="Q4" t="s">
        <v>382</v>
      </c>
      <c r="R4" t="s">
        <v>382</v>
      </c>
      <c r="S4" t="s">
        <v>382</v>
      </c>
      <c r="T4" t="s">
        <v>382</v>
      </c>
      <c r="U4" t="s">
        <v>382</v>
      </c>
      <c r="V4" t="s">
        <v>382</v>
      </c>
      <c r="W4" t="s">
        <v>382</v>
      </c>
      <c r="X4" t="s">
        <v>382</v>
      </c>
      <c r="Y4" t="s">
        <v>382</v>
      </c>
      <c r="Z4" t="s">
        <v>382</v>
      </c>
      <c r="AA4" t="s">
        <v>382</v>
      </c>
      <c r="AB4" t="s">
        <v>382</v>
      </c>
      <c r="AC4">
        <v>5</v>
      </c>
      <c r="AD4">
        <v>3</v>
      </c>
      <c r="AF4" t="s">
        <v>386</v>
      </c>
      <c r="AH4" t="s">
        <v>29</v>
      </c>
      <c r="AI4" t="s">
        <v>103</v>
      </c>
      <c r="AK4">
        <v>1320</v>
      </c>
      <c r="AL4">
        <v>902</v>
      </c>
    </row>
    <row r="5" spans="1:38">
      <c r="A5" t="s">
        <v>382</v>
      </c>
      <c r="B5" t="s">
        <v>382</v>
      </c>
      <c r="C5" t="s">
        <v>382</v>
      </c>
      <c r="D5" t="s">
        <v>382</v>
      </c>
      <c r="E5" t="s">
        <v>382</v>
      </c>
      <c r="F5" t="s">
        <v>382</v>
      </c>
      <c r="G5" t="s">
        <v>382</v>
      </c>
      <c r="H5" t="s">
        <v>382</v>
      </c>
      <c r="I5" t="s">
        <v>382</v>
      </c>
      <c r="J5" t="s">
        <v>382</v>
      </c>
      <c r="K5" t="s">
        <v>382</v>
      </c>
      <c r="L5" t="s">
        <v>382</v>
      </c>
      <c r="M5" t="s">
        <v>382</v>
      </c>
      <c r="N5" t="s">
        <v>382</v>
      </c>
      <c r="O5" t="s">
        <v>382</v>
      </c>
      <c r="P5" t="s">
        <v>382</v>
      </c>
      <c r="Q5" t="s">
        <v>382</v>
      </c>
      <c r="R5" t="s">
        <v>382</v>
      </c>
      <c r="S5" t="s">
        <v>382</v>
      </c>
      <c r="T5" t="s">
        <v>382</v>
      </c>
      <c r="U5" t="s">
        <v>382</v>
      </c>
      <c r="V5" t="s">
        <v>382</v>
      </c>
      <c r="W5" t="s">
        <v>382</v>
      </c>
      <c r="X5" t="s">
        <v>382</v>
      </c>
      <c r="Y5" t="s">
        <v>382</v>
      </c>
      <c r="Z5" t="s">
        <v>382</v>
      </c>
      <c r="AA5" t="s">
        <v>382</v>
      </c>
      <c r="AB5" t="s">
        <v>382</v>
      </c>
      <c r="AC5">
        <v>5</v>
      </c>
      <c r="AD5">
        <v>4</v>
      </c>
      <c r="AE5">
        <v>1</v>
      </c>
      <c r="AF5" t="s">
        <v>389</v>
      </c>
      <c r="AH5" t="s">
        <v>35</v>
      </c>
      <c r="AI5" t="s">
        <v>97</v>
      </c>
      <c r="AK5">
        <v>2872</v>
      </c>
      <c r="AL5">
        <v>1894</v>
      </c>
    </row>
    <row r="6" spans="1:38">
      <c r="A6" t="s">
        <v>382</v>
      </c>
      <c r="B6" t="s">
        <v>382</v>
      </c>
      <c r="C6" t="s">
        <v>382</v>
      </c>
      <c r="D6" t="s">
        <v>382</v>
      </c>
      <c r="E6" t="s">
        <v>382</v>
      </c>
      <c r="F6" t="s">
        <v>382</v>
      </c>
      <c r="G6" t="s">
        <v>382</v>
      </c>
      <c r="H6" t="s">
        <v>382</v>
      </c>
      <c r="I6" t="s">
        <v>382</v>
      </c>
      <c r="J6" t="s">
        <v>382</v>
      </c>
      <c r="K6" t="s">
        <v>382</v>
      </c>
      <c r="L6" t="s">
        <v>382</v>
      </c>
      <c r="M6" t="s">
        <v>382</v>
      </c>
      <c r="N6" t="s">
        <v>382</v>
      </c>
      <c r="O6" t="s">
        <v>382</v>
      </c>
      <c r="P6" t="s">
        <v>382</v>
      </c>
      <c r="Q6" t="s">
        <v>382</v>
      </c>
      <c r="R6" t="s">
        <v>382</v>
      </c>
      <c r="S6" t="s">
        <v>382</v>
      </c>
      <c r="T6" t="s">
        <v>382</v>
      </c>
      <c r="U6" t="s">
        <v>382</v>
      </c>
      <c r="V6" t="s">
        <v>382</v>
      </c>
      <c r="W6" t="s">
        <v>382</v>
      </c>
      <c r="X6" t="s">
        <v>382</v>
      </c>
      <c r="Y6" t="s">
        <v>382</v>
      </c>
      <c r="Z6" t="s">
        <v>382</v>
      </c>
      <c r="AA6" t="s">
        <v>382</v>
      </c>
      <c r="AB6" t="s">
        <v>382</v>
      </c>
      <c r="AC6">
        <v>5</v>
      </c>
      <c r="AD6">
        <v>5</v>
      </c>
      <c r="AE6">
        <v>1</v>
      </c>
      <c r="AF6" t="s">
        <v>383</v>
      </c>
      <c r="AH6" t="s">
        <v>22</v>
      </c>
      <c r="AI6" t="s">
        <v>97</v>
      </c>
      <c r="AK6">
        <v>3107</v>
      </c>
      <c r="AL6">
        <v>348</v>
      </c>
    </row>
    <row r="7" spans="1:38">
      <c r="A7" t="s">
        <v>382</v>
      </c>
      <c r="B7" t="s">
        <v>382</v>
      </c>
      <c r="C7" t="s">
        <v>382</v>
      </c>
      <c r="D7" t="s">
        <v>382</v>
      </c>
      <c r="E7" t="s">
        <v>382</v>
      </c>
      <c r="F7" t="s">
        <v>382</v>
      </c>
      <c r="G7" t="s">
        <v>382</v>
      </c>
      <c r="H7" t="s">
        <v>382</v>
      </c>
      <c r="I7" t="s">
        <v>382</v>
      </c>
      <c r="J7" t="s">
        <v>382</v>
      </c>
      <c r="K7" t="s">
        <v>382</v>
      </c>
      <c r="L7" t="s">
        <v>382</v>
      </c>
      <c r="M7" t="s">
        <v>382</v>
      </c>
      <c r="N7" t="s">
        <v>382</v>
      </c>
      <c r="O7" t="s">
        <v>382</v>
      </c>
      <c r="P7" t="s">
        <v>382</v>
      </c>
      <c r="Q7" t="s">
        <v>382</v>
      </c>
      <c r="R7" t="s">
        <v>382</v>
      </c>
      <c r="S7" t="s">
        <v>382</v>
      </c>
      <c r="T7" t="s">
        <v>382</v>
      </c>
      <c r="U7" t="s">
        <v>382</v>
      </c>
      <c r="V7" t="s">
        <v>382</v>
      </c>
      <c r="W7" t="s">
        <v>382</v>
      </c>
      <c r="X7" t="s">
        <v>382</v>
      </c>
      <c r="Y7" t="s">
        <v>382</v>
      </c>
      <c r="Z7" t="s">
        <v>382</v>
      </c>
      <c r="AA7" t="s">
        <v>382</v>
      </c>
      <c r="AB7" t="s">
        <v>382</v>
      </c>
      <c r="AC7">
        <v>5</v>
      </c>
      <c r="AD7">
        <v>1</v>
      </c>
      <c r="AF7" t="s">
        <v>384</v>
      </c>
      <c r="AH7" t="s">
        <v>25</v>
      </c>
      <c r="AI7" t="s">
        <v>106</v>
      </c>
      <c r="AK7">
        <v>679</v>
      </c>
      <c r="AL7">
        <v>2420</v>
      </c>
    </row>
    <row r="8" spans="1:38">
      <c r="A8" t="s">
        <v>382</v>
      </c>
      <c r="B8" t="s">
        <v>382</v>
      </c>
      <c r="C8" t="s">
        <v>382</v>
      </c>
      <c r="D8" t="s">
        <v>382</v>
      </c>
      <c r="E8" t="s">
        <v>382</v>
      </c>
      <c r="F8" t="s">
        <v>382</v>
      </c>
      <c r="G8" t="s">
        <v>382</v>
      </c>
      <c r="H8" t="s">
        <v>382</v>
      </c>
      <c r="I8" t="s">
        <v>382</v>
      </c>
      <c r="J8" t="s">
        <v>382</v>
      </c>
      <c r="K8" t="s">
        <v>382</v>
      </c>
      <c r="L8" t="s">
        <v>382</v>
      </c>
      <c r="M8" t="s">
        <v>382</v>
      </c>
      <c r="N8" t="s">
        <v>382</v>
      </c>
      <c r="O8" t="s">
        <v>382</v>
      </c>
      <c r="P8" t="s">
        <v>382</v>
      </c>
      <c r="Q8" t="s">
        <v>382</v>
      </c>
      <c r="R8" t="s">
        <v>382</v>
      </c>
      <c r="S8" t="s">
        <v>382</v>
      </c>
      <c r="T8" t="s">
        <v>382</v>
      </c>
      <c r="U8" t="s">
        <v>382</v>
      </c>
      <c r="V8" t="s">
        <v>382</v>
      </c>
      <c r="W8" t="s">
        <v>382</v>
      </c>
      <c r="X8" t="s">
        <v>382</v>
      </c>
      <c r="Y8" t="s">
        <v>382</v>
      </c>
      <c r="Z8" t="s">
        <v>382</v>
      </c>
      <c r="AA8" t="s">
        <v>382</v>
      </c>
      <c r="AB8" t="s">
        <v>382</v>
      </c>
      <c r="AC8">
        <v>5</v>
      </c>
      <c r="AD8">
        <v>2</v>
      </c>
      <c r="AE8">
        <v>1</v>
      </c>
      <c r="AF8" t="s">
        <v>391</v>
      </c>
      <c r="AH8" t="s">
        <v>38</v>
      </c>
      <c r="AI8" t="s">
        <v>97</v>
      </c>
      <c r="AK8">
        <v>2682</v>
      </c>
      <c r="AL8">
        <v>1051</v>
      </c>
    </row>
    <row r="9" spans="1:38">
      <c r="A9" t="s">
        <v>382</v>
      </c>
      <c r="B9" t="s">
        <v>382</v>
      </c>
      <c r="C9" t="s">
        <v>382</v>
      </c>
      <c r="D9" t="s">
        <v>382</v>
      </c>
      <c r="E9" t="s">
        <v>382</v>
      </c>
      <c r="F9" t="s">
        <v>382</v>
      </c>
      <c r="G9" t="s">
        <v>382</v>
      </c>
      <c r="H9" t="s">
        <v>382</v>
      </c>
      <c r="I9" t="s">
        <v>382</v>
      </c>
      <c r="J9" t="s">
        <v>382</v>
      </c>
      <c r="K9" t="s">
        <v>382</v>
      </c>
      <c r="L9" t="s">
        <v>382</v>
      </c>
      <c r="M9" t="s">
        <v>382</v>
      </c>
      <c r="N9" t="s">
        <v>382</v>
      </c>
      <c r="O9" t="s">
        <v>382</v>
      </c>
      <c r="P9" t="s">
        <v>382</v>
      </c>
      <c r="Q9" t="s">
        <v>382</v>
      </c>
      <c r="R9" t="s">
        <v>382</v>
      </c>
      <c r="S9" t="s">
        <v>382</v>
      </c>
      <c r="T9" t="s">
        <v>382</v>
      </c>
      <c r="U9" t="s">
        <v>382</v>
      </c>
      <c r="V9" t="s">
        <v>382</v>
      </c>
      <c r="W9" t="s">
        <v>382</v>
      </c>
      <c r="X9" t="s">
        <v>382</v>
      </c>
      <c r="Y9" t="s">
        <v>382</v>
      </c>
      <c r="Z9" t="s">
        <v>382</v>
      </c>
      <c r="AA9" t="s">
        <v>382</v>
      </c>
      <c r="AB9" t="s">
        <v>382</v>
      </c>
      <c r="AC9">
        <v>5</v>
      </c>
      <c r="AD9">
        <v>3</v>
      </c>
      <c r="AE9">
        <v>1</v>
      </c>
      <c r="AF9" t="s">
        <v>391</v>
      </c>
      <c r="AH9" t="s">
        <v>38</v>
      </c>
      <c r="AI9" t="s">
        <v>97</v>
      </c>
      <c r="AK9">
        <v>2357</v>
      </c>
      <c r="AL9">
        <v>1706</v>
      </c>
    </row>
    <row r="10" spans="1:38">
      <c r="A10" t="s">
        <v>382</v>
      </c>
      <c r="B10" t="s">
        <v>382</v>
      </c>
      <c r="C10" t="s">
        <v>382</v>
      </c>
      <c r="D10" t="s">
        <v>382</v>
      </c>
      <c r="E10" t="s">
        <v>382</v>
      </c>
      <c r="F10" t="s">
        <v>382</v>
      </c>
      <c r="G10" t="s">
        <v>382</v>
      </c>
      <c r="H10" t="s">
        <v>382</v>
      </c>
      <c r="I10" t="s">
        <v>382</v>
      </c>
      <c r="J10" t="s">
        <v>382</v>
      </c>
      <c r="K10" t="s">
        <v>382</v>
      </c>
      <c r="L10" t="s">
        <v>382</v>
      </c>
      <c r="M10" t="s">
        <v>382</v>
      </c>
      <c r="N10" t="s">
        <v>382</v>
      </c>
      <c r="O10" t="s">
        <v>382</v>
      </c>
      <c r="P10" t="s">
        <v>382</v>
      </c>
      <c r="Q10" t="s">
        <v>382</v>
      </c>
      <c r="R10" t="s">
        <v>382</v>
      </c>
      <c r="S10" t="s">
        <v>382</v>
      </c>
      <c r="T10" t="s">
        <v>382</v>
      </c>
      <c r="U10" t="s">
        <v>382</v>
      </c>
      <c r="V10" t="s">
        <v>382</v>
      </c>
      <c r="W10" t="s">
        <v>382</v>
      </c>
      <c r="X10" t="s">
        <v>382</v>
      </c>
      <c r="Y10" t="s">
        <v>382</v>
      </c>
      <c r="Z10" t="s">
        <v>382</v>
      </c>
      <c r="AA10" t="s">
        <v>382</v>
      </c>
      <c r="AB10" t="s">
        <v>382</v>
      </c>
      <c r="AC10">
        <v>5</v>
      </c>
      <c r="AD10">
        <v>4</v>
      </c>
      <c r="AE10">
        <v>1</v>
      </c>
      <c r="AF10" t="s">
        <v>391</v>
      </c>
      <c r="AH10" t="s">
        <v>38</v>
      </c>
      <c r="AI10" t="s">
        <v>97</v>
      </c>
      <c r="AK10">
        <v>1055</v>
      </c>
      <c r="AL10">
        <v>1239</v>
      </c>
    </row>
    <row r="11" spans="1:38">
      <c r="A11" t="s">
        <v>382</v>
      </c>
      <c r="B11" t="s">
        <v>382</v>
      </c>
      <c r="C11" t="s">
        <v>382</v>
      </c>
      <c r="D11" t="s">
        <v>382</v>
      </c>
      <c r="E11" t="s">
        <v>382</v>
      </c>
      <c r="F11" t="s">
        <v>382</v>
      </c>
      <c r="G11" t="s">
        <v>382</v>
      </c>
      <c r="H11" t="s">
        <v>382</v>
      </c>
      <c r="I11" t="s">
        <v>382</v>
      </c>
      <c r="J11" t="s">
        <v>382</v>
      </c>
      <c r="K11" t="s">
        <v>382</v>
      </c>
      <c r="L11" t="s">
        <v>382</v>
      </c>
      <c r="M11" t="s">
        <v>382</v>
      </c>
      <c r="N11" t="s">
        <v>382</v>
      </c>
      <c r="O11" t="s">
        <v>382</v>
      </c>
      <c r="P11" t="s">
        <v>382</v>
      </c>
      <c r="Q11" t="s">
        <v>382</v>
      </c>
      <c r="R11" t="s">
        <v>382</v>
      </c>
      <c r="S11" t="s">
        <v>382</v>
      </c>
      <c r="T11" t="s">
        <v>382</v>
      </c>
      <c r="U11" t="s">
        <v>382</v>
      </c>
      <c r="V11" t="s">
        <v>382</v>
      </c>
      <c r="W11" t="s">
        <v>382</v>
      </c>
      <c r="X11" t="s">
        <v>382</v>
      </c>
      <c r="Y11" t="s">
        <v>382</v>
      </c>
      <c r="Z11" t="s">
        <v>382</v>
      </c>
      <c r="AA11" t="s">
        <v>382</v>
      </c>
      <c r="AB11" t="s">
        <v>382</v>
      </c>
      <c r="AC11">
        <v>5</v>
      </c>
      <c r="AD11">
        <v>5</v>
      </c>
      <c r="AE11">
        <v>1</v>
      </c>
      <c r="AF11" t="s">
        <v>391</v>
      </c>
      <c r="AH11" t="s">
        <v>38</v>
      </c>
      <c r="AI11" t="s">
        <v>97</v>
      </c>
      <c r="AK11">
        <v>1802</v>
      </c>
      <c r="AL11">
        <v>810</v>
      </c>
    </row>
    <row r="12" spans="1:38">
      <c r="A12" t="s">
        <v>382</v>
      </c>
      <c r="B12" t="s">
        <v>382</v>
      </c>
      <c r="C12" t="s">
        <v>382</v>
      </c>
      <c r="D12" t="s">
        <v>382</v>
      </c>
      <c r="E12" t="s">
        <v>382</v>
      </c>
      <c r="F12" t="s">
        <v>382</v>
      </c>
      <c r="G12" t="s">
        <v>382</v>
      </c>
      <c r="H12" t="s">
        <v>382</v>
      </c>
      <c r="I12" t="s">
        <v>382</v>
      </c>
      <c r="J12" t="s">
        <v>382</v>
      </c>
      <c r="K12" t="s">
        <v>382</v>
      </c>
      <c r="L12" t="s">
        <v>382</v>
      </c>
      <c r="M12" t="s">
        <v>382</v>
      </c>
      <c r="N12" t="s">
        <v>382</v>
      </c>
      <c r="O12" t="s">
        <v>382</v>
      </c>
      <c r="P12" t="s">
        <v>382</v>
      </c>
      <c r="Q12" t="s">
        <v>382</v>
      </c>
      <c r="R12" t="s">
        <v>382</v>
      </c>
      <c r="S12" t="s">
        <v>382</v>
      </c>
      <c r="T12" t="s">
        <v>382</v>
      </c>
      <c r="U12" t="s">
        <v>382</v>
      </c>
      <c r="V12" t="s">
        <v>382</v>
      </c>
      <c r="W12" t="s">
        <v>382</v>
      </c>
      <c r="X12" t="s">
        <v>382</v>
      </c>
      <c r="Y12" t="s">
        <v>382</v>
      </c>
      <c r="Z12" t="s">
        <v>382</v>
      </c>
      <c r="AA12" t="s">
        <v>382</v>
      </c>
      <c r="AB12" t="s">
        <v>382</v>
      </c>
      <c r="AC12">
        <v>5</v>
      </c>
      <c r="AD12">
        <v>1</v>
      </c>
      <c r="AF12" t="s">
        <v>386</v>
      </c>
      <c r="AH12" t="s">
        <v>29</v>
      </c>
      <c r="AI12" t="s">
        <v>103</v>
      </c>
      <c r="AK12">
        <v>2025</v>
      </c>
      <c r="AL12">
        <v>146</v>
      </c>
    </row>
    <row r="13" spans="1:38">
      <c r="A13" t="s">
        <v>382</v>
      </c>
      <c r="B13" t="s">
        <v>382</v>
      </c>
      <c r="C13" t="s">
        <v>382</v>
      </c>
      <c r="D13" t="s">
        <v>382</v>
      </c>
      <c r="E13" t="s">
        <v>382</v>
      </c>
      <c r="F13" t="s">
        <v>382</v>
      </c>
      <c r="G13" t="s">
        <v>382</v>
      </c>
      <c r="H13" t="s">
        <v>382</v>
      </c>
      <c r="I13" t="s">
        <v>382</v>
      </c>
      <c r="J13" t="s">
        <v>382</v>
      </c>
      <c r="K13" t="s">
        <v>382</v>
      </c>
      <c r="L13" t="s">
        <v>382</v>
      </c>
      <c r="M13" t="s">
        <v>382</v>
      </c>
      <c r="N13" t="s">
        <v>382</v>
      </c>
      <c r="O13" t="s">
        <v>382</v>
      </c>
      <c r="P13" t="s">
        <v>382</v>
      </c>
      <c r="Q13" t="s">
        <v>382</v>
      </c>
      <c r="R13" t="s">
        <v>382</v>
      </c>
      <c r="S13" t="s">
        <v>382</v>
      </c>
      <c r="T13" t="s">
        <v>382</v>
      </c>
      <c r="U13" t="s">
        <v>382</v>
      </c>
      <c r="V13" t="s">
        <v>382</v>
      </c>
      <c r="W13" t="s">
        <v>382</v>
      </c>
      <c r="X13" t="s">
        <v>382</v>
      </c>
      <c r="Y13" t="s">
        <v>382</v>
      </c>
      <c r="Z13" t="s">
        <v>382</v>
      </c>
      <c r="AA13" t="s">
        <v>382</v>
      </c>
      <c r="AB13" t="s">
        <v>382</v>
      </c>
      <c r="AC13">
        <v>5</v>
      </c>
      <c r="AD13">
        <v>2</v>
      </c>
      <c r="AF13" t="s">
        <v>386</v>
      </c>
      <c r="AH13" t="s">
        <v>29</v>
      </c>
      <c r="AI13" t="s">
        <v>103</v>
      </c>
      <c r="AK13">
        <v>1500</v>
      </c>
      <c r="AL13">
        <v>458</v>
      </c>
    </row>
    <row r="14" spans="1:38">
      <c r="A14" t="s">
        <v>382</v>
      </c>
      <c r="B14" t="s">
        <v>382</v>
      </c>
      <c r="C14" t="s">
        <v>382</v>
      </c>
      <c r="D14" t="s">
        <v>382</v>
      </c>
      <c r="E14" t="s">
        <v>382</v>
      </c>
      <c r="F14" t="s">
        <v>382</v>
      </c>
      <c r="G14" t="s">
        <v>382</v>
      </c>
      <c r="H14" t="s">
        <v>382</v>
      </c>
      <c r="I14" t="s">
        <v>382</v>
      </c>
      <c r="J14" t="s">
        <v>382</v>
      </c>
      <c r="K14" t="s">
        <v>382</v>
      </c>
      <c r="L14" t="s">
        <v>382</v>
      </c>
      <c r="M14" t="s">
        <v>382</v>
      </c>
      <c r="N14" t="s">
        <v>382</v>
      </c>
      <c r="O14" t="s">
        <v>382</v>
      </c>
      <c r="P14" t="s">
        <v>382</v>
      </c>
      <c r="Q14" t="s">
        <v>382</v>
      </c>
      <c r="R14" t="s">
        <v>382</v>
      </c>
      <c r="S14" t="s">
        <v>382</v>
      </c>
      <c r="T14" t="s">
        <v>382</v>
      </c>
      <c r="U14" t="s">
        <v>382</v>
      </c>
      <c r="V14" t="s">
        <v>382</v>
      </c>
      <c r="W14" t="s">
        <v>382</v>
      </c>
      <c r="X14" t="s">
        <v>382</v>
      </c>
      <c r="Y14" t="s">
        <v>382</v>
      </c>
      <c r="Z14" t="s">
        <v>382</v>
      </c>
      <c r="AA14" t="s">
        <v>382</v>
      </c>
      <c r="AB14" t="s">
        <v>382</v>
      </c>
      <c r="AC14">
        <v>5</v>
      </c>
      <c r="AD14">
        <v>3</v>
      </c>
      <c r="AE14">
        <v>1</v>
      </c>
      <c r="AF14" t="s">
        <v>391</v>
      </c>
      <c r="AH14" t="s">
        <v>38</v>
      </c>
      <c r="AI14" t="s">
        <v>97</v>
      </c>
      <c r="AK14">
        <v>1499</v>
      </c>
      <c r="AL14">
        <v>2286</v>
      </c>
    </row>
    <row r="15" spans="1:38">
      <c r="A15" t="s">
        <v>382</v>
      </c>
      <c r="B15" t="s">
        <v>382</v>
      </c>
      <c r="C15" t="s">
        <v>382</v>
      </c>
      <c r="D15" t="s">
        <v>382</v>
      </c>
      <c r="E15" t="s">
        <v>382</v>
      </c>
      <c r="F15" t="s">
        <v>382</v>
      </c>
      <c r="G15" t="s">
        <v>382</v>
      </c>
      <c r="H15" t="s">
        <v>382</v>
      </c>
      <c r="I15" t="s">
        <v>382</v>
      </c>
      <c r="J15" t="s">
        <v>382</v>
      </c>
      <c r="K15" t="s">
        <v>382</v>
      </c>
      <c r="L15" t="s">
        <v>382</v>
      </c>
      <c r="M15" t="s">
        <v>382</v>
      </c>
      <c r="N15" t="s">
        <v>382</v>
      </c>
      <c r="O15" t="s">
        <v>382</v>
      </c>
      <c r="P15" t="s">
        <v>382</v>
      </c>
      <c r="Q15" t="s">
        <v>382</v>
      </c>
      <c r="R15" t="s">
        <v>382</v>
      </c>
      <c r="S15" t="s">
        <v>382</v>
      </c>
      <c r="T15" t="s">
        <v>382</v>
      </c>
      <c r="U15" t="s">
        <v>382</v>
      </c>
      <c r="V15" t="s">
        <v>382</v>
      </c>
      <c r="W15" t="s">
        <v>382</v>
      </c>
      <c r="X15" t="s">
        <v>382</v>
      </c>
      <c r="Y15" t="s">
        <v>382</v>
      </c>
      <c r="Z15" t="s">
        <v>382</v>
      </c>
      <c r="AA15" t="s">
        <v>382</v>
      </c>
      <c r="AB15" t="s">
        <v>382</v>
      </c>
      <c r="AC15">
        <v>5</v>
      </c>
      <c r="AD15">
        <v>4</v>
      </c>
      <c r="AE15">
        <v>1</v>
      </c>
      <c r="AF15" t="s">
        <v>387</v>
      </c>
      <c r="AH15" t="s">
        <v>31</v>
      </c>
      <c r="AI15" t="s">
        <v>97</v>
      </c>
      <c r="AK15">
        <v>2384</v>
      </c>
      <c r="AL15">
        <v>355</v>
      </c>
    </row>
    <row r="16" spans="1:38">
      <c r="A16" t="s">
        <v>382</v>
      </c>
      <c r="B16" t="s">
        <v>382</v>
      </c>
      <c r="C16" t="s">
        <v>382</v>
      </c>
      <c r="D16" t="s">
        <v>382</v>
      </c>
      <c r="E16" t="s">
        <v>382</v>
      </c>
      <c r="F16" t="s">
        <v>382</v>
      </c>
      <c r="G16" t="s">
        <v>382</v>
      </c>
      <c r="H16" t="s">
        <v>382</v>
      </c>
      <c r="I16" t="s">
        <v>382</v>
      </c>
      <c r="J16" t="s">
        <v>382</v>
      </c>
      <c r="K16" t="s">
        <v>382</v>
      </c>
      <c r="L16" t="s">
        <v>382</v>
      </c>
      <c r="M16" t="s">
        <v>382</v>
      </c>
      <c r="N16" t="s">
        <v>382</v>
      </c>
      <c r="O16" t="s">
        <v>382</v>
      </c>
      <c r="P16" t="s">
        <v>382</v>
      </c>
      <c r="Q16" t="s">
        <v>382</v>
      </c>
      <c r="R16" t="s">
        <v>382</v>
      </c>
      <c r="S16" t="s">
        <v>382</v>
      </c>
      <c r="T16" t="s">
        <v>382</v>
      </c>
      <c r="U16" t="s">
        <v>382</v>
      </c>
      <c r="V16" t="s">
        <v>382</v>
      </c>
      <c r="W16" t="s">
        <v>382</v>
      </c>
      <c r="X16" t="s">
        <v>382</v>
      </c>
      <c r="Y16" t="s">
        <v>382</v>
      </c>
      <c r="Z16" t="s">
        <v>382</v>
      </c>
      <c r="AA16" t="s">
        <v>382</v>
      </c>
      <c r="AB16" t="s">
        <v>382</v>
      </c>
      <c r="AC16">
        <v>5</v>
      </c>
      <c r="AD16">
        <v>5</v>
      </c>
      <c r="AF16" t="s">
        <v>385</v>
      </c>
      <c r="AH16" t="s">
        <v>27</v>
      </c>
      <c r="AI16" t="s">
        <v>109</v>
      </c>
      <c r="AK16">
        <v>2284</v>
      </c>
      <c r="AL16">
        <v>1145</v>
      </c>
    </row>
    <row r="17" spans="1:38">
      <c r="A17" t="s">
        <v>382</v>
      </c>
      <c r="B17" t="s">
        <v>382</v>
      </c>
      <c r="C17" t="s">
        <v>382</v>
      </c>
      <c r="D17" t="s">
        <v>382</v>
      </c>
      <c r="E17" t="s">
        <v>382</v>
      </c>
      <c r="F17" t="s">
        <v>382</v>
      </c>
      <c r="G17" t="s">
        <v>382</v>
      </c>
      <c r="H17" t="s">
        <v>382</v>
      </c>
      <c r="I17" t="s">
        <v>382</v>
      </c>
      <c r="J17" t="s">
        <v>382</v>
      </c>
      <c r="K17" t="s">
        <v>382</v>
      </c>
      <c r="L17" t="s">
        <v>382</v>
      </c>
      <c r="M17" t="s">
        <v>382</v>
      </c>
      <c r="N17" t="s">
        <v>382</v>
      </c>
      <c r="O17" t="s">
        <v>382</v>
      </c>
      <c r="P17" t="s">
        <v>382</v>
      </c>
      <c r="Q17" t="s">
        <v>382</v>
      </c>
      <c r="R17" t="s">
        <v>382</v>
      </c>
      <c r="S17" t="s">
        <v>382</v>
      </c>
      <c r="T17" t="s">
        <v>382</v>
      </c>
      <c r="U17" t="s">
        <v>382</v>
      </c>
      <c r="V17" t="s">
        <v>382</v>
      </c>
      <c r="W17" t="s">
        <v>382</v>
      </c>
      <c r="X17" t="s">
        <v>382</v>
      </c>
      <c r="Y17" t="s">
        <v>382</v>
      </c>
      <c r="Z17" t="s">
        <v>382</v>
      </c>
      <c r="AA17" t="s">
        <v>382</v>
      </c>
      <c r="AB17" t="s">
        <v>382</v>
      </c>
      <c r="AC17">
        <v>5</v>
      </c>
      <c r="AD17">
        <v>1</v>
      </c>
      <c r="AF17" t="s">
        <v>386</v>
      </c>
      <c r="AH17" t="s">
        <v>29</v>
      </c>
      <c r="AI17" t="s">
        <v>103</v>
      </c>
      <c r="AK17">
        <v>2844</v>
      </c>
      <c r="AL17">
        <v>63</v>
      </c>
    </row>
    <row r="18" spans="1:38">
      <c r="A18" t="s">
        <v>382</v>
      </c>
      <c r="B18" t="s">
        <v>382</v>
      </c>
      <c r="C18" t="s">
        <v>382</v>
      </c>
      <c r="D18" t="s">
        <v>382</v>
      </c>
      <c r="E18" t="s">
        <v>382</v>
      </c>
      <c r="F18" t="s">
        <v>382</v>
      </c>
      <c r="G18" t="s">
        <v>382</v>
      </c>
      <c r="H18" t="s">
        <v>382</v>
      </c>
      <c r="I18" t="s">
        <v>382</v>
      </c>
      <c r="J18" t="s">
        <v>382</v>
      </c>
      <c r="K18" t="s">
        <v>382</v>
      </c>
      <c r="L18" t="s">
        <v>382</v>
      </c>
      <c r="M18" t="s">
        <v>382</v>
      </c>
      <c r="N18" t="s">
        <v>382</v>
      </c>
      <c r="O18" t="s">
        <v>382</v>
      </c>
      <c r="P18" t="s">
        <v>382</v>
      </c>
      <c r="Q18" t="s">
        <v>382</v>
      </c>
      <c r="R18" t="s">
        <v>382</v>
      </c>
      <c r="S18" t="s">
        <v>382</v>
      </c>
      <c r="T18" t="s">
        <v>382</v>
      </c>
      <c r="U18" t="s">
        <v>382</v>
      </c>
      <c r="V18" t="s">
        <v>382</v>
      </c>
      <c r="W18" t="s">
        <v>382</v>
      </c>
      <c r="X18" t="s">
        <v>382</v>
      </c>
      <c r="Y18" t="s">
        <v>382</v>
      </c>
      <c r="Z18" t="s">
        <v>382</v>
      </c>
      <c r="AA18" t="s">
        <v>382</v>
      </c>
      <c r="AB18" t="s">
        <v>382</v>
      </c>
      <c r="AC18">
        <v>5</v>
      </c>
      <c r="AD18">
        <v>2</v>
      </c>
      <c r="AE18">
        <v>1</v>
      </c>
      <c r="AF18" t="s">
        <v>393</v>
      </c>
      <c r="AH18" t="s">
        <v>51</v>
      </c>
      <c r="AI18" t="s">
        <v>97</v>
      </c>
      <c r="AK18">
        <v>1214</v>
      </c>
      <c r="AL18">
        <v>995</v>
      </c>
    </row>
    <row r="19" spans="1:38">
      <c r="A19" t="s">
        <v>382</v>
      </c>
      <c r="B19" t="s">
        <v>382</v>
      </c>
      <c r="C19" t="s">
        <v>382</v>
      </c>
      <c r="D19" t="s">
        <v>382</v>
      </c>
      <c r="E19" t="s">
        <v>382</v>
      </c>
      <c r="F19" t="s">
        <v>382</v>
      </c>
      <c r="G19" t="s">
        <v>382</v>
      </c>
      <c r="H19" t="s">
        <v>382</v>
      </c>
      <c r="I19" t="s">
        <v>382</v>
      </c>
      <c r="J19" t="s">
        <v>382</v>
      </c>
      <c r="K19" t="s">
        <v>382</v>
      </c>
      <c r="L19" t="s">
        <v>382</v>
      </c>
      <c r="M19" t="s">
        <v>382</v>
      </c>
      <c r="N19" t="s">
        <v>382</v>
      </c>
      <c r="O19" t="s">
        <v>382</v>
      </c>
      <c r="P19" t="s">
        <v>382</v>
      </c>
      <c r="Q19" t="s">
        <v>382</v>
      </c>
      <c r="R19" t="s">
        <v>382</v>
      </c>
      <c r="S19" t="s">
        <v>382</v>
      </c>
      <c r="T19" t="s">
        <v>382</v>
      </c>
      <c r="U19" t="s">
        <v>382</v>
      </c>
      <c r="V19" t="s">
        <v>382</v>
      </c>
      <c r="W19" t="s">
        <v>382</v>
      </c>
      <c r="X19" t="s">
        <v>382</v>
      </c>
      <c r="Y19" t="s">
        <v>382</v>
      </c>
      <c r="Z19" t="s">
        <v>382</v>
      </c>
      <c r="AA19" t="s">
        <v>382</v>
      </c>
      <c r="AB19" t="s">
        <v>382</v>
      </c>
      <c r="AC19">
        <v>5</v>
      </c>
      <c r="AD19">
        <v>3</v>
      </c>
      <c r="AF19" t="s">
        <v>386</v>
      </c>
      <c r="AH19" t="s">
        <v>29</v>
      </c>
      <c r="AI19" t="s">
        <v>103</v>
      </c>
      <c r="AK19">
        <v>1538</v>
      </c>
      <c r="AL19">
        <v>1484</v>
      </c>
    </row>
    <row r="20" spans="1:38">
      <c r="A20" t="s">
        <v>382</v>
      </c>
      <c r="B20" t="s">
        <v>382</v>
      </c>
      <c r="C20" t="s">
        <v>382</v>
      </c>
      <c r="D20" t="s">
        <v>382</v>
      </c>
      <c r="E20" t="s">
        <v>382</v>
      </c>
      <c r="F20" t="s">
        <v>382</v>
      </c>
      <c r="G20" t="s">
        <v>382</v>
      </c>
      <c r="H20" t="s">
        <v>382</v>
      </c>
      <c r="I20" t="s">
        <v>382</v>
      </c>
      <c r="J20" t="s">
        <v>382</v>
      </c>
      <c r="K20" t="s">
        <v>382</v>
      </c>
      <c r="L20" t="s">
        <v>382</v>
      </c>
      <c r="M20" t="s">
        <v>382</v>
      </c>
      <c r="N20" t="s">
        <v>382</v>
      </c>
      <c r="O20" t="s">
        <v>382</v>
      </c>
      <c r="P20" t="s">
        <v>382</v>
      </c>
      <c r="Q20" t="s">
        <v>382</v>
      </c>
      <c r="R20" t="s">
        <v>382</v>
      </c>
      <c r="S20" t="s">
        <v>382</v>
      </c>
      <c r="T20" t="s">
        <v>382</v>
      </c>
      <c r="U20" t="s">
        <v>382</v>
      </c>
      <c r="V20" t="s">
        <v>382</v>
      </c>
      <c r="W20" t="s">
        <v>382</v>
      </c>
      <c r="X20" t="s">
        <v>382</v>
      </c>
      <c r="Y20" t="s">
        <v>382</v>
      </c>
      <c r="Z20" t="s">
        <v>382</v>
      </c>
      <c r="AA20" t="s">
        <v>382</v>
      </c>
      <c r="AB20" t="s">
        <v>382</v>
      </c>
      <c r="AC20">
        <v>5</v>
      </c>
      <c r="AD20">
        <v>4</v>
      </c>
      <c r="AE20">
        <v>1</v>
      </c>
      <c r="AF20" t="s">
        <v>389</v>
      </c>
      <c r="AH20" t="s">
        <v>35</v>
      </c>
      <c r="AI20" t="s">
        <v>97</v>
      </c>
      <c r="AK20">
        <v>2843</v>
      </c>
      <c r="AL20">
        <v>1447</v>
      </c>
    </row>
    <row r="21" spans="1:38">
      <c r="A21" t="s">
        <v>382</v>
      </c>
      <c r="B21" t="s">
        <v>382</v>
      </c>
      <c r="C21" t="s">
        <v>382</v>
      </c>
      <c r="D21" t="s">
        <v>382</v>
      </c>
      <c r="E21" t="s">
        <v>382</v>
      </c>
      <c r="F21" t="s">
        <v>382</v>
      </c>
      <c r="G21" t="s">
        <v>382</v>
      </c>
      <c r="H21" t="s">
        <v>382</v>
      </c>
      <c r="I21" t="s">
        <v>382</v>
      </c>
      <c r="J21" t="s">
        <v>382</v>
      </c>
      <c r="K21" t="s">
        <v>382</v>
      </c>
      <c r="L21" t="s">
        <v>382</v>
      </c>
      <c r="M21" t="s">
        <v>382</v>
      </c>
      <c r="N21" t="s">
        <v>382</v>
      </c>
      <c r="O21" t="s">
        <v>382</v>
      </c>
      <c r="P21" t="s">
        <v>382</v>
      </c>
      <c r="Q21" t="s">
        <v>382</v>
      </c>
      <c r="R21" t="s">
        <v>382</v>
      </c>
      <c r="S21" t="s">
        <v>382</v>
      </c>
      <c r="T21" t="s">
        <v>382</v>
      </c>
      <c r="U21" t="s">
        <v>382</v>
      </c>
      <c r="V21" t="s">
        <v>382</v>
      </c>
      <c r="W21" t="s">
        <v>382</v>
      </c>
      <c r="X21" t="s">
        <v>382</v>
      </c>
      <c r="Y21" t="s">
        <v>382</v>
      </c>
      <c r="Z21" t="s">
        <v>382</v>
      </c>
      <c r="AA21" t="s">
        <v>382</v>
      </c>
      <c r="AB21" t="s">
        <v>382</v>
      </c>
      <c r="AC21">
        <v>5</v>
      </c>
      <c r="AD21">
        <v>5</v>
      </c>
      <c r="AE21">
        <v>1</v>
      </c>
      <c r="AF21" t="s">
        <v>396</v>
      </c>
      <c r="AH21" t="s">
        <v>64</v>
      </c>
      <c r="AI21" t="s">
        <v>97</v>
      </c>
      <c r="AK21">
        <v>1868</v>
      </c>
      <c r="AL21">
        <v>1827</v>
      </c>
    </row>
    <row r="22" spans="1:38">
      <c r="A22" t="s">
        <v>382</v>
      </c>
      <c r="B22" t="s">
        <v>382</v>
      </c>
      <c r="C22" t="s">
        <v>382</v>
      </c>
      <c r="D22" t="s">
        <v>382</v>
      </c>
      <c r="E22" t="s">
        <v>382</v>
      </c>
      <c r="F22" t="s">
        <v>382</v>
      </c>
      <c r="G22" t="s">
        <v>382</v>
      </c>
      <c r="H22" t="s">
        <v>382</v>
      </c>
      <c r="I22" t="s">
        <v>382</v>
      </c>
      <c r="J22" t="s">
        <v>382</v>
      </c>
      <c r="K22" t="s">
        <v>382</v>
      </c>
      <c r="L22" t="s">
        <v>382</v>
      </c>
      <c r="M22" t="s">
        <v>382</v>
      </c>
      <c r="N22" t="s">
        <v>382</v>
      </c>
      <c r="O22" t="s">
        <v>382</v>
      </c>
      <c r="P22" t="s">
        <v>382</v>
      </c>
      <c r="Q22" t="s">
        <v>382</v>
      </c>
      <c r="R22" t="s">
        <v>382</v>
      </c>
      <c r="S22" t="s">
        <v>382</v>
      </c>
      <c r="T22" t="s">
        <v>382</v>
      </c>
      <c r="U22" t="s">
        <v>382</v>
      </c>
      <c r="V22" t="s">
        <v>382</v>
      </c>
      <c r="W22" t="s">
        <v>382</v>
      </c>
      <c r="X22" t="s">
        <v>382</v>
      </c>
      <c r="Y22" t="s">
        <v>382</v>
      </c>
      <c r="Z22" t="s">
        <v>382</v>
      </c>
      <c r="AA22" t="s">
        <v>382</v>
      </c>
      <c r="AB22" t="s">
        <v>382</v>
      </c>
      <c r="AC22">
        <v>5</v>
      </c>
      <c r="AD22">
        <v>1</v>
      </c>
      <c r="AF22" t="s">
        <v>386</v>
      </c>
      <c r="AH22" t="s">
        <v>29</v>
      </c>
      <c r="AI22" t="s">
        <v>103</v>
      </c>
      <c r="AK22">
        <v>929</v>
      </c>
      <c r="AL22">
        <v>1378</v>
      </c>
    </row>
    <row r="23" spans="1:38">
      <c r="A23" t="s">
        <v>382</v>
      </c>
      <c r="B23" t="s">
        <v>382</v>
      </c>
      <c r="C23" t="s">
        <v>382</v>
      </c>
      <c r="D23" t="s">
        <v>382</v>
      </c>
      <c r="E23" t="s">
        <v>382</v>
      </c>
      <c r="F23" t="s">
        <v>382</v>
      </c>
      <c r="G23" t="s">
        <v>382</v>
      </c>
      <c r="H23" t="s">
        <v>382</v>
      </c>
      <c r="I23" t="s">
        <v>382</v>
      </c>
      <c r="J23" t="s">
        <v>382</v>
      </c>
      <c r="K23" t="s">
        <v>382</v>
      </c>
      <c r="L23" t="s">
        <v>382</v>
      </c>
      <c r="M23" t="s">
        <v>382</v>
      </c>
      <c r="N23" t="s">
        <v>382</v>
      </c>
      <c r="O23" t="s">
        <v>382</v>
      </c>
      <c r="P23" t="s">
        <v>382</v>
      </c>
      <c r="Q23" t="s">
        <v>382</v>
      </c>
      <c r="R23" t="s">
        <v>382</v>
      </c>
      <c r="S23" t="s">
        <v>382</v>
      </c>
      <c r="T23" t="s">
        <v>382</v>
      </c>
      <c r="U23" t="s">
        <v>382</v>
      </c>
      <c r="V23" t="s">
        <v>382</v>
      </c>
      <c r="W23" t="s">
        <v>382</v>
      </c>
      <c r="X23" t="s">
        <v>382</v>
      </c>
      <c r="Y23" t="s">
        <v>382</v>
      </c>
      <c r="Z23" t="s">
        <v>382</v>
      </c>
      <c r="AA23" t="s">
        <v>382</v>
      </c>
      <c r="AB23" t="s">
        <v>382</v>
      </c>
      <c r="AC23">
        <v>5</v>
      </c>
      <c r="AD23">
        <v>2</v>
      </c>
      <c r="AE23">
        <v>1</v>
      </c>
      <c r="AF23" t="s">
        <v>391</v>
      </c>
      <c r="AH23" t="s">
        <v>38</v>
      </c>
      <c r="AI23" t="s">
        <v>97</v>
      </c>
      <c r="AK23">
        <v>3292</v>
      </c>
      <c r="AL23">
        <v>788</v>
      </c>
    </row>
    <row r="24" spans="1:38">
      <c r="A24" t="s">
        <v>382</v>
      </c>
      <c r="B24" t="s">
        <v>382</v>
      </c>
      <c r="C24" t="s">
        <v>382</v>
      </c>
      <c r="D24" t="s">
        <v>382</v>
      </c>
      <c r="E24" t="s">
        <v>382</v>
      </c>
      <c r="F24" t="s">
        <v>382</v>
      </c>
      <c r="G24" t="s">
        <v>382</v>
      </c>
      <c r="H24" t="s">
        <v>382</v>
      </c>
      <c r="I24" t="s">
        <v>382</v>
      </c>
      <c r="J24" t="s">
        <v>382</v>
      </c>
      <c r="K24" t="s">
        <v>382</v>
      </c>
      <c r="L24" t="s">
        <v>382</v>
      </c>
      <c r="M24" t="s">
        <v>382</v>
      </c>
      <c r="N24" t="s">
        <v>382</v>
      </c>
      <c r="O24" t="s">
        <v>382</v>
      </c>
      <c r="P24" t="s">
        <v>382</v>
      </c>
      <c r="Q24" t="s">
        <v>382</v>
      </c>
      <c r="R24" t="s">
        <v>382</v>
      </c>
      <c r="S24" t="s">
        <v>382</v>
      </c>
      <c r="T24" t="s">
        <v>382</v>
      </c>
      <c r="U24" t="s">
        <v>382</v>
      </c>
      <c r="V24" t="s">
        <v>382</v>
      </c>
      <c r="W24" t="s">
        <v>382</v>
      </c>
      <c r="X24" t="s">
        <v>382</v>
      </c>
      <c r="Y24" t="s">
        <v>382</v>
      </c>
      <c r="Z24" t="s">
        <v>382</v>
      </c>
      <c r="AA24" t="s">
        <v>382</v>
      </c>
      <c r="AB24" t="s">
        <v>382</v>
      </c>
      <c r="AC24">
        <v>5</v>
      </c>
      <c r="AD24">
        <v>3</v>
      </c>
      <c r="AE24">
        <v>1</v>
      </c>
      <c r="AF24" t="s">
        <v>398</v>
      </c>
      <c r="AH24" t="s">
        <v>69</v>
      </c>
      <c r="AI24" t="s">
        <v>97</v>
      </c>
      <c r="AK24">
        <v>1384</v>
      </c>
      <c r="AL24">
        <v>2081</v>
      </c>
    </row>
    <row r="25" spans="1:38">
      <c r="A25" t="s">
        <v>382</v>
      </c>
      <c r="B25" t="s">
        <v>382</v>
      </c>
      <c r="C25" t="s">
        <v>382</v>
      </c>
      <c r="D25" t="s">
        <v>382</v>
      </c>
      <c r="E25" t="s">
        <v>382</v>
      </c>
      <c r="F25" t="s">
        <v>382</v>
      </c>
      <c r="G25" t="s">
        <v>382</v>
      </c>
      <c r="H25" t="s">
        <v>382</v>
      </c>
      <c r="I25" t="s">
        <v>382</v>
      </c>
      <c r="J25" t="s">
        <v>382</v>
      </c>
      <c r="K25" t="s">
        <v>382</v>
      </c>
      <c r="L25" t="s">
        <v>382</v>
      </c>
      <c r="M25" t="s">
        <v>382</v>
      </c>
      <c r="N25" t="s">
        <v>382</v>
      </c>
      <c r="O25" t="s">
        <v>382</v>
      </c>
      <c r="P25" t="s">
        <v>382</v>
      </c>
      <c r="Q25" t="s">
        <v>382</v>
      </c>
      <c r="R25" t="s">
        <v>382</v>
      </c>
      <c r="S25" t="s">
        <v>382</v>
      </c>
      <c r="T25" t="s">
        <v>382</v>
      </c>
      <c r="U25" t="s">
        <v>382</v>
      </c>
      <c r="V25" t="s">
        <v>382</v>
      </c>
      <c r="W25" t="s">
        <v>382</v>
      </c>
      <c r="X25" t="s">
        <v>382</v>
      </c>
      <c r="Y25" t="s">
        <v>382</v>
      </c>
      <c r="Z25" t="s">
        <v>382</v>
      </c>
      <c r="AA25" t="s">
        <v>382</v>
      </c>
      <c r="AB25" t="s">
        <v>382</v>
      </c>
      <c r="AC25">
        <v>5</v>
      </c>
      <c r="AD25">
        <v>4</v>
      </c>
      <c r="AF25" t="s">
        <v>386</v>
      </c>
      <c r="AH25" t="s">
        <v>29</v>
      </c>
      <c r="AI25" t="s">
        <v>103</v>
      </c>
      <c r="AK25">
        <v>2808</v>
      </c>
      <c r="AL25">
        <v>2210</v>
      </c>
    </row>
    <row r="26" spans="1:38">
      <c r="A26" t="s">
        <v>382</v>
      </c>
      <c r="B26" t="s">
        <v>382</v>
      </c>
      <c r="C26" t="s">
        <v>382</v>
      </c>
      <c r="D26" t="s">
        <v>382</v>
      </c>
      <c r="E26" t="s">
        <v>382</v>
      </c>
      <c r="F26" t="s">
        <v>382</v>
      </c>
      <c r="G26" t="s">
        <v>382</v>
      </c>
      <c r="H26" t="s">
        <v>382</v>
      </c>
      <c r="I26" t="s">
        <v>382</v>
      </c>
      <c r="J26" t="s">
        <v>382</v>
      </c>
      <c r="K26" t="s">
        <v>382</v>
      </c>
      <c r="L26" t="s">
        <v>382</v>
      </c>
      <c r="M26" t="s">
        <v>382</v>
      </c>
      <c r="N26" t="s">
        <v>382</v>
      </c>
      <c r="O26" t="s">
        <v>382</v>
      </c>
      <c r="P26" t="s">
        <v>382</v>
      </c>
      <c r="Q26" t="s">
        <v>382</v>
      </c>
      <c r="R26" t="s">
        <v>382</v>
      </c>
      <c r="S26" t="s">
        <v>382</v>
      </c>
      <c r="T26" t="s">
        <v>382</v>
      </c>
      <c r="U26" t="s">
        <v>382</v>
      </c>
      <c r="V26" t="s">
        <v>382</v>
      </c>
      <c r="W26" t="s">
        <v>382</v>
      </c>
      <c r="X26" t="s">
        <v>382</v>
      </c>
      <c r="Y26" t="s">
        <v>382</v>
      </c>
      <c r="Z26" t="s">
        <v>382</v>
      </c>
      <c r="AA26" t="s">
        <v>382</v>
      </c>
      <c r="AB26" t="s">
        <v>382</v>
      </c>
      <c r="AC26">
        <v>5</v>
      </c>
      <c r="AD26">
        <v>5</v>
      </c>
      <c r="AE26">
        <v>1</v>
      </c>
      <c r="AF26" t="s">
        <v>393</v>
      </c>
      <c r="AH26" t="s">
        <v>51</v>
      </c>
      <c r="AI26" t="s">
        <v>97</v>
      </c>
      <c r="AK26">
        <v>1805</v>
      </c>
      <c r="AL26">
        <v>699</v>
      </c>
    </row>
    <row r="27" spans="1:38">
      <c r="A27" t="s">
        <v>382</v>
      </c>
      <c r="B27" t="s">
        <v>382</v>
      </c>
      <c r="C27" t="s">
        <v>382</v>
      </c>
      <c r="D27" t="s">
        <v>382</v>
      </c>
      <c r="E27" t="s">
        <v>382</v>
      </c>
      <c r="F27" t="s">
        <v>382</v>
      </c>
      <c r="G27" t="s">
        <v>382</v>
      </c>
      <c r="H27" t="s">
        <v>382</v>
      </c>
      <c r="I27" t="s">
        <v>382</v>
      </c>
      <c r="J27" t="s">
        <v>382</v>
      </c>
      <c r="K27" t="s">
        <v>382</v>
      </c>
      <c r="L27" t="s">
        <v>382</v>
      </c>
      <c r="M27" t="s">
        <v>382</v>
      </c>
      <c r="N27" t="s">
        <v>382</v>
      </c>
      <c r="O27" t="s">
        <v>382</v>
      </c>
      <c r="P27" t="s">
        <v>382</v>
      </c>
      <c r="Q27" t="s">
        <v>382</v>
      </c>
      <c r="R27" t="s">
        <v>382</v>
      </c>
      <c r="S27" t="s">
        <v>382</v>
      </c>
      <c r="T27" t="s">
        <v>382</v>
      </c>
      <c r="U27" t="s">
        <v>382</v>
      </c>
      <c r="V27" t="s">
        <v>382</v>
      </c>
      <c r="W27" t="s">
        <v>382</v>
      </c>
      <c r="X27" t="s">
        <v>382</v>
      </c>
      <c r="Y27" t="s">
        <v>382</v>
      </c>
      <c r="Z27" t="s">
        <v>382</v>
      </c>
      <c r="AA27" t="s">
        <v>382</v>
      </c>
      <c r="AB27" t="s">
        <v>382</v>
      </c>
      <c r="AC27">
        <v>5</v>
      </c>
      <c r="AD27">
        <v>1</v>
      </c>
      <c r="AE27">
        <v>1</v>
      </c>
      <c r="AF27" t="s">
        <v>391</v>
      </c>
      <c r="AH27" t="s">
        <v>38</v>
      </c>
      <c r="AI27" t="s">
        <v>97</v>
      </c>
      <c r="AK27">
        <v>1341</v>
      </c>
      <c r="AL27">
        <v>484</v>
      </c>
    </row>
    <row r="28" spans="1:38">
      <c r="A28" t="s">
        <v>382</v>
      </c>
      <c r="B28" t="s">
        <v>382</v>
      </c>
      <c r="C28" t="s">
        <v>382</v>
      </c>
      <c r="D28" t="s">
        <v>382</v>
      </c>
      <c r="E28" t="s">
        <v>382</v>
      </c>
      <c r="F28" t="s">
        <v>382</v>
      </c>
      <c r="G28" t="s">
        <v>382</v>
      </c>
      <c r="H28" t="s">
        <v>382</v>
      </c>
      <c r="I28" t="s">
        <v>382</v>
      </c>
      <c r="J28" t="s">
        <v>382</v>
      </c>
      <c r="K28" t="s">
        <v>382</v>
      </c>
      <c r="L28" t="s">
        <v>382</v>
      </c>
      <c r="M28" t="s">
        <v>382</v>
      </c>
      <c r="N28" t="s">
        <v>382</v>
      </c>
      <c r="O28" t="s">
        <v>382</v>
      </c>
      <c r="P28" t="s">
        <v>382</v>
      </c>
      <c r="Q28" t="s">
        <v>382</v>
      </c>
      <c r="R28" t="s">
        <v>382</v>
      </c>
      <c r="S28" t="s">
        <v>382</v>
      </c>
      <c r="T28" t="s">
        <v>382</v>
      </c>
      <c r="U28" t="s">
        <v>382</v>
      </c>
      <c r="V28" t="s">
        <v>382</v>
      </c>
      <c r="W28" t="s">
        <v>382</v>
      </c>
      <c r="X28" t="s">
        <v>382</v>
      </c>
      <c r="Y28" t="s">
        <v>382</v>
      </c>
      <c r="Z28" t="s">
        <v>382</v>
      </c>
      <c r="AA28" t="s">
        <v>382</v>
      </c>
      <c r="AB28" t="s">
        <v>382</v>
      </c>
      <c r="AC28">
        <v>5</v>
      </c>
      <c r="AD28">
        <v>2</v>
      </c>
      <c r="AE28">
        <v>1</v>
      </c>
      <c r="AF28" t="s">
        <v>398</v>
      </c>
      <c r="AH28" t="s">
        <v>69</v>
      </c>
      <c r="AI28" t="s">
        <v>97</v>
      </c>
      <c r="AK28">
        <v>2239</v>
      </c>
      <c r="AL28">
        <v>165</v>
      </c>
    </row>
    <row r="29" spans="1:38">
      <c r="A29" t="s">
        <v>382</v>
      </c>
      <c r="B29" t="s">
        <v>382</v>
      </c>
      <c r="C29" t="s">
        <v>382</v>
      </c>
      <c r="D29" t="s">
        <v>382</v>
      </c>
      <c r="E29" t="s">
        <v>382</v>
      </c>
      <c r="F29" t="s">
        <v>382</v>
      </c>
      <c r="G29" t="s">
        <v>382</v>
      </c>
      <c r="H29" t="s">
        <v>382</v>
      </c>
      <c r="I29" t="s">
        <v>382</v>
      </c>
      <c r="J29" t="s">
        <v>382</v>
      </c>
      <c r="K29" t="s">
        <v>382</v>
      </c>
      <c r="L29" t="s">
        <v>382</v>
      </c>
      <c r="M29" t="s">
        <v>382</v>
      </c>
      <c r="N29" t="s">
        <v>382</v>
      </c>
      <c r="O29" t="s">
        <v>382</v>
      </c>
      <c r="P29" t="s">
        <v>382</v>
      </c>
      <c r="Q29" t="s">
        <v>382</v>
      </c>
      <c r="R29" t="s">
        <v>382</v>
      </c>
      <c r="S29" t="s">
        <v>382</v>
      </c>
      <c r="T29" t="s">
        <v>382</v>
      </c>
      <c r="U29" t="s">
        <v>382</v>
      </c>
      <c r="V29" t="s">
        <v>382</v>
      </c>
      <c r="W29" t="s">
        <v>382</v>
      </c>
      <c r="X29" t="s">
        <v>382</v>
      </c>
      <c r="Y29" t="s">
        <v>382</v>
      </c>
      <c r="Z29" t="s">
        <v>382</v>
      </c>
      <c r="AA29" t="s">
        <v>382</v>
      </c>
      <c r="AB29" t="s">
        <v>382</v>
      </c>
      <c r="AC29">
        <v>5</v>
      </c>
      <c r="AD29">
        <v>3</v>
      </c>
      <c r="AE29">
        <v>1</v>
      </c>
      <c r="AF29" t="s">
        <v>391</v>
      </c>
      <c r="AH29" t="s">
        <v>38</v>
      </c>
      <c r="AI29" t="s">
        <v>97</v>
      </c>
      <c r="AK29">
        <v>1701</v>
      </c>
      <c r="AL29">
        <v>715</v>
      </c>
    </row>
    <row r="30" spans="1:38">
      <c r="A30" t="s">
        <v>382</v>
      </c>
      <c r="B30" t="s">
        <v>382</v>
      </c>
      <c r="C30" t="s">
        <v>382</v>
      </c>
      <c r="D30" t="s">
        <v>382</v>
      </c>
      <c r="E30" t="s">
        <v>382</v>
      </c>
      <c r="F30" t="s">
        <v>382</v>
      </c>
      <c r="G30" t="s">
        <v>382</v>
      </c>
      <c r="H30" t="s">
        <v>382</v>
      </c>
      <c r="I30" t="s">
        <v>382</v>
      </c>
      <c r="J30" t="s">
        <v>382</v>
      </c>
      <c r="K30" t="s">
        <v>382</v>
      </c>
      <c r="L30" t="s">
        <v>382</v>
      </c>
      <c r="M30" t="s">
        <v>382</v>
      </c>
      <c r="N30" t="s">
        <v>382</v>
      </c>
      <c r="O30" t="s">
        <v>382</v>
      </c>
      <c r="P30" t="s">
        <v>382</v>
      </c>
      <c r="Q30" t="s">
        <v>382</v>
      </c>
      <c r="R30" t="s">
        <v>382</v>
      </c>
      <c r="S30" t="s">
        <v>382</v>
      </c>
      <c r="T30" t="s">
        <v>382</v>
      </c>
      <c r="U30" t="s">
        <v>382</v>
      </c>
      <c r="V30" t="s">
        <v>382</v>
      </c>
      <c r="W30" t="s">
        <v>382</v>
      </c>
      <c r="X30" t="s">
        <v>382</v>
      </c>
      <c r="Y30" t="s">
        <v>382</v>
      </c>
      <c r="Z30" t="s">
        <v>382</v>
      </c>
      <c r="AA30" t="s">
        <v>382</v>
      </c>
      <c r="AB30" t="s">
        <v>382</v>
      </c>
      <c r="AC30">
        <v>5</v>
      </c>
      <c r="AD30">
        <v>4</v>
      </c>
      <c r="AE30">
        <v>1</v>
      </c>
      <c r="AF30" t="s">
        <v>396</v>
      </c>
      <c r="AH30" t="s">
        <v>64</v>
      </c>
      <c r="AI30" t="s">
        <v>97</v>
      </c>
      <c r="AK30">
        <v>2588</v>
      </c>
      <c r="AL30">
        <v>912</v>
      </c>
    </row>
    <row r="31" spans="1:38">
      <c r="A31" t="s">
        <v>382</v>
      </c>
      <c r="B31" t="s">
        <v>382</v>
      </c>
      <c r="C31" t="s">
        <v>382</v>
      </c>
      <c r="D31" t="s">
        <v>382</v>
      </c>
      <c r="E31" t="s">
        <v>382</v>
      </c>
      <c r="F31" t="s">
        <v>382</v>
      </c>
      <c r="G31" t="s">
        <v>382</v>
      </c>
      <c r="H31" t="s">
        <v>382</v>
      </c>
      <c r="I31" t="s">
        <v>382</v>
      </c>
      <c r="J31" t="s">
        <v>382</v>
      </c>
      <c r="K31" t="s">
        <v>382</v>
      </c>
      <c r="L31" t="s">
        <v>382</v>
      </c>
      <c r="M31" t="s">
        <v>382</v>
      </c>
      <c r="N31" t="s">
        <v>382</v>
      </c>
      <c r="O31" t="s">
        <v>382</v>
      </c>
      <c r="P31" t="s">
        <v>382</v>
      </c>
      <c r="Q31" t="s">
        <v>382</v>
      </c>
      <c r="R31" t="s">
        <v>382</v>
      </c>
      <c r="S31" t="s">
        <v>382</v>
      </c>
      <c r="T31" t="s">
        <v>382</v>
      </c>
      <c r="U31" t="s">
        <v>382</v>
      </c>
      <c r="V31" t="s">
        <v>382</v>
      </c>
      <c r="W31" t="s">
        <v>382</v>
      </c>
      <c r="X31" t="s">
        <v>382</v>
      </c>
      <c r="Y31" t="s">
        <v>382</v>
      </c>
      <c r="Z31" t="s">
        <v>382</v>
      </c>
      <c r="AA31" t="s">
        <v>382</v>
      </c>
      <c r="AB31" t="s">
        <v>382</v>
      </c>
      <c r="AC31">
        <v>5</v>
      </c>
      <c r="AD31">
        <v>5</v>
      </c>
      <c r="AE31">
        <v>1</v>
      </c>
      <c r="AF31" t="s">
        <v>391</v>
      </c>
      <c r="AH31" t="s">
        <v>38</v>
      </c>
      <c r="AI31" t="s">
        <v>97</v>
      </c>
      <c r="AK31">
        <v>894</v>
      </c>
      <c r="AL31">
        <v>609</v>
      </c>
    </row>
    <row r="32" spans="1:38">
      <c r="A32" t="s">
        <v>382</v>
      </c>
      <c r="B32" t="s">
        <v>382</v>
      </c>
      <c r="C32" t="s">
        <v>382</v>
      </c>
      <c r="D32" t="s">
        <v>382</v>
      </c>
      <c r="E32" t="s">
        <v>382</v>
      </c>
      <c r="F32" t="s">
        <v>382</v>
      </c>
      <c r="G32" t="s">
        <v>382</v>
      </c>
      <c r="H32" t="s">
        <v>382</v>
      </c>
      <c r="I32" t="s">
        <v>382</v>
      </c>
      <c r="J32" t="s">
        <v>382</v>
      </c>
      <c r="K32" t="s">
        <v>382</v>
      </c>
      <c r="L32" t="s">
        <v>382</v>
      </c>
      <c r="M32" t="s">
        <v>382</v>
      </c>
      <c r="N32" t="s">
        <v>382</v>
      </c>
      <c r="O32" t="s">
        <v>382</v>
      </c>
      <c r="P32" t="s">
        <v>382</v>
      </c>
      <c r="Q32" t="s">
        <v>382</v>
      </c>
      <c r="R32" t="s">
        <v>382</v>
      </c>
      <c r="S32" t="s">
        <v>382</v>
      </c>
      <c r="T32" t="s">
        <v>382</v>
      </c>
      <c r="U32" t="s">
        <v>382</v>
      </c>
      <c r="V32" t="s">
        <v>382</v>
      </c>
      <c r="W32" t="s">
        <v>382</v>
      </c>
      <c r="X32" t="s">
        <v>382</v>
      </c>
      <c r="Y32" t="s">
        <v>382</v>
      </c>
      <c r="Z32" t="s">
        <v>382</v>
      </c>
      <c r="AA32" t="s">
        <v>382</v>
      </c>
      <c r="AB32" t="s">
        <v>382</v>
      </c>
      <c r="AC32">
        <v>5</v>
      </c>
      <c r="AD32">
        <v>1</v>
      </c>
      <c r="AF32" t="s">
        <v>385</v>
      </c>
      <c r="AH32" t="s">
        <v>27</v>
      </c>
      <c r="AI32" t="s">
        <v>109</v>
      </c>
      <c r="AK32">
        <v>1235</v>
      </c>
      <c r="AL32">
        <v>352</v>
      </c>
    </row>
    <row r="33" spans="1:38">
      <c r="A33" t="s">
        <v>382</v>
      </c>
      <c r="B33" t="s">
        <v>382</v>
      </c>
      <c r="C33" t="s">
        <v>382</v>
      </c>
      <c r="D33" t="s">
        <v>382</v>
      </c>
      <c r="E33" t="s">
        <v>382</v>
      </c>
      <c r="F33" t="s">
        <v>382</v>
      </c>
      <c r="G33" t="s">
        <v>382</v>
      </c>
      <c r="H33" t="s">
        <v>382</v>
      </c>
      <c r="I33" t="s">
        <v>382</v>
      </c>
      <c r="J33" t="s">
        <v>382</v>
      </c>
      <c r="K33" t="s">
        <v>382</v>
      </c>
      <c r="L33" t="s">
        <v>382</v>
      </c>
      <c r="M33" t="s">
        <v>382</v>
      </c>
      <c r="N33" t="s">
        <v>382</v>
      </c>
      <c r="O33" t="s">
        <v>382</v>
      </c>
      <c r="P33" t="s">
        <v>382</v>
      </c>
      <c r="Q33" t="s">
        <v>382</v>
      </c>
      <c r="R33" t="s">
        <v>382</v>
      </c>
      <c r="S33" t="s">
        <v>382</v>
      </c>
      <c r="T33" t="s">
        <v>382</v>
      </c>
      <c r="U33" t="s">
        <v>382</v>
      </c>
      <c r="V33" t="s">
        <v>382</v>
      </c>
      <c r="W33" t="s">
        <v>382</v>
      </c>
      <c r="X33" t="s">
        <v>382</v>
      </c>
      <c r="Y33" t="s">
        <v>382</v>
      </c>
      <c r="Z33" t="s">
        <v>382</v>
      </c>
      <c r="AA33" t="s">
        <v>382</v>
      </c>
      <c r="AB33" t="s">
        <v>382</v>
      </c>
      <c r="AC33">
        <v>5</v>
      </c>
      <c r="AD33">
        <v>2</v>
      </c>
      <c r="AE33">
        <v>1</v>
      </c>
      <c r="AF33" t="s">
        <v>393</v>
      </c>
      <c r="AH33" t="s">
        <v>51</v>
      </c>
      <c r="AI33" t="s">
        <v>97</v>
      </c>
      <c r="AK33">
        <v>2332</v>
      </c>
      <c r="AL33">
        <v>1302</v>
      </c>
    </row>
    <row r="34" spans="1:38">
      <c r="A34" t="s">
        <v>382</v>
      </c>
      <c r="B34" t="s">
        <v>382</v>
      </c>
      <c r="C34" t="s">
        <v>382</v>
      </c>
      <c r="D34" t="s">
        <v>382</v>
      </c>
      <c r="E34" t="s">
        <v>382</v>
      </c>
      <c r="F34" t="s">
        <v>382</v>
      </c>
      <c r="G34" t="s">
        <v>382</v>
      </c>
      <c r="H34" t="s">
        <v>382</v>
      </c>
      <c r="I34" t="s">
        <v>382</v>
      </c>
      <c r="J34" t="s">
        <v>382</v>
      </c>
      <c r="K34" t="s">
        <v>382</v>
      </c>
      <c r="L34" t="s">
        <v>382</v>
      </c>
      <c r="M34" t="s">
        <v>382</v>
      </c>
      <c r="N34" t="s">
        <v>382</v>
      </c>
      <c r="O34" t="s">
        <v>382</v>
      </c>
      <c r="P34" t="s">
        <v>382</v>
      </c>
      <c r="Q34" t="s">
        <v>382</v>
      </c>
      <c r="R34" t="s">
        <v>382</v>
      </c>
      <c r="S34" t="s">
        <v>382</v>
      </c>
      <c r="T34" t="s">
        <v>382</v>
      </c>
      <c r="U34" t="s">
        <v>382</v>
      </c>
      <c r="V34" t="s">
        <v>382</v>
      </c>
      <c r="W34" t="s">
        <v>382</v>
      </c>
      <c r="X34" t="s">
        <v>382</v>
      </c>
      <c r="Y34" t="s">
        <v>382</v>
      </c>
      <c r="Z34" t="s">
        <v>382</v>
      </c>
      <c r="AA34" t="s">
        <v>382</v>
      </c>
      <c r="AB34" t="s">
        <v>382</v>
      </c>
      <c r="AC34">
        <v>5</v>
      </c>
      <c r="AD34">
        <v>3</v>
      </c>
      <c r="AE34">
        <v>1</v>
      </c>
      <c r="AF34" t="s">
        <v>398</v>
      </c>
      <c r="AH34" t="s">
        <v>69</v>
      </c>
      <c r="AI34" t="s">
        <v>97</v>
      </c>
      <c r="AK34">
        <v>2160</v>
      </c>
      <c r="AL34">
        <v>2218</v>
      </c>
    </row>
    <row r="35" spans="1:38">
      <c r="A35" t="s">
        <v>382</v>
      </c>
      <c r="B35" t="s">
        <v>382</v>
      </c>
      <c r="C35" t="s">
        <v>382</v>
      </c>
      <c r="D35" t="s">
        <v>382</v>
      </c>
      <c r="E35" t="s">
        <v>382</v>
      </c>
      <c r="F35" t="s">
        <v>382</v>
      </c>
      <c r="G35" t="s">
        <v>382</v>
      </c>
      <c r="H35" t="s">
        <v>382</v>
      </c>
      <c r="I35" t="s">
        <v>382</v>
      </c>
      <c r="J35" t="s">
        <v>382</v>
      </c>
      <c r="K35" t="s">
        <v>382</v>
      </c>
      <c r="L35" t="s">
        <v>382</v>
      </c>
      <c r="M35" t="s">
        <v>382</v>
      </c>
      <c r="N35" t="s">
        <v>382</v>
      </c>
      <c r="O35" t="s">
        <v>382</v>
      </c>
      <c r="P35" t="s">
        <v>382</v>
      </c>
      <c r="Q35" t="s">
        <v>382</v>
      </c>
      <c r="R35" t="s">
        <v>382</v>
      </c>
      <c r="S35" t="s">
        <v>382</v>
      </c>
      <c r="T35" t="s">
        <v>382</v>
      </c>
      <c r="U35" t="s">
        <v>382</v>
      </c>
      <c r="V35" t="s">
        <v>382</v>
      </c>
      <c r="W35" t="s">
        <v>382</v>
      </c>
      <c r="X35" t="s">
        <v>382</v>
      </c>
      <c r="Y35" t="s">
        <v>382</v>
      </c>
      <c r="Z35" t="s">
        <v>382</v>
      </c>
      <c r="AA35" t="s">
        <v>382</v>
      </c>
      <c r="AB35" t="s">
        <v>382</v>
      </c>
      <c r="AC35">
        <v>5</v>
      </c>
      <c r="AD35">
        <v>4</v>
      </c>
      <c r="AE35">
        <v>1</v>
      </c>
      <c r="AF35" t="s">
        <v>398</v>
      </c>
      <c r="AH35" t="s">
        <v>69</v>
      </c>
      <c r="AI35" t="s">
        <v>97</v>
      </c>
      <c r="AK35">
        <v>2102</v>
      </c>
      <c r="AL35">
        <v>2258</v>
      </c>
    </row>
    <row r="36" spans="1:38">
      <c r="A36" t="s">
        <v>382</v>
      </c>
      <c r="B36" t="s">
        <v>382</v>
      </c>
      <c r="C36" t="s">
        <v>382</v>
      </c>
      <c r="D36" t="s">
        <v>382</v>
      </c>
      <c r="E36" t="s">
        <v>382</v>
      </c>
      <c r="F36" t="s">
        <v>382</v>
      </c>
      <c r="G36" t="s">
        <v>382</v>
      </c>
      <c r="H36" t="s">
        <v>382</v>
      </c>
      <c r="I36" t="s">
        <v>382</v>
      </c>
      <c r="J36" t="s">
        <v>382</v>
      </c>
      <c r="K36" t="s">
        <v>382</v>
      </c>
      <c r="L36" t="s">
        <v>382</v>
      </c>
      <c r="M36" t="s">
        <v>382</v>
      </c>
      <c r="N36" t="s">
        <v>382</v>
      </c>
      <c r="O36" t="s">
        <v>382</v>
      </c>
      <c r="P36" t="s">
        <v>382</v>
      </c>
      <c r="Q36" t="s">
        <v>382</v>
      </c>
      <c r="R36" t="s">
        <v>382</v>
      </c>
      <c r="S36" t="s">
        <v>382</v>
      </c>
      <c r="T36" t="s">
        <v>382</v>
      </c>
      <c r="U36" t="s">
        <v>382</v>
      </c>
      <c r="V36" t="s">
        <v>382</v>
      </c>
      <c r="W36" t="s">
        <v>382</v>
      </c>
      <c r="X36" t="s">
        <v>382</v>
      </c>
      <c r="Y36" t="s">
        <v>382</v>
      </c>
      <c r="Z36" t="s">
        <v>382</v>
      </c>
      <c r="AA36" t="s">
        <v>382</v>
      </c>
      <c r="AB36" t="s">
        <v>382</v>
      </c>
      <c r="AC36">
        <v>5</v>
      </c>
      <c r="AD36">
        <v>5</v>
      </c>
      <c r="AE36">
        <v>1</v>
      </c>
      <c r="AF36" t="s">
        <v>398</v>
      </c>
      <c r="AH36" t="s">
        <v>69</v>
      </c>
      <c r="AI36" t="s">
        <v>97</v>
      </c>
      <c r="AK36">
        <v>2101</v>
      </c>
      <c r="AL36">
        <v>2072</v>
      </c>
    </row>
    <row r="37" spans="1:38">
      <c r="A37" t="s">
        <v>382</v>
      </c>
      <c r="B37" t="s">
        <v>382</v>
      </c>
      <c r="C37" t="s">
        <v>382</v>
      </c>
      <c r="D37" t="s">
        <v>382</v>
      </c>
      <c r="E37" t="s">
        <v>382</v>
      </c>
      <c r="F37" t="s">
        <v>382</v>
      </c>
      <c r="G37" t="s">
        <v>382</v>
      </c>
      <c r="H37" t="s">
        <v>382</v>
      </c>
      <c r="I37" t="s">
        <v>382</v>
      </c>
      <c r="J37" t="s">
        <v>382</v>
      </c>
      <c r="K37" t="s">
        <v>382</v>
      </c>
      <c r="L37" t="s">
        <v>382</v>
      </c>
      <c r="M37" t="s">
        <v>382</v>
      </c>
      <c r="N37" t="s">
        <v>382</v>
      </c>
      <c r="O37" t="s">
        <v>382</v>
      </c>
      <c r="P37" t="s">
        <v>382</v>
      </c>
      <c r="Q37" t="s">
        <v>382</v>
      </c>
      <c r="R37" t="s">
        <v>382</v>
      </c>
      <c r="S37" t="s">
        <v>382</v>
      </c>
      <c r="T37" t="s">
        <v>382</v>
      </c>
      <c r="U37" t="s">
        <v>382</v>
      </c>
      <c r="V37" t="s">
        <v>382</v>
      </c>
      <c r="W37" t="s">
        <v>382</v>
      </c>
      <c r="X37" t="s">
        <v>382</v>
      </c>
      <c r="Y37" t="s">
        <v>382</v>
      </c>
      <c r="Z37" t="s">
        <v>382</v>
      </c>
      <c r="AA37" t="s">
        <v>382</v>
      </c>
      <c r="AB37" t="s">
        <v>382</v>
      </c>
      <c r="AC37">
        <v>5</v>
      </c>
      <c r="AD37">
        <v>1</v>
      </c>
      <c r="AF37" t="s">
        <v>385</v>
      </c>
      <c r="AH37" t="s">
        <v>27</v>
      </c>
      <c r="AI37" t="s">
        <v>109</v>
      </c>
      <c r="AK37">
        <v>2926</v>
      </c>
      <c r="AL37">
        <v>1324</v>
      </c>
    </row>
    <row r="38" spans="1:38">
      <c r="A38" t="s">
        <v>382</v>
      </c>
      <c r="B38" t="s">
        <v>382</v>
      </c>
      <c r="C38" t="s">
        <v>382</v>
      </c>
      <c r="D38" t="s">
        <v>382</v>
      </c>
      <c r="E38" t="s">
        <v>382</v>
      </c>
      <c r="F38" t="s">
        <v>382</v>
      </c>
      <c r="G38" t="s">
        <v>382</v>
      </c>
      <c r="H38" t="s">
        <v>382</v>
      </c>
      <c r="I38" t="s">
        <v>382</v>
      </c>
      <c r="J38" t="s">
        <v>382</v>
      </c>
      <c r="K38" t="s">
        <v>382</v>
      </c>
      <c r="L38" t="s">
        <v>382</v>
      </c>
      <c r="M38" t="s">
        <v>382</v>
      </c>
      <c r="N38" t="s">
        <v>382</v>
      </c>
      <c r="O38" t="s">
        <v>382</v>
      </c>
      <c r="P38" t="s">
        <v>382</v>
      </c>
      <c r="Q38" t="s">
        <v>382</v>
      </c>
      <c r="R38" t="s">
        <v>382</v>
      </c>
      <c r="S38" t="s">
        <v>382</v>
      </c>
      <c r="T38" t="s">
        <v>382</v>
      </c>
      <c r="U38" t="s">
        <v>382</v>
      </c>
      <c r="V38" t="s">
        <v>382</v>
      </c>
      <c r="W38" t="s">
        <v>382</v>
      </c>
      <c r="X38" t="s">
        <v>382</v>
      </c>
      <c r="Y38" t="s">
        <v>382</v>
      </c>
      <c r="Z38" t="s">
        <v>382</v>
      </c>
      <c r="AA38" t="s">
        <v>382</v>
      </c>
      <c r="AB38" t="s">
        <v>382</v>
      </c>
      <c r="AC38">
        <v>5</v>
      </c>
      <c r="AD38">
        <v>2</v>
      </c>
      <c r="AF38" t="s">
        <v>385</v>
      </c>
      <c r="AH38" t="s">
        <v>27</v>
      </c>
      <c r="AI38" t="s">
        <v>109</v>
      </c>
      <c r="AK38">
        <v>1502</v>
      </c>
      <c r="AL38">
        <v>1548</v>
      </c>
    </row>
    <row r="39" spans="1:38">
      <c r="A39" t="s">
        <v>382</v>
      </c>
      <c r="B39" t="s">
        <v>382</v>
      </c>
      <c r="C39" t="s">
        <v>382</v>
      </c>
      <c r="D39" t="s">
        <v>382</v>
      </c>
      <c r="E39" t="s">
        <v>382</v>
      </c>
      <c r="F39" t="s">
        <v>382</v>
      </c>
      <c r="G39" t="s">
        <v>382</v>
      </c>
      <c r="H39" t="s">
        <v>382</v>
      </c>
      <c r="I39" t="s">
        <v>382</v>
      </c>
      <c r="J39" t="s">
        <v>382</v>
      </c>
      <c r="K39" t="s">
        <v>382</v>
      </c>
      <c r="L39" t="s">
        <v>382</v>
      </c>
      <c r="M39" t="s">
        <v>382</v>
      </c>
      <c r="N39" t="s">
        <v>382</v>
      </c>
      <c r="O39" t="s">
        <v>382</v>
      </c>
      <c r="P39" t="s">
        <v>382</v>
      </c>
      <c r="Q39" t="s">
        <v>382</v>
      </c>
      <c r="R39" t="s">
        <v>382</v>
      </c>
      <c r="S39" t="s">
        <v>382</v>
      </c>
      <c r="T39" t="s">
        <v>382</v>
      </c>
      <c r="U39" t="s">
        <v>382</v>
      </c>
      <c r="V39" t="s">
        <v>382</v>
      </c>
      <c r="W39" t="s">
        <v>382</v>
      </c>
      <c r="X39" t="s">
        <v>382</v>
      </c>
      <c r="Y39" t="s">
        <v>382</v>
      </c>
      <c r="Z39" t="s">
        <v>382</v>
      </c>
      <c r="AA39" t="s">
        <v>382</v>
      </c>
      <c r="AB39" t="s">
        <v>382</v>
      </c>
      <c r="AC39">
        <v>5</v>
      </c>
      <c r="AD39">
        <v>3</v>
      </c>
      <c r="AE39">
        <v>1</v>
      </c>
      <c r="AF39" t="s">
        <v>389</v>
      </c>
      <c r="AH39" t="s">
        <v>35</v>
      </c>
      <c r="AI39" t="s">
        <v>97</v>
      </c>
      <c r="AK39">
        <v>2474</v>
      </c>
      <c r="AL39">
        <v>2018</v>
      </c>
    </row>
    <row r="40" spans="1:38">
      <c r="A40" t="s">
        <v>382</v>
      </c>
      <c r="B40" t="s">
        <v>382</v>
      </c>
      <c r="C40" t="s">
        <v>382</v>
      </c>
      <c r="D40" t="s">
        <v>382</v>
      </c>
      <c r="E40" t="s">
        <v>382</v>
      </c>
      <c r="F40" t="s">
        <v>382</v>
      </c>
      <c r="G40" t="s">
        <v>382</v>
      </c>
      <c r="H40" t="s">
        <v>382</v>
      </c>
      <c r="I40" t="s">
        <v>382</v>
      </c>
      <c r="J40" t="s">
        <v>382</v>
      </c>
      <c r="K40" t="s">
        <v>382</v>
      </c>
      <c r="L40" t="s">
        <v>382</v>
      </c>
      <c r="M40" t="s">
        <v>382</v>
      </c>
      <c r="N40" t="s">
        <v>382</v>
      </c>
      <c r="O40" t="s">
        <v>382</v>
      </c>
      <c r="P40" t="s">
        <v>382</v>
      </c>
      <c r="Q40" t="s">
        <v>382</v>
      </c>
      <c r="R40" t="s">
        <v>382</v>
      </c>
      <c r="S40" t="s">
        <v>382</v>
      </c>
      <c r="T40" t="s">
        <v>382</v>
      </c>
      <c r="U40" t="s">
        <v>382</v>
      </c>
      <c r="V40" t="s">
        <v>382</v>
      </c>
      <c r="W40" t="s">
        <v>382</v>
      </c>
      <c r="X40" t="s">
        <v>382</v>
      </c>
      <c r="Y40" t="s">
        <v>382</v>
      </c>
      <c r="Z40" t="s">
        <v>382</v>
      </c>
      <c r="AA40" t="s">
        <v>382</v>
      </c>
      <c r="AB40" t="s">
        <v>382</v>
      </c>
      <c r="AC40">
        <v>5</v>
      </c>
      <c r="AD40">
        <v>4</v>
      </c>
      <c r="AE40">
        <v>1</v>
      </c>
      <c r="AF40" t="s">
        <v>387</v>
      </c>
      <c r="AH40" t="s">
        <v>31</v>
      </c>
      <c r="AI40" t="s">
        <v>97</v>
      </c>
      <c r="AK40">
        <v>1043</v>
      </c>
      <c r="AL40">
        <v>2203</v>
      </c>
    </row>
    <row r="41" spans="1:38">
      <c r="A41" t="s">
        <v>382</v>
      </c>
      <c r="B41" t="s">
        <v>382</v>
      </c>
      <c r="C41" t="s">
        <v>382</v>
      </c>
      <c r="D41" t="s">
        <v>382</v>
      </c>
      <c r="E41" t="s">
        <v>382</v>
      </c>
      <c r="F41" t="s">
        <v>382</v>
      </c>
      <c r="G41" t="s">
        <v>382</v>
      </c>
      <c r="H41" t="s">
        <v>382</v>
      </c>
      <c r="I41" t="s">
        <v>382</v>
      </c>
      <c r="J41" t="s">
        <v>382</v>
      </c>
      <c r="K41" t="s">
        <v>382</v>
      </c>
      <c r="L41" t="s">
        <v>382</v>
      </c>
      <c r="M41" t="s">
        <v>382</v>
      </c>
      <c r="N41" t="s">
        <v>382</v>
      </c>
      <c r="O41" t="s">
        <v>382</v>
      </c>
      <c r="P41" t="s">
        <v>382</v>
      </c>
      <c r="Q41" t="s">
        <v>382</v>
      </c>
      <c r="R41" t="s">
        <v>382</v>
      </c>
      <c r="S41" t="s">
        <v>382</v>
      </c>
      <c r="T41" t="s">
        <v>382</v>
      </c>
      <c r="U41" t="s">
        <v>382</v>
      </c>
      <c r="V41" t="s">
        <v>382</v>
      </c>
      <c r="W41" t="s">
        <v>382</v>
      </c>
      <c r="X41" t="s">
        <v>382</v>
      </c>
      <c r="Y41" t="s">
        <v>382</v>
      </c>
      <c r="Z41" t="s">
        <v>382</v>
      </c>
      <c r="AA41" t="s">
        <v>382</v>
      </c>
      <c r="AB41" t="s">
        <v>382</v>
      </c>
      <c r="AC41">
        <v>5</v>
      </c>
      <c r="AD41">
        <v>5</v>
      </c>
      <c r="AE41">
        <v>1</v>
      </c>
      <c r="AF41" t="s">
        <v>396</v>
      </c>
      <c r="AH41" t="s">
        <v>64</v>
      </c>
      <c r="AI41" t="s">
        <v>97</v>
      </c>
      <c r="AK41">
        <v>2746</v>
      </c>
      <c r="AL41">
        <v>52</v>
      </c>
    </row>
    <row r="42" spans="1:38">
      <c r="A42" t="s">
        <v>382</v>
      </c>
      <c r="B42" t="s">
        <v>382</v>
      </c>
      <c r="C42" t="s">
        <v>382</v>
      </c>
      <c r="D42" t="s">
        <v>382</v>
      </c>
      <c r="E42" t="s">
        <v>382</v>
      </c>
      <c r="F42" t="s">
        <v>382</v>
      </c>
      <c r="G42" t="s">
        <v>382</v>
      </c>
      <c r="H42" t="s">
        <v>382</v>
      </c>
      <c r="I42" t="s">
        <v>382</v>
      </c>
      <c r="J42" t="s">
        <v>382</v>
      </c>
      <c r="K42" t="s">
        <v>382</v>
      </c>
      <c r="L42" t="s">
        <v>382</v>
      </c>
      <c r="M42" t="s">
        <v>382</v>
      </c>
      <c r="N42" t="s">
        <v>382</v>
      </c>
      <c r="O42" t="s">
        <v>382</v>
      </c>
      <c r="P42" t="s">
        <v>382</v>
      </c>
      <c r="Q42" t="s">
        <v>382</v>
      </c>
      <c r="R42" t="s">
        <v>382</v>
      </c>
      <c r="S42" t="s">
        <v>382</v>
      </c>
      <c r="T42" t="s">
        <v>382</v>
      </c>
      <c r="U42" t="s">
        <v>382</v>
      </c>
      <c r="V42" t="s">
        <v>382</v>
      </c>
      <c r="W42" t="s">
        <v>382</v>
      </c>
      <c r="X42" t="s">
        <v>382</v>
      </c>
      <c r="Y42" t="s">
        <v>382</v>
      </c>
      <c r="Z42" t="s">
        <v>382</v>
      </c>
      <c r="AA42" t="s">
        <v>382</v>
      </c>
      <c r="AB42" t="s">
        <v>382</v>
      </c>
      <c r="AC42">
        <v>5</v>
      </c>
      <c r="AD42">
        <v>1</v>
      </c>
      <c r="AF42" t="s">
        <v>386</v>
      </c>
      <c r="AH42" t="s">
        <v>29</v>
      </c>
      <c r="AI42" t="s">
        <v>103</v>
      </c>
      <c r="AK42">
        <v>1834</v>
      </c>
      <c r="AL42">
        <v>882</v>
      </c>
    </row>
    <row r="43" spans="1:38">
      <c r="A43" t="s">
        <v>382</v>
      </c>
      <c r="B43" t="s">
        <v>382</v>
      </c>
      <c r="C43" t="s">
        <v>382</v>
      </c>
      <c r="D43" t="s">
        <v>382</v>
      </c>
      <c r="E43" t="s">
        <v>382</v>
      </c>
      <c r="F43" t="s">
        <v>382</v>
      </c>
      <c r="G43" t="s">
        <v>382</v>
      </c>
      <c r="H43" t="s">
        <v>382</v>
      </c>
      <c r="I43" t="s">
        <v>382</v>
      </c>
      <c r="J43" t="s">
        <v>382</v>
      </c>
      <c r="K43" t="s">
        <v>382</v>
      </c>
      <c r="L43" t="s">
        <v>382</v>
      </c>
      <c r="M43" t="s">
        <v>382</v>
      </c>
      <c r="N43" t="s">
        <v>382</v>
      </c>
      <c r="O43" t="s">
        <v>382</v>
      </c>
      <c r="P43" t="s">
        <v>382</v>
      </c>
      <c r="Q43" t="s">
        <v>382</v>
      </c>
      <c r="R43" t="s">
        <v>382</v>
      </c>
      <c r="S43" t="s">
        <v>382</v>
      </c>
      <c r="T43" t="s">
        <v>382</v>
      </c>
      <c r="U43" t="s">
        <v>382</v>
      </c>
      <c r="V43" t="s">
        <v>382</v>
      </c>
      <c r="W43" t="s">
        <v>382</v>
      </c>
      <c r="X43" t="s">
        <v>382</v>
      </c>
      <c r="Y43" t="s">
        <v>382</v>
      </c>
      <c r="Z43" t="s">
        <v>382</v>
      </c>
      <c r="AA43" t="s">
        <v>382</v>
      </c>
      <c r="AB43" t="s">
        <v>382</v>
      </c>
      <c r="AC43">
        <v>5</v>
      </c>
      <c r="AD43">
        <v>2</v>
      </c>
      <c r="AE43">
        <v>1</v>
      </c>
      <c r="AF43" t="s">
        <v>393</v>
      </c>
      <c r="AH43" t="s">
        <v>51</v>
      </c>
      <c r="AI43" t="s">
        <v>97</v>
      </c>
      <c r="AK43">
        <v>1309</v>
      </c>
      <c r="AL43">
        <v>177</v>
      </c>
    </row>
    <row r="44" spans="1:38">
      <c r="A44" t="s">
        <v>382</v>
      </c>
      <c r="B44" t="s">
        <v>382</v>
      </c>
      <c r="C44" t="s">
        <v>382</v>
      </c>
      <c r="D44" t="s">
        <v>382</v>
      </c>
      <c r="E44" t="s">
        <v>382</v>
      </c>
      <c r="F44" t="s">
        <v>382</v>
      </c>
      <c r="G44" t="s">
        <v>382</v>
      </c>
      <c r="H44" t="s">
        <v>382</v>
      </c>
      <c r="I44" t="s">
        <v>382</v>
      </c>
      <c r="J44" t="s">
        <v>382</v>
      </c>
      <c r="K44" t="s">
        <v>382</v>
      </c>
      <c r="L44" t="s">
        <v>382</v>
      </c>
      <c r="M44" t="s">
        <v>382</v>
      </c>
      <c r="N44" t="s">
        <v>382</v>
      </c>
      <c r="O44" t="s">
        <v>382</v>
      </c>
      <c r="P44" t="s">
        <v>382</v>
      </c>
      <c r="Q44" t="s">
        <v>382</v>
      </c>
      <c r="R44" t="s">
        <v>382</v>
      </c>
      <c r="S44" t="s">
        <v>382</v>
      </c>
      <c r="T44" t="s">
        <v>382</v>
      </c>
      <c r="U44" t="s">
        <v>382</v>
      </c>
      <c r="V44" t="s">
        <v>382</v>
      </c>
      <c r="W44" t="s">
        <v>382</v>
      </c>
      <c r="X44" t="s">
        <v>382</v>
      </c>
      <c r="Y44" t="s">
        <v>382</v>
      </c>
      <c r="Z44" t="s">
        <v>382</v>
      </c>
      <c r="AA44" t="s">
        <v>382</v>
      </c>
      <c r="AB44" t="s">
        <v>382</v>
      </c>
      <c r="AC44">
        <v>5</v>
      </c>
      <c r="AD44">
        <v>3</v>
      </c>
      <c r="AE44">
        <v>1</v>
      </c>
      <c r="AF44" t="s">
        <v>389</v>
      </c>
      <c r="AH44" t="s">
        <v>35</v>
      </c>
      <c r="AI44" t="s">
        <v>97</v>
      </c>
      <c r="AK44">
        <v>684</v>
      </c>
      <c r="AL44">
        <v>1213</v>
      </c>
    </row>
    <row r="45" spans="1:38">
      <c r="A45" t="s">
        <v>382</v>
      </c>
      <c r="B45" t="s">
        <v>382</v>
      </c>
      <c r="C45" t="s">
        <v>382</v>
      </c>
      <c r="D45" t="s">
        <v>382</v>
      </c>
      <c r="E45" t="s">
        <v>382</v>
      </c>
      <c r="F45" t="s">
        <v>382</v>
      </c>
      <c r="G45" t="s">
        <v>382</v>
      </c>
      <c r="H45" t="s">
        <v>382</v>
      </c>
      <c r="I45" t="s">
        <v>382</v>
      </c>
      <c r="J45" t="s">
        <v>382</v>
      </c>
      <c r="K45" t="s">
        <v>382</v>
      </c>
      <c r="L45" t="s">
        <v>382</v>
      </c>
      <c r="M45" t="s">
        <v>382</v>
      </c>
      <c r="N45" t="s">
        <v>382</v>
      </c>
      <c r="O45" t="s">
        <v>382</v>
      </c>
      <c r="P45" t="s">
        <v>382</v>
      </c>
      <c r="Q45" t="s">
        <v>382</v>
      </c>
      <c r="R45" t="s">
        <v>382</v>
      </c>
      <c r="S45" t="s">
        <v>382</v>
      </c>
      <c r="T45" t="s">
        <v>382</v>
      </c>
      <c r="U45" t="s">
        <v>382</v>
      </c>
      <c r="V45" t="s">
        <v>382</v>
      </c>
      <c r="W45" t="s">
        <v>382</v>
      </c>
      <c r="X45" t="s">
        <v>382</v>
      </c>
      <c r="Y45" t="s">
        <v>382</v>
      </c>
      <c r="Z45" t="s">
        <v>382</v>
      </c>
      <c r="AA45" t="s">
        <v>382</v>
      </c>
      <c r="AB45" t="s">
        <v>382</v>
      </c>
      <c r="AC45">
        <v>5</v>
      </c>
      <c r="AD45">
        <v>4</v>
      </c>
      <c r="AF45" t="s">
        <v>386</v>
      </c>
      <c r="AH45" t="s">
        <v>29</v>
      </c>
      <c r="AI45" t="s">
        <v>103</v>
      </c>
      <c r="AK45">
        <v>2762</v>
      </c>
      <c r="AL45">
        <v>270</v>
      </c>
    </row>
    <row r="46" spans="1:38">
      <c r="A46" t="s">
        <v>382</v>
      </c>
      <c r="B46" t="s">
        <v>382</v>
      </c>
      <c r="C46" t="s">
        <v>382</v>
      </c>
      <c r="D46" t="s">
        <v>382</v>
      </c>
      <c r="E46" t="s">
        <v>382</v>
      </c>
      <c r="F46" t="s">
        <v>382</v>
      </c>
      <c r="G46" t="s">
        <v>382</v>
      </c>
      <c r="H46" t="s">
        <v>382</v>
      </c>
      <c r="I46" t="s">
        <v>382</v>
      </c>
      <c r="J46" t="s">
        <v>382</v>
      </c>
      <c r="K46" t="s">
        <v>382</v>
      </c>
      <c r="L46" t="s">
        <v>382</v>
      </c>
      <c r="M46" t="s">
        <v>382</v>
      </c>
      <c r="N46" t="s">
        <v>382</v>
      </c>
      <c r="O46" t="s">
        <v>382</v>
      </c>
      <c r="P46" t="s">
        <v>382</v>
      </c>
      <c r="Q46" t="s">
        <v>382</v>
      </c>
      <c r="R46" t="s">
        <v>382</v>
      </c>
      <c r="S46" t="s">
        <v>382</v>
      </c>
      <c r="T46" t="s">
        <v>382</v>
      </c>
      <c r="U46" t="s">
        <v>382</v>
      </c>
      <c r="V46" t="s">
        <v>382</v>
      </c>
      <c r="W46" t="s">
        <v>382</v>
      </c>
      <c r="X46" t="s">
        <v>382</v>
      </c>
      <c r="Y46" t="s">
        <v>382</v>
      </c>
      <c r="Z46" t="s">
        <v>382</v>
      </c>
      <c r="AA46" t="s">
        <v>382</v>
      </c>
      <c r="AB46" t="s">
        <v>382</v>
      </c>
      <c r="AC46">
        <v>5</v>
      </c>
      <c r="AD46">
        <v>5</v>
      </c>
      <c r="AF46" t="s">
        <v>385</v>
      </c>
      <c r="AH46" t="s">
        <v>27</v>
      </c>
      <c r="AI46" t="s">
        <v>109</v>
      </c>
      <c r="AK46">
        <v>2600</v>
      </c>
      <c r="AL46">
        <v>889</v>
      </c>
    </row>
    <row r="47" spans="1:38">
      <c r="A47" t="s">
        <v>382</v>
      </c>
      <c r="B47" t="s">
        <v>382</v>
      </c>
      <c r="C47" t="s">
        <v>382</v>
      </c>
      <c r="D47" t="s">
        <v>382</v>
      </c>
      <c r="E47" t="s">
        <v>382</v>
      </c>
      <c r="F47" t="s">
        <v>382</v>
      </c>
      <c r="G47" t="s">
        <v>382</v>
      </c>
      <c r="H47" t="s">
        <v>382</v>
      </c>
      <c r="I47" t="s">
        <v>382</v>
      </c>
      <c r="J47" t="s">
        <v>382</v>
      </c>
      <c r="K47" t="s">
        <v>382</v>
      </c>
      <c r="L47" t="s">
        <v>382</v>
      </c>
      <c r="M47" t="s">
        <v>382</v>
      </c>
      <c r="N47" t="s">
        <v>382</v>
      </c>
      <c r="O47" t="s">
        <v>382</v>
      </c>
      <c r="P47" t="s">
        <v>382</v>
      </c>
      <c r="Q47" t="s">
        <v>382</v>
      </c>
      <c r="R47" t="s">
        <v>382</v>
      </c>
      <c r="S47" t="s">
        <v>382</v>
      </c>
      <c r="T47" t="s">
        <v>382</v>
      </c>
      <c r="U47" t="s">
        <v>382</v>
      </c>
      <c r="V47" t="s">
        <v>382</v>
      </c>
      <c r="W47" t="s">
        <v>382</v>
      </c>
      <c r="X47" t="s">
        <v>382</v>
      </c>
      <c r="Y47" t="s">
        <v>382</v>
      </c>
      <c r="Z47" t="s">
        <v>382</v>
      </c>
      <c r="AA47" t="s">
        <v>382</v>
      </c>
      <c r="AB47" t="s">
        <v>382</v>
      </c>
      <c r="AC47">
        <v>5</v>
      </c>
      <c r="AD47">
        <v>1</v>
      </c>
      <c r="AE47">
        <v>1</v>
      </c>
      <c r="AF47" t="s">
        <v>391</v>
      </c>
      <c r="AH47" t="s">
        <v>38</v>
      </c>
      <c r="AI47" t="s">
        <v>97</v>
      </c>
      <c r="AK47">
        <v>1859</v>
      </c>
      <c r="AL47">
        <v>2460</v>
      </c>
    </row>
    <row r="48" spans="1:38">
      <c r="A48" t="s">
        <v>382</v>
      </c>
      <c r="B48" t="s">
        <v>382</v>
      </c>
      <c r="C48" t="s">
        <v>382</v>
      </c>
      <c r="D48" t="s">
        <v>382</v>
      </c>
      <c r="E48" t="s">
        <v>382</v>
      </c>
      <c r="F48" t="s">
        <v>382</v>
      </c>
      <c r="G48" t="s">
        <v>382</v>
      </c>
      <c r="H48" t="s">
        <v>382</v>
      </c>
      <c r="I48" t="s">
        <v>382</v>
      </c>
      <c r="J48" t="s">
        <v>382</v>
      </c>
      <c r="K48" t="s">
        <v>382</v>
      </c>
      <c r="L48" t="s">
        <v>382</v>
      </c>
      <c r="M48" t="s">
        <v>382</v>
      </c>
      <c r="N48" t="s">
        <v>382</v>
      </c>
      <c r="O48" t="s">
        <v>382</v>
      </c>
      <c r="P48" t="s">
        <v>382</v>
      </c>
      <c r="Q48" t="s">
        <v>382</v>
      </c>
      <c r="R48" t="s">
        <v>382</v>
      </c>
      <c r="S48" t="s">
        <v>382</v>
      </c>
      <c r="T48" t="s">
        <v>382</v>
      </c>
      <c r="U48" t="s">
        <v>382</v>
      </c>
      <c r="V48" t="s">
        <v>382</v>
      </c>
      <c r="W48" t="s">
        <v>382</v>
      </c>
      <c r="X48" t="s">
        <v>382</v>
      </c>
      <c r="Y48" t="s">
        <v>382</v>
      </c>
      <c r="Z48" t="s">
        <v>382</v>
      </c>
      <c r="AA48" t="s">
        <v>382</v>
      </c>
      <c r="AB48" t="s">
        <v>382</v>
      </c>
      <c r="AC48">
        <v>5</v>
      </c>
      <c r="AD48">
        <v>2</v>
      </c>
      <c r="AF48" t="s">
        <v>386</v>
      </c>
      <c r="AH48" t="s">
        <v>29</v>
      </c>
      <c r="AI48" t="s">
        <v>103</v>
      </c>
      <c r="AK48">
        <v>3132</v>
      </c>
      <c r="AL48">
        <v>767</v>
      </c>
    </row>
    <row r="49" spans="1:38">
      <c r="A49" t="s">
        <v>382</v>
      </c>
      <c r="B49" t="s">
        <v>382</v>
      </c>
      <c r="C49" t="s">
        <v>382</v>
      </c>
      <c r="D49" t="s">
        <v>382</v>
      </c>
      <c r="E49" t="s">
        <v>382</v>
      </c>
      <c r="F49" t="s">
        <v>382</v>
      </c>
      <c r="G49" t="s">
        <v>382</v>
      </c>
      <c r="H49" t="s">
        <v>382</v>
      </c>
      <c r="I49" t="s">
        <v>382</v>
      </c>
      <c r="J49" t="s">
        <v>382</v>
      </c>
      <c r="K49" t="s">
        <v>382</v>
      </c>
      <c r="L49" t="s">
        <v>382</v>
      </c>
      <c r="M49" t="s">
        <v>382</v>
      </c>
      <c r="N49" t="s">
        <v>382</v>
      </c>
      <c r="O49" t="s">
        <v>382</v>
      </c>
      <c r="P49" t="s">
        <v>382</v>
      </c>
      <c r="Q49" t="s">
        <v>382</v>
      </c>
      <c r="R49" t="s">
        <v>382</v>
      </c>
      <c r="S49" t="s">
        <v>382</v>
      </c>
      <c r="T49" t="s">
        <v>382</v>
      </c>
      <c r="U49" t="s">
        <v>382</v>
      </c>
      <c r="V49" t="s">
        <v>382</v>
      </c>
      <c r="W49" t="s">
        <v>382</v>
      </c>
      <c r="X49" t="s">
        <v>382</v>
      </c>
      <c r="Y49" t="s">
        <v>382</v>
      </c>
      <c r="Z49" t="s">
        <v>382</v>
      </c>
      <c r="AA49" t="s">
        <v>382</v>
      </c>
      <c r="AB49" t="s">
        <v>382</v>
      </c>
      <c r="AC49">
        <v>5</v>
      </c>
      <c r="AD49">
        <v>3</v>
      </c>
      <c r="AF49" t="s">
        <v>385</v>
      </c>
      <c r="AH49" t="s">
        <v>27</v>
      </c>
      <c r="AI49" t="s">
        <v>109</v>
      </c>
      <c r="AK49">
        <v>740</v>
      </c>
      <c r="AL49">
        <v>568</v>
      </c>
    </row>
    <row r="50" spans="1:38">
      <c r="A50" t="s">
        <v>382</v>
      </c>
      <c r="B50" t="s">
        <v>382</v>
      </c>
      <c r="C50" t="s">
        <v>382</v>
      </c>
      <c r="D50" t="s">
        <v>382</v>
      </c>
      <c r="E50" t="s">
        <v>382</v>
      </c>
      <c r="F50" t="s">
        <v>382</v>
      </c>
      <c r="G50" t="s">
        <v>382</v>
      </c>
      <c r="H50" t="s">
        <v>382</v>
      </c>
      <c r="I50" t="s">
        <v>382</v>
      </c>
      <c r="J50" t="s">
        <v>382</v>
      </c>
      <c r="K50" t="s">
        <v>382</v>
      </c>
      <c r="L50" t="s">
        <v>382</v>
      </c>
      <c r="M50" t="s">
        <v>382</v>
      </c>
      <c r="N50" t="s">
        <v>382</v>
      </c>
      <c r="O50" t="s">
        <v>382</v>
      </c>
      <c r="P50" t="s">
        <v>382</v>
      </c>
      <c r="Q50" t="s">
        <v>382</v>
      </c>
      <c r="R50" t="s">
        <v>382</v>
      </c>
      <c r="S50" t="s">
        <v>382</v>
      </c>
      <c r="T50" t="s">
        <v>382</v>
      </c>
      <c r="U50" t="s">
        <v>382</v>
      </c>
      <c r="V50" t="s">
        <v>382</v>
      </c>
      <c r="W50" t="s">
        <v>382</v>
      </c>
      <c r="X50" t="s">
        <v>382</v>
      </c>
      <c r="Y50" t="s">
        <v>382</v>
      </c>
      <c r="Z50" t="s">
        <v>382</v>
      </c>
      <c r="AA50" t="s">
        <v>382</v>
      </c>
      <c r="AB50" t="s">
        <v>382</v>
      </c>
      <c r="AC50">
        <v>5</v>
      </c>
      <c r="AD50">
        <v>4</v>
      </c>
      <c r="AF50" t="s">
        <v>385</v>
      </c>
      <c r="AH50" t="s">
        <v>27</v>
      </c>
      <c r="AI50" t="s">
        <v>109</v>
      </c>
      <c r="AK50">
        <v>1329</v>
      </c>
      <c r="AL50">
        <v>765</v>
      </c>
    </row>
    <row r="51" spans="1:38">
      <c r="A51" t="s">
        <v>382</v>
      </c>
      <c r="B51" t="s">
        <v>382</v>
      </c>
      <c r="C51" t="s">
        <v>382</v>
      </c>
      <c r="D51" t="s">
        <v>382</v>
      </c>
      <c r="E51" t="s">
        <v>382</v>
      </c>
      <c r="F51" t="s">
        <v>382</v>
      </c>
      <c r="G51" t="s">
        <v>382</v>
      </c>
      <c r="H51" t="s">
        <v>382</v>
      </c>
      <c r="I51" t="s">
        <v>382</v>
      </c>
      <c r="J51" t="s">
        <v>382</v>
      </c>
      <c r="K51" t="s">
        <v>382</v>
      </c>
      <c r="L51" t="s">
        <v>382</v>
      </c>
      <c r="M51" t="s">
        <v>382</v>
      </c>
      <c r="N51" t="s">
        <v>382</v>
      </c>
      <c r="O51" t="s">
        <v>382</v>
      </c>
      <c r="P51" t="s">
        <v>382</v>
      </c>
      <c r="Q51" t="s">
        <v>382</v>
      </c>
      <c r="R51" t="s">
        <v>382</v>
      </c>
      <c r="S51" t="s">
        <v>382</v>
      </c>
      <c r="T51" t="s">
        <v>382</v>
      </c>
      <c r="U51" t="s">
        <v>382</v>
      </c>
      <c r="V51" t="s">
        <v>382</v>
      </c>
      <c r="W51" t="s">
        <v>382</v>
      </c>
      <c r="X51" t="s">
        <v>382</v>
      </c>
      <c r="Y51" t="s">
        <v>382</v>
      </c>
      <c r="Z51" t="s">
        <v>382</v>
      </c>
      <c r="AA51" t="s">
        <v>382</v>
      </c>
      <c r="AB51" t="s">
        <v>382</v>
      </c>
      <c r="AC51">
        <v>5</v>
      </c>
      <c r="AD51">
        <v>5</v>
      </c>
      <c r="AE51">
        <v>1</v>
      </c>
      <c r="AF51" t="s">
        <v>648</v>
      </c>
      <c r="AH51" t="s">
        <v>141</v>
      </c>
      <c r="AI51" t="s">
        <v>97</v>
      </c>
      <c r="AK51">
        <v>3023</v>
      </c>
      <c r="AL51">
        <v>200</v>
      </c>
    </row>
    <row r="52" spans="1:38">
      <c r="A52" t="s">
        <v>382</v>
      </c>
      <c r="B52" t="s">
        <v>382</v>
      </c>
      <c r="C52" t="s">
        <v>382</v>
      </c>
      <c r="D52" t="s">
        <v>382</v>
      </c>
      <c r="E52" t="s">
        <v>382</v>
      </c>
      <c r="F52" t="s">
        <v>382</v>
      </c>
      <c r="G52" t="s">
        <v>382</v>
      </c>
      <c r="H52" t="s">
        <v>382</v>
      </c>
      <c r="I52" t="s">
        <v>382</v>
      </c>
      <c r="J52" t="s">
        <v>382</v>
      </c>
      <c r="K52" t="s">
        <v>382</v>
      </c>
      <c r="L52" t="s">
        <v>382</v>
      </c>
      <c r="M52" t="s">
        <v>382</v>
      </c>
      <c r="N52" t="s">
        <v>382</v>
      </c>
      <c r="O52" t="s">
        <v>382</v>
      </c>
      <c r="P52" t="s">
        <v>382</v>
      </c>
      <c r="Q52" t="s">
        <v>382</v>
      </c>
      <c r="R52" t="s">
        <v>382</v>
      </c>
      <c r="S52" t="s">
        <v>382</v>
      </c>
      <c r="T52" t="s">
        <v>382</v>
      </c>
      <c r="U52" t="s">
        <v>382</v>
      </c>
      <c r="V52" t="s">
        <v>382</v>
      </c>
      <c r="W52" t="s">
        <v>382</v>
      </c>
      <c r="X52" t="s">
        <v>382</v>
      </c>
      <c r="Y52" t="s">
        <v>382</v>
      </c>
      <c r="Z52" t="s">
        <v>382</v>
      </c>
      <c r="AA52" t="s">
        <v>382</v>
      </c>
      <c r="AB52" t="s">
        <v>382</v>
      </c>
      <c r="AC52">
        <v>5</v>
      </c>
      <c r="AD52">
        <v>1</v>
      </c>
      <c r="AE52">
        <v>1</v>
      </c>
      <c r="AF52" t="s">
        <v>391</v>
      </c>
      <c r="AH52" t="s">
        <v>38</v>
      </c>
      <c r="AI52" t="s">
        <v>97</v>
      </c>
      <c r="AK52">
        <v>761</v>
      </c>
      <c r="AL52">
        <v>2224</v>
      </c>
    </row>
    <row r="53" spans="1:38">
      <c r="A53" t="s">
        <v>382</v>
      </c>
      <c r="B53" t="s">
        <v>382</v>
      </c>
      <c r="C53" t="s">
        <v>382</v>
      </c>
      <c r="D53" t="s">
        <v>382</v>
      </c>
      <c r="E53" t="s">
        <v>382</v>
      </c>
      <c r="F53" t="s">
        <v>382</v>
      </c>
      <c r="G53" t="s">
        <v>382</v>
      </c>
      <c r="H53" t="s">
        <v>382</v>
      </c>
      <c r="I53" t="s">
        <v>382</v>
      </c>
      <c r="J53" t="s">
        <v>382</v>
      </c>
      <c r="K53" t="s">
        <v>382</v>
      </c>
      <c r="L53" t="s">
        <v>382</v>
      </c>
      <c r="M53" t="s">
        <v>382</v>
      </c>
      <c r="N53" t="s">
        <v>382</v>
      </c>
      <c r="O53" t="s">
        <v>382</v>
      </c>
      <c r="P53" t="s">
        <v>382</v>
      </c>
      <c r="Q53" t="s">
        <v>382</v>
      </c>
      <c r="R53" t="s">
        <v>382</v>
      </c>
      <c r="S53" t="s">
        <v>382</v>
      </c>
      <c r="T53" t="s">
        <v>382</v>
      </c>
      <c r="U53" t="s">
        <v>382</v>
      </c>
      <c r="V53" t="s">
        <v>382</v>
      </c>
      <c r="W53" t="s">
        <v>382</v>
      </c>
      <c r="X53" t="s">
        <v>382</v>
      </c>
      <c r="Y53" t="s">
        <v>382</v>
      </c>
      <c r="Z53" t="s">
        <v>382</v>
      </c>
      <c r="AA53" t="s">
        <v>382</v>
      </c>
      <c r="AB53" t="s">
        <v>382</v>
      </c>
      <c r="AC53">
        <v>5</v>
      </c>
      <c r="AD53">
        <v>2</v>
      </c>
      <c r="AF53" t="s">
        <v>386</v>
      </c>
      <c r="AH53" t="s">
        <v>29</v>
      </c>
      <c r="AI53" t="s">
        <v>103</v>
      </c>
      <c r="AK53">
        <v>1251</v>
      </c>
      <c r="AL53">
        <v>1260</v>
      </c>
    </row>
    <row r="54" spans="1:38">
      <c r="A54" t="s">
        <v>382</v>
      </c>
      <c r="B54" t="s">
        <v>382</v>
      </c>
      <c r="C54" t="s">
        <v>382</v>
      </c>
      <c r="D54" t="s">
        <v>382</v>
      </c>
      <c r="E54" t="s">
        <v>382</v>
      </c>
      <c r="F54" t="s">
        <v>382</v>
      </c>
      <c r="G54" t="s">
        <v>382</v>
      </c>
      <c r="H54" t="s">
        <v>382</v>
      </c>
      <c r="I54" t="s">
        <v>382</v>
      </c>
      <c r="J54" t="s">
        <v>382</v>
      </c>
      <c r="K54" t="s">
        <v>382</v>
      </c>
      <c r="L54" t="s">
        <v>382</v>
      </c>
      <c r="M54" t="s">
        <v>382</v>
      </c>
      <c r="N54" t="s">
        <v>382</v>
      </c>
      <c r="O54" t="s">
        <v>382</v>
      </c>
      <c r="P54" t="s">
        <v>382</v>
      </c>
      <c r="Q54" t="s">
        <v>382</v>
      </c>
      <c r="R54" t="s">
        <v>382</v>
      </c>
      <c r="S54" t="s">
        <v>382</v>
      </c>
      <c r="T54" t="s">
        <v>382</v>
      </c>
      <c r="U54" t="s">
        <v>382</v>
      </c>
      <c r="V54" t="s">
        <v>382</v>
      </c>
      <c r="W54" t="s">
        <v>382</v>
      </c>
      <c r="X54" t="s">
        <v>382</v>
      </c>
      <c r="Y54" t="s">
        <v>382</v>
      </c>
      <c r="Z54" t="s">
        <v>382</v>
      </c>
      <c r="AA54" t="s">
        <v>382</v>
      </c>
      <c r="AB54" t="s">
        <v>382</v>
      </c>
      <c r="AC54">
        <v>5</v>
      </c>
      <c r="AD54">
        <v>3</v>
      </c>
      <c r="AF54" t="s">
        <v>385</v>
      </c>
      <c r="AH54" t="s">
        <v>27</v>
      </c>
      <c r="AI54" t="s">
        <v>109</v>
      </c>
      <c r="AK54">
        <v>663</v>
      </c>
      <c r="AL54">
        <v>1852</v>
      </c>
    </row>
    <row r="55" spans="1:38">
      <c r="A55" t="s">
        <v>382</v>
      </c>
      <c r="B55" t="s">
        <v>382</v>
      </c>
      <c r="C55" t="s">
        <v>382</v>
      </c>
      <c r="D55" t="s">
        <v>382</v>
      </c>
      <c r="E55" t="s">
        <v>382</v>
      </c>
      <c r="F55" t="s">
        <v>382</v>
      </c>
      <c r="G55" t="s">
        <v>382</v>
      </c>
      <c r="H55" t="s">
        <v>382</v>
      </c>
      <c r="I55" t="s">
        <v>382</v>
      </c>
      <c r="J55" t="s">
        <v>382</v>
      </c>
      <c r="K55" t="s">
        <v>382</v>
      </c>
      <c r="L55" t="s">
        <v>382</v>
      </c>
      <c r="M55" t="s">
        <v>382</v>
      </c>
      <c r="N55" t="s">
        <v>382</v>
      </c>
      <c r="O55" t="s">
        <v>382</v>
      </c>
      <c r="P55" t="s">
        <v>382</v>
      </c>
      <c r="Q55" t="s">
        <v>382</v>
      </c>
      <c r="R55" t="s">
        <v>382</v>
      </c>
      <c r="S55" t="s">
        <v>382</v>
      </c>
      <c r="T55" t="s">
        <v>382</v>
      </c>
      <c r="U55" t="s">
        <v>382</v>
      </c>
      <c r="V55" t="s">
        <v>382</v>
      </c>
      <c r="W55" t="s">
        <v>382</v>
      </c>
      <c r="X55" t="s">
        <v>382</v>
      </c>
      <c r="Y55" t="s">
        <v>382</v>
      </c>
      <c r="Z55" t="s">
        <v>382</v>
      </c>
      <c r="AA55" t="s">
        <v>382</v>
      </c>
      <c r="AB55" t="s">
        <v>382</v>
      </c>
      <c r="AC55">
        <v>5</v>
      </c>
      <c r="AD55">
        <v>4</v>
      </c>
      <c r="AF55" t="s">
        <v>385</v>
      </c>
      <c r="AH55" t="s">
        <v>27</v>
      </c>
      <c r="AI55" t="s">
        <v>109</v>
      </c>
      <c r="AK55">
        <v>1558</v>
      </c>
      <c r="AL55">
        <v>294</v>
      </c>
    </row>
    <row r="56" spans="1:38">
      <c r="A56" t="s">
        <v>382</v>
      </c>
      <c r="B56" t="s">
        <v>382</v>
      </c>
      <c r="C56" t="s">
        <v>382</v>
      </c>
      <c r="D56" t="s">
        <v>382</v>
      </c>
      <c r="E56" t="s">
        <v>382</v>
      </c>
      <c r="F56" t="s">
        <v>382</v>
      </c>
      <c r="G56" t="s">
        <v>382</v>
      </c>
      <c r="H56" t="s">
        <v>382</v>
      </c>
      <c r="I56" t="s">
        <v>382</v>
      </c>
      <c r="J56" t="s">
        <v>382</v>
      </c>
      <c r="K56" t="s">
        <v>382</v>
      </c>
      <c r="L56" t="s">
        <v>382</v>
      </c>
      <c r="M56" t="s">
        <v>382</v>
      </c>
      <c r="N56" t="s">
        <v>382</v>
      </c>
      <c r="O56" t="s">
        <v>382</v>
      </c>
      <c r="P56" t="s">
        <v>382</v>
      </c>
      <c r="Q56" t="s">
        <v>382</v>
      </c>
      <c r="R56" t="s">
        <v>382</v>
      </c>
      <c r="S56" t="s">
        <v>382</v>
      </c>
      <c r="T56" t="s">
        <v>382</v>
      </c>
      <c r="U56" t="s">
        <v>382</v>
      </c>
      <c r="V56" t="s">
        <v>382</v>
      </c>
      <c r="W56" t="s">
        <v>382</v>
      </c>
      <c r="X56" t="s">
        <v>382</v>
      </c>
      <c r="Y56" t="s">
        <v>382</v>
      </c>
      <c r="Z56" t="s">
        <v>382</v>
      </c>
      <c r="AA56" t="s">
        <v>382</v>
      </c>
      <c r="AB56" t="s">
        <v>382</v>
      </c>
      <c r="AC56">
        <v>5</v>
      </c>
      <c r="AD56">
        <v>5</v>
      </c>
      <c r="AF56" t="s">
        <v>386</v>
      </c>
      <c r="AH56" t="s">
        <v>29</v>
      </c>
      <c r="AI56" t="s">
        <v>103</v>
      </c>
      <c r="AK56">
        <v>782</v>
      </c>
      <c r="AL56">
        <v>487</v>
      </c>
    </row>
    <row r="57" spans="1:38">
      <c r="A57" t="s">
        <v>382</v>
      </c>
      <c r="B57" t="s">
        <v>382</v>
      </c>
      <c r="C57" t="s">
        <v>382</v>
      </c>
      <c r="D57" t="s">
        <v>382</v>
      </c>
      <c r="E57" t="s">
        <v>382</v>
      </c>
      <c r="F57" t="s">
        <v>382</v>
      </c>
      <c r="G57" t="s">
        <v>382</v>
      </c>
      <c r="H57" t="s">
        <v>382</v>
      </c>
      <c r="I57" t="s">
        <v>382</v>
      </c>
      <c r="J57" t="s">
        <v>382</v>
      </c>
      <c r="K57" t="s">
        <v>382</v>
      </c>
      <c r="L57" t="s">
        <v>382</v>
      </c>
      <c r="M57" t="s">
        <v>382</v>
      </c>
      <c r="N57" t="s">
        <v>382</v>
      </c>
      <c r="O57" t="s">
        <v>382</v>
      </c>
      <c r="P57" t="s">
        <v>382</v>
      </c>
      <c r="Q57" t="s">
        <v>382</v>
      </c>
      <c r="R57" t="s">
        <v>382</v>
      </c>
      <c r="S57" t="s">
        <v>382</v>
      </c>
      <c r="T57" t="s">
        <v>382</v>
      </c>
      <c r="U57" t="s">
        <v>382</v>
      </c>
      <c r="V57" t="s">
        <v>382</v>
      </c>
      <c r="W57" t="s">
        <v>382</v>
      </c>
      <c r="X57" t="s">
        <v>382</v>
      </c>
      <c r="Y57" t="s">
        <v>382</v>
      </c>
      <c r="Z57" t="s">
        <v>382</v>
      </c>
      <c r="AA57" t="s">
        <v>382</v>
      </c>
      <c r="AB57" t="s">
        <v>382</v>
      </c>
      <c r="AC57">
        <v>5</v>
      </c>
      <c r="AD57">
        <v>1</v>
      </c>
      <c r="AE57">
        <v>1</v>
      </c>
      <c r="AF57" t="s">
        <v>389</v>
      </c>
      <c r="AH57" t="s">
        <v>35</v>
      </c>
      <c r="AI57" t="s">
        <v>97</v>
      </c>
      <c r="AK57">
        <v>3026</v>
      </c>
      <c r="AL57">
        <v>79</v>
      </c>
    </row>
    <row r="58" spans="1:38">
      <c r="A58" t="s">
        <v>382</v>
      </c>
      <c r="B58" t="s">
        <v>382</v>
      </c>
      <c r="C58" t="s">
        <v>382</v>
      </c>
      <c r="D58" t="s">
        <v>382</v>
      </c>
      <c r="E58" t="s">
        <v>382</v>
      </c>
      <c r="F58" t="s">
        <v>382</v>
      </c>
      <c r="G58" t="s">
        <v>382</v>
      </c>
      <c r="H58" t="s">
        <v>382</v>
      </c>
      <c r="I58" t="s">
        <v>382</v>
      </c>
      <c r="J58" t="s">
        <v>382</v>
      </c>
      <c r="K58" t="s">
        <v>382</v>
      </c>
      <c r="L58" t="s">
        <v>382</v>
      </c>
      <c r="M58" t="s">
        <v>382</v>
      </c>
      <c r="N58" t="s">
        <v>382</v>
      </c>
      <c r="O58" t="s">
        <v>382</v>
      </c>
      <c r="P58" t="s">
        <v>382</v>
      </c>
      <c r="Q58" t="s">
        <v>382</v>
      </c>
      <c r="R58" t="s">
        <v>382</v>
      </c>
      <c r="S58" t="s">
        <v>382</v>
      </c>
      <c r="T58" t="s">
        <v>382</v>
      </c>
      <c r="U58" t="s">
        <v>382</v>
      </c>
      <c r="V58" t="s">
        <v>382</v>
      </c>
      <c r="W58" t="s">
        <v>382</v>
      </c>
      <c r="X58" t="s">
        <v>382</v>
      </c>
      <c r="Y58" t="s">
        <v>382</v>
      </c>
      <c r="Z58" t="s">
        <v>382</v>
      </c>
      <c r="AA58" t="s">
        <v>382</v>
      </c>
      <c r="AB58" t="s">
        <v>382</v>
      </c>
      <c r="AC58">
        <v>5</v>
      </c>
      <c r="AD58">
        <v>2</v>
      </c>
      <c r="AF58" t="s">
        <v>385</v>
      </c>
      <c r="AH58" t="s">
        <v>27</v>
      </c>
      <c r="AI58" t="s">
        <v>109</v>
      </c>
      <c r="AK58">
        <v>1403</v>
      </c>
      <c r="AL58">
        <v>1894</v>
      </c>
    </row>
    <row r="59" spans="1:38">
      <c r="A59" t="s">
        <v>382</v>
      </c>
      <c r="B59" t="s">
        <v>382</v>
      </c>
      <c r="C59" t="s">
        <v>382</v>
      </c>
      <c r="D59" t="s">
        <v>382</v>
      </c>
      <c r="E59" t="s">
        <v>382</v>
      </c>
      <c r="F59" t="s">
        <v>382</v>
      </c>
      <c r="G59" t="s">
        <v>382</v>
      </c>
      <c r="H59" t="s">
        <v>382</v>
      </c>
      <c r="I59" t="s">
        <v>382</v>
      </c>
      <c r="J59" t="s">
        <v>382</v>
      </c>
      <c r="K59" t="s">
        <v>382</v>
      </c>
      <c r="L59" t="s">
        <v>382</v>
      </c>
      <c r="M59" t="s">
        <v>382</v>
      </c>
      <c r="N59" t="s">
        <v>382</v>
      </c>
      <c r="O59" t="s">
        <v>382</v>
      </c>
      <c r="P59" t="s">
        <v>382</v>
      </c>
      <c r="Q59" t="s">
        <v>382</v>
      </c>
      <c r="R59" t="s">
        <v>382</v>
      </c>
      <c r="S59" t="s">
        <v>382</v>
      </c>
      <c r="T59" t="s">
        <v>382</v>
      </c>
      <c r="U59" t="s">
        <v>382</v>
      </c>
      <c r="V59" t="s">
        <v>382</v>
      </c>
      <c r="W59" t="s">
        <v>382</v>
      </c>
      <c r="X59" t="s">
        <v>382</v>
      </c>
      <c r="Y59" t="s">
        <v>382</v>
      </c>
      <c r="Z59" t="s">
        <v>382</v>
      </c>
      <c r="AA59" t="s">
        <v>382</v>
      </c>
      <c r="AB59" t="s">
        <v>382</v>
      </c>
      <c r="AC59">
        <v>5</v>
      </c>
      <c r="AD59">
        <v>3</v>
      </c>
      <c r="AF59" t="s">
        <v>386</v>
      </c>
      <c r="AH59" t="s">
        <v>29</v>
      </c>
      <c r="AI59" t="s">
        <v>103</v>
      </c>
      <c r="AK59">
        <v>2931</v>
      </c>
      <c r="AL59">
        <v>1148</v>
      </c>
    </row>
    <row r="60" spans="1:38">
      <c r="A60" t="s">
        <v>382</v>
      </c>
      <c r="B60" t="s">
        <v>382</v>
      </c>
      <c r="C60" t="s">
        <v>382</v>
      </c>
      <c r="D60" t="s">
        <v>382</v>
      </c>
      <c r="E60" t="s">
        <v>382</v>
      </c>
      <c r="F60" t="s">
        <v>382</v>
      </c>
      <c r="G60" t="s">
        <v>382</v>
      </c>
      <c r="H60" t="s">
        <v>382</v>
      </c>
      <c r="I60" t="s">
        <v>382</v>
      </c>
      <c r="J60" t="s">
        <v>382</v>
      </c>
      <c r="K60" t="s">
        <v>382</v>
      </c>
      <c r="L60" t="s">
        <v>382</v>
      </c>
      <c r="M60" t="s">
        <v>382</v>
      </c>
      <c r="N60" t="s">
        <v>382</v>
      </c>
      <c r="O60" t="s">
        <v>382</v>
      </c>
      <c r="P60" t="s">
        <v>382</v>
      </c>
      <c r="Q60" t="s">
        <v>382</v>
      </c>
      <c r="R60" t="s">
        <v>382</v>
      </c>
      <c r="S60" t="s">
        <v>382</v>
      </c>
      <c r="T60" t="s">
        <v>382</v>
      </c>
      <c r="U60" t="s">
        <v>382</v>
      </c>
      <c r="V60" t="s">
        <v>382</v>
      </c>
      <c r="W60" t="s">
        <v>382</v>
      </c>
      <c r="X60" t="s">
        <v>382</v>
      </c>
      <c r="Y60" t="s">
        <v>382</v>
      </c>
      <c r="Z60" t="s">
        <v>382</v>
      </c>
      <c r="AA60" t="s">
        <v>382</v>
      </c>
      <c r="AB60" t="s">
        <v>382</v>
      </c>
      <c r="AC60">
        <v>5</v>
      </c>
      <c r="AD60">
        <v>4</v>
      </c>
      <c r="AE60">
        <v>1</v>
      </c>
      <c r="AF60" t="s">
        <v>389</v>
      </c>
      <c r="AH60" t="s">
        <v>35</v>
      </c>
      <c r="AI60" t="s">
        <v>97</v>
      </c>
      <c r="AK60">
        <v>1388</v>
      </c>
      <c r="AL60">
        <v>720</v>
      </c>
    </row>
    <row r="61" spans="1:38">
      <c r="A61" t="s">
        <v>382</v>
      </c>
      <c r="B61" t="s">
        <v>382</v>
      </c>
      <c r="C61" t="s">
        <v>382</v>
      </c>
      <c r="D61" t="s">
        <v>382</v>
      </c>
      <c r="E61" t="s">
        <v>382</v>
      </c>
      <c r="F61" t="s">
        <v>382</v>
      </c>
      <c r="G61" t="s">
        <v>382</v>
      </c>
      <c r="H61" t="s">
        <v>382</v>
      </c>
      <c r="I61" t="s">
        <v>382</v>
      </c>
      <c r="J61" t="s">
        <v>382</v>
      </c>
      <c r="K61" t="s">
        <v>382</v>
      </c>
      <c r="L61" t="s">
        <v>382</v>
      </c>
      <c r="M61" t="s">
        <v>382</v>
      </c>
      <c r="N61" t="s">
        <v>382</v>
      </c>
      <c r="O61" t="s">
        <v>382</v>
      </c>
      <c r="P61" t="s">
        <v>382</v>
      </c>
      <c r="Q61" t="s">
        <v>382</v>
      </c>
      <c r="R61" t="s">
        <v>382</v>
      </c>
      <c r="S61" t="s">
        <v>382</v>
      </c>
      <c r="T61" t="s">
        <v>382</v>
      </c>
      <c r="U61" t="s">
        <v>382</v>
      </c>
      <c r="V61" t="s">
        <v>382</v>
      </c>
      <c r="W61" t="s">
        <v>382</v>
      </c>
      <c r="X61" t="s">
        <v>382</v>
      </c>
      <c r="Y61" t="s">
        <v>382</v>
      </c>
      <c r="Z61" t="s">
        <v>382</v>
      </c>
      <c r="AA61" t="s">
        <v>382</v>
      </c>
      <c r="AB61" t="s">
        <v>382</v>
      </c>
      <c r="AC61">
        <v>5</v>
      </c>
      <c r="AD61">
        <v>5</v>
      </c>
      <c r="AE61">
        <v>1</v>
      </c>
      <c r="AF61" t="s">
        <v>389</v>
      </c>
      <c r="AH61" t="s">
        <v>35</v>
      </c>
      <c r="AI61" t="s">
        <v>97</v>
      </c>
      <c r="AK61">
        <v>2163</v>
      </c>
      <c r="AL61">
        <v>1598</v>
      </c>
    </row>
    <row r="62" spans="1:38">
      <c r="A62" t="s">
        <v>382</v>
      </c>
      <c r="B62" t="s">
        <v>382</v>
      </c>
      <c r="C62" t="s">
        <v>382</v>
      </c>
      <c r="D62" t="s">
        <v>382</v>
      </c>
      <c r="E62" t="s">
        <v>382</v>
      </c>
      <c r="F62" t="s">
        <v>382</v>
      </c>
      <c r="G62" t="s">
        <v>382</v>
      </c>
      <c r="H62" t="s">
        <v>382</v>
      </c>
      <c r="I62" t="s">
        <v>382</v>
      </c>
      <c r="J62" t="s">
        <v>382</v>
      </c>
      <c r="K62" t="s">
        <v>382</v>
      </c>
      <c r="L62" t="s">
        <v>382</v>
      </c>
      <c r="M62" t="s">
        <v>382</v>
      </c>
      <c r="N62" t="s">
        <v>382</v>
      </c>
      <c r="O62" t="s">
        <v>382</v>
      </c>
      <c r="P62" t="s">
        <v>382</v>
      </c>
      <c r="Q62" t="s">
        <v>382</v>
      </c>
      <c r="R62" t="s">
        <v>382</v>
      </c>
      <c r="S62" t="s">
        <v>382</v>
      </c>
      <c r="T62" t="s">
        <v>382</v>
      </c>
      <c r="U62" t="s">
        <v>382</v>
      </c>
      <c r="V62" t="s">
        <v>382</v>
      </c>
      <c r="W62" t="s">
        <v>382</v>
      </c>
      <c r="X62" t="s">
        <v>382</v>
      </c>
      <c r="Y62" t="s">
        <v>382</v>
      </c>
      <c r="Z62" t="s">
        <v>382</v>
      </c>
      <c r="AA62" t="s">
        <v>382</v>
      </c>
      <c r="AB62" t="s">
        <v>382</v>
      </c>
      <c r="AC62">
        <v>5</v>
      </c>
      <c r="AD62">
        <v>1</v>
      </c>
      <c r="AE62">
        <v>1</v>
      </c>
      <c r="AF62" t="s">
        <v>389</v>
      </c>
      <c r="AH62" t="s">
        <v>35</v>
      </c>
      <c r="AI62" t="s">
        <v>97</v>
      </c>
      <c r="AK62">
        <v>2552</v>
      </c>
      <c r="AL62">
        <v>1685</v>
      </c>
    </row>
    <row r="63" spans="1:38">
      <c r="A63" t="s">
        <v>382</v>
      </c>
      <c r="B63" t="s">
        <v>382</v>
      </c>
      <c r="C63" t="s">
        <v>382</v>
      </c>
      <c r="D63" t="s">
        <v>382</v>
      </c>
      <c r="E63" t="s">
        <v>382</v>
      </c>
      <c r="F63" t="s">
        <v>382</v>
      </c>
      <c r="G63" t="s">
        <v>382</v>
      </c>
      <c r="H63" t="s">
        <v>382</v>
      </c>
      <c r="I63" t="s">
        <v>382</v>
      </c>
      <c r="J63" t="s">
        <v>382</v>
      </c>
      <c r="K63" t="s">
        <v>382</v>
      </c>
      <c r="L63" t="s">
        <v>382</v>
      </c>
      <c r="M63" t="s">
        <v>382</v>
      </c>
      <c r="N63" t="s">
        <v>382</v>
      </c>
      <c r="O63" t="s">
        <v>382</v>
      </c>
      <c r="P63" t="s">
        <v>382</v>
      </c>
      <c r="Q63" t="s">
        <v>382</v>
      </c>
      <c r="R63" t="s">
        <v>382</v>
      </c>
      <c r="S63" t="s">
        <v>382</v>
      </c>
      <c r="T63" t="s">
        <v>382</v>
      </c>
      <c r="U63" t="s">
        <v>382</v>
      </c>
      <c r="V63" t="s">
        <v>382</v>
      </c>
      <c r="W63" t="s">
        <v>382</v>
      </c>
      <c r="X63" t="s">
        <v>382</v>
      </c>
      <c r="Y63" t="s">
        <v>382</v>
      </c>
      <c r="Z63" t="s">
        <v>382</v>
      </c>
      <c r="AA63" t="s">
        <v>382</v>
      </c>
      <c r="AB63" t="s">
        <v>382</v>
      </c>
      <c r="AC63">
        <v>5</v>
      </c>
      <c r="AD63">
        <v>2</v>
      </c>
      <c r="AE63">
        <v>1</v>
      </c>
      <c r="AF63" t="s">
        <v>389</v>
      </c>
      <c r="AH63" t="s">
        <v>35</v>
      </c>
      <c r="AI63" t="s">
        <v>97</v>
      </c>
      <c r="AK63">
        <v>2339</v>
      </c>
      <c r="AL63">
        <v>317</v>
      </c>
    </row>
    <row r="64" spans="1:38">
      <c r="A64" t="s">
        <v>382</v>
      </c>
      <c r="B64" t="s">
        <v>382</v>
      </c>
      <c r="C64" t="s">
        <v>382</v>
      </c>
      <c r="D64" t="s">
        <v>382</v>
      </c>
      <c r="E64" t="s">
        <v>382</v>
      </c>
      <c r="F64" t="s">
        <v>382</v>
      </c>
      <c r="G64" t="s">
        <v>382</v>
      </c>
      <c r="H64" t="s">
        <v>382</v>
      </c>
      <c r="I64" t="s">
        <v>382</v>
      </c>
      <c r="J64" t="s">
        <v>382</v>
      </c>
      <c r="K64" t="s">
        <v>382</v>
      </c>
      <c r="L64" t="s">
        <v>382</v>
      </c>
      <c r="M64" t="s">
        <v>382</v>
      </c>
      <c r="N64" t="s">
        <v>382</v>
      </c>
      <c r="O64" t="s">
        <v>382</v>
      </c>
      <c r="P64" t="s">
        <v>382</v>
      </c>
      <c r="Q64" t="s">
        <v>382</v>
      </c>
      <c r="R64" t="s">
        <v>382</v>
      </c>
      <c r="S64" t="s">
        <v>382</v>
      </c>
      <c r="T64" t="s">
        <v>382</v>
      </c>
      <c r="U64" t="s">
        <v>382</v>
      </c>
      <c r="V64" t="s">
        <v>382</v>
      </c>
      <c r="W64" t="s">
        <v>382</v>
      </c>
      <c r="X64" t="s">
        <v>382</v>
      </c>
      <c r="Y64" t="s">
        <v>382</v>
      </c>
      <c r="Z64" t="s">
        <v>382</v>
      </c>
      <c r="AA64" t="s">
        <v>382</v>
      </c>
      <c r="AB64" t="s">
        <v>382</v>
      </c>
      <c r="AC64">
        <v>5</v>
      </c>
      <c r="AD64">
        <v>3</v>
      </c>
      <c r="AF64" t="s">
        <v>386</v>
      </c>
      <c r="AH64" t="s">
        <v>29</v>
      </c>
      <c r="AI64" t="s">
        <v>103</v>
      </c>
      <c r="AK64">
        <v>2355</v>
      </c>
      <c r="AL64">
        <v>1186</v>
      </c>
    </row>
    <row r="65" spans="1:38">
      <c r="A65" t="s">
        <v>382</v>
      </c>
      <c r="B65" t="s">
        <v>382</v>
      </c>
      <c r="C65" t="s">
        <v>382</v>
      </c>
      <c r="D65" t="s">
        <v>382</v>
      </c>
      <c r="E65" t="s">
        <v>382</v>
      </c>
      <c r="F65" t="s">
        <v>382</v>
      </c>
      <c r="G65" t="s">
        <v>382</v>
      </c>
      <c r="H65" t="s">
        <v>382</v>
      </c>
      <c r="I65" t="s">
        <v>382</v>
      </c>
      <c r="J65" t="s">
        <v>382</v>
      </c>
      <c r="K65" t="s">
        <v>382</v>
      </c>
      <c r="L65" t="s">
        <v>382</v>
      </c>
      <c r="M65" t="s">
        <v>382</v>
      </c>
      <c r="N65" t="s">
        <v>382</v>
      </c>
      <c r="O65" t="s">
        <v>382</v>
      </c>
      <c r="P65" t="s">
        <v>382</v>
      </c>
      <c r="Q65" t="s">
        <v>382</v>
      </c>
      <c r="R65" t="s">
        <v>382</v>
      </c>
      <c r="S65" t="s">
        <v>382</v>
      </c>
      <c r="T65" t="s">
        <v>382</v>
      </c>
      <c r="U65" t="s">
        <v>382</v>
      </c>
      <c r="V65" t="s">
        <v>382</v>
      </c>
      <c r="W65" t="s">
        <v>382</v>
      </c>
      <c r="X65" t="s">
        <v>382</v>
      </c>
      <c r="Y65" t="s">
        <v>382</v>
      </c>
      <c r="Z65" t="s">
        <v>382</v>
      </c>
      <c r="AA65" t="s">
        <v>382</v>
      </c>
      <c r="AB65" t="s">
        <v>382</v>
      </c>
      <c r="AC65">
        <v>5</v>
      </c>
      <c r="AD65">
        <v>4</v>
      </c>
      <c r="AE65">
        <v>1</v>
      </c>
      <c r="AF65" t="s">
        <v>389</v>
      </c>
      <c r="AH65" t="s">
        <v>35</v>
      </c>
      <c r="AI65" t="s">
        <v>97</v>
      </c>
      <c r="AK65">
        <v>2712</v>
      </c>
      <c r="AL65">
        <v>1602</v>
      </c>
    </row>
    <row r="66" spans="1:38">
      <c r="A66" t="s">
        <v>382</v>
      </c>
      <c r="B66" t="s">
        <v>382</v>
      </c>
      <c r="C66" t="s">
        <v>382</v>
      </c>
      <c r="D66" t="s">
        <v>382</v>
      </c>
      <c r="E66" t="s">
        <v>382</v>
      </c>
      <c r="F66" t="s">
        <v>382</v>
      </c>
      <c r="G66" t="s">
        <v>382</v>
      </c>
      <c r="H66" t="s">
        <v>382</v>
      </c>
      <c r="I66" t="s">
        <v>382</v>
      </c>
      <c r="J66" t="s">
        <v>382</v>
      </c>
      <c r="K66" t="s">
        <v>382</v>
      </c>
      <c r="L66" t="s">
        <v>382</v>
      </c>
      <c r="M66" t="s">
        <v>382</v>
      </c>
      <c r="N66" t="s">
        <v>382</v>
      </c>
      <c r="O66" t="s">
        <v>382</v>
      </c>
      <c r="P66" t="s">
        <v>382</v>
      </c>
      <c r="Q66" t="s">
        <v>382</v>
      </c>
      <c r="R66" t="s">
        <v>382</v>
      </c>
      <c r="S66" t="s">
        <v>382</v>
      </c>
      <c r="T66" t="s">
        <v>382</v>
      </c>
      <c r="U66" t="s">
        <v>382</v>
      </c>
      <c r="V66" t="s">
        <v>382</v>
      </c>
      <c r="W66" t="s">
        <v>382</v>
      </c>
      <c r="X66" t="s">
        <v>382</v>
      </c>
      <c r="Y66" t="s">
        <v>382</v>
      </c>
      <c r="Z66" t="s">
        <v>382</v>
      </c>
      <c r="AA66" t="s">
        <v>382</v>
      </c>
      <c r="AB66" t="s">
        <v>382</v>
      </c>
      <c r="AC66">
        <v>5</v>
      </c>
      <c r="AD66">
        <v>5</v>
      </c>
      <c r="AE66">
        <v>1</v>
      </c>
      <c r="AF66" t="s">
        <v>389</v>
      </c>
      <c r="AH66" t="s">
        <v>35</v>
      </c>
      <c r="AI66" t="s">
        <v>97</v>
      </c>
      <c r="AK66">
        <v>1300</v>
      </c>
      <c r="AL66">
        <v>561</v>
      </c>
    </row>
    <row r="67" spans="1:38">
      <c r="A67" t="s">
        <v>382</v>
      </c>
      <c r="B67" t="s">
        <v>382</v>
      </c>
      <c r="C67" t="s">
        <v>382</v>
      </c>
      <c r="D67" t="s">
        <v>382</v>
      </c>
      <c r="E67" t="s">
        <v>382</v>
      </c>
      <c r="F67" t="s">
        <v>382</v>
      </c>
      <c r="G67" t="s">
        <v>382</v>
      </c>
      <c r="H67" t="s">
        <v>382</v>
      </c>
      <c r="I67" t="s">
        <v>382</v>
      </c>
      <c r="J67" t="s">
        <v>382</v>
      </c>
      <c r="K67" t="s">
        <v>382</v>
      </c>
      <c r="L67" t="s">
        <v>382</v>
      </c>
      <c r="M67" t="s">
        <v>382</v>
      </c>
      <c r="N67" t="s">
        <v>382</v>
      </c>
      <c r="O67" t="s">
        <v>382</v>
      </c>
      <c r="P67" t="s">
        <v>382</v>
      </c>
      <c r="Q67" t="s">
        <v>382</v>
      </c>
      <c r="R67" t="s">
        <v>382</v>
      </c>
      <c r="S67" t="s">
        <v>382</v>
      </c>
      <c r="T67" t="s">
        <v>382</v>
      </c>
      <c r="U67" t="s">
        <v>382</v>
      </c>
      <c r="V67" t="s">
        <v>382</v>
      </c>
      <c r="W67" t="s">
        <v>382</v>
      </c>
      <c r="X67" t="s">
        <v>382</v>
      </c>
      <c r="Y67" t="s">
        <v>382</v>
      </c>
      <c r="Z67" t="s">
        <v>382</v>
      </c>
      <c r="AA67" t="s">
        <v>382</v>
      </c>
      <c r="AB67" t="s">
        <v>382</v>
      </c>
      <c r="AC67">
        <v>5</v>
      </c>
      <c r="AD67">
        <v>1</v>
      </c>
      <c r="AE67">
        <v>1</v>
      </c>
      <c r="AF67" t="s">
        <v>387</v>
      </c>
      <c r="AH67" t="s">
        <v>31</v>
      </c>
      <c r="AI67" t="s">
        <v>97</v>
      </c>
      <c r="AK67">
        <v>2986</v>
      </c>
      <c r="AL67">
        <v>2130</v>
      </c>
    </row>
    <row r="68" spans="1:38">
      <c r="A68" t="s">
        <v>382</v>
      </c>
      <c r="B68" t="s">
        <v>382</v>
      </c>
      <c r="C68" t="s">
        <v>382</v>
      </c>
      <c r="D68" t="s">
        <v>382</v>
      </c>
      <c r="E68" t="s">
        <v>382</v>
      </c>
      <c r="F68" t="s">
        <v>382</v>
      </c>
      <c r="G68" t="s">
        <v>382</v>
      </c>
      <c r="H68" t="s">
        <v>382</v>
      </c>
      <c r="I68" t="s">
        <v>382</v>
      </c>
      <c r="J68" t="s">
        <v>382</v>
      </c>
      <c r="K68" t="s">
        <v>382</v>
      </c>
      <c r="L68" t="s">
        <v>382</v>
      </c>
      <c r="M68" t="s">
        <v>382</v>
      </c>
      <c r="N68" t="s">
        <v>382</v>
      </c>
      <c r="O68" t="s">
        <v>382</v>
      </c>
      <c r="P68" t="s">
        <v>382</v>
      </c>
      <c r="Q68" t="s">
        <v>382</v>
      </c>
      <c r="R68" t="s">
        <v>382</v>
      </c>
      <c r="S68" t="s">
        <v>382</v>
      </c>
      <c r="T68" t="s">
        <v>382</v>
      </c>
      <c r="U68" t="s">
        <v>382</v>
      </c>
      <c r="V68" t="s">
        <v>382</v>
      </c>
      <c r="W68" t="s">
        <v>382</v>
      </c>
      <c r="X68" t="s">
        <v>382</v>
      </c>
      <c r="Y68" t="s">
        <v>382</v>
      </c>
      <c r="Z68" t="s">
        <v>382</v>
      </c>
      <c r="AA68" t="s">
        <v>382</v>
      </c>
      <c r="AB68" t="s">
        <v>382</v>
      </c>
      <c r="AC68">
        <v>5</v>
      </c>
      <c r="AD68">
        <v>2</v>
      </c>
      <c r="AF68" t="s">
        <v>385</v>
      </c>
      <c r="AH68" t="s">
        <v>27</v>
      </c>
      <c r="AI68" t="s">
        <v>109</v>
      </c>
      <c r="AK68">
        <v>2522</v>
      </c>
      <c r="AL68">
        <v>27</v>
      </c>
    </row>
    <row r="69" spans="1:38">
      <c r="A69" t="s">
        <v>382</v>
      </c>
      <c r="B69" t="s">
        <v>382</v>
      </c>
      <c r="C69" t="s">
        <v>382</v>
      </c>
      <c r="D69" t="s">
        <v>382</v>
      </c>
      <c r="E69" t="s">
        <v>382</v>
      </c>
      <c r="F69" t="s">
        <v>382</v>
      </c>
      <c r="G69" t="s">
        <v>382</v>
      </c>
      <c r="H69" t="s">
        <v>382</v>
      </c>
      <c r="I69" t="s">
        <v>382</v>
      </c>
      <c r="J69" t="s">
        <v>382</v>
      </c>
      <c r="K69" t="s">
        <v>382</v>
      </c>
      <c r="L69" t="s">
        <v>382</v>
      </c>
      <c r="M69" t="s">
        <v>382</v>
      </c>
      <c r="N69" t="s">
        <v>382</v>
      </c>
      <c r="O69" t="s">
        <v>382</v>
      </c>
      <c r="P69" t="s">
        <v>382</v>
      </c>
      <c r="Q69" t="s">
        <v>382</v>
      </c>
      <c r="R69" t="s">
        <v>382</v>
      </c>
      <c r="S69" t="s">
        <v>382</v>
      </c>
      <c r="T69" t="s">
        <v>382</v>
      </c>
      <c r="U69" t="s">
        <v>382</v>
      </c>
      <c r="V69" t="s">
        <v>382</v>
      </c>
      <c r="W69" t="s">
        <v>382</v>
      </c>
      <c r="X69" t="s">
        <v>382</v>
      </c>
      <c r="Y69" t="s">
        <v>382</v>
      </c>
      <c r="Z69" t="s">
        <v>382</v>
      </c>
      <c r="AA69" t="s">
        <v>382</v>
      </c>
      <c r="AB69" t="s">
        <v>382</v>
      </c>
      <c r="AC69">
        <v>5</v>
      </c>
      <c r="AD69">
        <v>3</v>
      </c>
      <c r="AF69" t="s">
        <v>386</v>
      </c>
      <c r="AH69" t="s">
        <v>29</v>
      </c>
      <c r="AI69" t="s">
        <v>103</v>
      </c>
      <c r="AK69">
        <v>2991</v>
      </c>
      <c r="AL69">
        <v>710</v>
      </c>
    </row>
    <row r="70" spans="1:38">
      <c r="A70" t="s">
        <v>382</v>
      </c>
      <c r="B70" t="s">
        <v>382</v>
      </c>
      <c r="C70" t="s">
        <v>382</v>
      </c>
      <c r="D70" t="s">
        <v>382</v>
      </c>
      <c r="E70" t="s">
        <v>382</v>
      </c>
      <c r="F70" t="s">
        <v>382</v>
      </c>
      <c r="G70" t="s">
        <v>382</v>
      </c>
      <c r="H70" t="s">
        <v>382</v>
      </c>
      <c r="I70" t="s">
        <v>382</v>
      </c>
      <c r="J70" t="s">
        <v>382</v>
      </c>
      <c r="K70" t="s">
        <v>382</v>
      </c>
      <c r="L70" t="s">
        <v>382</v>
      </c>
      <c r="M70" t="s">
        <v>382</v>
      </c>
      <c r="N70" t="s">
        <v>382</v>
      </c>
      <c r="O70" t="s">
        <v>382</v>
      </c>
      <c r="P70" t="s">
        <v>382</v>
      </c>
      <c r="Q70" t="s">
        <v>382</v>
      </c>
      <c r="R70" t="s">
        <v>382</v>
      </c>
      <c r="S70" t="s">
        <v>382</v>
      </c>
      <c r="T70" t="s">
        <v>382</v>
      </c>
      <c r="U70" t="s">
        <v>382</v>
      </c>
      <c r="V70" t="s">
        <v>382</v>
      </c>
      <c r="W70" t="s">
        <v>382</v>
      </c>
      <c r="X70" t="s">
        <v>382</v>
      </c>
      <c r="Y70" t="s">
        <v>382</v>
      </c>
      <c r="Z70" t="s">
        <v>382</v>
      </c>
      <c r="AA70" t="s">
        <v>382</v>
      </c>
      <c r="AB70" t="s">
        <v>382</v>
      </c>
      <c r="AC70">
        <v>5</v>
      </c>
      <c r="AD70">
        <v>4</v>
      </c>
      <c r="AF70" t="s">
        <v>386</v>
      </c>
      <c r="AH70" t="s">
        <v>29</v>
      </c>
      <c r="AI70" t="s">
        <v>103</v>
      </c>
      <c r="AK70">
        <v>2437</v>
      </c>
      <c r="AL70">
        <v>1086</v>
      </c>
    </row>
    <row r="71" spans="1:38">
      <c r="A71" t="s">
        <v>382</v>
      </c>
      <c r="B71" t="s">
        <v>382</v>
      </c>
      <c r="C71" t="s">
        <v>382</v>
      </c>
      <c r="D71" t="s">
        <v>382</v>
      </c>
      <c r="E71" t="s">
        <v>382</v>
      </c>
      <c r="F71" t="s">
        <v>382</v>
      </c>
      <c r="G71" t="s">
        <v>382</v>
      </c>
      <c r="H71" t="s">
        <v>382</v>
      </c>
      <c r="I71" t="s">
        <v>382</v>
      </c>
      <c r="J71" t="s">
        <v>382</v>
      </c>
      <c r="K71" t="s">
        <v>382</v>
      </c>
      <c r="L71" t="s">
        <v>382</v>
      </c>
      <c r="M71" t="s">
        <v>382</v>
      </c>
      <c r="N71" t="s">
        <v>382</v>
      </c>
      <c r="O71" t="s">
        <v>382</v>
      </c>
      <c r="P71" t="s">
        <v>382</v>
      </c>
      <c r="Q71" t="s">
        <v>382</v>
      </c>
      <c r="R71" t="s">
        <v>382</v>
      </c>
      <c r="S71" t="s">
        <v>382</v>
      </c>
      <c r="T71" t="s">
        <v>382</v>
      </c>
      <c r="U71" t="s">
        <v>382</v>
      </c>
      <c r="V71" t="s">
        <v>382</v>
      </c>
      <c r="W71" t="s">
        <v>382</v>
      </c>
      <c r="X71" t="s">
        <v>382</v>
      </c>
      <c r="Y71" t="s">
        <v>382</v>
      </c>
      <c r="Z71" t="s">
        <v>382</v>
      </c>
      <c r="AA71" t="s">
        <v>382</v>
      </c>
      <c r="AB71" t="s">
        <v>382</v>
      </c>
      <c r="AC71">
        <v>5</v>
      </c>
      <c r="AD71">
        <v>5</v>
      </c>
      <c r="AE71">
        <v>1</v>
      </c>
      <c r="AF71" t="s">
        <v>389</v>
      </c>
      <c r="AH71" t="s">
        <v>35</v>
      </c>
      <c r="AI71" t="s">
        <v>97</v>
      </c>
      <c r="AK71">
        <v>2038</v>
      </c>
      <c r="AL71">
        <v>865</v>
      </c>
    </row>
    <row r="72" spans="1:38">
      <c r="A72" t="s">
        <v>382</v>
      </c>
      <c r="B72" t="s">
        <v>382</v>
      </c>
      <c r="C72" t="s">
        <v>382</v>
      </c>
      <c r="D72" t="s">
        <v>382</v>
      </c>
      <c r="E72" t="s">
        <v>382</v>
      </c>
      <c r="F72" t="s">
        <v>382</v>
      </c>
      <c r="G72" t="s">
        <v>382</v>
      </c>
      <c r="H72" t="s">
        <v>382</v>
      </c>
      <c r="I72" t="s">
        <v>382</v>
      </c>
      <c r="J72" t="s">
        <v>382</v>
      </c>
      <c r="K72" t="s">
        <v>382</v>
      </c>
      <c r="L72" t="s">
        <v>382</v>
      </c>
      <c r="M72" t="s">
        <v>382</v>
      </c>
      <c r="N72" t="s">
        <v>382</v>
      </c>
      <c r="O72" t="s">
        <v>382</v>
      </c>
      <c r="P72" t="s">
        <v>382</v>
      </c>
      <c r="Q72" t="s">
        <v>382</v>
      </c>
      <c r="R72" t="s">
        <v>382</v>
      </c>
      <c r="S72" t="s">
        <v>382</v>
      </c>
      <c r="T72" t="s">
        <v>382</v>
      </c>
      <c r="U72" t="s">
        <v>382</v>
      </c>
      <c r="V72" t="s">
        <v>382</v>
      </c>
      <c r="W72" t="s">
        <v>382</v>
      </c>
      <c r="X72" t="s">
        <v>382</v>
      </c>
      <c r="Y72" t="s">
        <v>382</v>
      </c>
      <c r="Z72" t="s">
        <v>382</v>
      </c>
      <c r="AA72" t="s">
        <v>382</v>
      </c>
      <c r="AB72" t="s">
        <v>382</v>
      </c>
      <c r="AC72">
        <v>5</v>
      </c>
      <c r="AD72">
        <v>1</v>
      </c>
      <c r="AE72">
        <v>1</v>
      </c>
      <c r="AF72" t="s">
        <v>389</v>
      </c>
      <c r="AH72" t="s">
        <v>35</v>
      </c>
      <c r="AI72" t="s">
        <v>97</v>
      </c>
      <c r="AK72">
        <v>1399</v>
      </c>
      <c r="AL72">
        <v>1759</v>
      </c>
    </row>
    <row r="73" spans="1:38">
      <c r="A73" t="s">
        <v>382</v>
      </c>
      <c r="B73" t="s">
        <v>382</v>
      </c>
      <c r="C73" t="s">
        <v>382</v>
      </c>
      <c r="D73" t="s">
        <v>382</v>
      </c>
      <c r="E73" t="s">
        <v>382</v>
      </c>
      <c r="F73" t="s">
        <v>382</v>
      </c>
      <c r="G73" t="s">
        <v>382</v>
      </c>
      <c r="H73" t="s">
        <v>382</v>
      </c>
      <c r="I73" t="s">
        <v>382</v>
      </c>
      <c r="J73" t="s">
        <v>382</v>
      </c>
      <c r="K73" t="s">
        <v>382</v>
      </c>
      <c r="L73" t="s">
        <v>382</v>
      </c>
      <c r="M73" t="s">
        <v>382</v>
      </c>
      <c r="N73" t="s">
        <v>382</v>
      </c>
      <c r="O73" t="s">
        <v>382</v>
      </c>
      <c r="P73" t="s">
        <v>382</v>
      </c>
      <c r="Q73" t="s">
        <v>382</v>
      </c>
      <c r="R73" t="s">
        <v>382</v>
      </c>
      <c r="S73" t="s">
        <v>382</v>
      </c>
      <c r="T73" t="s">
        <v>382</v>
      </c>
      <c r="U73" t="s">
        <v>382</v>
      </c>
      <c r="V73" t="s">
        <v>382</v>
      </c>
      <c r="W73" t="s">
        <v>382</v>
      </c>
      <c r="X73" t="s">
        <v>382</v>
      </c>
      <c r="Y73" t="s">
        <v>382</v>
      </c>
      <c r="Z73" t="s">
        <v>382</v>
      </c>
      <c r="AA73" t="s">
        <v>382</v>
      </c>
      <c r="AB73" t="s">
        <v>382</v>
      </c>
      <c r="AC73">
        <v>5</v>
      </c>
      <c r="AD73">
        <v>2</v>
      </c>
      <c r="AF73" t="s">
        <v>385</v>
      </c>
      <c r="AH73" t="s">
        <v>27</v>
      </c>
      <c r="AI73" t="s">
        <v>109</v>
      </c>
      <c r="AK73">
        <v>3173</v>
      </c>
      <c r="AL73">
        <v>122</v>
      </c>
    </row>
    <row r="74" spans="1:38">
      <c r="A74" t="s">
        <v>382</v>
      </c>
      <c r="B74" t="s">
        <v>382</v>
      </c>
      <c r="C74" t="s">
        <v>382</v>
      </c>
      <c r="D74" t="s">
        <v>382</v>
      </c>
      <c r="E74" t="s">
        <v>382</v>
      </c>
      <c r="F74" t="s">
        <v>382</v>
      </c>
      <c r="G74" t="s">
        <v>382</v>
      </c>
      <c r="H74" t="s">
        <v>382</v>
      </c>
      <c r="I74" t="s">
        <v>382</v>
      </c>
      <c r="J74" t="s">
        <v>382</v>
      </c>
      <c r="K74" t="s">
        <v>382</v>
      </c>
      <c r="L74" t="s">
        <v>382</v>
      </c>
      <c r="M74" t="s">
        <v>382</v>
      </c>
      <c r="N74" t="s">
        <v>382</v>
      </c>
      <c r="O74" t="s">
        <v>382</v>
      </c>
      <c r="P74" t="s">
        <v>382</v>
      </c>
      <c r="Q74" t="s">
        <v>382</v>
      </c>
      <c r="R74" t="s">
        <v>382</v>
      </c>
      <c r="S74" t="s">
        <v>382</v>
      </c>
      <c r="T74" t="s">
        <v>382</v>
      </c>
      <c r="U74" t="s">
        <v>382</v>
      </c>
      <c r="V74" t="s">
        <v>382</v>
      </c>
      <c r="W74" t="s">
        <v>382</v>
      </c>
      <c r="X74" t="s">
        <v>382</v>
      </c>
      <c r="Y74" t="s">
        <v>382</v>
      </c>
      <c r="Z74" t="s">
        <v>382</v>
      </c>
      <c r="AA74" t="s">
        <v>382</v>
      </c>
      <c r="AB74" t="s">
        <v>382</v>
      </c>
      <c r="AC74">
        <v>5</v>
      </c>
      <c r="AD74">
        <v>3</v>
      </c>
      <c r="AE74">
        <v>1</v>
      </c>
      <c r="AF74" t="s">
        <v>389</v>
      </c>
      <c r="AH74" t="s">
        <v>35</v>
      </c>
      <c r="AI74" t="s">
        <v>97</v>
      </c>
      <c r="AK74">
        <v>3252</v>
      </c>
      <c r="AL74">
        <v>903</v>
      </c>
    </row>
    <row r="75" spans="1:38">
      <c r="A75" t="s">
        <v>382</v>
      </c>
      <c r="B75" t="s">
        <v>382</v>
      </c>
      <c r="C75" t="s">
        <v>382</v>
      </c>
      <c r="D75" t="s">
        <v>382</v>
      </c>
      <c r="E75" t="s">
        <v>382</v>
      </c>
      <c r="F75" t="s">
        <v>382</v>
      </c>
      <c r="G75" t="s">
        <v>382</v>
      </c>
      <c r="H75" t="s">
        <v>382</v>
      </c>
      <c r="I75" t="s">
        <v>382</v>
      </c>
      <c r="J75" t="s">
        <v>382</v>
      </c>
      <c r="K75" t="s">
        <v>382</v>
      </c>
      <c r="L75" t="s">
        <v>382</v>
      </c>
      <c r="M75" t="s">
        <v>382</v>
      </c>
      <c r="N75" t="s">
        <v>382</v>
      </c>
      <c r="O75" t="s">
        <v>382</v>
      </c>
      <c r="P75" t="s">
        <v>382</v>
      </c>
      <c r="Q75" t="s">
        <v>382</v>
      </c>
      <c r="R75" t="s">
        <v>382</v>
      </c>
      <c r="S75" t="s">
        <v>382</v>
      </c>
      <c r="T75" t="s">
        <v>382</v>
      </c>
      <c r="U75" t="s">
        <v>382</v>
      </c>
      <c r="V75" t="s">
        <v>382</v>
      </c>
      <c r="W75" t="s">
        <v>382</v>
      </c>
      <c r="X75" t="s">
        <v>382</v>
      </c>
      <c r="Y75" t="s">
        <v>382</v>
      </c>
      <c r="Z75" t="s">
        <v>382</v>
      </c>
      <c r="AA75" t="s">
        <v>382</v>
      </c>
      <c r="AB75" t="s">
        <v>382</v>
      </c>
      <c r="AC75">
        <v>5</v>
      </c>
      <c r="AD75">
        <v>4</v>
      </c>
      <c r="AE75">
        <v>1</v>
      </c>
      <c r="AF75" t="s">
        <v>389</v>
      </c>
      <c r="AH75" t="s">
        <v>35</v>
      </c>
      <c r="AI75" t="s">
        <v>97</v>
      </c>
      <c r="AK75">
        <v>2098</v>
      </c>
      <c r="AL75">
        <v>2040</v>
      </c>
    </row>
    <row r="76" spans="1:38">
      <c r="A76" t="s">
        <v>382</v>
      </c>
      <c r="B76" t="s">
        <v>382</v>
      </c>
      <c r="C76" t="s">
        <v>382</v>
      </c>
      <c r="D76" t="s">
        <v>382</v>
      </c>
      <c r="E76" t="s">
        <v>382</v>
      </c>
      <c r="F76" t="s">
        <v>382</v>
      </c>
      <c r="G76" t="s">
        <v>382</v>
      </c>
      <c r="H76" t="s">
        <v>382</v>
      </c>
      <c r="I76" t="s">
        <v>382</v>
      </c>
      <c r="J76" t="s">
        <v>382</v>
      </c>
      <c r="K76" t="s">
        <v>382</v>
      </c>
      <c r="L76" t="s">
        <v>382</v>
      </c>
      <c r="M76" t="s">
        <v>382</v>
      </c>
      <c r="N76" t="s">
        <v>382</v>
      </c>
      <c r="O76" t="s">
        <v>382</v>
      </c>
      <c r="P76" t="s">
        <v>382</v>
      </c>
      <c r="Q76" t="s">
        <v>382</v>
      </c>
      <c r="R76" t="s">
        <v>382</v>
      </c>
      <c r="S76" t="s">
        <v>382</v>
      </c>
      <c r="T76" t="s">
        <v>382</v>
      </c>
      <c r="U76" t="s">
        <v>382</v>
      </c>
      <c r="V76" t="s">
        <v>382</v>
      </c>
      <c r="W76" t="s">
        <v>382</v>
      </c>
      <c r="X76" t="s">
        <v>382</v>
      </c>
      <c r="Y76" t="s">
        <v>382</v>
      </c>
      <c r="Z76" t="s">
        <v>382</v>
      </c>
      <c r="AA76" t="s">
        <v>382</v>
      </c>
      <c r="AB76" t="s">
        <v>382</v>
      </c>
      <c r="AC76">
        <v>5</v>
      </c>
      <c r="AD76">
        <v>5</v>
      </c>
      <c r="AE76">
        <v>1</v>
      </c>
      <c r="AF76" t="s">
        <v>389</v>
      </c>
      <c r="AH76" t="s">
        <v>35</v>
      </c>
      <c r="AI76" t="s">
        <v>97</v>
      </c>
      <c r="AK76">
        <v>1698</v>
      </c>
      <c r="AL76">
        <v>1000</v>
      </c>
    </row>
    <row r="77" spans="1:38">
      <c r="A77" t="s">
        <v>382</v>
      </c>
      <c r="B77" t="s">
        <v>382</v>
      </c>
      <c r="C77" t="s">
        <v>382</v>
      </c>
      <c r="D77" t="s">
        <v>382</v>
      </c>
      <c r="E77" t="s">
        <v>382</v>
      </c>
      <c r="F77" t="s">
        <v>382</v>
      </c>
      <c r="G77" t="s">
        <v>382</v>
      </c>
      <c r="H77" t="s">
        <v>382</v>
      </c>
      <c r="I77" t="s">
        <v>382</v>
      </c>
      <c r="J77" t="s">
        <v>382</v>
      </c>
      <c r="K77" t="s">
        <v>382</v>
      </c>
      <c r="L77" t="s">
        <v>382</v>
      </c>
      <c r="M77" t="s">
        <v>382</v>
      </c>
      <c r="N77" t="s">
        <v>382</v>
      </c>
      <c r="O77" t="s">
        <v>382</v>
      </c>
      <c r="P77" t="s">
        <v>382</v>
      </c>
      <c r="Q77" t="s">
        <v>382</v>
      </c>
      <c r="R77" t="s">
        <v>382</v>
      </c>
      <c r="S77" t="s">
        <v>382</v>
      </c>
      <c r="T77" t="s">
        <v>382</v>
      </c>
      <c r="U77" t="s">
        <v>382</v>
      </c>
      <c r="V77" t="s">
        <v>382</v>
      </c>
      <c r="W77" t="s">
        <v>382</v>
      </c>
      <c r="X77" t="s">
        <v>382</v>
      </c>
      <c r="Y77" t="s">
        <v>382</v>
      </c>
      <c r="Z77" t="s">
        <v>382</v>
      </c>
      <c r="AA77" t="s">
        <v>382</v>
      </c>
      <c r="AB77" t="s">
        <v>382</v>
      </c>
      <c r="AC77">
        <v>5</v>
      </c>
      <c r="AD77">
        <v>1</v>
      </c>
      <c r="AE77">
        <v>1</v>
      </c>
      <c r="AF77" t="s">
        <v>389</v>
      </c>
      <c r="AH77" t="s">
        <v>35</v>
      </c>
      <c r="AI77" t="s">
        <v>97</v>
      </c>
      <c r="AK77">
        <v>1755</v>
      </c>
      <c r="AL77">
        <v>1347</v>
      </c>
    </row>
    <row r="78" spans="1:38">
      <c r="A78" t="s">
        <v>382</v>
      </c>
      <c r="B78" t="s">
        <v>382</v>
      </c>
      <c r="C78" t="s">
        <v>382</v>
      </c>
      <c r="D78" t="s">
        <v>382</v>
      </c>
      <c r="E78" t="s">
        <v>382</v>
      </c>
      <c r="F78" t="s">
        <v>382</v>
      </c>
      <c r="G78" t="s">
        <v>382</v>
      </c>
      <c r="H78" t="s">
        <v>382</v>
      </c>
      <c r="I78" t="s">
        <v>382</v>
      </c>
      <c r="J78" t="s">
        <v>382</v>
      </c>
      <c r="K78" t="s">
        <v>382</v>
      </c>
      <c r="L78" t="s">
        <v>382</v>
      </c>
      <c r="M78" t="s">
        <v>382</v>
      </c>
      <c r="N78" t="s">
        <v>382</v>
      </c>
      <c r="O78" t="s">
        <v>382</v>
      </c>
      <c r="P78" t="s">
        <v>382</v>
      </c>
      <c r="Q78" t="s">
        <v>382</v>
      </c>
      <c r="R78" t="s">
        <v>382</v>
      </c>
      <c r="S78" t="s">
        <v>382</v>
      </c>
      <c r="T78" t="s">
        <v>382</v>
      </c>
      <c r="U78" t="s">
        <v>382</v>
      </c>
      <c r="V78" t="s">
        <v>382</v>
      </c>
      <c r="W78" t="s">
        <v>382</v>
      </c>
      <c r="X78" t="s">
        <v>382</v>
      </c>
      <c r="Y78" t="s">
        <v>382</v>
      </c>
      <c r="Z78" t="s">
        <v>382</v>
      </c>
      <c r="AA78" t="s">
        <v>382</v>
      </c>
      <c r="AB78" t="s">
        <v>382</v>
      </c>
      <c r="AC78">
        <v>5</v>
      </c>
      <c r="AD78">
        <v>2</v>
      </c>
      <c r="AE78">
        <v>1</v>
      </c>
      <c r="AF78" t="s">
        <v>389</v>
      </c>
      <c r="AH78" t="s">
        <v>35</v>
      </c>
      <c r="AI78" t="s">
        <v>97</v>
      </c>
      <c r="AK78">
        <v>1837</v>
      </c>
      <c r="AL78">
        <v>1336</v>
      </c>
    </row>
    <row r="79" spans="1:38">
      <c r="A79" t="s">
        <v>382</v>
      </c>
      <c r="B79" t="s">
        <v>382</v>
      </c>
      <c r="C79" t="s">
        <v>382</v>
      </c>
      <c r="D79" t="s">
        <v>382</v>
      </c>
      <c r="E79" t="s">
        <v>382</v>
      </c>
      <c r="F79" t="s">
        <v>382</v>
      </c>
      <c r="G79" t="s">
        <v>382</v>
      </c>
      <c r="H79" t="s">
        <v>382</v>
      </c>
      <c r="I79" t="s">
        <v>382</v>
      </c>
      <c r="J79" t="s">
        <v>382</v>
      </c>
      <c r="K79" t="s">
        <v>382</v>
      </c>
      <c r="L79" t="s">
        <v>382</v>
      </c>
      <c r="M79" t="s">
        <v>382</v>
      </c>
      <c r="N79" t="s">
        <v>382</v>
      </c>
      <c r="O79" t="s">
        <v>382</v>
      </c>
      <c r="P79" t="s">
        <v>382</v>
      </c>
      <c r="Q79" t="s">
        <v>382</v>
      </c>
      <c r="R79" t="s">
        <v>382</v>
      </c>
      <c r="S79" t="s">
        <v>382</v>
      </c>
      <c r="T79" t="s">
        <v>382</v>
      </c>
      <c r="U79" t="s">
        <v>382</v>
      </c>
      <c r="V79" t="s">
        <v>382</v>
      </c>
      <c r="W79" t="s">
        <v>382</v>
      </c>
      <c r="X79" t="s">
        <v>382</v>
      </c>
      <c r="Y79" t="s">
        <v>382</v>
      </c>
      <c r="Z79" t="s">
        <v>382</v>
      </c>
      <c r="AA79" t="s">
        <v>382</v>
      </c>
      <c r="AB79" t="s">
        <v>382</v>
      </c>
      <c r="AC79">
        <v>5</v>
      </c>
      <c r="AD79">
        <v>3</v>
      </c>
      <c r="AE79">
        <v>1</v>
      </c>
      <c r="AF79" t="s">
        <v>389</v>
      </c>
      <c r="AH79" t="s">
        <v>35</v>
      </c>
      <c r="AI79" t="s">
        <v>97</v>
      </c>
      <c r="AK79">
        <v>2696</v>
      </c>
      <c r="AL79">
        <v>941</v>
      </c>
    </row>
    <row r="80" spans="1:38">
      <c r="A80" t="s">
        <v>382</v>
      </c>
      <c r="B80" t="s">
        <v>382</v>
      </c>
      <c r="C80" t="s">
        <v>382</v>
      </c>
      <c r="D80" t="s">
        <v>382</v>
      </c>
      <c r="E80" t="s">
        <v>382</v>
      </c>
      <c r="F80" t="s">
        <v>382</v>
      </c>
      <c r="G80" t="s">
        <v>382</v>
      </c>
      <c r="H80" t="s">
        <v>382</v>
      </c>
      <c r="I80" t="s">
        <v>382</v>
      </c>
      <c r="J80" t="s">
        <v>382</v>
      </c>
      <c r="K80" t="s">
        <v>382</v>
      </c>
      <c r="L80" t="s">
        <v>382</v>
      </c>
      <c r="M80" t="s">
        <v>382</v>
      </c>
      <c r="N80" t="s">
        <v>382</v>
      </c>
      <c r="O80" t="s">
        <v>382</v>
      </c>
      <c r="P80" t="s">
        <v>382</v>
      </c>
      <c r="Q80" t="s">
        <v>382</v>
      </c>
      <c r="R80" t="s">
        <v>382</v>
      </c>
      <c r="S80" t="s">
        <v>382</v>
      </c>
      <c r="T80" t="s">
        <v>382</v>
      </c>
      <c r="U80" t="s">
        <v>382</v>
      </c>
      <c r="V80" t="s">
        <v>382</v>
      </c>
      <c r="W80" t="s">
        <v>382</v>
      </c>
      <c r="X80" t="s">
        <v>382</v>
      </c>
      <c r="Y80" t="s">
        <v>382</v>
      </c>
      <c r="Z80" t="s">
        <v>382</v>
      </c>
      <c r="AA80" t="s">
        <v>382</v>
      </c>
      <c r="AB80" t="s">
        <v>382</v>
      </c>
      <c r="AC80">
        <v>5</v>
      </c>
      <c r="AD80">
        <v>4</v>
      </c>
      <c r="AF80" t="s">
        <v>386</v>
      </c>
      <c r="AH80" t="s">
        <v>29</v>
      </c>
      <c r="AI80" t="s">
        <v>103</v>
      </c>
      <c r="AK80">
        <v>1615</v>
      </c>
      <c r="AL80">
        <v>1042</v>
      </c>
    </row>
    <row r="81" spans="1:38">
      <c r="A81" t="s">
        <v>382</v>
      </c>
      <c r="B81" t="s">
        <v>382</v>
      </c>
      <c r="C81" t="s">
        <v>382</v>
      </c>
      <c r="D81" t="s">
        <v>382</v>
      </c>
      <c r="E81" t="s">
        <v>382</v>
      </c>
      <c r="F81" t="s">
        <v>382</v>
      </c>
      <c r="G81" t="s">
        <v>382</v>
      </c>
      <c r="H81" t="s">
        <v>382</v>
      </c>
      <c r="I81" t="s">
        <v>382</v>
      </c>
      <c r="J81" t="s">
        <v>382</v>
      </c>
      <c r="K81" t="s">
        <v>382</v>
      </c>
      <c r="L81" t="s">
        <v>382</v>
      </c>
      <c r="M81" t="s">
        <v>382</v>
      </c>
      <c r="N81" t="s">
        <v>382</v>
      </c>
      <c r="O81" t="s">
        <v>382</v>
      </c>
      <c r="P81" t="s">
        <v>382</v>
      </c>
      <c r="Q81" t="s">
        <v>382</v>
      </c>
      <c r="R81" t="s">
        <v>382</v>
      </c>
      <c r="S81" t="s">
        <v>382</v>
      </c>
      <c r="T81" t="s">
        <v>382</v>
      </c>
      <c r="U81" t="s">
        <v>382</v>
      </c>
      <c r="V81" t="s">
        <v>382</v>
      </c>
      <c r="W81" t="s">
        <v>382</v>
      </c>
      <c r="X81" t="s">
        <v>382</v>
      </c>
      <c r="Y81" t="s">
        <v>382</v>
      </c>
      <c r="Z81" t="s">
        <v>382</v>
      </c>
      <c r="AA81" t="s">
        <v>382</v>
      </c>
      <c r="AB81" t="s">
        <v>382</v>
      </c>
      <c r="AC81">
        <v>5</v>
      </c>
      <c r="AD81">
        <v>5</v>
      </c>
      <c r="AF81" t="s">
        <v>386</v>
      </c>
      <c r="AH81" t="s">
        <v>29</v>
      </c>
      <c r="AI81" t="s">
        <v>103</v>
      </c>
      <c r="AK81">
        <v>2667</v>
      </c>
      <c r="AL81">
        <v>2115</v>
      </c>
    </row>
    <row r="82" spans="1:38">
      <c r="A82" t="s">
        <v>382</v>
      </c>
      <c r="B82" t="s">
        <v>382</v>
      </c>
      <c r="C82" t="s">
        <v>382</v>
      </c>
      <c r="D82" t="s">
        <v>382</v>
      </c>
      <c r="E82" t="s">
        <v>382</v>
      </c>
      <c r="F82" t="s">
        <v>382</v>
      </c>
      <c r="G82" t="s">
        <v>382</v>
      </c>
      <c r="H82" t="s">
        <v>382</v>
      </c>
      <c r="I82" t="s">
        <v>382</v>
      </c>
      <c r="J82" t="s">
        <v>382</v>
      </c>
      <c r="K82" t="s">
        <v>382</v>
      </c>
      <c r="L82" t="s">
        <v>382</v>
      </c>
      <c r="M82" t="s">
        <v>382</v>
      </c>
      <c r="N82" t="s">
        <v>382</v>
      </c>
      <c r="O82" t="s">
        <v>382</v>
      </c>
      <c r="P82" t="s">
        <v>382</v>
      </c>
      <c r="Q82" t="s">
        <v>382</v>
      </c>
      <c r="R82" t="s">
        <v>382</v>
      </c>
      <c r="S82" t="s">
        <v>382</v>
      </c>
      <c r="T82" t="s">
        <v>382</v>
      </c>
      <c r="U82" t="s">
        <v>382</v>
      </c>
      <c r="V82" t="s">
        <v>382</v>
      </c>
      <c r="W82" t="s">
        <v>382</v>
      </c>
      <c r="X82" t="s">
        <v>382</v>
      </c>
      <c r="Y82" t="s">
        <v>382</v>
      </c>
      <c r="Z82" t="s">
        <v>382</v>
      </c>
      <c r="AA82" t="s">
        <v>382</v>
      </c>
      <c r="AB82" t="s">
        <v>382</v>
      </c>
      <c r="AC82">
        <v>5</v>
      </c>
      <c r="AD82">
        <v>1</v>
      </c>
      <c r="AE82">
        <v>1</v>
      </c>
      <c r="AF82" t="s">
        <v>389</v>
      </c>
      <c r="AH82" t="s">
        <v>35</v>
      </c>
      <c r="AI82" t="s">
        <v>97</v>
      </c>
      <c r="AK82">
        <v>755</v>
      </c>
      <c r="AL82">
        <v>480</v>
      </c>
    </row>
    <row r="83" spans="1:38">
      <c r="A83" t="s">
        <v>382</v>
      </c>
      <c r="B83" t="s">
        <v>382</v>
      </c>
      <c r="C83" t="s">
        <v>382</v>
      </c>
      <c r="D83" t="s">
        <v>382</v>
      </c>
      <c r="E83" t="s">
        <v>382</v>
      </c>
      <c r="F83" t="s">
        <v>382</v>
      </c>
      <c r="G83" t="s">
        <v>382</v>
      </c>
      <c r="H83" t="s">
        <v>382</v>
      </c>
      <c r="I83" t="s">
        <v>382</v>
      </c>
      <c r="J83" t="s">
        <v>382</v>
      </c>
      <c r="K83" t="s">
        <v>382</v>
      </c>
      <c r="L83" t="s">
        <v>382</v>
      </c>
      <c r="M83" t="s">
        <v>382</v>
      </c>
      <c r="N83" t="s">
        <v>382</v>
      </c>
      <c r="O83" t="s">
        <v>382</v>
      </c>
      <c r="P83" t="s">
        <v>382</v>
      </c>
      <c r="Q83" t="s">
        <v>382</v>
      </c>
      <c r="R83" t="s">
        <v>382</v>
      </c>
      <c r="S83" t="s">
        <v>382</v>
      </c>
      <c r="T83" t="s">
        <v>382</v>
      </c>
      <c r="U83" t="s">
        <v>382</v>
      </c>
      <c r="V83" t="s">
        <v>382</v>
      </c>
      <c r="W83" t="s">
        <v>382</v>
      </c>
      <c r="X83" t="s">
        <v>382</v>
      </c>
      <c r="Y83" t="s">
        <v>382</v>
      </c>
      <c r="Z83" t="s">
        <v>382</v>
      </c>
      <c r="AA83" t="s">
        <v>382</v>
      </c>
      <c r="AB83" t="s">
        <v>382</v>
      </c>
      <c r="AC83">
        <v>5</v>
      </c>
      <c r="AD83">
        <v>2</v>
      </c>
      <c r="AF83" t="s">
        <v>385</v>
      </c>
      <c r="AH83" t="s">
        <v>27</v>
      </c>
      <c r="AI83" t="s">
        <v>109</v>
      </c>
      <c r="AK83">
        <v>637</v>
      </c>
      <c r="AL83">
        <v>1465</v>
      </c>
    </row>
    <row r="84" spans="1:38">
      <c r="A84" t="s">
        <v>382</v>
      </c>
      <c r="B84" t="s">
        <v>382</v>
      </c>
      <c r="C84" t="s">
        <v>382</v>
      </c>
      <c r="D84" t="s">
        <v>382</v>
      </c>
      <c r="E84" t="s">
        <v>382</v>
      </c>
      <c r="F84" t="s">
        <v>382</v>
      </c>
      <c r="G84" t="s">
        <v>382</v>
      </c>
      <c r="H84" t="s">
        <v>382</v>
      </c>
      <c r="I84" t="s">
        <v>382</v>
      </c>
      <c r="J84" t="s">
        <v>382</v>
      </c>
      <c r="K84" t="s">
        <v>382</v>
      </c>
      <c r="L84" t="s">
        <v>382</v>
      </c>
      <c r="M84" t="s">
        <v>382</v>
      </c>
      <c r="N84" t="s">
        <v>382</v>
      </c>
      <c r="O84" t="s">
        <v>382</v>
      </c>
      <c r="P84" t="s">
        <v>382</v>
      </c>
      <c r="Q84" t="s">
        <v>382</v>
      </c>
      <c r="R84" t="s">
        <v>382</v>
      </c>
      <c r="S84" t="s">
        <v>382</v>
      </c>
      <c r="T84" t="s">
        <v>382</v>
      </c>
      <c r="U84" t="s">
        <v>382</v>
      </c>
      <c r="V84" t="s">
        <v>382</v>
      </c>
      <c r="W84" t="s">
        <v>382</v>
      </c>
      <c r="X84" t="s">
        <v>382</v>
      </c>
      <c r="Y84" t="s">
        <v>382</v>
      </c>
      <c r="Z84" t="s">
        <v>382</v>
      </c>
      <c r="AA84" t="s">
        <v>382</v>
      </c>
      <c r="AB84" t="s">
        <v>382</v>
      </c>
      <c r="AC84">
        <v>5</v>
      </c>
      <c r="AD84">
        <v>3</v>
      </c>
      <c r="AF84" t="s">
        <v>385</v>
      </c>
      <c r="AH84" t="s">
        <v>27</v>
      </c>
      <c r="AI84" t="s">
        <v>109</v>
      </c>
      <c r="AK84">
        <v>1982</v>
      </c>
      <c r="AL84">
        <v>2473</v>
      </c>
    </row>
    <row r="85" spans="1:38">
      <c r="A85" t="s">
        <v>382</v>
      </c>
      <c r="B85" t="s">
        <v>382</v>
      </c>
      <c r="C85" t="s">
        <v>382</v>
      </c>
      <c r="D85" t="s">
        <v>382</v>
      </c>
      <c r="E85" t="s">
        <v>382</v>
      </c>
      <c r="F85" t="s">
        <v>382</v>
      </c>
      <c r="G85" t="s">
        <v>382</v>
      </c>
      <c r="H85" t="s">
        <v>382</v>
      </c>
      <c r="I85" t="s">
        <v>382</v>
      </c>
      <c r="J85" t="s">
        <v>382</v>
      </c>
      <c r="K85" t="s">
        <v>382</v>
      </c>
      <c r="L85" t="s">
        <v>382</v>
      </c>
      <c r="M85" t="s">
        <v>382</v>
      </c>
      <c r="N85" t="s">
        <v>382</v>
      </c>
      <c r="O85" t="s">
        <v>382</v>
      </c>
      <c r="P85" t="s">
        <v>382</v>
      </c>
      <c r="Q85" t="s">
        <v>382</v>
      </c>
      <c r="R85" t="s">
        <v>382</v>
      </c>
      <c r="S85" t="s">
        <v>382</v>
      </c>
      <c r="T85" t="s">
        <v>382</v>
      </c>
      <c r="U85" t="s">
        <v>382</v>
      </c>
      <c r="V85" t="s">
        <v>382</v>
      </c>
      <c r="W85" t="s">
        <v>382</v>
      </c>
      <c r="X85" t="s">
        <v>382</v>
      </c>
      <c r="Y85" t="s">
        <v>382</v>
      </c>
      <c r="Z85" t="s">
        <v>382</v>
      </c>
      <c r="AA85" t="s">
        <v>382</v>
      </c>
      <c r="AB85" t="s">
        <v>382</v>
      </c>
      <c r="AC85">
        <v>5</v>
      </c>
      <c r="AD85">
        <v>4</v>
      </c>
      <c r="AE85">
        <v>1</v>
      </c>
      <c r="AF85" t="s">
        <v>391</v>
      </c>
      <c r="AH85" t="s">
        <v>38</v>
      </c>
      <c r="AI85" t="s">
        <v>97</v>
      </c>
      <c r="AK85">
        <v>2735</v>
      </c>
      <c r="AL85">
        <v>2404</v>
      </c>
    </row>
    <row r="86" spans="1:38">
      <c r="A86" t="s">
        <v>382</v>
      </c>
      <c r="B86" t="s">
        <v>382</v>
      </c>
      <c r="C86" t="s">
        <v>382</v>
      </c>
      <c r="D86" t="s">
        <v>382</v>
      </c>
      <c r="E86" t="s">
        <v>382</v>
      </c>
      <c r="F86" t="s">
        <v>382</v>
      </c>
      <c r="G86" t="s">
        <v>382</v>
      </c>
      <c r="H86" t="s">
        <v>382</v>
      </c>
      <c r="I86" t="s">
        <v>382</v>
      </c>
      <c r="J86" t="s">
        <v>382</v>
      </c>
      <c r="K86" t="s">
        <v>382</v>
      </c>
      <c r="L86" t="s">
        <v>382</v>
      </c>
      <c r="M86" t="s">
        <v>382</v>
      </c>
      <c r="N86" t="s">
        <v>382</v>
      </c>
      <c r="O86" t="s">
        <v>382</v>
      </c>
      <c r="P86" t="s">
        <v>382</v>
      </c>
      <c r="Q86" t="s">
        <v>382</v>
      </c>
      <c r="R86" t="s">
        <v>382</v>
      </c>
      <c r="S86" t="s">
        <v>382</v>
      </c>
      <c r="T86" t="s">
        <v>382</v>
      </c>
      <c r="U86" t="s">
        <v>382</v>
      </c>
      <c r="V86" t="s">
        <v>382</v>
      </c>
      <c r="W86" t="s">
        <v>382</v>
      </c>
      <c r="X86" t="s">
        <v>382</v>
      </c>
      <c r="Y86" t="s">
        <v>382</v>
      </c>
      <c r="Z86" t="s">
        <v>382</v>
      </c>
      <c r="AA86" t="s">
        <v>382</v>
      </c>
      <c r="AB86" t="s">
        <v>382</v>
      </c>
      <c r="AC86">
        <v>5</v>
      </c>
      <c r="AD86">
        <v>5</v>
      </c>
      <c r="AF86" t="s">
        <v>386</v>
      </c>
      <c r="AH86" t="s">
        <v>29</v>
      </c>
      <c r="AI86" t="s">
        <v>103</v>
      </c>
      <c r="AK86">
        <v>2930</v>
      </c>
      <c r="AL86">
        <v>1031</v>
      </c>
    </row>
    <row r="87" spans="1:38">
      <c r="A87" t="s">
        <v>382</v>
      </c>
      <c r="B87" t="s">
        <v>382</v>
      </c>
      <c r="C87" t="s">
        <v>382</v>
      </c>
      <c r="D87" t="s">
        <v>382</v>
      </c>
      <c r="E87" t="s">
        <v>382</v>
      </c>
      <c r="F87" t="s">
        <v>382</v>
      </c>
      <c r="G87" t="s">
        <v>382</v>
      </c>
      <c r="H87" t="s">
        <v>382</v>
      </c>
      <c r="I87" t="s">
        <v>382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>
        <v>5</v>
      </c>
      <c r="AD87">
        <v>1</v>
      </c>
      <c r="AE87">
        <v>1</v>
      </c>
      <c r="AF87" t="s">
        <v>487</v>
      </c>
      <c r="AH87" t="s">
        <v>153</v>
      </c>
      <c r="AI87" t="s">
        <v>97</v>
      </c>
      <c r="AK87">
        <v>1233</v>
      </c>
      <c r="AL87">
        <v>1835</v>
      </c>
    </row>
    <row r="88" spans="1:38">
      <c r="A88" t="s">
        <v>382</v>
      </c>
      <c r="B88" t="s">
        <v>382</v>
      </c>
      <c r="C88" t="s">
        <v>382</v>
      </c>
      <c r="D88" t="s">
        <v>382</v>
      </c>
      <c r="E88" t="s">
        <v>382</v>
      </c>
      <c r="F88" t="s">
        <v>382</v>
      </c>
      <c r="G88" t="s">
        <v>382</v>
      </c>
      <c r="H88" t="s">
        <v>382</v>
      </c>
      <c r="I88" t="s">
        <v>382</v>
      </c>
      <c r="J88" t="s">
        <v>382</v>
      </c>
      <c r="K88" t="s">
        <v>382</v>
      </c>
      <c r="L88" t="s">
        <v>382</v>
      </c>
      <c r="M88" t="s">
        <v>382</v>
      </c>
      <c r="N88" t="s">
        <v>382</v>
      </c>
      <c r="O88" t="s">
        <v>382</v>
      </c>
      <c r="P88" t="s">
        <v>382</v>
      </c>
      <c r="Q88" t="s">
        <v>382</v>
      </c>
      <c r="R88" t="s">
        <v>382</v>
      </c>
      <c r="S88" t="s">
        <v>382</v>
      </c>
      <c r="T88" t="s">
        <v>382</v>
      </c>
      <c r="U88" t="s">
        <v>382</v>
      </c>
      <c r="V88" t="s">
        <v>382</v>
      </c>
      <c r="W88" t="s">
        <v>382</v>
      </c>
      <c r="X88" t="s">
        <v>382</v>
      </c>
      <c r="Y88" t="s">
        <v>382</v>
      </c>
      <c r="Z88" t="s">
        <v>382</v>
      </c>
      <c r="AA88" t="s">
        <v>382</v>
      </c>
      <c r="AB88" t="s">
        <v>382</v>
      </c>
      <c r="AC88">
        <v>5</v>
      </c>
      <c r="AD88">
        <v>2</v>
      </c>
      <c r="AF88" t="s">
        <v>385</v>
      </c>
      <c r="AH88" t="s">
        <v>27</v>
      </c>
      <c r="AI88" t="s">
        <v>109</v>
      </c>
      <c r="AK88">
        <v>2138</v>
      </c>
      <c r="AL88">
        <v>2234</v>
      </c>
    </row>
    <row r="89" spans="1:38">
      <c r="A89" t="s">
        <v>382</v>
      </c>
      <c r="B89" t="s">
        <v>382</v>
      </c>
      <c r="C89" t="s">
        <v>382</v>
      </c>
      <c r="D89" t="s">
        <v>382</v>
      </c>
      <c r="E89" t="s">
        <v>382</v>
      </c>
      <c r="F89" t="s">
        <v>382</v>
      </c>
      <c r="G89" t="s">
        <v>382</v>
      </c>
      <c r="H89" t="s">
        <v>382</v>
      </c>
      <c r="I89" t="s">
        <v>382</v>
      </c>
      <c r="J89" t="s">
        <v>382</v>
      </c>
      <c r="K89" t="s">
        <v>382</v>
      </c>
      <c r="L89" t="s">
        <v>382</v>
      </c>
      <c r="M89" t="s">
        <v>382</v>
      </c>
      <c r="N89" t="s">
        <v>382</v>
      </c>
      <c r="O89" t="s">
        <v>382</v>
      </c>
      <c r="P89" t="s">
        <v>382</v>
      </c>
      <c r="Q89" t="s">
        <v>382</v>
      </c>
      <c r="R89" t="s">
        <v>382</v>
      </c>
      <c r="S89" t="s">
        <v>382</v>
      </c>
      <c r="T89" t="s">
        <v>382</v>
      </c>
      <c r="U89" t="s">
        <v>382</v>
      </c>
      <c r="V89" t="s">
        <v>382</v>
      </c>
      <c r="W89" t="s">
        <v>382</v>
      </c>
      <c r="X89" t="s">
        <v>382</v>
      </c>
      <c r="Y89" t="s">
        <v>382</v>
      </c>
      <c r="Z89" t="s">
        <v>382</v>
      </c>
      <c r="AA89" t="s">
        <v>382</v>
      </c>
      <c r="AB89" t="s">
        <v>382</v>
      </c>
      <c r="AC89">
        <v>5</v>
      </c>
      <c r="AD89">
        <v>3</v>
      </c>
      <c r="AF89" t="s">
        <v>385</v>
      </c>
      <c r="AH89" t="s">
        <v>27</v>
      </c>
      <c r="AI89" t="s">
        <v>109</v>
      </c>
      <c r="AK89">
        <v>1978</v>
      </c>
      <c r="AL89">
        <v>1845</v>
      </c>
    </row>
    <row r="90" spans="1:38">
      <c r="A90" t="s">
        <v>382</v>
      </c>
      <c r="B90" t="s">
        <v>382</v>
      </c>
      <c r="C90" t="s">
        <v>382</v>
      </c>
      <c r="D90" t="s">
        <v>382</v>
      </c>
      <c r="E90" t="s">
        <v>382</v>
      </c>
      <c r="F90" t="s">
        <v>382</v>
      </c>
      <c r="G90" t="s">
        <v>382</v>
      </c>
      <c r="H90" t="s">
        <v>382</v>
      </c>
      <c r="I90" t="s">
        <v>382</v>
      </c>
      <c r="J90" t="s">
        <v>382</v>
      </c>
      <c r="K90" t="s">
        <v>382</v>
      </c>
      <c r="L90" t="s">
        <v>382</v>
      </c>
      <c r="M90" t="s">
        <v>382</v>
      </c>
      <c r="N90" t="s">
        <v>382</v>
      </c>
      <c r="O90" t="s">
        <v>382</v>
      </c>
      <c r="P90" t="s">
        <v>382</v>
      </c>
      <c r="Q90" t="s">
        <v>382</v>
      </c>
      <c r="R90" t="s">
        <v>382</v>
      </c>
      <c r="S90" t="s">
        <v>382</v>
      </c>
      <c r="T90" t="s">
        <v>382</v>
      </c>
      <c r="U90" t="s">
        <v>382</v>
      </c>
      <c r="V90" t="s">
        <v>382</v>
      </c>
      <c r="W90" t="s">
        <v>382</v>
      </c>
      <c r="X90" t="s">
        <v>382</v>
      </c>
      <c r="Y90" t="s">
        <v>382</v>
      </c>
      <c r="Z90" t="s">
        <v>382</v>
      </c>
      <c r="AA90" t="s">
        <v>382</v>
      </c>
      <c r="AB90" t="s">
        <v>382</v>
      </c>
      <c r="AC90">
        <v>5</v>
      </c>
      <c r="AD90">
        <v>4</v>
      </c>
      <c r="AE90">
        <v>1</v>
      </c>
      <c r="AF90" t="s">
        <v>487</v>
      </c>
      <c r="AH90" t="s">
        <v>153</v>
      </c>
      <c r="AI90" t="s">
        <v>97</v>
      </c>
      <c r="AK90">
        <v>1076</v>
      </c>
      <c r="AL90">
        <v>1601</v>
      </c>
    </row>
    <row r="91" spans="1:38">
      <c r="A91" t="s">
        <v>382</v>
      </c>
      <c r="B91" t="s">
        <v>382</v>
      </c>
      <c r="C91" t="s">
        <v>382</v>
      </c>
      <c r="D91" t="s">
        <v>382</v>
      </c>
      <c r="E91" t="s">
        <v>382</v>
      </c>
      <c r="F91" t="s">
        <v>382</v>
      </c>
      <c r="G91" t="s">
        <v>382</v>
      </c>
      <c r="H91" t="s">
        <v>382</v>
      </c>
      <c r="I91" t="s">
        <v>382</v>
      </c>
      <c r="J91" t="s">
        <v>382</v>
      </c>
      <c r="K91" t="s">
        <v>382</v>
      </c>
      <c r="L91" t="s">
        <v>382</v>
      </c>
      <c r="M91" t="s">
        <v>382</v>
      </c>
      <c r="N91" t="s">
        <v>382</v>
      </c>
      <c r="O91" t="s">
        <v>382</v>
      </c>
      <c r="P91" t="s">
        <v>382</v>
      </c>
      <c r="Q91" t="s">
        <v>382</v>
      </c>
      <c r="R91" t="s">
        <v>382</v>
      </c>
      <c r="S91" t="s">
        <v>382</v>
      </c>
      <c r="T91" t="s">
        <v>382</v>
      </c>
      <c r="U91" t="s">
        <v>382</v>
      </c>
      <c r="V91" t="s">
        <v>382</v>
      </c>
      <c r="W91" t="s">
        <v>382</v>
      </c>
      <c r="X91" t="s">
        <v>382</v>
      </c>
      <c r="Y91" t="s">
        <v>382</v>
      </c>
      <c r="Z91" t="s">
        <v>382</v>
      </c>
      <c r="AA91" t="s">
        <v>382</v>
      </c>
      <c r="AB91" t="s">
        <v>382</v>
      </c>
      <c r="AC91">
        <v>5</v>
      </c>
      <c r="AD91">
        <v>5</v>
      </c>
      <c r="AF91" t="s">
        <v>384</v>
      </c>
      <c r="AH91" t="s">
        <v>25</v>
      </c>
      <c r="AI91" t="s">
        <v>106</v>
      </c>
      <c r="AK91">
        <v>790</v>
      </c>
      <c r="AL91">
        <v>1765</v>
      </c>
    </row>
    <row r="92" spans="1:38">
      <c r="A92" t="s">
        <v>382</v>
      </c>
      <c r="B92" t="s">
        <v>382</v>
      </c>
      <c r="C92" t="s">
        <v>382</v>
      </c>
      <c r="D92" t="s">
        <v>382</v>
      </c>
      <c r="E92" t="s">
        <v>382</v>
      </c>
      <c r="F92" t="s">
        <v>382</v>
      </c>
      <c r="G92" t="s">
        <v>382</v>
      </c>
      <c r="H92" t="s">
        <v>382</v>
      </c>
      <c r="I92" t="s">
        <v>382</v>
      </c>
      <c r="J92" t="s">
        <v>382</v>
      </c>
      <c r="K92" t="s">
        <v>382</v>
      </c>
      <c r="L92" t="s">
        <v>382</v>
      </c>
      <c r="M92" t="s">
        <v>382</v>
      </c>
      <c r="N92" t="s">
        <v>382</v>
      </c>
      <c r="O92" t="s">
        <v>382</v>
      </c>
      <c r="P92" t="s">
        <v>382</v>
      </c>
      <c r="Q92" t="s">
        <v>382</v>
      </c>
      <c r="R92" t="s">
        <v>382</v>
      </c>
      <c r="S92" t="s">
        <v>382</v>
      </c>
      <c r="T92" t="s">
        <v>382</v>
      </c>
      <c r="U92" t="s">
        <v>382</v>
      </c>
      <c r="V92" t="s">
        <v>382</v>
      </c>
      <c r="W92" t="s">
        <v>382</v>
      </c>
      <c r="X92" t="s">
        <v>382</v>
      </c>
      <c r="Y92" t="s">
        <v>382</v>
      </c>
      <c r="Z92" t="s">
        <v>382</v>
      </c>
      <c r="AA92" t="s">
        <v>382</v>
      </c>
      <c r="AB92" t="s">
        <v>382</v>
      </c>
      <c r="AC92">
        <v>5</v>
      </c>
      <c r="AD92">
        <v>1</v>
      </c>
      <c r="AF92" t="s">
        <v>392</v>
      </c>
      <c r="AH92" t="s">
        <v>41</v>
      </c>
      <c r="AI92" t="s">
        <v>102</v>
      </c>
      <c r="AK92">
        <v>2478</v>
      </c>
      <c r="AL92">
        <v>1643</v>
      </c>
    </row>
    <row r="93" spans="1:38">
      <c r="A93" t="s">
        <v>382</v>
      </c>
      <c r="B93" t="s">
        <v>382</v>
      </c>
      <c r="C93" t="s">
        <v>382</v>
      </c>
      <c r="D93" t="s">
        <v>382</v>
      </c>
      <c r="E93" t="s">
        <v>382</v>
      </c>
      <c r="F93" t="s">
        <v>382</v>
      </c>
      <c r="G93" t="s">
        <v>382</v>
      </c>
      <c r="H93" t="s">
        <v>382</v>
      </c>
      <c r="I93" t="s">
        <v>382</v>
      </c>
      <c r="J93" t="s">
        <v>382</v>
      </c>
      <c r="K93" t="s">
        <v>382</v>
      </c>
      <c r="L93" t="s">
        <v>382</v>
      </c>
      <c r="M93" t="s">
        <v>382</v>
      </c>
      <c r="N93" t="s">
        <v>382</v>
      </c>
      <c r="O93" t="s">
        <v>382</v>
      </c>
      <c r="P93" t="s">
        <v>382</v>
      </c>
      <c r="Q93" t="s">
        <v>382</v>
      </c>
      <c r="R93" t="s">
        <v>382</v>
      </c>
      <c r="S93" t="s">
        <v>382</v>
      </c>
      <c r="T93" t="s">
        <v>382</v>
      </c>
      <c r="U93" t="s">
        <v>382</v>
      </c>
      <c r="V93" t="s">
        <v>382</v>
      </c>
      <c r="W93" t="s">
        <v>382</v>
      </c>
      <c r="X93" t="s">
        <v>382</v>
      </c>
      <c r="Y93" t="s">
        <v>382</v>
      </c>
      <c r="Z93" t="s">
        <v>382</v>
      </c>
      <c r="AA93" t="s">
        <v>382</v>
      </c>
      <c r="AB93" t="s">
        <v>382</v>
      </c>
      <c r="AC93">
        <v>5</v>
      </c>
      <c r="AD93">
        <v>2</v>
      </c>
      <c r="AE93">
        <v>1</v>
      </c>
      <c r="AF93" t="s">
        <v>487</v>
      </c>
      <c r="AH93" t="s">
        <v>153</v>
      </c>
      <c r="AI93" t="s">
        <v>97</v>
      </c>
      <c r="AK93">
        <v>1366</v>
      </c>
      <c r="AL93">
        <v>1478</v>
      </c>
    </row>
    <row r="94" spans="1:38">
      <c r="A94" t="s">
        <v>382</v>
      </c>
      <c r="B94" t="s">
        <v>382</v>
      </c>
      <c r="C94" t="s">
        <v>382</v>
      </c>
      <c r="D94" t="s">
        <v>382</v>
      </c>
      <c r="E94" t="s">
        <v>382</v>
      </c>
      <c r="F94" t="s">
        <v>382</v>
      </c>
      <c r="G94" t="s">
        <v>382</v>
      </c>
      <c r="H94" t="s">
        <v>382</v>
      </c>
      <c r="I94" t="s">
        <v>382</v>
      </c>
      <c r="J94" t="s">
        <v>382</v>
      </c>
      <c r="K94" t="s">
        <v>382</v>
      </c>
      <c r="L94" t="s">
        <v>382</v>
      </c>
      <c r="M94" t="s">
        <v>382</v>
      </c>
      <c r="N94" t="s">
        <v>382</v>
      </c>
      <c r="O94" t="s">
        <v>382</v>
      </c>
      <c r="P94" t="s">
        <v>382</v>
      </c>
      <c r="Q94" t="s">
        <v>382</v>
      </c>
      <c r="R94" t="s">
        <v>382</v>
      </c>
      <c r="S94" t="s">
        <v>382</v>
      </c>
      <c r="T94" t="s">
        <v>382</v>
      </c>
      <c r="U94" t="s">
        <v>382</v>
      </c>
      <c r="V94" t="s">
        <v>382</v>
      </c>
      <c r="W94" t="s">
        <v>382</v>
      </c>
      <c r="X94" t="s">
        <v>382</v>
      </c>
      <c r="Y94" t="s">
        <v>382</v>
      </c>
      <c r="Z94" t="s">
        <v>382</v>
      </c>
      <c r="AA94" t="s">
        <v>382</v>
      </c>
      <c r="AB94" t="s">
        <v>382</v>
      </c>
      <c r="AC94">
        <v>5</v>
      </c>
      <c r="AD94">
        <v>3</v>
      </c>
      <c r="AF94" t="s">
        <v>385</v>
      </c>
      <c r="AH94" t="s">
        <v>27</v>
      </c>
      <c r="AI94" t="s">
        <v>109</v>
      </c>
      <c r="AK94">
        <v>1589</v>
      </c>
      <c r="AL94">
        <v>2169</v>
      </c>
    </row>
    <row r="95" spans="1:38">
      <c r="A95" t="s">
        <v>382</v>
      </c>
      <c r="B95" t="s">
        <v>382</v>
      </c>
      <c r="C95" t="s">
        <v>382</v>
      </c>
      <c r="D95" t="s">
        <v>382</v>
      </c>
      <c r="E95" t="s">
        <v>382</v>
      </c>
      <c r="F95" t="s">
        <v>382</v>
      </c>
      <c r="G95" t="s">
        <v>382</v>
      </c>
      <c r="H95" t="s">
        <v>382</v>
      </c>
      <c r="I95" t="s">
        <v>382</v>
      </c>
      <c r="J95" t="s">
        <v>382</v>
      </c>
      <c r="K95" t="s">
        <v>382</v>
      </c>
      <c r="L95" t="s">
        <v>382</v>
      </c>
      <c r="M95" t="s">
        <v>382</v>
      </c>
      <c r="N95" t="s">
        <v>382</v>
      </c>
      <c r="O95" t="s">
        <v>382</v>
      </c>
      <c r="P95" t="s">
        <v>382</v>
      </c>
      <c r="Q95" t="s">
        <v>382</v>
      </c>
      <c r="R95" t="s">
        <v>382</v>
      </c>
      <c r="S95" t="s">
        <v>382</v>
      </c>
      <c r="T95" t="s">
        <v>382</v>
      </c>
      <c r="U95" t="s">
        <v>382</v>
      </c>
      <c r="V95" t="s">
        <v>382</v>
      </c>
      <c r="W95" t="s">
        <v>382</v>
      </c>
      <c r="X95" t="s">
        <v>382</v>
      </c>
      <c r="Y95" t="s">
        <v>382</v>
      </c>
      <c r="Z95" t="s">
        <v>382</v>
      </c>
      <c r="AA95" t="s">
        <v>382</v>
      </c>
      <c r="AB95" t="s">
        <v>382</v>
      </c>
      <c r="AC95">
        <v>5</v>
      </c>
      <c r="AD95">
        <v>4</v>
      </c>
      <c r="AE95">
        <v>1</v>
      </c>
      <c r="AF95" t="s">
        <v>391</v>
      </c>
      <c r="AH95" t="s">
        <v>38</v>
      </c>
      <c r="AI95" t="s">
        <v>97</v>
      </c>
      <c r="AK95">
        <v>1954</v>
      </c>
      <c r="AL95">
        <v>1567</v>
      </c>
    </row>
    <row r="96" spans="1:38">
      <c r="A96" t="s">
        <v>382</v>
      </c>
      <c r="B96" t="s">
        <v>382</v>
      </c>
      <c r="C96" t="s">
        <v>382</v>
      </c>
      <c r="D96" t="s">
        <v>382</v>
      </c>
      <c r="E96" t="s">
        <v>382</v>
      </c>
      <c r="F96" t="s">
        <v>382</v>
      </c>
      <c r="G96" t="s">
        <v>382</v>
      </c>
      <c r="H96" t="s">
        <v>382</v>
      </c>
      <c r="I96" t="s">
        <v>382</v>
      </c>
      <c r="J96" t="s">
        <v>382</v>
      </c>
      <c r="K96" t="s">
        <v>382</v>
      </c>
      <c r="L96" t="s">
        <v>382</v>
      </c>
      <c r="M96" t="s">
        <v>382</v>
      </c>
      <c r="N96" t="s">
        <v>382</v>
      </c>
      <c r="O96" t="s">
        <v>382</v>
      </c>
      <c r="P96" t="s">
        <v>382</v>
      </c>
      <c r="Q96" t="s">
        <v>382</v>
      </c>
      <c r="R96" t="s">
        <v>382</v>
      </c>
      <c r="S96" t="s">
        <v>382</v>
      </c>
      <c r="T96" t="s">
        <v>382</v>
      </c>
      <c r="U96" t="s">
        <v>382</v>
      </c>
      <c r="V96" t="s">
        <v>382</v>
      </c>
      <c r="W96" t="s">
        <v>382</v>
      </c>
      <c r="X96" t="s">
        <v>382</v>
      </c>
      <c r="Y96" t="s">
        <v>382</v>
      </c>
      <c r="Z96" t="s">
        <v>382</v>
      </c>
      <c r="AA96" t="s">
        <v>382</v>
      </c>
      <c r="AB96" t="s">
        <v>382</v>
      </c>
      <c r="AC96">
        <v>5</v>
      </c>
      <c r="AD96">
        <v>5</v>
      </c>
      <c r="AF96" t="s">
        <v>386</v>
      </c>
      <c r="AH96" t="s">
        <v>29</v>
      </c>
      <c r="AI96" t="s">
        <v>103</v>
      </c>
      <c r="AK96">
        <v>958</v>
      </c>
      <c r="AL96">
        <v>2229</v>
      </c>
    </row>
    <row r="97" spans="1:38">
      <c r="A97" t="s">
        <v>382</v>
      </c>
      <c r="B97" t="s">
        <v>382</v>
      </c>
      <c r="C97" t="s">
        <v>382</v>
      </c>
      <c r="D97" t="s">
        <v>382</v>
      </c>
      <c r="E97" t="s">
        <v>382</v>
      </c>
      <c r="F97" t="s">
        <v>382</v>
      </c>
      <c r="G97" t="s">
        <v>382</v>
      </c>
      <c r="H97" t="s">
        <v>382</v>
      </c>
      <c r="I97" t="s">
        <v>382</v>
      </c>
      <c r="J97" t="s">
        <v>382</v>
      </c>
      <c r="K97" t="s">
        <v>382</v>
      </c>
      <c r="L97" t="s">
        <v>382</v>
      </c>
      <c r="M97" t="s">
        <v>382</v>
      </c>
      <c r="N97" t="s">
        <v>382</v>
      </c>
      <c r="O97" t="s">
        <v>382</v>
      </c>
      <c r="P97" t="s">
        <v>382</v>
      </c>
      <c r="Q97" t="s">
        <v>382</v>
      </c>
      <c r="R97" t="s">
        <v>382</v>
      </c>
      <c r="S97" t="s">
        <v>382</v>
      </c>
      <c r="T97" t="s">
        <v>382</v>
      </c>
      <c r="U97" t="s">
        <v>382</v>
      </c>
      <c r="V97" t="s">
        <v>382</v>
      </c>
      <c r="W97" t="s">
        <v>382</v>
      </c>
      <c r="X97" t="s">
        <v>382</v>
      </c>
      <c r="Y97" t="s">
        <v>382</v>
      </c>
      <c r="Z97" t="s">
        <v>382</v>
      </c>
      <c r="AA97" t="s">
        <v>382</v>
      </c>
      <c r="AB97" t="s">
        <v>382</v>
      </c>
      <c r="AC97">
        <v>5</v>
      </c>
      <c r="AD97">
        <v>1</v>
      </c>
      <c r="AF97" t="s">
        <v>385</v>
      </c>
      <c r="AH97" t="s">
        <v>27</v>
      </c>
      <c r="AI97" t="s">
        <v>109</v>
      </c>
      <c r="AK97">
        <v>1480</v>
      </c>
      <c r="AL97">
        <v>953</v>
      </c>
    </row>
    <row r="98" spans="1:38">
      <c r="A98" t="s">
        <v>382</v>
      </c>
      <c r="B98" t="s">
        <v>382</v>
      </c>
      <c r="C98" t="s">
        <v>382</v>
      </c>
      <c r="D98" t="s">
        <v>382</v>
      </c>
      <c r="E98" t="s">
        <v>382</v>
      </c>
      <c r="F98" t="s">
        <v>382</v>
      </c>
      <c r="G98" t="s">
        <v>382</v>
      </c>
      <c r="H98" t="s">
        <v>382</v>
      </c>
      <c r="I98" t="s">
        <v>382</v>
      </c>
      <c r="J98" t="s">
        <v>382</v>
      </c>
      <c r="K98" t="s">
        <v>382</v>
      </c>
      <c r="L98" t="s">
        <v>382</v>
      </c>
      <c r="M98" t="s">
        <v>382</v>
      </c>
      <c r="N98" t="s">
        <v>382</v>
      </c>
      <c r="O98" t="s">
        <v>382</v>
      </c>
      <c r="P98" t="s">
        <v>382</v>
      </c>
      <c r="Q98" t="s">
        <v>382</v>
      </c>
      <c r="R98" t="s">
        <v>382</v>
      </c>
      <c r="S98" t="s">
        <v>382</v>
      </c>
      <c r="T98" t="s">
        <v>382</v>
      </c>
      <c r="U98" t="s">
        <v>382</v>
      </c>
      <c r="V98" t="s">
        <v>382</v>
      </c>
      <c r="W98" t="s">
        <v>382</v>
      </c>
      <c r="X98" t="s">
        <v>382</v>
      </c>
      <c r="Y98" t="s">
        <v>382</v>
      </c>
      <c r="Z98" t="s">
        <v>382</v>
      </c>
      <c r="AA98" t="s">
        <v>382</v>
      </c>
      <c r="AB98" t="s">
        <v>382</v>
      </c>
      <c r="AC98">
        <v>5</v>
      </c>
      <c r="AD98">
        <v>2</v>
      </c>
      <c r="AF98" t="s">
        <v>385</v>
      </c>
      <c r="AH98" t="s">
        <v>27</v>
      </c>
      <c r="AI98" t="s">
        <v>109</v>
      </c>
      <c r="AK98">
        <v>1171</v>
      </c>
      <c r="AL98">
        <v>971</v>
      </c>
    </row>
    <row r="99" spans="1:38">
      <c r="A99" t="s">
        <v>382</v>
      </c>
      <c r="B99" t="s">
        <v>382</v>
      </c>
      <c r="C99" t="s">
        <v>382</v>
      </c>
      <c r="D99" t="s">
        <v>382</v>
      </c>
      <c r="E99" t="s">
        <v>382</v>
      </c>
      <c r="F99" t="s">
        <v>382</v>
      </c>
      <c r="G99" t="s">
        <v>382</v>
      </c>
      <c r="H99" t="s">
        <v>382</v>
      </c>
      <c r="I99" t="s">
        <v>382</v>
      </c>
      <c r="J99" t="s">
        <v>382</v>
      </c>
      <c r="K99" t="s">
        <v>382</v>
      </c>
      <c r="L99" t="s">
        <v>382</v>
      </c>
      <c r="M99" t="s">
        <v>382</v>
      </c>
      <c r="N99" t="s">
        <v>382</v>
      </c>
      <c r="O99" t="s">
        <v>382</v>
      </c>
      <c r="P99" t="s">
        <v>382</v>
      </c>
      <c r="Q99" t="s">
        <v>382</v>
      </c>
      <c r="R99" t="s">
        <v>382</v>
      </c>
      <c r="S99" t="s">
        <v>382</v>
      </c>
      <c r="T99" t="s">
        <v>382</v>
      </c>
      <c r="U99" t="s">
        <v>382</v>
      </c>
      <c r="V99" t="s">
        <v>382</v>
      </c>
      <c r="W99" t="s">
        <v>382</v>
      </c>
      <c r="X99" t="s">
        <v>382</v>
      </c>
      <c r="Y99" t="s">
        <v>382</v>
      </c>
      <c r="Z99" t="s">
        <v>382</v>
      </c>
      <c r="AA99" t="s">
        <v>382</v>
      </c>
      <c r="AB99" t="s">
        <v>382</v>
      </c>
      <c r="AC99">
        <v>5</v>
      </c>
      <c r="AD99">
        <v>3</v>
      </c>
      <c r="AE99">
        <v>1</v>
      </c>
      <c r="AF99" t="s">
        <v>393</v>
      </c>
      <c r="AH99" t="s">
        <v>51</v>
      </c>
      <c r="AI99" t="s">
        <v>97</v>
      </c>
      <c r="AK99">
        <v>1412</v>
      </c>
      <c r="AL99">
        <v>1620</v>
      </c>
    </row>
    <row r="100" spans="1:38">
      <c r="A100" t="s">
        <v>382</v>
      </c>
      <c r="B100" t="s">
        <v>382</v>
      </c>
      <c r="C100" t="s">
        <v>382</v>
      </c>
      <c r="D100" t="s">
        <v>382</v>
      </c>
      <c r="E100" t="s">
        <v>382</v>
      </c>
      <c r="F100" t="s">
        <v>382</v>
      </c>
      <c r="G100" t="s">
        <v>382</v>
      </c>
      <c r="H100" t="s">
        <v>382</v>
      </c>
      <c r="I100" t="s">
        <v>382</v>
      </c>
      <c r="J100" t="s">
        <v>382</v>
      </c>
      <c r="K100" t="s">
        <v>382</v>
      </c>
      <c r="L100" t="s">
        <v>382</v>
      </c>
      <c r="M100" t="s">
        <v>382</v>
      </c>
      <c r="N100" t="s">
        <v>382</v>
      </c>
      <c r="O100" t="s">
        <v>382</v>
      </c>
      <c r="P100" t="s">
        <v>382</v>
      </c>
      <c r="Q100" t="s">
        <v>382</v>
      </c>
      <c r="R100" t="s">
        <v>382</v>
      </c>
      <c r="S100" t="s">
        <v>382</v>
      </c>
      <c r="T100" t="s">
        <v>382</v>
      </c>
      <c r="U100" t="s">
        <v>382</v>
      </c>
      <c r="V100" t="s">
        <v>382</v>
      </c>
      <c r="W100" t="s">
        <v>382</v>
      </c>
      <c r="X100" t="s">
        <v>382</v>
      </c>
      <c r="Y100" t="s">
        <v>382</v>
      </c>
      <c r="Z100" t="s">
        <v>382</v>
      </c>
      <c r="AA100" t="s">
        <v>382</v>
      </c>
      <c r="AB100" t="s">
        <v>382</v>
      </c>
      <c r="AC100">
        <v>5</v>
      </c>
      <c r="AD100">
        <v>4</v>
      </c>
      <c r="AE100">
        <v>1</v>
      </c>
      <c r="AF100" t="s">
        <v>389</v>
      </c>
      <c r="AH100" t="s">
        <v>35</v>
      </c>
      <c r="AI100" t="s">
        <v>97</v>
      </c>
      <c r="AK100">
        <v>2314</v>
      </c>
      <c r="AL100">
        <v>2258</v>
      </c>
    </row>
    <row r="101" spans="1:38">
      <c r="A101" t="s">
        <v>382</v>
      </c>
      <c r="B101" t="s">
        <v>382</v>
      </c>
      <c r="C101" t="s">
        <v>382</v>
      </c>
      <c r="D101" t="s">
        <v>382</v>
      </c>
      <c r="E101" t="s">
        <v>382</v>
      </c>
      <c r="F101" t="s">
        <v>382</v>
      </c>
      <c r="G101" t="s">
        <v>382</v>
      </c>
      <c r="H101" t="s">
        <v>382</v>
      </c>
      <c r="I101" t="s">
        <v>382</v>
      </c>
      <c r="J101" t="s">
        <v>382</v>
      </c>
      <c r="K101" t="s">
        <v>382</v>
      </c>
      <c r="L101" t="s">
        <v>382</v>
      </c>
      <c r="M101" t="s">
        <v>382</v>
      </c>
      <c r="N101" t="s">
        <v>382</v>
      </c>
      <c r="O101" t="s">
        <v>382</v>
      </c>
      <c r="P101" t="s">
        <v>382</v>
      </c>
      <c r="Q101" t="s">
        <v>382</v>
      </c>
      <c r="R101" t="s">
        <v>382</v>
      </c>
      <c r="S101" t="s">
        <v>382</v>
      </c>
      <c r="T101" t="s">
        <v>382</v>
      </c>
      <c r="U101" t="s">
        <v>382</v>
      </c>
      <c r="V101" t="s">
        <v>382</v>
      </c>
      <c r="W101" t="s">
        <v>382</v>
      </c>
      <c r="X101" t="s">
        <v>382</v>
      </c>
      <c r="Y101" t="s">
        <v>382</v>
      </c>
      <c r="Z101" t="s">
        <v>382</v>
      </c>
      <c r="AA101" t="s">
        <v>382</v>
      </c>
      <c r="AB101" t="s">
        <v>382</v>
      </c>
      <c r="AC101">
        <v>5</v>
      </c>
      <c r="AD101">
        <v>5</v>
      </c>
      <c r="AE101">
        <v>1</v>
      </c>
      <c r="AF101" t="s">
        <v>391</v>
      </c>
      <c r="AH101" t="s">
        <v>38</v>
      </c>
      <c r="AI101" t="s">
        <v>97</v>
      </c>
      <c r="AK101">
        <v>1976</v>
      </c>
      <c r="AL101">
        <v>1533</v>
      </c>
    </row>
    <row r="102" spans="1:38">
      <c r="A102" t="s">
        <v>382</v>
      </c>
      <c r="B102" t="s">
        <v>382</v>
      </c>
      <c r="C102" t="s">
        <v>382</v>
      </c>
      <c r="D102" t="s">
        <v>382</v>
      </c>
      <c r="E102" t="s">
        <v>382</v>
      </c>
      <c r="F102" t="s">
        <v>382</v>
      </c>
      <c r="G102" t="s">
        <v>382</v>
      </c>
      <c r="H102" t="s">
        <v>382</v>
      </c>
      <c r="I102" t="s">
        <v>382</v>
      </c>
      <c r="J102" t="s">
        <v>382</v>
      </c>
      <c r="K102" t="s">
        <v>382</v>
      </c>
      <c r="L102" t="s">
        <v>382</v>
      </c>
      <c r="M102" t="s">
        <v>382</v>
      </c>
      <c r="N102" t="s">
        <v>382</v>
      </c>
      <c r="O102" t="s">
        <v>382</v>
      </c>
      <c r="P102" t="s">
        <v>382</v>
      </c>
      <c r="Q102" t="s">
        <v>382</v>
      </c>
      <c r="R102" t="s">
        <v>382</v>
      </c>
      <c r="S102" t="s">
        <v>382</v>
      </c>
      <c r="T102" t="s">
        <v>382</v>
      </c>
      <c r="U102" t="s">
        <v>382</v>
      </c>
      <c r="V102" t="s">
        <v>382</v>
      </c>
      <c r="W102" t="s">
        <v>382</v>
      </c>
      <c r="X102" t="s">
        <v>382</v>
      </c>
      <c r="Y102" t="s">
        <v>382</v>
      </c>
      <c r="Z102" t="s">
        <v>382</v>
      </c>
      <c r="AA102" t="s">
        <v>382</v>
      </c>
      <c r="AB102" t="s">
        <v>382</v>
      </c>
      <c r="AC102">
        <v>5</v>
      </c>
      <c r="AD102">
        <v>1</v>
      </c>
      <c r="AF102" t="s">
        <v>384</v>
      </c>
      <c r="AH102" t="s">
        <v>25</v>
      </c>
      <c r="AI102" t="s">
        <v>106</v>
      </c>
      <c r="AK102">
        <v>1985</v>
      </c>
      <c r="AL102">
        <v>799</v>
      </c>
    </row>
    <row r="103" spans="1:38">
      <c r="A103" t="s">
        <v>382</v>
      </c>
      <c r="B103" t="s">
        <v>382</v>
      </c>
      <c r="C103" t="s">
        <v>382</v>
      </c>
      <c r="D103" t="s">
        <v>382</v>
      </c>
      <c r="E103" t="s">
        <v>382</v>
      </c>
      <c r="F103" t="s">
        <v>382</v>
      </c>
      <c r="G103" t="s">
        <v>382</v>
      </c>
      <c r="H103" t="s">
        <v>382</v>
      </c>
      <c r="I103" t="s">
        <v>382</v>
      </c>
      <c r="J103" t="s">
        <v>382</v>
      </c>
      <c r="K103" t="s">
        <v>382</v>
      </c>
      <c r="L103" t="s">
        <v>382</v>
      </c>
      <c r="M103" t="s">
        <v>382</v>
      </c>
      <c r="N103" t="s">
        <v>382</v>
      </c>
      <c r="O103" t="s">
        <v>382</v>
      </c>
      <c r="P103" t="s">
        <v>382</v>
      </c>
      <c r="Q103" t="s">
        <v>382</v>
      </c>
      <c r="R103" t="s">
        <v>382</v>
      </c>
      <c r="S103" t="s">
        <v>382</v>
      </c>
      <c r="T103" t="s">
        <v>382</v>
      </c>
      <c r="U103" t="s">
        <v>382</v>
      </c>
      <c r="V103" t="s">
        <v>382</v>
      </c>
      <c r="W103" t="s">
        <v>382</v>
      </c>
      <c r="X103" t="s">
        <v>382</v>
      </c>
      <c r="Y103" t="s">
        <v>382</v>
      </c>
      <c r="Z103" t="s">
        <v>382</v>
      </c>
      <c r="AA103" t="s">
        <v>382</v>
      </c>
      <c r="AB103" t="s">
        <v>382</v>
      </c>
      <c r="AC103">
        <v>5</v>
      </c>
      <c r="AD103">
        <v>2</v>
      </c>
      <c r="AE103">
        <v>1</v>
      </c>
      <c r="AF103" t="s">
        <v>391</v>
      </c>
      <c r="AH103" t="s">
        <v>38</v>
      </c>
      <c r="AI103" t="s">
        <v>97</v>
      </c>
      <c r="AK103">
        <v>3267</v>
      </c>
      <c r="AL103">
        <v>1294</v>
      </c>
    </row>
    <row r="104" spans="1:38">
      <c r="A104" t="s">
        <v>382</v>
      </c>
      <c r="B104" t="s">
        <v>382</v>
      </c>
      <c r="C104" t="s">
        <v>382</v>
      </c>
      <c r="D104" t="s">
        <v>382</v>
      </c>
      <c r="E104" t="s">
        <v>382</v>
      </c>
      <c r="F104" t="s">
        <v>382</v>
      </c>
      <c r="G104" t="s">
        <v>382</v>
      </c>
      <c r="H104" t="s">
        <v>382</v>
      </c>
      <c r="I104" t="s">
        <v>382</v>
      </c>
      <c r="J104" t="s">
        <v>382</v>
      </c>
      <c r="K104" t="s">
        <v>382</v>
      </c>
      <c r="L104" t="s">
        <v>382</v>
      </c>
      <c r="M104" t="s">
        <v>382</v>
      </c>
      <c r="N104" t="s">
        <v>382</v>
      </c>
      <c r="O104" t="s">
        <v>382</v>
      </c>
      <c r="P104" t="s">
        <v>382</v>
      </c>
      <c r="Q104" t="s">
        <v>382</v>
      </c>
      <c r="R104" t="s">
        <v>382</v>
      </c>
      <c r="S104" t="s">
        <v>382</v>
      </c>
      <c r="T104" t="s">
        <v>382</v>
      </c>
      <c r="U104" t="s">
        <v>382</v>
      </c>
      <c r="V104" t="s">
        <v>382</v>
      </c>
      <c r="W104" t="s">
        <v>382</v>
      </c>
      <c r="X104" t="s">
        <v>382</v>
      </c>
      <c r="Y104" t="s">
        <v>382</v>
      </c>
      <c r="Z104" t="s">
        <v>382</v>
      </c>
      <c r="AA104" t="s">
        <v>382</v>
      </c>
      <c r="AB104" t="s">
        <v>382</v>
      </c>
      <c r="AC104">
        <v>5</v>
      </c>
      <c r="AD104">
        <v>3</v>
      </c>
      <c r="AF104" t="s">
        <v>386</v>
      </c>
      <c r="AH104" t="s">
        <v>29</v>
      </c>
      <c r="AI104" t="s">
        <v>103</v>
      </c>
      <c r="AK104">
        <v>3126</v>
      </c>
      <c r="AL104">
        <v>586</v>
      </c>
    </row>
    <row r="105" spans="1:38">
      <c r="A105" t="s">
        <v>382</v>
      </c>
      <c r="B105" t="s">
        <v>382</v>
      </c>
      <c r="C105" t="s">
        <v>382</v>
      </c>
      <c r="D105" t="s">
        <v>382</v>
      </c>
      <c r="E105" t="s">
        <v>382</v>
      </c>
      <c r="F105" t="s">
        <v>382</v>
      </c>
      <c r="G105" t="s">
        <v>382</v>
      </c>
      <c r="H105" t="s">
        <v>382</v>
      </c>
      <c r="I105" t="s">
        <v>382</v>
      </c>
      <c r="J105" t="s">
        <v>382</v>
      </c>
      <c r="K105" t="s">
        <v>382</v>
      </c>
      <c r="L105" t="s">
        <v>382</v>
      </c>
      <c r="M105" t="s">
        <v>382</v>
      </c>
      <c r="N105" t="s">
        <v>382</v>
      </c>
      <c r="O105" t="s">
        <v>382</v>
      </c>
      <c r="P105" t="s">
        <v>382</v>
      </c>
      <c r="Q105" t="s">
        <v>382</v>
      </c>
      <c r="R105" t="s">
        <v>382</v>
      </c>
      <c r="S105" t="s">
        <v>382</v>
      </c>
      <c r="T105" t="s">
        <v>382</v>
      </c>
      <c r="U105" t="s">
        <v>382</v>
      </c>
      <c r="V105" t="s">
        <v>382</v>
      </c>
      <c r="W105" t="s">
        <v>382</v>
      </c>
      <c r="X105" t="s">
        <v>382</v>
      </c>
      <c r="Y105" t="s">
        <v>382</v>
      </c>
      <c r="Z105" t="s">
        <v>382</v>
      </c>
      <c r="AA105" t="s">
        <v>382</v>
      </c>
      <c r="AB105" t="s">
        <v>382</v>
      </c>
      <c r="AC105">
        <v>5</v>
      </c>
      <c r="AD105">
        <v>4</v>
      </c>
      <c r="AF105" t="s">
        <v>384</v>
      </c>
      <c r="AH105" t="s">
        <v>25</v>
      </c>
      <c r="AI105" t="s">
        <v>106</v>
      </c>
      <c r="AK105">
        <v>1846</v>
      </c>
      <c r="AL105">
        <v>993</v>
      </c>
    </row>
    <row r="106" spans="1:38">
      <c r="A106" t="s">
        <v>382</v>
      </c>
      <c r="B106" t="s">
        <v>382</v>
      </c>
      <c r="C106" t="s">
        <v>382</v>
      </c>
      <c r="D106" t="s">
        <v>382</v>
      </c>
      <c r="E106" t="s">
        <v>382</v>
      </c>
      <c r="F106" t="s">
        <v>382</v>
      </c>
      <c r="G106" t="s">
        <v>382</v>
      </c>
      <c r="H106" t="s">
        <v>382</v>
      </c>
      <c r="I106" t="s">
        <v>382</v>
      </c>
      <c r="J106" t="s">
        <v>382</v>
      </c>
      <c r="K106" t="s">
        <v>382</v>
      </c>
      <c r="L106" t="s">
        <v>382</v>
      </c>
      <c r="M106" t="s">
        <v>382</v>
      </c>
      <c r="N106" t="s">
        <v>382</v>
      </c>
      <c r="O106" t="s">
        <v>382</v>
      </c>
      <c r="P106" t="s">
        <v>382</v>
      </c>
      <c r="Q106" t="s">
        <v>382</v>
      </c>
      <c r="R106" t="s">
        <v>382</v>
      </c>
      <c r="S106" t="s">
        <v>382</v>
      </c>
      <c r="T106" t="s">
        <v>382</v>
      </c>
      <c r="U106" t="s">
        <v>382</v>
      </c>
      <c r="V106" t="s">
        <v>382</v>
      </c>
      <c r="W106" t="s">
        <v>382</v>
      </c>
      <c r="X106" t="s">
        <v>382</v>
      </c>
      <c r="Y106" t="s">
        <v>382</v>
      </c>
      <c r="Z106" t="s">
        <v>382</v>
      </c>
      <c r="AA106" t="s">
        <v>382</v>
      </c>
      <c r="AB106" t="s">
        <v>382</v>
      </c>
      <c r="AC106">
        <v>5</v>
      </c>
      <c r="AD106">
        <v>5</v>
      </c>
      <c r="AE106">
        <v>1</v>
      </c>
      <c r="AF106" t="s">
        <v>391</v>
      </c>
      <c r="AH106" t="s">
        <v>38</v>
      </c>
      <c r="AI106" t="s">
        <v>97</v>
      </c>
      <c r="AK106">
        <v>2442</v>
      </c>
      <c r="AL106">
        <v>350</v>
      </c>
    </row>
    <row r="107" spans="1:38">
      <c r="A107" t="s">
        <v>382</v>
      </c>
      <c r="B107" t="s">
        <v>382</v>
      </c>
      <c r="C107" t="s">
        <v>382</v>
      </c>
      <c r="D107" t="s">
        <v>382</v>
      </c>
      <c r="E107" t="s">
        <v>382</v>
      </c>
      <c r="F107" t="s">
        <v>382</v>
      </c>
      <c r="G107" t="s">
        <v>382</v>
      </c>
      <c r="H107" t="s">
        <v>382</v>
      </c>
      <c r="I107" t="s">
        <v>382</v>
      </c>
      <c r="J107" t="s">
        <v>382</v>
      </c>
      <c r="K107" t="s">
        <v>382</v>
      </c>
      <c r="L107" t="s">
        <v>382</v>
      </c>
      <c r="M107" t="s">
        <v>382</v>
      </c>
      <c r="N107" t="s">
        <v>382</v>
      </c>
      <c r="O107" t="s">
        <v>382</v>
      </c>
      <c r="P107" t="s">
        <v>382</v>
      </c>
      <c r="Q107" t="s">
        <v>382</v>
      </c>
      <c r="R107" t="s">
        <v>382</v>
      </c>
      <c r="S107" t="s">
        <v>382</v>
      </c>
      <c r="T107" t="s">
        <v>382</v>
      </c>
      <c r="U107" t="s">
        <v>382</v>
      </c>
      <c r="V107" t="s">
        <v>382</v>
      </c>
      <c r="W107" t="s">
        <v>382</v>
      </c>
      <c r="X107" t="s">
        <v>382</v>
      </c>
      <c r="Y107" t="s">
        <v>382</v>
      </c>
      <c r="Z107" t="s">
        <v>382</v>
      </c>
      <c r="AA107" t="s">
        <v>382</v>
      </c>
      <c r="AB107" t="s">
        <v>382</v>
      </c>
      <c r="AC107">
        <v>5</v>
      </c>
      <c r="AD107">
        <v>1</v>
      </c>
      <c r="AE107">
        <v>1</v>
      </c>
      <c r="AF107" t="s">
        <v>541</v>
      </c>
      <c r="AH107" t="s">
        <v>164</v>
      </c>
      <c r="AI107" t="s">
        <v>97</v>
      </c>
      <c r="AK107">
        <v>3007</v>
      </c>
      <c r="AL107">
        <v>1651</v>
      </c>
    </row>
    <row r="108" spans="1:38">
      <c r="A108" t="s">
        <v>382</v>
      </c>
      <c r="B108" t="s">
        <v>382</v>
      </c>
      <c r="C108" t="s">
        <v>382</v>
      </c>
      <c r="D108" t="s">
        <v>382</v>
      </c>
      <c r="E108" t="s">
        <v>382</v>
      </c>
      <c r="F108" t="s">
        <v>382</v>
      </c>
      <c r="G108" t="s">
        <v>382</v>
      </c>
      <c r="H108" t="s">
        <v>382</v>
      </c>
      <c r="I108" t="s">
        <v>382</v>
      </c>
      <c r="J108" t="s">
        <v>382</v>
      </c>
      <c r="K108" t="s">
        <v>382</v>
      </c>
      <c r="L108" t="s">
        <v>382</v>
      </c>
      <c r="M108" t="s">
        <v>382</v>
      </c>
      <c r="N108" t="s">
        <v>382</v>
      </c>
      <c r="O108" t="s">
        <v>382</v>
      </c>
      <c r="P108" t="s">
        <v>382</v>
      </c>
      <c r="Q108" t="s">
        <v>382</v>
      </c>
      <c r="R108" t="s">
        <v>382</v>
      </c>
      <c r="S108" t="s">
        <v>382</v>
      </c>
      <c r="T108" t="s">
        <v>382</v>
      </c>
      <c r="U108" t="s">
        <v>382</v>
      </c>
      <c r="V108" t="s">
        <v>382</v>
      </c>
      <c r="W108" t="s">
        <v>382</v>
      </c>
      <c r="X108" t="s">
        <v>382</v>
      </c>
      <c r="Y108" t="s">
        <v>382</v>
      </c>
      <c r="Z108" t="s">
        <v>382</v>
      </c>
      <c r="AA108" t="s">
        <v>382</v>
      </c>
      <c r="AB108" t="s">
        <v>382</v>
      </c>
      <c r="AC108">
        <v>5</v>
      </c>
      <c r="AD108">
        <v>2</v>
      </c>
      <c r="AE108">
        <v>1</v>
      </c>
      <c r="AF108" t="s">
        <v>391</v>
      </c>
      <c r="AH108" t="s">
        <v>38</v>
      </c>
      <c r="AI108" t="s">
        <v>97</v>
      </c>
      <c r="AK108">
        <v>3255</v>
      </c>
      <c r="AL108">
        <v>1305</v>
      </c>
    </row>
    <row r="109" spans="1:38">
      <c r="A109" t="s">
        <v>382</v>
      </c>
      <c r="B109" t="s">
        <v>382</v>
      </c>
      <c r="C109" t="s">
        <v>382</v>
      </c>
      <c r="D109" t="s">
        <v>382</v>
      </c>
      <c r="E109" t="s">
        <v>382</v>
      </c>
      <c r="F109" t="s">
        <v>382</v>
      </c>
      <c r="G109" t="s">
        <v>382</v>
      </c>
      <c r="H109" t="s">
        <v>382</v>
      </c>
      <c r="I109" t="s">
        <v>382</v>
      </c>
      <c r="J109" t="s">
        <v>382</v>
      </c>
      <c r="K109" t="s">
        <v>382</v>
      </c>
      <c r="L109" t="s">
        <v>382</v>
      </c>
      <c r="M109" t="s">
        <v>382</v>
      </c>
      <c r="N109" t="s">
        <v>382</v>
      </c>
      <c r="O109" t="s">
        <v>382</v>
      </c>
      <c r="P109" t="s">
        <v>382</v>
      </c>
      <c r="Q109" t="s">
        <v>382</v>
      </c>
      <c r="R109" t="s">
        <v>382</v>
      </c>
      <c r="S109" t="s">
        <v>382</v>
      </c>
      <c r="T109" t="s">
        <v>382</v>
      </c>
      <c r="U109" t="s">
        <v>382</v>
      </c>
      <c r="V109" t="s">
        <v>382</v>
      </c>
      <c r="W109" t="s">
        <v>382</v>
      </c>
      <c r="X109" t="s">
        <v>382</v>
      </c>
      <c r="Y109" t="s">
        <v>382</v>
      </c>
      <c r="Z109" t="s">
        <v>382</v>
      </c>
      <c r="AA109" t="s">
        <v>382</v>
      </c>
      <c r="AB109" t="s">
        <v>382</v>
      </c>
      <c r="AC109">
        <v>5</v>
      </c>
      <c r="AD109">
        <v>3</v>
      </c>
      <c r="AF109" t="s">
        <v>386</v>
      </c>
      <c r="AH109" t="s">
        <v>29</v>
      </c>
      <c r="AI109" t="s">
        <v>103</v>
      </c>
      <c r="AK109">
        <v>958</v>
      </c>
      <c r="AL109">
        <v>135</v>
      </c>
    </row>
    <row r="110" spans="1:38">
      <c r="A110" t="s">
        <v>382</v>
      </c>
      <c r="B110" t="s">
        <v>382</v>
      </c>
      <c r="C110" t="s">
        <v>382</v>
      </c>
      <c r="D110" t="s">
        <v>382</v>
      </c>
      <c r="E110" t="s">
        <v>382</v>
      </c>
      <c r="F110" t="s">
        <v>382</v>
      </c>
      <c r="G110" t="s">
        <v>382</v>
      </c>
      <c r="H110" t="s">
        <v>382</v>
      </c>
      <c r="I110" t="s">
        <v>382</v>
      </c>
      <c r="J110" t="s">
        <v>382</v>
      </c>
      <c r="K110" t="s">
        <v>382</v>
      </c>
      <c r="L110" t="s">
        <v>382</v>
      </c>
      <c r="M110" t="s">
        <v>382</v>
      </c>
      <c r="N110" t="s">
        <v>382</v>
      </c>
      <c r="O110" t="s">
        <v>382</v>
      </c>
      <c r="P110" t="s">
        <v>382</v>
      </c>
      <c r="Q110" t="s">
        <v>382</v>
      </c>
      <c r="R110" t="s">
        <v>382</v>
      </c>
      <c r="S110" t="s">
        <v>382</v>
      </c>
      <c r="T110" t="s">
        <v>382</v>
      </c>
      <c r="U110" t="s">
        <v>382</v>
      </c>
      <c r="V110" t="s">
        <v>382</v>
      </c>
      <c r="W110" t="s">
        <v>382</v>
      </c>
      <c r="X110" t="s">
        <v>382</v>
      </c>
      <c r="Y110" t="s">
        <v>382</v>
      </c>
      <c r="Z110" t="s">
        <v>382</v>
      </c>
      <c r="AA110" t="s">
        <v>382</v>
      </c>
      <c r="AB110" t="s">
        <v>382</v>
      </c>
      <c r="AC110">
        <v>5</v>
      </c>
      <c r="AD110">
        <v>4</v>
      </c>
      <c r="AF110" t="s">
        <v>386</v>
      </c>
      <c r="AH110" t="s">
        <v>29</v>
      </c>
      <c r="AI110" t="s">
        <v>103</v>
      </c>
      <c r="AK110">
        <v>1328</v>
      </c>
      <c r="AL110">
        <v>569</v>
      </c>
    </row>
    <row r="111" spans="1:38">
      <c r="A111" t="s">
        <v>382</v>
      </c>
      <c r="B111" t="s">
        <v>382</v>
      </c>
      <c r="C111" t="s">
        <v>382</v>
      </c>
      <c r="D111" t="s">
        <v>382</v>
      </c>
      <c r="E111" t="s">
        <v>382</v>
      </c>
      <c r="F111" t="s">
        <v>382</v>
      </c>
      <c r="G111" t="s">
        <v>382</v>
      </c>
      <c r="H111" t="s">
        <v>382</v>
      </c>
      <c r="I111" t="s">
        <v>382</v>
      </c>
      <c r="J111" t="s">
        <v>382</v>
      </c>
      <c r="K111" t="s">
        <v>382</v>
      </c>
      <c r="L111" t="s">
        <v>382</v>
      </c>
      <c r="M111" t="s">
        <v>382</v>
      </c>
      <c r="N111" t="s">
        <v>382</v>
      </c>
      <c r="O111" t="s">
        <v>382</v>
      </c>
      <c r="P111" t="s">
        <v>382</v>
      </c>
      <c r="Q111" t="s">
        <v>382</v>
      </c>
      <c r="R111" t="s">
        <v>382</v>
      </c>
      <c r="S111" t="s">
        <v>382</v>
      </c>
      <c r="T111" t="s">
        <v>382</v>
      </c>
      <c r="U111" t="s">
        <v>382</v>
      </c>
      <c r="V111" t="s">
        <v>382</v>
      </c>
      <c r="W111" t="s">
        <v>382</v>
      </c>
      <c r="X111" t="s">
        <v>382</v>
      </c>
      <c r="Y111" t="s">
        <v>382</v>
      </c>
      <c r="Z111" t="s">
        <v>382</v>
      </c>
      <c r="AA111" t="s">
        <v>382</v>
      </c>
      <c r="AB111" t="s">
        <v>382</v>
      </c>
      <c r="AC111">
        <v>5</v>
      </c>
      <c r="AD111">
        <v>5</v>
      </c>
      <c r="AF111" t="s">
        <v>385</v>
      </c>
      <c r="AH111" t="s">
        <v>27</v>
      </c>
      <c r="AI111" t="s">
        <v>109</v>
      </c>
      <c r="AK111">
        <v>1209</v>
      </c>
      <c r="AL111">
        <v>1005</v>
      </c>
    </row>
    <row r="112" spans="1:38">
      <c r="A112" t="s">
        <v>382</v>
      </c>
      <c r="B112" t="s">
        <v>382</v>
      </c>
      <c r="C112" t="s">
        <v>382</v>
      </c>
      <c r="D112" t="s">
        <v>382</v>
      </c>
      <c r="E112" t="s">
        <v>382</v>
      </c>
      <c r="F112" t="s">
        <v>382</v>
      </c>
      <c r="G112" t="s">
        <v>382</v>
      </c>
      <c r="H112" t="s">
        <v>382</v>
      </c>
      <c r="I112" t="s">
        <v>382</v>
      </c>
      <c r="J112" t="s">
        <v>382</v>
      </c>
      <c r="K112" t="s">
        <v>382</v>
      </c>
      <c r="L112" t="s">
        <v>382</v>
      </c>
      <c r="M112" t="s">
        <v>382</v>
      </c>
      <c r="N112" t="s">
        <v>382</v>
      </c>
      <c r="O112" t="s">
        <v>382</v>
      </c>
      <c r="P112" t="s">
        <v>382</v>
      </c>
      <c r="Q112" t="s">
        <v>382</v>
      </c>
      <c r="R112" t="s">
        <v>382</v>
      </c>
      <c r="S112" t="s">
        <v>382</v>
      </c>
      <c r="T112" t="s">
        <v>382</v>
      </c>
      <c r="U112" t="s">
        <v>382</v>
      </c>
      <c r="V112" t="s">
        <v>382</v>
      </c>
      <c r="W112" t="s">
        <v>382</v>
      </c>
      <c r="X112" t="s">
        <v>382</v>
      </c>
      <c r="Y112" t="s">
        <v>382</v>
      </c>
      <c r="Z112" t="s">
        <v>382</v>
      </c>
      <c r="AA112" t="s">
        <v>382</v>
      </c>
      <c r="AB112" t="s">
        <v>382</v>
      </c>
      <c r="AC112">
        <v>5</v>
      </c>
      <c r="AD112">
        <v>1</v>
      </c>
      <c r="AE112">
        <v>1</v>
      </c>
      <c r="AF112" t="s">
        <v>387</v>
      </c>
      <c r="AH112" t="s">
        <v>31</v>
      </c>
      <c r="AI112" t="s">
        <v>97</v>
      </c>
      <c r="AK112">
        <v>2064</v>
      </c>
      <c r="AL112">
        <v>607</v>
      </c>
    </row>
    <row r="113" spans="1:38">
      <c r="A113" t="s">
        <v>382</v>
      </c>
      <c r="B113" t="s">
        <v>382</v>
      </c>
      <c r="C113" t="s">
        <v>382</v>
      </c>
      <c r="D113" t="s">
        <v>382</v>
      </c>
      <c r="E113" t="s">
        <v>382</v>
      </c>
      <c r="F113" t="s">
        <v>382</v>
      </c>
      <c r="G113" t="s">
        <v>382</v>
      </c>
      <c r="H113" t="s">
        <v>382</v>
      </c>
      <c r="I113" t="s">
        <v>382</v>
      </c>
      <c r="J113" t="s">
        <v>382</v>
      </c>
      <c r="K113" t="s">
        <v>382</v>
      </c>
      <c r="L113" t="s">
        <v>382</v>
      </c>
      <c r="M113" t="s">
        <v>382</v>
      </c>
      <c r="N113" t="s">
        <v>382</v>
      </c>
      <c r="O113" t="s">
        <v>382</v>
      </c>
      <c r="P113" t="s">
        <v>382</v>
      </c>
      <c r="Q113" t="s">
        <v>382</v>
      </c>
      <c r="R113" t="s">
        <v>382</v>
      </c>
      <c r="S113" t="s">
        <v>382</v>
      </c>
      <c r="T113" t="s">
        <v>382</v>
      </c>
      <c r="U113" t="s">
        <v>382</v>
      </c>
      <c r="V113" t="s">
        <v>382</v>
      </c>
      <c r="W113" t="s">
        <v>382</v>
      </c>
      <c r="X113" t="s">
        <v>382</v>
      </c>
      <c r="Y113" t="s">
        <v>382</v>
      </c>
      <c r="Z113" t="s">
        <v>382</v>
      </c>
      <c r="AA113" t="s">
        <v>382</v>
      </c>
      <c r="AB113" t="s">
        <v>382</v>
      </c>
      <c r="AC113">
        <v>5</v>
      </c>
      <c r="AD113">
        <v>2</v>
      </c>
      <c r="AF113" t="s">
        <v>386</v>
      </c>
      <c r="AH113" t="s">
        <v>29</v>
      </c>
      <c r="AI113" t="s">
        <v>103</v>
      </c>
      <c r="AK113">
        <v>765</v>
      </c>
      <c r="AL113">
        <v>182</v>
      </c>
    </row>
    <row r="114" spans="1:38">
      <c r="A114" t="s">
        <v>382</v>
      </c>
      <c r="B114" t="s">
        <v>382</v>
      </c>
      <c r="C114" t="s">
        <v>382</v>
      </c>
      <c r="D114" t="s">
        <v>382</v>
      </c>
      <c r="E114" t="s">
        <v>382</v>
      </c>
      <c r="F114" t="s">
        <v>382</v>
      </c>
      <c r="G114" t="s">
        <v>382</v>
      </c>
      <c r="H114" t="s">
        <v>382</v>
      </c>
      <c r="I114" t="s">
        <v>382</v>
      </c>
      <c r="J114" t="s">
        <v>382</v>
      </c>
      <c r="K114" t="s">
        <v>382</v>
      </c>
      <c r="L114" t="s">
        <v>382</v>
      </c>
      <c r="M114" t="s">
        <v>382</v>
      </c>
      <c r="N114" t="s">
        <v>382</v>
      </c>
      <c r="O114" t="s">
        <v>382</v>
      </c>
      <c r="P114" t="s">
        <v>382</v>
      </c>
      <c r="Q114" t="s">
        <v>382</v>
      </c>
      <c r="R114" t="s">
        <v>382</v>
      </c>
      <c r="S114" t="s">
        <v>382</v>
      </c>
      <c r="T114" t="s">
        <v>382</v>
      </c>
      <c r="U114" t="s">
        <v>382</v>
      </c>
      <c r="V114" t="s">
        <v>382</v>
      </c>
      <c r="W114" t="s">
        <v>382</v>
      </c>
      <c r="X114" t="s">
        <v>382</v>
      </c>
      <c r="Y114" t="s">
        <v>382</v>
      </c>
      <c r="Z114" t="s">
        <v>382</v>
      </c>
      <c r="AA114" t="s">
        <v>382</v>
      </c>
      <c r="AB114" t="s">
        <v>382</v>
      </c>
      <c r="AC114">
        <v>5</v>
      </c>
      <c r="AD114">
        <v>3</v>
      </c>
      <c r="AF114" t="s">
        <v>392</v>
      </c>
      <c r="AH114" t="s">
        <v>41</v>
      </c>
      <c r="AI114" t="s">
        <v>102</v>
      </c>
      <c r="AK114">
        <v>2622</v>
      </c>
      <c r="AL114">
        <v>2507</v>
      </c>
    </row>
    <row r="115" spans="1:38">
      <c r="A115" t="s">
        <v>382</v>
      </c>
      <c r="B115" t="s">
        <v>382</v>
      </c>
      <c r="C115" t="s">
        <v>382</v>
      </c>
      <c r="D115" t="s">
        <v>382</v>
      </c>
      <c r="E115" t="s">
        <v>382</v>
      </c>
      <c r="F115" t="s">
        <v>382</v>
      </c>
      <c r="G115" t="s">
        <v>382</v>
      </c>
      <c r="H115" t="s">
        <v>382</v>
      </c>
      <c r="I115" t="s">
        <v>382</v>
      </c>
      <c r="J115" t="s">
        <v>382</v>
      </c>
      <c r="K115" t="s">
        <v>382</v>
      </c>
      <c r="L115" t="s">
        <v>382</v>
      </c>
      <c r="M115" t="s">
        <v>382</v>
      </c>
      <c r="N115" t="s">
        <v>382</v>
      </c>
      <c r="O115" t="s">
        <v>382</v>
      </c>
      <c r="P115" t="s">
        <v>382</v>
      </c>
      <c r="Q115" t="s">
        <v>382</v>
      </c>
      <c r="R115" t="s">
        <v>382</v>
      </c>
      <c r="S115" t="s">
        <v>382</v>
      </c>
      <c r="T115" t="s">
        <v>382</v>
      </c>
      <c r="U115" t="s">
        <v>382</v>
      </c>
      <c r="V115" t="s">
        <v>382</v>
      </c>
      <c r="W115" t="s">
        <v>382</v>
      </c>
      <c r="X115" t="s">
        <v>382</v>
      </c>
      <c r="Y115" t="s">
        <v>382</v>
      </c>
      <c r="Z115" t="s">
        <v>382</v>
      </c>
      <c r="AA115" t="s">
        <v>382</v>
      </c>
      <c r="AB115" t="s">
        <v>382</v>
      </c>
      <c r="AC115">
        <v>5</v>
      </c>
      <c r="AD115">
        <v>4</v>
      </c>
      <c r="AF115" t="s">
        <v>385</v>
      </c>
      <c r="AH115" t="s">
        <v>27</v>
      </c>
      <c r="AI115" t="s">
        <v>109</v>
      </c>
      <c r="AK115">
        <v>2971</v>
      </c>
      <c r="AL115">
        <v>689</v>
      </c>
    </row>
    <row r="116" spans="1:38">
      <c r="A116" t="s">
        <v>382</v>
      </c>
      <c r="B116" t="s">
        <v>382</v>
      </c>
      <c r="C116" t="s">
        <v>382</v>
      </c>
      <c r="D116" t="s">
        <v>382</v>
      </c>
      <c r="E116" t="s">
        <v>382</v>
      </c>
      <c r="F116" t="s">
        <v>382</v>
      </c>
      <c r="G116" t="s">
        <v>382</v>
      </c>
      <c r="H116" t="s">
        <v>382</v>
      </c>
      <c r="I116" t="s">
        <v>382</v>
      </c>
      <c r="J116" t="s">
        <v>382</v>
      </c>
      <c r="K116" t="s">
        <v>382</v>
      </c>
      <c r="L116" t="s">
        <v>382</v>
      </c>
      <c r="M116" t="s">
        <v>382</v>
      </c>
      <c r="N116" t="s">
        <v>382</v>
      </c>
      <c r="O116" t="s">
        <v>382</v>
      </c>
      <c r="P116" t="s">
        <v>382</v>
      </c>
      <c r="Q116" t="s">
        <v>382</v>
      </c>
      <c r="R116" t="s">
        <v>382</v>
      </c>
      <c r="S116" t="s">
        <v>382</v>
      </c>
      <c r="T116" t="s">
        <v>382</v>
      </c>
      <c r="U116" t="s">
        <v>382</v>
      </c>
      <c r="V116" t="s">
        <v>382</v>
      </c>
      <c r="W116" t="s">
        <v>382</v>
      </c>
      <c r="X116" t="s">
        <v>382</v>
      </c>
      <c r="Y116" t="s">
        <v>382</v>
      </c>
      <c r="Z116" t="s">
        <v>382</v>
      </c>
      <c r="AA116" t="s">
        <v>382</v>
      </c>
      <c r="AB116" t="s">
        <v>382</v>
      </c>
      <c r="AC116">
        <v>5</v>
      </c>
      <c r="AD116">
        <v>5</v>
      </c>
      <c r="AF116" t="s">
        <v>385</v>
      </c>
      <c r="AH116" t="s">
        <v>27</v>
      </c>
      <c r="AI116" t="s">
        <v>109</v>
      </c>
      <c r="AK116">
        <v>2662</v>
      </c>
      <c r="AL116">
        <v>1072</v>
      </c>
    </row>
    <row r="117" spans="1:38">
      <c r="A117" t="s">
        <v>382</v>
      </c>
      <c r="B117" t="s">
        <v>382</v>
      </c>
      <c r="C117" t="s">
        <v>382</v>
      </c>
      <c r="D117" t="s">
        <v>382</v>
      </c>
      <c r="E117" t="s">
        <v>382</v>
      </c>
      <c r="F117" t="s">
        <v>382</v>
      </c>
      <c r="G117" t="s">
        <v>382</v>
      </c>
      <c r="H117" t="s">
        <v>382</v>
      </c>
      <c r="I117" t="s">
        <v>382</v>
      </c>
      <c r="J117" t="s">
        <v>382</v>
      </c>
      <c r="K117" t="s">
        <v>382</v>
      </c>
      <c r="L117" t="s">
        <v>382</v>
      </c>
      <c r="M117" t="s">
        <v>382</v>
      </c>
      <c r="N117" t="s">
        <v>382</v>
      </c>
      <c r="O117" t="s">
        <v>382</v>
      </c>
      <c r="P117" t="s">
        <v>382</v>
      </c>
      <c r="Q117" t="s">
        <v>382</v>
      </c>
      <c r="R117" t="s">
        <v>382</v>
      </c>
      <c r="S117" t="s">
        <v>382</v>
      </c>
      <c r="T117" t="s">
        <v>382</v>
      </c>
      <c r="U117" t="s">
        <v>382</v>
      </c>
      <c r="V117" t="s">
        <v>382</v>
      </c>
      <c r="W117" t="s">
        <v>382</v>
      </c>
      <c r="X117" t="s">
        <v>382</v>
      </c>
      <c r="Y117" t="s">
        <v>382</v>
      </c>
      <c r="Z117" t="s">
        <v>382</v>
      </c>
      <c r="AA117" t="s">
        <v>382</v>
      </c>
      <c r="AB117" t="s">
        <v>382</v>
      </c>
      <c r="AC117">
        <v>5</v>
      </c>
      <c r="AD117">
        <v>1</v>
      </c>
      <c r="AE117">
        <v>1</v>
      </c>
      <c r="AF117" t="s">
        <v>391</v>
      </c>
      <c r="AH117" t="s">
        <v>38</v>
      </c>
      <c r="AI117" t="s">
        <v>97</v>
      </c>
      <c r="AK117">
        <v>2075</v>
      </c>
      <c r="AL117">
        <v>83</v>
      </c>
    </row>
    <row r="118" spans="1:38">
      <c r="A118" t="s">
        <v>382</v>
      </c>
      <c r="B118" t="s">
        <v>382</v>
      </c>
      <c r="C118" t="s">
        <v>382</v>
      </c>
      <c r="D118" t="s">
        <v>382</v>
      </c>
      <c r="E118" t="s">
        <v>382</v>
      </c>
      <c r="F118" t="s">
        <v>382</v>
      </c>
      <c r="G118" t="s">
        <v>382</v>
      </c>
      <c r="H118" t="s">
        <v>382</v>
      </c>
      <c r="I118" t="s">
        <v>382</v>
      </c>
      <c r="J118" t="s">
        <v>382</v>
      </c>
      <c r="K118" t="s">
        <v>382</v>
      </c>
      <c r="L118" t="s">
        <v>382</v>
      </c>
      <c r="M118" t="s">
        <v>382</v>
      </c>
      <c r="N118" t="s">
        <v>382</v>
      </c>
      <c r="O118" t="s">
        <v>382</v>
      </c>
      <c r="P118" t="s">
        <v>382</v>
      </c>
      <c r="Q118" t="s">
        <v>382</v>
      </c>
      <c r="R118" t="s">
        <v>382</v>
      </c>
      <c r="S118" t="s">
        <v>382</v>
      </c>
      <c r="T118" t="s">
        <v>382</v>
      </c>
      <c r="U118" t="s">
        <v>382</v>
      </c>
      <c r="V118" t="s">
        <v>382</v>
      </c>
      <c r="W118" t="s">
        <v>382</v>
      </c>
      <c r="X118" t="s">
        <v>382</v>
      </c>
      <c r="Y118" t="s">
        <v>382</v>
      </c>
      <c r="Z118" t="s">
        <v>382</v>
      </c>
      <c r="AA118" t="s">
        <v>382</v>
      </c>
      <c r="AB118" t="s">
        <v>382</v>
      </c>
      <c r="AC118">
        <v>5</v>
      </c>
      <c r="AD118">
        <v>2</v>
      </c>
      <c r="AE118">
        <v>1</v>
      </c>
      <c r="AF118" t="s">
        <v>391</v>
      </c>
      <c r="AH118" t="s">
        <v>38</v>
      </c>
      <c r="AI118" t="s">
        <v>97</v>
      </c>
      <c r="AK118">
        <v>1123</v>
      </c>
      <c r="AL118">
        <v>833</v>
      </c>
    </row>
    <row r="119" spans="1:38">
      <c r="A119" t="s">
        <v>382</v>
      </c>
      <c r="B119" t="s">
        <v>382</v>
      </c>
      <c r="C119" t="s">
        <v>382</v>
      </c>
      <c r="D119" t="s">
        <v>382</v>
      </c>
      <c r="E119" t="s">
        <v>382</v>
      </c>
      <c r="F119" t="s">
        <v>382</v>
      </c>
      <c r="G119" t="s">
        <v>382</v>
      </c>
      <c r="H119" t="s">
        <v>382</v>
      </c>
      <c r="I119" t="s">
        <v>382</v>
      </c>
      <c r="J119" t="s">
        <v>382</v>
      </c>
      <c r="K119" t="s">
        <v>382</v>
      </c>
      <c r="L119" t="s">
        <v>382</v>
      </c>
      <c r="M119" t="s">
        <v>382</v>
      </c>
      <c r="N119" t="s">
        <v>382</v>
      </c>
      <c r="O119" t="s">
        <v>382</v>
      </c>
      <c r="P119" t="s">
        <v>382</v>
      </c>
      <c r="Q119" t="s">
        <v>382</v>
      </c>
      <c r="R119" t="s">
        <v>382</v>
      </c>
      <c r="S119" t="s">
        <v>382</v>
      </c>
      <c r="T119" t="s">
        <v>382</v>
      </c>
      <c r="U119" t="s">
        <v>382</v>
      </c>
      <c r="V119" t="s">
        <v>382</v>
      </c>
      <c r="W119" t="s">
        <v>382</v>
      </c>
      <c r="X119" t="s">
        <v>382</v>
      </c>
      <c r="Y119" t="s">
        <v>382</v>
      </c>
      <c r="Z119" t="s">
        <v>382</v>
      </c>
      <c r="AA119" t="s">
        <v>382</v>
      </c>
      <c r="AB119" t="s">
        <v>382</v>
      </c>
      <c r="AC119">
        <v>5</v>
      </c>
      <c r="AD119">
        <v>3</v>
      </c>
      <c r="AE119">
        <v>1</v>
      </c>
      <c r="AF119" t="s">
        <v>391</v>
      </c>
      <c r="AH119" t="s">
        <v>38</v>
      </c>
      <c r="AI119" t="s">
        <v>97</v>
      </c>
      <c r="AK119">
        <v>875</v>
      </c>
      <c r="AL119">
        <v>300</v>
      </c>
    </row>
    <row r="120" spans="1:38">
      <c r="A120" t="s">
        <v>382</v>
      </c>
      <c r="B120" t="s">
        <v>382</v>
      </c>
      <c r="C120" t="s">
        <v>382</v>
      </c>
      <c r="D120" t="s">
        <v>382</v>
      </c>
      <c r="E120" t="s">
        <v>382</v>
      </c>
      <c r="F120" t="s">
        <v>382</v>
      </c>
      <c r="G120" t="s">
        <v>382</v>
      </c>
      <c r="H120" t="s">
        <v>382</v>
      </c>
      <c r="I120" t="s">
        <v>382</v>
      </c>
      <c r="J120" t="s">
        <v>382</v>
      </c>
      <c r="K120" t="s">
        <v>382</v>
      </c>
      <c r="L120" t="s">
        <v>382</v>
      </c>
      <c r="M120" t="s">
        <v>382</v>
      </c>
      <c r="N120" t="s">
        <v>382</v>
      </c>
      <c r="O120" t="s">
        <v>382</v>
      </c>
      <c r="P120" t="s">
        <v>382</v>
      </c>
      <c r="Q120" t="s">
        <v>382</v>
      </c>
      <c r="R120" t="s">
        <v>382</v>
      </c>
      <c r="S120" t="s">
        <v>382</v>
      </c>
      <c r="T120" t="s">
        <v>382</v>
      </c>
      <c r="U120" t="s">
        <v>382</v>
      </c>
      <c r="V120" t="s">
        <v>382</v>
      </c>
      <c r="W120" t="s">
        <v>382</v>
      </c>
      <c r="X120" t="s">
        <v>382</v>
      </c>
      <c r="Y120" t="s">
        <v>382</v>
      </c>
      <c r="Z120" t="s">
        <v>382</v>
      </c>
      <c r="AA120" t="s">
        <v>382</v>
      </c>
      <c r="AB120" t="s">
        <v>382</v>
      </c>
      <c r="AC120">
        <v>5</v>
      </c>
      <c r="AD120">
        <v>4</v>
      </c>
      <c r="AE120">
        <v>1</v>
      </c>
      <c r="AF120" t="s">
        <v>391</v>
      </c>
      <c r="AH120" t="s">
        <v>38</v>
      </c>
      <c r="AI120" t="s">
        <v>97</v>
      </c>
      <c r="AK120">
        <v>2598</v>
      </c>
      <c r="AL120">
        <v>758</v>
      </c>
    </row>
    <row r="121" spans="1:38">
      <c r="A121" t="s">
        <v>382</v>
      </c>
      <c r="B121" t="s">
        <v>382</v>
      </c>
      <c r="C121" t="s">
        <v>382</v>
      </c>
      <c r="D121" t="s">
        <v>382</v>
      </c>
      <c r="E121" t="s">
        <v>382</v>
      </c>
      <c r="F121" t="s">
        <v>382</v>
      </c>
      <c r="G121" t="s">
        <v>382</v>
      </c>
      <c r="H121" t="s">
        <v>382</v>
      </c>
      <c r="I121" t="s">
        <v>382</v>
      </c>
      <c r="J121" t="s">
        <v>382</v>
      </c>
      <c r="K121" t="s">
        <v>382</v>
      </c>
      <c r="L121" t="s">
        <v>382</v>
      </c>
      <c r="M121" t="s">
        <v>382</v>
      </c>
      <c r="N121" t="s">
        <v>382</v>
      </c>
      <c r="O121" t="s">
        <v>382</v>
      </c>
      <c r="P121" t="s">
        <v>382</v>
      </c>
      <c r="Q121" t="s">
        <v>382</v>
      </c>
      <c r="R121" t="s">
        <v>382</v>
      </c>
      <c r="S121" t="s">
        <v>382</v>
      </c>
      <c r="T121" t="s">
        <v>382</v>
      </c>
      <c r="U121" t="s">
        <v>382</v>
      </c>
      <c r="V121" t="s">
        <v>382</v>
      </c>
      <c r="W121" t="s">
        <v>382</v>
      </c>
      <c r="X121" t="s">
        <v>382</v>
      </c>
      <c r="Y121" t="s">
        <v>382</v>
      </c>
      <c r="Z121" t="s">
        <v>382</v>
      </c>
      <c r="AA121" t="s">
        <v>382</v>
      </c>
      <c r="AB121" t="s">
        <v>382</v>
      </c>
      <c r="AC121">
        <v>5</v>
      </c>
      <c r="AD121">
        <v>5</v>
      </c>
      <c r="AE121">
        <v>1</v>
      </c>
      <c r="AF121" t="s">
        <v>391</v>
      </c>
      <c r="AH121" t="s">
        <v>38</v>
      </c>
      <c r="AI121" t="s">
        <v>97</v>
      </c>
      <c r="AK121">
        <v>1670</v>
      </c>
      <c r="AL121">
        <v>935</v>
      </c>
    </row>
    <row r="122" spans="1:38">
      <c r="A122" t="s">
        <v>382</v>
      </c>
      <c r="B122" t="s">
        <v>382</v>
      </c>
      <c r="C122" t="s">
        <v>382</v>
      </c>
      <c r="D122" t="s">
        <v>382</v>
      </c>
      <c r="E122" t="s">
        <v>382</v>
      </c>
      <c r="F122" t="s">
        <v>382</v>
      </c>
      <c r="G122" t="s">
        <v>382</v>
      </c>
      <c r="H122" t="s">
        <v>382</v>
      </c>
      <c r="I122" t="s">
        <v>382</v>
      </c>
      <c r="J122" t="s">
        <v>382</v>
      </c>
      <c r="K122" t="s">
        <v>382</v>
      </c>
      <c r="L122" t="s">
        <v>382</v>
      </c>
      <c r="M122" t="s">
        <v>382</v>
      </c>
      <c r="N122" t="s">
        <v>382</v>
      </c>
      <c r="O122" t="s">
        <v>382</v>
      </c>
      <c r="P122" t="s">
        <v>382</v>
      </c>
      <c r="Q122" t="s">
        <v>382</v>
      </c>
      <c r="R122" t="s">
        <v>382</v>
      </c>
      <c r="S122" t="s">
        <v>382</v>
      </c>
      <c r="T122" t="s">
        <v>382</v>
      </c>
      <c r="U122" t="s">
        <v>382</v>
      </c>
      <c r="V122" t="s">
        <v>382</v>
      </c>
      <c r="W122" t="s">
        <v>382</v>
      </c>
      <c r="X122" t="s">
        <v>382</v>
      </c>
      <c r="Y122" t="s">
        <v>382</v>
      </c>
      <c r="Z122" t="s">
        <v>382</v>
      </c>
      <c r="AA122" t="s">
        <v>382</v>
      </c>
      <c r="AB122" t="s">
        <v>382</v>
      </c>
      <c r="AC122">
        <v>5</v>
      </c>
      <c r="AD122">
        <v>1</v>
      </c>
      <c r="AE122">
        <v>1</v>
      </c>
      <c r="AF122" t="s">
        <v>487</v>
      </c>
      <c r="AH122" t="s">
        <v>153</v>
      </c>
      <c r="AI122" t="s">
        <v>97</v>
      </c>
      <c r="AK122">
        <v>2510</v>
      </c>
      <c r="AL122">
        <v>1723</v>
      </c>
    </row>
    <row r="123" spans="1:38">
      <c r="A123" t="s">
        <v>382</v>
      </c>
      <c r="B123" t="s">
        <v>382</v>
      </c>
      <c r="C123" t="s">
        <v>382</v>
      </c>
      <c r="D123" t="s">
        <v>382</v>
      </c>
      <c r="E123" t="s">
        <v>382</v>
      </c>
      <c r="F123" t="s">
        <v>382</v>
      </c>
      <c r="G123" t="s">
        <v>382</v>
      </c>
      <c r="H123" t="s">
        <v>382</v>
      </c>
      <c r="I123" t="s">
        <v>382</v>
      </c>
      <c r="J123" t="s">
        <v>382</v>
      </c>
      <c r="K123" t="s">
        <v>382</v>
      </c>
      <c r="L123" t="s">
        <v>382</v>
      </c>
      <c r="M123" t="s">
        <v>382</v>
      </c>
      <c r="N123" t="s">
        <v>382</v>
      </c>
      <c r="O123" t="s">
        <v>382</v>
      </c>
      <c r="P123" t="s">
        <v>382</v>
      </c>
      <c r="Q123" t="s">
        <v>382</v>
      </c>
      <c r="R123" t="s">
        <v>382</v>
      </c>
      <c r="S123" t="s">
        <v>382</v>
      </c>
      <c r="T123" t="s">
        <v>382</v>
      </c>
      <c r="U123" t="s">
        <v>382</v>
      </c>
      <c r="V123" t="s">
        <v>382</v>
      </c>
      <c r="W123" t="s">
        <v>382</v>
      </c>
      <c r="X123" t="s">
        <v>382</v>
      </c>
      <c r="Y123" t="s">
        <v>382</v>
      </c>
      <c r="Z123" t="s">
        <v>382</v>
      </c>
      <c r="AA123" t="s">
        <v>382</v>
      </c>
      <c r="AB123" t="s">
        <v>382</v>
      </c>
      <c r="AC123">
        <v>5</v>
      </c>
      <c r="AD123">
        <v>2</v>
      </c>
      <c r="AF123" t="s">
        <v>385</v>
      </c>
      <c r="AH123" t="s">
        <v>27</v>
      </c>
      <c r="AI123" t="s">
        <v>109</v>
      </c>
      <c r="AK123">
        <v>2056</v>
      </c>
      <c r="AL123">
        <v>710</v>
      </c>
    </row>
    <row r="124" spans="1:38">
      <c r="A124" t="s">
        <v>382</v>
      </c>
      <c r="B124" t="s">
        <v>382</v>
      </c>
      <c r="C124" t="s">
        <v>382</v>
      </c>
      <c r="D124" t="s">
        <v>382</v>
      </c>
      <c r="E124" t="s">
        <v>382</v>
      </c>
      <c r="F124" t="s">
        <v>382</v>
      </c>
      <c r="G124" t="s">
        <v>382</v>
      </c>
      <c r="H124" t="s">
        <v>382</v>
      </c>
      <c r="I124" t="s">
        <v>382</v>
      </c>
      <c r="J124" t="s">
        <v>382</v>
      </c>
      <c r="K124" t="s">
        <v>382</v>
      </c>
      <c r="L124" t="s">
        <v>382</v>
      </c>
      <c r="M124" t="s">
        <v>382</v>
      </c>
      <c r="N124" t="s">
        <v>382</v>
      </c>
      <c r="O124" t="s">
        <v>382</v>
      </c>
      <c r="P124" t="s">
        <v>382</v>
      </c>
      <c r="Q124" t="s">
        <v>382</v>
      </c>
      <c r="R124" t="s">
        <v>382</v>
      </c>
      <c r="S124" t="s">
        <v>382</v>
      </c>
      <c r="T124" t="s">
        <v>382</v>
      </c>
      <c r="U124" t="s">
        <v>382</v>
      </c>
      <c r="V124" t="s">
        <v>382</v>
      </c>
      <c r="W124" t="s">
        <v>382</v>
      </c>
      <c r="X124" t="s">
        <v>382</v>
      </c>
      <c r="Y124" t="s">
        <v>382</v>
      </c>
      <c r="Z124" t="s">
        <v>382</v>
      </c>
      <c r="AA124" t="s">
        <v>382</v>
      </c>
      <c r="AB124" t="s">
        <v>382</v>
      </c>
      <c r="AC124">
        <v>5</v>
      </c>
      <c r="AD124">
        <v>3</v>
      </c>
      <c r="AE124">
        <v>1</v>
      </c>
      <c r="AF124" t="s">
        <v>542</v>
      </c>
      <c r="AH124" t="s">
        <v>147</v>
      </c>
      <c r="AI124" t="s">
        <v>97</v>
      </c>
      <c r="AK124">
        <v>697</v>
      </c>
      <c r="AL124">
        <v>186</v>
      </c>
    </row>
    <row r="125" spans="1:38">
      <c r="A125" t="s">
        <v>382</v>
      </c>
      <c r="B125" t="s">
        <v>382</v>
      </c>
      <c r="C125" t="s">
        <v>382</v>
      </c>
      <c r="D125" t="s">
        <v>382</v>
      </c>
      <c r="E125" t="s">
        <v>382</v>
      </c>
      <c r="F125" t="s">
        <v>382</v>
      </c>
      <c r="G125" t="s">
        <v>382</v>
      </c>
      <c r="H125" t="s">
        <v>382</v>
      </c>
      <c r="I125" t="s">
        <v>382</v>
      </c>
      <c r="J125" t="s">
        <v>382</v>
      </c>
      <c r="K125" t="s">
        <v>382</v>
      </c>
      <c r="L125" t="s">
        <v>382</v>
      </c>
      <c r="M125" t="s">
        <v>382</v>
      </c>
      <c r="N125" t="s">
        <v>382</v>
      </c>
      <c r="O125" t="s">
        <v>382</v>
      </c>
      <c r="P125" t="s">
        <v>382</v>
      </c>
      <c r="Q125" t="s">
        <v>382</v>
      </c>
      <c r="R125" t="s">
        <v>382</v>
      </c>
      <c r="S125" t="s">
        <v>382</v>
      </c>
      <c r="T125" t="s">
        <v>382</v>
      </c>
      <c r="U125" t="s">
        <v>382</v>
      </c>
      <c r="V125" t="s">
        <v>382</v>
      </c>
      <c r="W125" t="s">
        <v>382</v>
      </c>
      <c r="X125" t="s">
        <v>382</v>
      </c>
      <c r="Y125" t="s">
        <v>382</v>
      </c>
      <c r="Z125" t="s">
        <v>382</v>
      </c>
      <c r="AA125" t="s">
        <v>382</v>
      </c>
      <c r="AB125" t="s">
        <v>382</v>
      </c>
      <c r="AC125">
        <v>5</v>
      </c>
      <c r="AD125">
        <v>4</v>
      </c>
      <c r="AE125">
        <v>1</v>
      </c>
      <c r="AF125" t="s">
        <v>391</v>
      </c>
      <c r="AH125" t="s">
        <v>38</v>
      </c>
      <c r="AI125" t="s">
        <v>97</v>
      </c>
      <c r="AK125">
        <v>1067</v>
      </c>
      <c r="AL125">
        <v>1510</v>
      </c>
    </row>
    <row r="126" spans="1:38">
      <c r="A126" t="s">
        <v>382</v>
      </c>
      <c r="B126" t="s">
        <v>382</v>
      </c>
      <c r="C126" t="s">
        <v>382</v>
      </c>
      <c r="D126" t="s">
        <v>382</v>
      </c>
      <c r="E126" t="s">
        <v>382</v>
      </c>
      <c r="F126" t="s">
        <v>382</v>
      </c>
      <c r="G126" t="s">
        <v>382</v>
      </c>
      <c r="H126" t="s">
        <v>382</v>
      </c>
      <c r="I126" t="s">
        <v>382</v>
      </c>
      <c r="J126" t="s">
        <v>382</v>
      </c>
      <c r="K126" t="s">
        <v>382</v>
      </c>
      <c r="L126" t="s">
        <v>382</v>
      </c>
      <c r="M126" t="s">
        <v>382</v>
      </c>
      <c r="N126" t="s">
        <v>382</v>
      </c>
      <c r="O126" t="s">
        <v>382</v>
      </c>
      <c r="P126" t="s">
        <v>382</v>
      </c>
      <c r="Q126" t="s">
        <v>382</v>
      </c>
      <c r="R126" t="s">
        <v>382</v>
      </c>
      <c r="S126" t="s">
        <v>382</v>
      </c>
      <c r="T126" t="s">
        <v>382</v>
      </c>
      <c r="U126" t="s">
        <v>382</v>
      </c>
      <c r="V126" t="s">
        <v>382</v>
      </c>
      <c r="W126" t="s">
        <v>382</v>
      </c>
      <c r="X126" t="s">
        <v>382</v>
      </c>
      <c r="Y126" t="s">
        <v>382</v>
      </c>
      <c r="Z126" t="s">
        <v>382</v>
      </c>
      <c r="AA126" t="s">
        <v>382</v>
      </c>
      <c r="AB126" t="s">
        <v>382</v>
      </c>
      <c r="AC126">
        <v>5</v>
      </c>
      <c r="AD126">
        <v>5</v>
      </c>
      <c r="AF126" t="s">
        <v>385</v>
      </c>
      <c r="AH126" t="s">
        <v>27</v>
      </c>
      <c r="AI126" t="s">
        <v>109</v>
      </c>
      <c r="AK126">
        <v>1172</v>
      </c>
      <c r="AL126">
        <v>905</v>
      </c>
    </row>
    <row r="127" spans="1:38">
      <c r="A127" t="s">
        <v>382</v>
      </c>
      <c r="B127" t="s">
        <v>382</v>
      </c>
      <c r="C127" t="s">
        <v>382</v>
      </c>
      <c r="D127" t="s">
        <v>382</v>
      </c>
      <c r="E127" t="s">
        <v>382</v>
      </c>
      <c r="F127" t="s">
        <v>382</v>
      </c>
      <c r="G127" t="s">
        <v>382</v>
      </c>
      <c r="H127" t="s">
        <v>382</v>
      </c>
      <c r="I127" t="s">
        <v>382</v>
      </c>
      <c r="J127" t="s">
        <v>382</v>
      </c>
      <c r="K127" t="s">
        <v>382</v>
      </c>
      <c r="L127" t="s">
        <v>382</v>
      </c>
      <c r="M127" t="s">
        <v>382</v>
      </c>
      <c r="N127" t="s">
        <v>382</v>
      </c>
      <c r="O127" t="s">
        <v>382</v>
      </c>
      <c r="P127" t="s">
        <v>382</v>
      </c>
      <c r="Q127" t="s">
        <v>382</v>
      </c>
      <c r="R127" t="s">
        <v>382</v>
      </c>
      <c r="S127" t="s">
        <v>382</v>
      </c>
      <c r="T127" t="s">
        <v>382</v>
      </c>
      <c r="U127" t="s">
        <v>382</v>
      </c>
      <c r="V127" t="s">
        <v>382</v>
      </c>
      <c r="W127" t="s">
        <v>382</v>
      </c>
      <c r="X127" t="s">
        <v>382</v>
      </c>
      <c r="Y127" t="s">
        <v>382</v>
      </c>
      <c r="Z127" t="s">
        <v>382</v>
      </c>
      <c r="AA127" t="s">
        <v>382</v>
      </c>
      <c r="AB127" t="s">
        <v>382</v>
      </c>
      <c r="AC127">
        <v>5</v>
      </c>
      <c r="AD127">
        <v>1</v>
      </c>
      <c r="AF127" t="s">
        <v>385</v>
      </c>
      <c r="AH127" t="s">
        <v>27</v>
      </c>
      <c r="AI127" t="s">
        <v>109</v>
      </c>
      <c r="AK127">
        <v>983</v>
      </c>
      <c r="AL127">
        <v>1321</v>
      </c>
    </row>
    <row r="128" spans="1:38">
      <c r="A128" t="s">
        <v>382</v>
      </c>
      <c r="B128" t="s">
        <v>382</v>
      </c>
      <c r="C128" t="s">
        <v>382</v>
      </c>
      <c r="D128" t="s">
        <v>382</v>
      </c>
      <c r="E128" t="s">
        <v>382</v>
      </c>
      <c r="F128" t="s">
        <v>382</v>
      </c>
      <c r="G128" t="s">
        <v>382</v>
      </c>
      <c r="H128" t="s">
        <v>382</v>
      </c>
      <c r="I128" t="s">
        <v>382</v>
      </c>
      <c r="J128" t="s">
        <v>382</v>
      </c>
      <c r="K128" t="s">
        <v>382</v>
      </c>
      <c r="L128" t="s">
        <v>382</v>
      </c>
      <c r="M128" t="s">
        <v>382</v>
      </c>
      <c r="N128" t="s">
        <v>382</v>
      </c>
      <c r="O128" t="s">
        <v>382</v>
      </c>
      <c r="P128" t="s">
        <v>382</v>
      </c>
      <c r="Q128" t="s">
        <v>382</v>
      </c>
      <c r="R128" t="s">
        <v>382</v>
      </c>
      <c r="S128" t="s">
        <v>382</v>
      </c>
      <c r="T128" t="s">
        <v>382</v>
      </c>
      <c r="U128" t="s">
        <v>382</v>
      </c>
      <c r="V128" t="s">
        <v>382</v>
      </c>
      <c r="W128" t="s">
        <v>382</v>
      </c>
      <c r="X128" t="s">
        <v>382</v>
      </c>
      <c r="Y128" t="s">
        <v>382</v>
      </c>
      <c r="Z128" t="s">
        <v>382</v>
      </c>
      <c r="AA128" t="s">
        <v>382</v>
      </c>
      <c r="AB128" t="s">
        <v>382</v>
      </c>
      <c r="AC128">
        <v>5</v>
      </c>
      <c r="AD128">
        <v>2</v>
      </c>
      <c r="AF128" t="s">
        <v>386</v>
      </c>
      <c r="AH128" t="s">
        <v>29</v>
      </c>
      <c r="AI128" t="s">
        <v>103</v>
      </c>
      <c r="AK128">
        <v>1295</v>
      </c>
      <c r="AL128">
        <v>1510</v>
      </c>
    </row>
    <row r="129" spans="1:38">
      <c r="A129" t="s">
        <v>382</v>
      </c>
      <c r="B129" t="s">
        <v>382</v>
      </c>
      <c r="C129" t="s">
        <v>382</v>
      </c>
      <c r="D129" t="s">
        <v>382</v>
      </c>
      <c r="E129" t="s">
        <v>382</v>
      </c>
      <c r="F129" t="s">
        <v>382</v>
      </c>
      <c r="G129" t="s">
        <v>382</v>
      </c>
      <c r="H129" t="s">
        <v>382</v>
      </c>
      <c r="I129" t="s">
        <v>382</v>
      </c>
      <c r="J129" t="s">
        <v>382</v>
      </c>
      <c r="K129" t="s">
        <v>382</v>
      </c>
      <c r="L129" t="s">
        <v>382</v>
      </c>
      <c r="M129" t="s">
        <v>382</v>
      </c>
      <c r="N129" t="s">
        <v>382</v>
      </c>
      <c r="O129" t="s">
        <v>382</v>
      </c>
      <c r="P129" t="s">
        <v>382</v>
      </c>
      <c r="Q129" t="s">
        <v>382</v>
      </c>
      <c r="R129" t="s">
        <v>382</v>
      </c>
      <c r="S129" t="s">
        <v>382</v>
      </c>
      <c r="T129" t="s">
        <v>382</v>
      </c>
      <c r="U129" t="s">
        <v>382</v>
      </c>
      <c r="V129" t="s">
        <v>382</v>
      </c>
      <c r="W129" t="s">
        <v>382</v>
      </c>
      <c r="X129" t="s">
        <v>382</v>
      </c>
      <c r="Y129" t="s">
        <v>382</v>
      </c>
      <c r="Z129" t="s">
        <v>382</v>
      </c>
      <c r="AA129" t="s">
        <v>382</v>
      </c>
      <c r="AB129" t="s">
        <v>382</v>
      </c>
      <c r="AC129">
        <v>5</v>
      </c>
      <c r="AD129">
        <v>3</v>
      </c>
      <c r="AF129" t="s">
        <v>386</v>
      </c>
      <c r="AH129" t="s">
        <v>29</v>
      </c>
      <c r="AI129" t="s">
        <v>103</v>
      </c>
      <c r="AK129">
        <v>2267</v>
      </c>
      <c r="AL129">
        <v>158</v>
      </c>
    </row>
    <row r="130" spans="1:38">
      <c r="A130" t="s">
        <v>382</v>
      </c>
      <c r="B130" t="s">
        <v>382</v>
      </c>
      <c r="C130" t="s">
        <v>382</v>
      </c>
      <c r="D130" t="s">
        <v>382</v>
      </c>
      <c r="E130" t="s">
        <v>382</v>
      </c>
      <c r="F130" t="s">
        <v>382</v>
      </c>
      <c r="G130" t="s">
        <v>382</v>
      </c>
      <c r="H130" t="s">
        <v>382</v>
      </c>
      <c r="I130" t="s">
        <v>382</v>
      </c>
      <c r="J130" t="s">
        <v>382</v>
      </c>
      <c r="K130" t="s">
        <v>382</v>
      </c>
      <c r="L130" t="s">
        <v>382</v>
      </c>
      <c r="M130" t="s">
        <v>382</v>
      </c>
      <c r="N130" t="s">
        <v>382</v>
      </c>
      <c r="O130" t="s">
        <v>382</v>
      </c>
      <c r="P130" t="s">
        <v>382</v>
      </c>
      <c r="Q130" t="s">
        <v>382</v>
      </c>
      <c r="R130" t="s">
        <v>382</v>
      </c>
      <c r="S130" t="s">
        <v>382</v>
      </c>
      <c r="T130" t="s">
        <v>382</v>
      </c>
      <c r="U130" t="s">
        <v>382</v>
      </c>
      <c r="V130" t="s">
        <v>382</v>
      </c>
      <c r="W130" t="s">
        <v>382</v>
      </c>
      <c r="X130" t="s">
        <v>382</v>
      </c>
      <c r="Y130" t="s">
        <v>382</v>
      </c>
      <c r="Z130" t="s">
        <v>382</v>
      </c>
      <c r="AA130" t="s">
        <v>382</v>
      </c>
      <c r="AB130" t="s">
        <v>382</v>
      </c>
      <c r="AC130">
        <v>5</v>
      </c>
      <c r="AD130">
        <v>4</v>
      </c>
      <c r="AE130">
        <v>1</v>
      </c>
      <c r="AF130" t="s">
        <v>391</v>
      </c>
      <c r="AH130" t="s">
        <v>38</v>
      </c>
      <c r="AI130" t="s">
        <v>97</v>
      </c>
      <c r="AK130">
        <v>803</v>
      </c>
      <c r="AL130">
        <v>981</v>
      </c>
    </row>
    <row r="131" spans="1:38">
      <c r="A131" t="s">
        <v>382</v>
      </c>
      <c r="B131" t="s">
        <v>382</v>
      </c>
      <c r="C131" t="s">
        <v>382</v>
      </c>
      <c r="D131" t="s">
        <v>382</v>
      </c>
      <c r="E131" t="s">
        <v>382</v>
      </c>
      <c r="F131" t="s">
        <v>382</v>
      </c>
      <c r="G131" t="s">
        <v>382</v>
      </c>
      <c r="H131" t="s">
        <v>382</v>
      </c>
      <c r="I131" t="s">
        <v>382</v>
      </c>
      <c r="J131" t="s">
        <v>382</v>
      </c>
      <c r="K131" t="s">
        <v>382</v>
      </c>
      <c r="L131" t="s">
        <v>382</v>
      </c>
      <c r="M131" t="s">
        <v>382</v>
      </c>
      <c r="N131" t="s">
        <v>382</v>
      </c>
      <c r="O131" t="s">
        <v>382</v>
      </c>
      <c r="P131" t="s">
        <v>382</v>
      </c>
      <c r="Q131" t="s">
        <v>382</v>
      </c>
      <c r="R131" t="s">
        <v>382</v>
      </c>
      <c r="S131" t="s">
        <v>382</v>
      </c>
      <c r="T131" t="s">
        <v>382</v>
      </c>
      <c r="U131" t="s">
        <v>382</v>
      </c>
      <c r="V131" t="s">
        <v>382</v>
      </c>
      <c r="W131" t="s">
        <v>382</v>
      </c>
      <c r="X131" t="s">
        <v>382</v>
      </c>
      <c r="Y131" t="s">
        <v>382</v>
      </c>
      <c r="Z131" t="s">
        <v>382</v>
      </c>
      <c r="AA131" t="s">
        <v>382</v>
      </c>
      <c r="AB131" t="s">
        <v>382</v>
      </c>
      <c r="AC131">
        <v>5</v>
      </c>
      <c r="AD131">
        <v>5</v>
      </c>
      <c r="AE131">
        <v>1</v>
      </c>
      <c r="AF131" t="s">
        <v>389</v>
      </c>
      <c r="AH131" t="s">
        <v>35</v>
      </c>
      <c r="AI131" t="s">
        <v>97</v>
      </c>
      <c r="AK131">
        <v>635</v>
      </c>
      <c r="AL131">
        <v>2079</v>
      </c>
    </row>
    <row r="132" spans="1:38">
      <c r="A132" t="s">
        <v>382</v>
      </c>
      <c r="B132" t="s">
        <v>382</v>
      </c>
      <c r="C132" t="s">
        <v>382</v>
      </c>
      <c r="D132" t="s">
        <v>382</v>
      </c>
      <c r="E132" t="s">
        <v>382</v>
      </c>
      <c r="F132" t="s">
        <v>382</v>
      </c>
      <c r="G132" t="s">
        <v>382</v>
      </c>
      <c r="H132" t="s">
        <v>382</v>
      </c>
      <c r="I132" t="s">
        <v>382</v>
      </c>
      <c r="J132" t="s">
        <v>382</v>
      </c>
      <c r="K132" t="s">
        <v>382</v>
      </c>
      <c r="L132" t="s">
        <v>382</v>
      </c>
      <c r="M132" t="s">
        <v>382</v>
      </c>
      <c r="N132" t="s">
        <v>382</v>
      </c>
      <c r="O132" t="s">
        <v>382</v>
      </c>
      <c r="P132" t="s">
        <v>382</v>
      </c>
      <c r="Q132" t="s">
        <v>382</v>
      </c>
      <c r="R132" t="s">
        <v>382</v>
      </c>
      <c r="S132" t="s">
        <v>382</v>
      </c>
      <c r="T132" t="s">
        <v>382</v>
      </c>
      <c r="U132" t="s">
        <v>382</v>
      </c>
      <c r="V132" t="s">
        <v>382</v>
      </c>
      <c r="W132" t="s">
        <v>382</v>
      </c>
      <c r="X132" t="s">
        <v>382</v>
      </c>
      <c r="Y132" t="s">
        <v>382</v>
      </c>
      <c r="Z132" t="s">
        <v>382</v>
      </c>
      <c r="AA132" t="s">
        <v>382</v>
      </c>
      <c r="AB132" t="s">
        <v>382</v>
      </c>
      <c r="AC132">
        <v>5</v>
      </c>
      <c r="AD132">
        <v>1</v>
      </c>
      <c r="AF132" t="s">
        <v>386</v>
      </c>
      <c r="AH132" t="s">
        <v>29</v>
      </c>
      <c r="AI132" t="s">
        <v>103</v>
      </c>
      <c r="AK132">
        <v>1752</v>
      </c>
      <c r="AL132">
        <v>1831</v>
      </c>
    </row>
    <row r="133" spans="1:38">
      <c r="A133" t="s">
        <v>382</v>
      </c>
      <c r="B133" t="s">
        <v>382</v>
      </c>
      <c r="C133" t="s">
        <v>382</v>
      </c>
      <c r="D133" t="s">
        <v>382</v>
      </c>
      <c r="E133" t="s">
        <v>382</v>
      </c>
      <c r="F133" t="s">
        <v>382</v>
      </c>
      <c r="G133" t="s">
        <v>382</v>
      </c>
      <c r="H133" t="s">
        <v>382</v>
      </c>
      <c r="I133" t="s">
        <v>382</v>
      </c>
      <c r="J133" t="s">
        <v>382</v>
      </c>
      <c r="K133" t="s">
        <v>382</v>
      </c>
      <c r="L133" t="s">
        <v>382</v>
      </c>
      <c r="M133" t="s">
        <v>382</v>
      </c>
      <c r="N133" t="s">
        <v>382</v>
      </c>
      <c r="O133" t="s">
        <v>382</v>
      </c>
      <c r="P133" t="s">
        <v>382</v>
      </c>
      <c r="Q133" t="s">
        <v>382</v>
      </c>
      <c r="R133" t="s">
        <v>382</v>
      </c>
      <c r="S133" t="s">
        <v>382</v>
      </c>
      <c r="T133" t="s">
        <v>382</v>
      </c>
      <c r="U133" t="s">
        <v>382</v>
      </c>
      <c r="V133" t="s">
        <v>382</v>
      </c>
      <c r="W133" t="s">
        <v>382</v>
      </c>
      <c r="X133" t="s">
        <v>382</v>
      </c>
      <c r="Y133" t="s">
        <v>382</v>
      </c>
      <c r="Z133" t="s">
        <v>382</v>
      </c>
      <c r="AA133" t="s">
        <v>382</v>
      </c>
      <c r="AB133" t="s">
        <v>382</v>
      </c>
      <c r="AC133">
        <v>5</v>
      </c>
      <c r="AD133">
        <v>2</v>
      </c>
      <c r="AE133">
        <v>1</v>
      </c>
      <c r="AF133" t="s">
        <v>393</v>
      </c>
      <c r="AH133" t="s">
        <v>51</v>
      </c>
      <c r="AI133" t="s">
        <v>97</v>
      </c>
      <c r="AK133">
        <v>947</v>
      </c>
      <c r="AL133">
        <v>616</v>
      </c>
    </row>
    <row r="134" spans="1:38">
      <c r="A134" t="s">
        <v>382</v>
      </c>
      <c r="B134" t="s">
        <v>382</v>
      </c>
      <c r="C134" t="s">
        <v>382</v>
      </c>
      <c r="D134" t="s">
        <v>382</v>
      </c>
      <c r="E134" t="s">
        <v>382</v>
      </c>
      <c r="F134" t="s">
        <v>382</v>
      </c>
      <c r="G134" t="s">
        <v>382</v>
      </c>
      <c r="H134" t="s">
        <v>382</v>
      </c>
      <c r="I134" t="s">
        <v>382</v>
      </c>
      <c r="J134" t="s">
        <v>382</v>
      </c>
      <c r="K134" t="s">
        <v>382</v>
      </c>
      <c r="L134" t="s">
        <v>382</v>
      </c>
      <c r="M134" t="s">
        <v>382</v>
      </c>
      <c r="N134" t="s">
        <v>382</v>
      </c>
      <c r="O134" t="s">
        <v>382</v>
      </c>
      <c r="P134" t="s">
        <v>382</v>
      </c>
      <c r="Q134" t="s">
        <v>382</v>
      </c>
      <c r="R134" t="s">
        <v>382</v>
      </c>
      <c r="S134" t="s">
        <v>382</v>
      </c>
      <c r="T134" t="s">
        <v>382</v>
      </c>
      <c r="U134" t="s">
        <v>382</v>
      </c>
      <c r="V134" t="s">
        <v>382</v>
      </c>
      <c r="W134" t="s">
        <v>382</v>
      </c>
      <c r="X134" t="s">
        <v>382</v>
      </c>
      <c r="Y134" t="s">
        <v>382</v>
      </c>
      <c r="Z134" t="s">
        <v>382</v>
      </c>
      <c r="AA134" t="s">
        <v>382</v>
      </c>
      <c r="AB134" t="s">
        <v>382</v>
      </c>
      <c r="AC134">
        <v>5</v>
      </c>
      <c r="AD134">
        <v>3</v>
      </c>
      <c r="AF134" t="s">
        <v>385</v>
      </c>
      <c r="AH134" t="s">
        <v>27</v>
      </c>
      <c r="AI134" t="s">
        <v>109</v>
      </c>
      <c r="AK134">
        <v>1050</v>
      </c>
      <c r="AL134">
        <v>1444</v>
      </c>
    </row>
    <row r="135" spans="1:38">
      <c r="A135" t="s">
        <v>382</v>
      </c>
      <c r="B135" t="s">
        <v>382</v>
      </c>
      <c r="C135" t="s">
        <v>382</v>
      </c>
      <c r="D135" t="s">
        <v>382</v>
      </c>
      <c r="E135" t="s">
        <v>382</v>
      </c>
      <c r="F135" t="s">
        <v>382</v>
      </c>
      <c r="G135" t="s">
        <v>382</v>
      </c>
      <c r="H135" t="s">
        <v>382</v>
      </c>
      <c r="I135" t="s">
        <v>382</v>
      </c>
      <c r="J135" t="s">
        <v>382</v>
      </c>
      <c r="K135" t="s">
        <v>382</v>
      </c>
      <c r="L135" t="s">
        <v>382</v>
      </c>
      <c r="M135" t="s">
        <v>382</v>
      </c>
      <c r="N135" t="s">
        <v>382</v>
      </c>
      <c r="O135" t="s">
        <v>382</v>
      </c>
      <c r="P135" t="s">
        <v>382</v>
      </c>
      <c r="Q135" t="s">
        <v>382</v>
      </c>
      <c r="R135" t="s">
        <v>382</v>
      </c>
      <c r="S135" t="s">
        <v>382</v>
      </c>
      <c r="T135" t="s">
        <v>382</v>
      </c>
      <c r="U135" t="s">
        <v>382</v>
      </c>
      <c r="V135" t="s">
        <v>382</v>
      </c>
      <c r="W135" t="s">
        <v>382</v>
      </c>
      <c r="X135" t="s">
        <v>382</v>
      </c>
      <c r="Y135" t="s">
        <v>382</v>
      </c>
      <c r="Z135" t="s">
        <v>382</v>
      </c>
      <c r="AA135" t="s">
        <v>382</v>
      </c>
      <c r="AB135" t="s">
        <v>382</v>
      </c>
      <c r="AC135">
        <v>5</v>
      </c>
      <c r="AD135">
        <v>4</v>
      </c>
      <c r="AF135" t="s">
        <v>386</v>
      </c>
      <c r="AH135" t="s">
        <v>29</v>
      </c>
      <c r="AI135" t="s">
        <v>103</v>
      </c>
      <c r="AK135">
        <v>2925</v>
      </c>
      <c r="AL135">
        <v>579</v>
      </c>
    </row>
    <row r="136" spans="1:38">
      <c r="A136" t="s">
        <v>382</v>
      </c>
      <c r="B136" t="s">
        <v>382</v>
      </c>
      <c r="C136" t="s">
        <v>382</v>
      </c>
      <c r="D136" t="s">
        <v>382</v>
      </c>
      <c r="E136" t="s">
        <v>382</v>
      </c>
      <c r="F136" t="s">
        <v>382</v>
      </c>
      <c r="G136" t="s">
        <v>382</v>
      </c>
      <c r="H136" t="s">
        <v>382</v>
      </c>
      <c r="I136" t="s">
        <v>382</v>
      </c>
      <c r="J136" t="s">
        <v>382</v>
      </c>
      <c r="K136" t="s">
        <v>382</v>
      </c>
      <c r="L136" t="s">
        <v>382</v>
      </c>
      <c r="M136" t="s">
        <v>382</v>
      </c>
      <c r="N136" t="s">
        <v>382</v>
      </c>
      <c r="O136" t="s">
        <v>382</v>
      </c>
      <c r="P136" t="s">
        <v>382</v>
      </c>
      <c r="Q136" t="s">
        <v>382</v>
      </c>
      <c r="R136" t="s">
        <v>382</v>
      </c>
      <c r="S136" t="s">
        <v>382</v>
      </c>
      <c r="T136" t="s">
        <v>382</v>
      </c>
      <c r="U136" t="s">
        <v>382</v>
      </c>
      <c r="V136" t="s">
        <v>382</v>
      </c>
      <c r="W136" t="s">
        <v>382</v>
      </c>
      <c r="X136" t="s">
        <v>382</v>
      </c>
      <c r="Y136" t="s">
        <v>382</v>
      </c>
      <c r="Z136" t="s">
        <v>382</v>
      </c>
      <c r="AA136" t="s">
        <v>382</v>
      </c>
      <c r="AB136" t="s">
        <v>382</v>
      </c>
      <c r="AC136">
        <v>5</v>
      </c>
      <c r="AD136">
        <v>5</v>
      </c>
      <c r="AF136" t="s">
        <v>386</v>
      </c>
      <c r="AH136" t="s">
        <v>29</v>
      </c>
      <c r="AI136" t="s">
        <v>103</v>
      </c>
      <c r="AK136">
        <v>2406</v>
      </c>
      <c r="AL136">
        <v>651</v>
      </c>
    </row>
    <row r="137" spans="1:38">
      <c r="A137" t="s">
        <v>382</v>
      </c>
      <c r="B137" t="s">
        <v>382</v>
      </c>
      <c r="C137" t="s">
        <v>382</v>
      </c>
      <c r="D137" t="s">
        <v>382</v>
      </c>
      <c r="E137" t="s">
        <v>382</v>
      </c>
      <c r="F137" t="s">
        <v>382</v>
      </c>
      <c r="G137" t="s">
        <v>382</v>
      </c>
      <c r="H137" t="s">
        <v>382</v>
      </c>
      <c r="I137" t="s">
        <v>382</v>
      </c>
      <c r="J137" t="s">
        <v>382</v>
      </c>
      <c r="K137" t="s">
        <v>382</v>
      </c>
      <c r="L137" t="s">
        <v>382</v>
      </c>
      <c r="M137" t="s">
        <v>382</v>
      </c>
      <c r="N137" t="s">
        <v>382</v>
      </c>
      <c r="O137" t="s">
        <v>382</v>
      </c>
      <c r="P137" t="s">
        <v>382</v>
      </c>
      <c r="Q137" t="s">
        <v>382</v>
      </c>
      <c r="R137" t="s">
        <v>382</v>
      </c>
      <c r="S137" t="s">
        <v>382</v>
      </c>
      <c r="T137" t="s">
        <v>382</v>
      </c>
      <c r="U137" t="s">
        <v>382</v>
      </c>
      <c r="V137" t="s">
        <v>382</v>
      </c>
      <c r="W137" t="s">
        <v>382</v>
      </c>
      <c r="X137" t="s">
        <v>382</v>
      </c>
      <c r="Y137" t="s">
        <v>382</v>
      </c>
      <c r="Z137" t="s">
        <v>382</v>
      </c>
      <c r="AA137" t="s">
        <v>382</v>
      </c>
      <c r="AB137" t="s">
        <v>382</v>
      </c>
      <c r="AC137">
        <v>5</v>
      </c>
      <c r="AD137">
        <v>1</v>
      </c>
      <c r="AF137" t="s">
        <v>386</v>
      </c>
      <c r="AH137" t="s">
        <v>29</v>
      </c>
      <c r="AI137" t="s">
        <v>103</v>
      </c>
      <c r="AK137">
        <v>643</v>
      </c>
      <c r="AL137">
        <v>177</v>
      </c>
    </row>
    <row r="138" spans="1:38">
      <c r="A138" t="s">
        <v>382</v>
      </c>
      <c r="B138" t="s">
        <v>382</v>
      </c>
      <c r="C138" t="s">
        <v>382</v>
      </c>
      <c r="D138" t="s">
        <v>382</v>
      </c>
      <c r="E138" t="s">
        <v>382</v>
      </c>
      <c r="F138" t="s">
        <v>382</v>
      </c>
      <c r="G138" t="s">
        <v>382</v>
      </c>
      <c r="H138" t="s">
        <v>382</v>
      </c>
      <c r="I138" t="s">
        <v>382</v>
      </c>
      <c r="J138" t="s">
        <v>382</v>
      </c>
      <c r="K138" t="s">
        <v>382</v>
      </c>
      <c r="L138" t="s">
        <v>382</v>
      </c>
      <c r="M138" t="s">
        <v>382</v>
      </c>
      <c r="N138" t="s">
        <v>382</v>
      </c>
      <c r="O138" t="s">
        <v>382</v>
      </c>
      <c r="P138" t="s">
        <v>382</v>
      </c>
      <c r="Q138" t="s">
        <v>382</v>
      </c>
      <c r="R138" t="s">
        <v>382</v>
      </c>
      <c r="S138" t="s">
        <v>382</v>
      </c>
      <c r="T138" t="s">
        <v>382</v>
      </c>
      <c r="U138" t="s">
        <v>382</v>
      </c>
      <c r="V138" t="s">
        <v>382</v>
      </c>
      <c r="W138" t="s">
        <v>382</v>
      </c>
      <c r="X138" t="s">
        <v>382</v>
      </c>
      <c r="Y138" t="s">
        <v>382</v>
      </c>
      <c r="Z138" t="s">
        <v>382</v>
      </c>
      <c r="AA138" t="s">
        <v>382</v>
      </c>
      <c r="AB138" t="s">
        <v>382</v>
      </c>
      <c r="AC138">
        <v>5</v>
      </c>
      <c r="AD138">
        <v>2</v>
      </c>
      <c r="AF138" t="s">
        <v>386</v>
      </c>
      <c r="AH138" t="s">
        <v>29</v>
      </c>
      <c r="AI138" t="s">
        <v>103</v>
      </c>
      <c r="AK138">
        <v>1308</v>
      </c>
      <c r="AL138">
        <v>1359</v>
      </c>
    </row>
    <row r="139" spans="1:38">
      <c r="A139" t="s">
        <v>382</v>
      </c>
      <c r="B139" t="s">
        <v>382</v>
      </c>
      <c r="C139" t="s">
        <v>382</v>
      </c>
      <c r="D139" t="s">
        <v>382</v>
      </c>
      <c r="E139" t="s">
        <v>382</v>
      </c>
      <c r="F139" t="s">
        <v>382</v>
      </c>
      <c r="G139" t="s">
        <v>382</v>
      </c>
      <c r="H139" t="s">
        <v>382</v>
      </c>
      <c r="I139" t="s">
        <v>382</v>
      </c>
      <c r="J139" t="s">
        <v>382</v>
      </c>
      <c r="K139" t="s">
        <v>382</v>
      </c>
      <c r="L139" t="s">
        <v>382</v>
      </c>
      <c r="M139" t="s">
        <v>382</v>
      </c>
      <c r="N139" t="s">
        <v>382</v>
      </c>
      <c r="O139" t="s">
        <v>382</v>
      </c>
      <c r="P139" t="s">
        <v>382</v>
      </c>
      <c r="Q139" t="s">
        <v>382</v>
      </c>
      <c r="R139" t="s">
        <v>382</v>
      </c>
      <c r="S139" t="s">
        <v>382</v>
      </c>
      <c r="T139" t="s">
        <v>382</v>
      </c>
      <c r="U139" t="s">
        <v>382</v>
      </c>
      <c r="V139" t="s">
        <v>382</v>
      </c>
      <c r="W139" t="s">
        <v>382</v>
      </c>
      <c r="X139" t="s">
        <v>382</v>
      </c>
      <c r="Y139" t="s">
        <v>382</v>
      </c>
      <c r="Z139" t="s">
        <v>382</v>
      </c>
      <c r="AA139" t="s">
        <v>382</v>
      </c>
      <c r="AB139" t="s">
        <v>382</v>
      </c>
      <c r="AC139">
        <v>5</v>
      </c>
      <c r="AD139">
        <v>3</v>
      </c>
      <c r="AF139" t="s">
        <v>385</v>
      </c>
      <c r="AH139" t="s">
        <v>27</v>
      </c>
      <c r="AI139" t="s">
        <v>109</v>
      </c>
      <c r="AK139">
        <v>2842</v>
      </c>
      <c r="AL139">
        <v>785</v>
      </c>
    </row>
    <row r="140" spans="1:38">
      <c r="A140" t="s">
        <v>382</v>
      </c>
      <c r="B140" t="s">
        <v>382</v>
      </c>
      <c r="C140" t="s">
        <v>382</v>
      </c>
      <c r="D140" t="s">
        <v>382</v>
      </c>
      <c r="E140" t="s">
        <v>382</v>
      </c>
      <c r="F140" t="s">
        <v>382</v>
      </c>
      <c r="G140" t="s">
        <v>382</v>
      </c>
      <c r="H140" t="s">
        <v>382</v>
      </c>
      <c r="I140" t="s">
        <v>382</v>
      </c>
      <c r="J140" t="s">
        <v>382</v>
      </c>
      <c r="K140" t="s">
        <v>382</v>
      </c>
      <c r="L140" t="s">
        <v>382</v>
      </c>
      <c r="M140" t="s">
        <v>382</v>
      </c>
      <c r="N140" t="s">
        <v>382</v>
      </c>
      <c r="O140" t="s">
        <v>382</v>
      </c>
      <c r="P140" t="s">
        <v>382</v>
      </c>
      <c r="Q140" t="s">
        <v>382</v>
      </c>
      <c r="R140" t="s">
        <v>382</v>
      </c>
      <c r="S140" t="s">
        <v>382</v>
      </c>
      <c r="T140" t="s">
        <v>382</v>
      </c>
      <c r="U140" t="s">
        <v>382</v>
      </c>
      <c r="V140" t="s">
        <v>382</v>
      </c>
      <c r="W140" t="s">
        <v>382</v>
      </c>
      <c r="X140" t="s">
        <v>382</v>
      </c>
      <c r="Y140" t="s">
        <v>382</v>
      </c>
      <c r="Z140" t="s">
        <v>382</v>
      </c>
      <c r="AA140" t="s">
        <v>382</v>
      </c>
      <c r="AB140" t="s">
        <v>382</v>
      </c>
      <c r="AC140">
        <v>5</v>
      </c>
      <c r="AD140">
        <v>4</v>
      </c>
      <c r="AF140" t="s">
        <v>386</v>
      </c>
      <c r="AH140" t="s">
        <v>29</v>
      </c>
      <c r="AI140" t="s">
        <v>103</v>
      </c>
      <c r="AK140">
        <v>2537</v>
      </c>
      <c r="AL140">
        <v>151</v>
      </c>
    </row>
    <row r="141" spans="1:38">
      <c r="A141" t="s">
        <v>382</v>
      </c>
      <c r="B141" t="s">
        <v>382</v>
      </c>
      <c r="C141" t="s">
        <v>382</v>
      </c>
      <c r="D141" t="s">
        <v>382</v>
      </c>
      <c r="E141" t="s">
        <v>382</v>
      </c>
      <c r="F141" t="s">
        <v>382</v>
      </c>
      <c r="G141" t="s">
        <v>382</v>
      </c>
      <c r="H141" t="s">
        <v>382</v>
      </c>
      <c r="I141" t="s">
        <v>382</v>
      </c>
      <c r="J141" t="s">
        <v>382</v>
      </c>
      <c r="K141" t="s">
        <v>382</v>
      </c>
      <c r="L141" t="s">
        <v>382</v>
      </c>
      <c r="M141" t="s">
        <v>382</v>
      </c>
      <c r="N141" t="s">
        <v>382</v>
      </c>
      <c r="O141" t="s">
        <v>382</v>
      </c>
      <c r="P141" t="s">
        <v>382</v>
      </c>
      <c r="Q141" t="s">
        <v>382</v>
      </c>
      <c r="R141" t="s">
        <v>382</v>
      </c>
      <c r="S141" t="s">
        <v>382</v>
      </c>
      <c r="T141" t="s">
        <v>382</v>
      </c>
      <c r="U141" t="s">
        <v>382</v>
      </c>
      <c r="V141" t="s">
        <v>382</v>
      </c>
      <c r="W141" t="s">
        <v>382</v>
      </c>
      <c r="X141" t="s">
        <v>382</v>
      </c>
      <c r="Y141" t="s">
        <v>382</v>
      </c>
      <c r="Z141" t="s">
        <v>382</v>
      </c>
      <c r="AA141" t="s">
        <v>382</v>
      </c>
      <c r="AB141" t="s">
        <v>382</v>
      </c>
      <c r="AC141">
        <v>5</v>
      </c>
      <c r="AD141">
        <v>5</v>
      </c>
      <c r="AE141">
        <v>1</v>
      </c>
      <c r="AF141" t="s">
        <v>480</v>
      </c>
      <c r="AH141" t="s">
        <v>155</v>
      </c>
      <c r="AI141" t="s">
        <v>97</v>
      </c>
      <c r="AK141">
        <v>1757</v>
      </c>
      <c r="AL141">
        <v>1374</v>
      </c>
    </row>
    <row r="142" spans="1:38">
      <c r="A142" t="s">
        <v>382</v>
      </c>
      <c r="B142" t="s">
        <v>382</v>
      </c>
      <c r="C142" t="s">
        <v>382</v>
      </c>
      <c r="D142" t="s">
        <v>382</v>
      </c>
      <c r="E142" t="s">
        <v>382</v>
      </c>
      <c r="F142" t="s">
        <v>382</v>
      </c>
      <c r="G142" t="s">
        <v>382</v>
      </c>
      <c r="H142" t="s">
        <v>382</v>
      </c>
      <c r="I142" t="s">
        <v>382</v>
      </c>
      <c r="J142" t="s">
        <v>382</v>
      </c>
      <c r="K142" t="s">
        <v>382</v>
      </c>
      <c r="L142" t="s">
        <v>382</v>
      </c>
      <c r="M142" t="s">
        <v>382</v>
      </c>
      <c r="N142" t="s">
        <v>382</v>
      </c>
      <c r="O142" t="s">
        <v>382</v>
      </c>
      <c r="P142" t="s">
        <v>382</v>
      </c>
      <c r="Q142" t="s">
        <v>382</v>
      </c>
      <c r="R142" t="s">
        <v>382</v>
      </c>
      <c r="S142" t="s">
        <v>382</v>
      </c>
      <c r="T142" t="s">
        <v>382</v>
      </c>
      <c r="U142" t="s">
        <v>382</v>
      </c>
      <c r="V142" t="s">
        <v>382</v>
      </c>
      <c r="W142" t="s">
        <v>382</v>
      </c>
      <c r="X142" t="s">
        <v>382</v>
      </c>
      <c r="Y142" t="s">
        <v>382</v>
      </c>
      <c r="Z142" t="s">
        <v>382</v>
      </c>
      <c r="AA142" t="s">
        <v>382</v>
      </c>
      <c r="AB142" t="s">
        <v>382</v>
      </c>
      <c r="AC142">
        <v>5</v>
      </c>
      <c r="AD142">
        <v>1</v>
      </c>
      <c r="AE142">
        <v>1</v>
      </c>
      <c r="AF142" t="s">
        <v>400</v>
      </c>
      <c r="AH142" t="s">
        <v>89</v>
      </c>
      <c r="AI142" t="s">
        <v>97</v>
      </c>
      <c r="AK142">
        <v>2548</v>
      </c>
      <c r="AL142">
        <v>108</v>
      </c>
    </row>
    <row r="143" spans="1:38">
      <c r="A143" t="s">
        <v>382</v>
      </c>
      <c r="B143" t="s">
        <v>382</v>
      </c>
      <c r="C143" t="s">
        <v>382</v>
      </c>
      <c r="D143" t="s">
        <v>382</v>
      </c>
      <c r="E143" t="s">
        <v>382</v>
      </c>
      <c r="F143" t="s">
        <v>382</v>
      </c>
      <c r="G143" t="s">
        <v>382</v>
      </c>
      <c r="H143" t="s">
        <v>382</v>
      </c>
      <c r="I143" t="s">
        <v>382</v>
      </c>
      <c r="J143" t="s">
        <v>382</v>
      </c>
      <c r="K143" t="s">
        <v>382</v>
      </c>
      <c r="L143" t="s">
        <v>382</v>
      </c>
      <c r="M143" t="s">
        <v>382</v>
      </c>
      <c r="N143" t="s">
        <v>382</v>
      </c>
      <c r="O143" t="s">
        <v>382</v>
      </c>
      <c r="P143" t="s">
        <v>382</v>
      </c>
      <c r="Q143" t="s">
        <v>382</v>
      </c>
      <c r="R143" t="s">
        <v>382</v>
      </c>
      <c r="S143" t="s">
        <v>382</v>
      </c>
      <c r="T143" t="s">
        <v>382</v>
      </c>
      <c r="U143" t="s">
        <v>382</v>
      </c>
      <c r="V143" t="s">
        <v>382</v>
      </c>
      <c r="W143" t="s">
        <v>382</v>
      </c>
      <c r="X143" t="s">
        <v>382</v>
      </c>
      <c r="Y143" t="s">
        <v>382</v>
      </c>
      <c r="Z143" t="s">
        <v>382</v>
      </c>
      <c r="AA143" t="s">
        <v>382</v>
      </c>
      <c r="AB143" t="s">
        <v>382</v>
      </c>
      <c r="AC143">
        <v>5</v>
      </c>
      <c r="AD143">
        <v>2</v>
      </c>
      <c r="AE143">
        <v>1</v>
      </c>
      <c r="AF143" t="s">
        <v>400</v>
      </c>
      <c r="AH143" t="s">
        <v>89</v>
      </c>
      <c r="AI143" t="s">
        <v>97</v>
      </c>
      <c r="AK143">
        <v>1289</v>
      </c>
      <c r="AL143">
        <v>1343</v>
      </c>
    </row>
    <row r="144" spans="1:38">
      <c r="A144" t="s">
        <v>382</v>
      </c>
      <c r="B144" t="s">
        <v>382</v>
      </c>
      <c r="C144" t="s">
        <v>382</v>
      </c>
      <c r="D144" t="s">
        <v>382</v>
      </c>
      <c r="E144" t="s">
        <v>382</v>
      </c>
      <c r="F144" t="s">
        <v>382</v>
      </c>
      <c r="G144" t="s">
        <v>382</v>
      </c>
      <c r="H144" t="s">
        <v>382</v>
      </c>
      <c r="I144" t="s">
        <v>382</v>
      </c>
      <c r="J144" t="s">
        <v>382</v>
      </c>
      <c r="K144" t="s">
        <v>382</v>
      </c>
      <c r="L144" t="s">
        <v>382</v>
      </c>
      <c r="M144" t="s">
        <v>382</v>
      </c>
      <c r="N144" t="s">
        <v>382</v>
      </c>
      <c r="O144" t="s">
        <v>382</v>
      </c>
      <c r="P144" t="s">
        <v>382</v>
      </c>
      <c r="Q144" t="s">
        <v>382</v>
      </c>
      <c r="R144" t="s">
        <v>382</v>
      </c>
      <c r="S144" t="s">
        <v>382</v>
      </c>
      <c r="T144" t="s">
        <v>382</v>
      </c>
      <c r="U144" t="s">
        <v>382</v>
      </c>
      <c r="V144" t="s">
        <v>382</v>
      </c>
      <c r="W144" t="s">
        <v>382</v>
      </c>
      <c r="X144" t="s">
        <v>382</v>
      </c>
      <c r="Y144" t="s">
        <v>382</v>
      </c>
      <c r="Z144" t="s">
        <v>382</v>
      </c>
      <c r="AA144" t="s">
        <v>382</v>
      </c>
      <c r="AB144" t="s">
        <v>382</v>
      </c>
      <c r="AC144">
        <v>5</v>
      </c>
      <c r="AD144">
        <v>3</v>
      </c>
      <c r="AE144">
        <v>1</v>
      </c>
      <c r="AF144" t="s">
        <v>400</v>
      </c>
      <c r="AH144" t="s">
        <v>89</v>
      </c>
      <c r="AI144" t="s">
        <v>97</v>
      </c>
      <c r="AK144">
        <v>3111</v>
      </c>
      <c r="AL144">
        <v>1930</v>
      </c>
    </row>
    <row r="145" spans="1:38">
      <c r="A145" t="s">
        <v>382</v>
      </c>
      <c r="B145" t="s">
        <v>382</v>
      </c>
      <c r="C145" t="s">
        <v>382</v>
      </c>
      <c r="D145" t="s">
        <v>382</v>
      </c>
      <c r="E145" t="s">
        <v>382</v>
      </c>
      <c r="F145" t="s">
        <v>382</v>
      </c>
      <c r="G145" t="s">
        <v>382</v>
      </c>
      <c r="H145" t="s">
        <v>382</v>
      </c>
      <c r="I145" t="s">
        <v>382</v>
      </c>
      <c r="J145" t="s">
        <v>382</v>
      </c>
      <c r="K145" t="s">
        <v>382</v>
      </c>
      <c r="L145" t="s">
        <v>382</v>
      </c>
      <c r="M145" t="s">
        <v>382</v>
      </c>
      <c r="N145" t="s">
        <v>382</v>
      </c>
      <c r="O145" t="s">
        <v>382</v>
      </c>
      <c r="P145" t="s">
        <v>382</v>
      </c>
      <c r="Q145" t="s">
        <v>382</v>
      </c>
      <c r="R145" t="s">
        <v>382</v>
      </c>
      <c r="S145" t="s">
        <v>382</v>
      </c>
      <c r="T145" t="s">
        <v>382</v>
      </c>
      <c r="U145" t="s">
        <v>382</v>
      </c>
      <c r="V145" t="s">
        <v>382</v>
      </c>
      <c r="W145" t="s">
        <v>382</v>
      </c>
      <c r="X145" t="s">
        <v>382</v>
      </c>
      <c r="Y145" t="s">
        <v>382</v>
      </c>
      <c r="Z145" t="s">
        <v>382</v>
      </c>
      <c r="AA145" t="s">
        <v>382</v>
      </c>
      <c r="AB145" t="s">
        <v>382</v>
      </c>
      <c r="AC145">
        <v>5</v>
      </c>
      <c r="AD145">
        <v>4</v>
      </c>
      <c r="AF145" t="s">
        <v>386</v>
      </c>
      <c r="AH145" t="s">
        <v>29</v>
      </c>
      <c r="AI145" t="s">
        <v>103</v>
      </c>
      <c r="AK145">
        <v>2587</v>
      </c>
      <c r="AL145">
        <v>1721</v>
      </c>
    </row>
    <row r="146" spans="1:38">
      <c r="A146" t="s">
        <v>382</v>
      </c>
      <c r="B146" t="s">
        <v>382</v>
      </c>
      <c r="C146" t="s">
        <v>382</v>
      </c>
      <c r="D146" t="s">
        <v>382</v>
      </c>
      <c r="E146" t="s">
        <v>382</v>
      </c>
      <c r="F146" t="s">
        <v>382</v>
      </c>
      <c r="G146" t="s">
        <v>382</v>
      </c>
      <c r="H146" t="s">
        <v>382</v>
      </c>
      <c r="I146" t="s">
        <v>382</v>
      </c>
      <c r="J146" t="s">
        <v>382</v>
      </c>
      <c r="K146" t="s">
        <v>382</v>
      </c>
      <c r="L146" t="s">
        <v>382</v>
      </c>
      <c r="M146" t="s">
        <v>382</v>
      </c>
      <c r="N146" t="s">
        <v>382</v>
      </c>
      <c r="O146" t="s">
        <v>382</v>
      </c>
      <c r="P146" t="s">
        <v>382</v>
      </c>
      <c r="Q146" t="s">
        <v>382</v>
      </c>
      <c r="R146" t="s">
        <v>382</v>
      </c>
      <c r="S146" t="s">
        <v>382</v>
      </c>
      <c r="T146" t="s">
        <v>382</v>
      </c>
      <c r="U146" t="s">
        <v>382</v>
      </c>
      <c r="V146" t="s">
        <v>382</v>
      </c>
      <c r="W146" t="s">
        <v>382</v>
      </c>
      <c r="X146" t="s">
        <v>382</v>
      </c>
      <c r="Y146" t="s">
        <v>382</v>
      </c>
      <c r="Z146" t="s">
        <v>382</v>
      </c>
      <c r="AA146" t="s">
        <v>382</v>
      </c>
      <c r="AB146" t="s">
        <v>382</v>
      </c>
      <c r="AC146">
        <v>5</v>
      </c>
      <c r="AD146">
        <v>5</v>
      </c>
      <c r="AE146">
        <v>1</v>
      </c>
      <c r="AF146" t="s">
        <v>649</v>
      </c>
      <c r="AH146" t="s">
        <v>119</v>
      </c>
      <c r="AI146" t="s">
        <v>97</v>
      </c>
      <c r="AK146">
        <v>3126</v>
      </c>
      <c r="AL146">
        <v>2408</v>
      </c>
    </row>
    <row r="147" spans="1:38">
      <c r="A147" t="s">
        <v>382</v>
      </c>
      <c r="B147" t="s">
        <v>382</v>
      </c>
      <c r="C147" t="s">
        <v>382</v>
      </c>
      <c r="D147" t="s">
        <v>382</v>
      </c>
      <c r="E147" t="s">
        <v>382</v>
      </c>
      <c r="F147" t="s">
        <v>382</v>
      </c>
      <c r="G147" t="s">
        <v>382</v>
      </c>
      <c r="H147" t="s">
        <v>382</v>
      </c>
      <c r="I147" t="s">
        <v>382</v>
      </c>
      <c r="J147" t="s">
        <v>382</v>
      </c>
      <c r="K147" t="s">
        <v>382</v>
      </c>
      <c r="L147" t="s">
        <v>382</v>
      </c>
      <c r="M147" t="s">
        <v>382</v>
      </c>
      <c r="N147" t="s">
        <v>382</v>
      </c>
      <c r="O147" t="s">
        <v>382</v>
      </c>
      <c r="P147" t="s">
        <v>382</v>
      </c>
      <c r="Q147" t="s">
        <v>382</v>
      </c>
      <c r="R147" t="s">
        <v>382</v>
      </c>
      <c r="S147" t="s">
        <v>382</v>
      </c>
      <c r="T147" t="s">
        <v>382</v>
      </c>
      <c r="U147" t="s">
        <v>382</v>
      </c>
      <c r="V147" t="s">
        <v>382</v>
      </c>
      <c r="W147" t="s">
        <v>382</v>
      </c>
      <c r="X147" t="s">
        <v>382</v>
      </c>
      <c r="Y147" t="s">
        <v>382</v>
      </c>
      <c r="Z147" t="s">
        <v>382</v>
      </c>
      <c r="AA147" t="s">
        <v>382</v>
      </c>
      <c r="AB147" t="s">
        <v>382</v>
      </c>
      <c r="AC147">
        <v>5</v>
      </c>
      <c r="AD147">
        <v>1</v>
      </c>
      <c r="AF147" t="s">
        <v>386</v>
      </c>
      <c r="AH147" t="s">
        <v>29</v>
      </c>
      <c r="AI147" t="s">
        <v>103</v>
      </c>
      <c r="AK147">
        <v>1868</v>
      </c>
      <c r="AL147">
        <v>2001</v>
      </c>
    </row>
    <row r="148" spans="1:38">
      <c r="A148" t="s">
        <v>382</v>
      </c>
      <c r="B148" t="s">
        <v>382</v>
      </c>
      <c r="C148" t="s">
        <v>382</v>
      </c>
      <c r="D148" t="s">
        <v>382</v>
      </c>
      <c r="E148" t="s">
        <v>382</v>
      </c>
      <c r="F148" t="s">
        <v>382</v>
      </c>
      <c r="G148" t="s">
        <v>382</v>
      </c>
      <c r="H148" t="s">
        <v>382</v>
      </c>
      <c r="I148" t="s">
        <v>382</v>
      </c>
      <c r="J148" t="s">
        <v>382</v>
      </c>
      <c r="K148" t="s">
        <v>382</v>
      </c>
      <c r="L148" t="s">
        <v>382</v>
      </c>
      <c r="M148" t="s">
        <v>382</v>
      </c>
      <c r="N148" t="s">
        <v>382</v>
      </c>
      <c r="O148" t="s">
        <v>382</v>
      </c>
      <c r="P148" t="s">
        <v>382</v>
      </c>
      <c r="Q148" t="s">
        <v>382</v>
      </c>
      <c r="R148" t="s">
        <v>382</v>
      </c>
      <c r="S148" t="s">
        <v>382</v>
      </c>
      <c r="T148" t="s">
        <v>382</v>
      </c>
      <c r="U148" t="s">
        <v>382</v>
      </c>
      <c r="V148" t="s">
        <v>382</v>
      </c>
      <c r="W148" t="s">
        <v>382</v>
      </c>
      <c r="X148" t="s">
        <v>382</v>
      </c>
      <c r="Y148" t="s">
        <v>382</v>
      </c>
      <c r="Z148" t="s">
        <v>382</v>
      </c>
      <c r="AA148" t="s">
        <v>382</v>
      </c>
      <c r="AB148" t="s">
        <v>382</v>
      </c>
      <c r="AC148">
        <v>5</v>
      </c>
      <c r="AD148">
        <v>2</v>
      </c>
      <c r="AF148" t="s">
        <v>392</v>
      </c>
      <c r="AH148" t="s">
        <v>41</v>
      </c>
      <c r="AI148" t="s">
        <v>102</v>
      </c>
      <c r="AK148">
        <v>697</v>
      </c>
      <c r="AL148">
        <v>255</v>
      </c>
    </row>
    <row r="149" spans="1:38">
      <c r="A149" t="s">
        <v>382</v>
      </c>
      <c r="B149" t="s">
        <v>382</v>
      </c>
      <c r="C149" t="s">
        <v>382</v>
      </c>
      <c r="D149" t="s">
        <v>382</v>
      </c>
      <c r="E149" t="s">
        <v>382</v>
      </c>
      <c r="F149" t="s">
        <v>382</v>
      </c>
      <c r="G149" t="s">
        <v>382</v>
      </c>
      <c r="H149" t="s">
        <v>382</v>
      </c>
      <c r="I149" t="s">
        <v>382</v>
      </c>
      <c r="J149" t="s">
        <v>382</v>
      </c>
      <c r="K149" t="s">
        <v>382</v>
      </c>
      <c r="L149" t="s">
        <v>382</v>
      </c>
      <c r="M149" t="s">
        <v>382</v>
      </c>
      <c r="N149" t="s">
        <v>382</v>
      </c>
      <c r="O149" t="s">
        <v>382</v>
      </c>
      <c r="P149" t="s">
        <v>382</v>
      </c>
      <c r="Q149" t="s">
        <v>382</v>
      </c>
      <c r="R149" t="s">
        <v>382</v>
      </c>
      <c r="S149" t="s">
        <v>382</v>
      </c>
      <c r="T149" t="s">
        <v>382</v>
      </c>
      <c r="U149" t="s">
        <v>382</v>
      </c>
      <c r="V149" t="s">
        <v>382</v>
      </c>
      <c r="W149" t="s">
        <v>382</v>
      </c>
      <c r="X149" t="s">
        <v>382</v>
      </c>
      <c r="Y149" t="s">
        <v>382</v>
      </c>
      <c r="Z149" t="s">
        <v>382</v>
      </c>
      <c r="AA149" t="s">
        <v>382</v>
      </c>
      <c r="AB149" t="s">
        <v>382</v>
      </c>
      <c r="AC149">
        <v>5</v>
      </c>
      <c r="AD149">
        <v>3</v>
      </c>
      <c r="AE149">
        <v>1</v>
      </c>
      <c r="AF149" t="s">
        <v>486</v>
      </c>
      <c r="AH149" t="s">
        <v>189</v>
      </c>
      <c r="AI149" t="s">
        <v>97</v>
      </c>
      <c r="AK149">
        <v>1832</v>
      </c>
      <c r="AL149">
        <v>265</v>
      </c>
    </row>
    <row r="150" spans="1:38">
      <c r="A150" t="s">
        <v>382</v>
      </c>
      <c r="B150" t="s">
        <v>382</v>
      </c>
      <c r="C150" t="s">
        <v>382</v>
      </c>
      <c r="D150" t="s">
        <v>382</v>
      </c>
      <c r="E150" t="s">
        <v>382</v>
      </c>
      <c r="F150" t="s">
        <v>382</v>
      </c>
      <c r="G150" t="s">
        <v>382</v>
      </c>
      <c r="H150" t="s">
        <v>382</v>
      </c>
      <c r="I150" t="s">
        <v>382</v>
      </c>
      <c r="J150" t="s">
        <v>382</v>
      </c>
      <c r="K150" t="s">
        <v>382</v>
      </c>
      <c r="L150" t="s">
        <v>382</v>
      </c>
      <c r="M150" t="s">
        <v>382</v>
      </c>
      <c r="N150" t="s">
        <v>382</v>
      </c>
      <c r="O150" t="s">
        <v>382</v>
      </c>
      <c r="P150" t="s">
        <v>382</v>
      </c>
      <c r="Q150" t="s">
        <v>382</v>
      </c>
      <c r="R150" t="s">
        <v>382</v>
      </c>
      <c r="S150" t="s">
        <v>382</v>
      </c>
      <c r="T150" t="s">
        <v>382</v>
      </c>
      <c r="U150" t="s">
        <v>382</v>
      </c>
      <c r="V150" t="s">
        <v>382</v>
      </c>
      <c r="W150" t="s">
        <v>382</v>
      </c>
      <c r="X150" t="s">
        <v>382</v>
      </c>
      <c r="Y150" t="s">
        <v>382</v>
      </c>
      <c r="Z150" t="s">
        <v>382</v>
      </c>
      <c r="AA150" t="s">
        <v>382</v>
      </c>
      <c r="AB150" t="s">
        <v>382</v>
      </c>
      <c r="AC150">
        <v>5</v>
      </c>
      <c r="AD150">
        <v>4</v>
      </c>
      <c r="AE150">
        <v>1</v>
      </c>
      <c r="AF150" t="s">
        <v>391</v>
      </c>
      <c r="AH150" t="s">
        <v>38</v>
      </c>
      <c r="AI150" t="s">
        <v>97</v>
      </c>
      <c r="AK150">
        <v>2252</v>
      </c>
      <c r="AL150">
        <v>246</v>
      </c>
    </row>
    <row r="151" spans="1:38">
      <c r="A151" t="s">
        <v>382</v>
      </c>
      <c r="B151" t="s">
        <v>382</v>
      </c>
      <c r="C151" t="s">
        <v>382</v>
      </c>
      <c r="D151" t="s">
        <v>382</v>
      </c>
      <c r="E151" t="s">
        <v>382</v>
      </c>
      <c r="F151" t="s">
        <v>382</v>
      </c>
      <c r="G151" t="s">
        <v>382</v>
      </c>
      <c r="H151" t="s">
        <v>382</v>
      </c>
      <c r="I151" t="s">
        <v>382</v>
      </c>
      <c r="J151" t="s">
        <v>382</v>
      </c>
      <c r="K151" t="s">
        <v>382</v>
      </c>
      <c r="L151" t="s">
        <v>382</v>
      </c>
      <c r="M151" t="s">
        <v>382</v>
      </c>
      <c r="N151" t="s">
        <v>382</v>
      </c>
      <c r="O151" t="s">
        <v>382</v>
      </c>
      <c r="P151" t="s">
        <v>382</v>
      </c>
      <c r="Q151" t="s">
        <v>382</v>
      </c>
      <c r="R151" t="s">
        <v>382</v>
      </c>
      <c r="S151" t="s">
        <v>382</v>
      </c>
      <c r="T151" t="s">
        <v>382</v>
      </c>
      <c r="U151" t="s">
        <v>382</v>
      </c>
      <c r="V151" t="s">
        <v>382</v>
      </c>
      <c r="W151" t="s">
        <v>382</v>
      </c>
      <c r="X151" t="s">
        <v>382</v>
      </c>
      <c r="Y151" t="s">
        <v>382</v>
      </c>
      <c r="Z151" t="s">
        <v>382</v>
      </c>
      <c r="AA151" t="s">
        <v>382</v>
      </c>
      <c r="AB151" t="s">
        <v>382</v>
      </c>
      <c r="AC151">
        <v>5</v>
      </c>
      <c r="AD151">
        <v>5</v>
      </c>
      <c r="AE151">
        <v>1</v>
      </c>
      <c r="AF151" t="s">
        <v>391</v>
      </c>
      <c r="AH151" t="s">
        <v>38</v>
      </c>
      <c r="AI151" t="s">
        <v>97</v>
      </c>
      <c r="AK151">
        <v>2031</v>
      </c>
      <c r="AL151">
        <v>1746</v>
      </c>
    </row>
    <row r="152" spans="1:38">
      <c r="A152" t="s">
        <v>382</v>
      </c>
      <c r="B152" t="s">
        <v>382</v>
      </c>
      <c r="C152" t="s">
        <v>382</v>
      </c>
      <c r="D152" t="s">
        <v>382</v>
      </c>
      <c r="E152" t="s">
        <v>382</v>
      </c>
      <c r="F152" t="s">
        <v>382</v>
      </c>
      <c r="G152" t="s">
        <v>382</v>
      </c>
      <c r="H152" t="s">
        <v>382</v>
      </c>
      <c r="I152" t="s">
        <v>382</v>
      </c>
      <c r="J152" t="s">
        <v>382</v>
      </c>
      <c r="K152" t="s">
        <v>382</v>
      </c>
      <c r="L152" t="s">
        <v>382</v>
      </c>
      <c r="M152" t="s">
        <v>382</v>
      </c>
      <c r="N152" t="s">
        <v>382</v>
      </c>
      <c r="O152" t="s">
        <v>382</v>
      </c>
      <c r="P152" t="s">
        <v>382</v>
      </c>
      <c r="Q152" t="s">
        <v>382</v>
      </c>
      <c r="R152" t="s">
        <v>382</v>
      </c>
      <c r="S152" t="s">
        <v>382</v>
      </c>
      <c r="T152" t="s">
        <v>382</v>
      </c>
      <c r="U152" t="s">
        <v>382</v>
      </c>
      <c r="V152" t="s">
        <v>382</v>
      </c>
      <c r="W152" t="s">
        <v>382</v>
      </c>
      <c r="X152" t="s">
        <v>382</v>
      </c>
      <c r="Y152" t="s">
        <v>382</v>
      </c>
      <c r="Z152" t="s">
        <v>382</v>
      </c>
      <c r="AA152" t="s">
        <v>382</v>
      </c>
      <c r="AB152" t="s">
        <v>382</v>
      </c>
      <c r="AC152">
        <v>5</v>
      </c>
      <c r="AD152">
        <v>1</v>
      </c>
      <c r="AF152" t="s">
        <v>386</v>
      </c>
      <c r="AH152" t="s">
        <v>29</v>
      </c>
      <c r="AI152" t="s">
        <v>103</v>
      </c>
      <c r="AK152">
        <v>1769</v>
      </c>
      <c r="AL152">
        <v>1071</v>
      </c>
    </row>
    <row r="153" spans="1:38">
      <c r="A153" t="s">
        <v>382</v>
      </c>
      <c r="B153" t="s">
        <v>382</v>
      </c>
      <c r="C153" t="s">
        <v>382</v>
      </c>
      <c r="D153" t="s">
        <v>382</v>
      </c>
      <c r="E153" t="s">
        <v>382</v>
      </c>
      <c r="F153" t="s">
        <v>382</v>
      </c>
      <c r="G153" t="s">
        <v>382</v>
      </c>
      <c r="H153" t="s">
        <v>382</v>
      </c>
      <c r="I153" t="s">
        <v>382</v>
      </c>
      <c r="J153" t="s">
        <v>382</v>
      </c>
      <c r="K153" t="s">
        <v>382</v>
      </c>
      <c r="L153" t="s">
        <v>382</v>
      </c>
      <c r="M153" t="s">
        <v>382</v>
      </c>
      <c r="N153" t="s">
        <v>382</v>
      </c>
      <c r="O153" t="s">
        <v>382</v>
      </c>
      <c r="P153" t="s">
        <v>382</v>
      </c>
      <c r="Q153" t="s">
        <v>382</v>
      </c>
      <c r="R153" t="s">
        <v>382</v>
      </c>
      <c r="S153" t="s">
        <v>382</v>
      </c>
      <c r="T153" t="s">
        <v>382</v>
      </c>
      <c r="U153" t="s">
        <v>382</v>
      </c>
      <c r="V153" t="s">
        <v>382</v>
      </c>
      <c r="W153" t="s">
        <v>382</v>
      </c>
      <c r="X153" t="s">
        <v>382</v>
      </c>
      <c r="Y153" t="s">
        <v>382</v>
      </c>
      <c r="Z153" t="s">
        <v>382</v>
      </c>
      <c r="AA153" t="s">
        <v>382</v>
      </c>
      <c r="AB153" t="s">
        <v>382</v>
      </c>
      <c r="AC153">
        <v>5</v>
      </c>
      <c r="AD153">
        <v>2</v>
      </c>
      <c r="AE153">
        <v>1</v>
      </c>
      <c r="AF153" t="s">
        <v>391</v>
      </c>
      <c r="AH153" t="s">
        <v>38</v>
      </c>
      <c r="AI153" t="s">
        <v>97</v>
      </c>
      <c r="AK153">
        <v>2632</v>
      </c>
      <c r="AL153">
        <v>126</v>
      </c>
    </row>
    <row r="154" spans="1:38">
      <c r="A154" t="s">
        <v>382</v>
      </c>
      <c r="B154" t="s">
        <v>382</v>
      </c>
      <c r="C154" t="s">
        <v>382</v>
      </c>
      <c r="D154" t="s">
        <v>382</v>
      </c>
      <c r="E154" t="s">
        <v>382</v>
      </c>
      <c r="F154" t="s">
        <v>382</v>
      </c>
      <c r="G154" t="s">
        <v>382</v>
      </c>
      <c r="H154" t="s">
        <v>382</v>
      </c>
      <c r="I154" t="s">
        <v>382</v>
      </c>
      <c r="J154" t="s">
        <v>382</v>
      </c>
      <c r="K154" t="s">
        <v>382</v>
      </c>
      <c r="L154" t="s">
        <v>382</v>
      </c>
      <c r="M154" t="s">
        <v>382</v>
      </c>
      <c r="N154" t="s">
        <v>382</v>
      </c>
      <c r="O154" t="s">
        <v>382</v>
      </c>
      <c r="P154" t="s">
        <v>382</v>
      </c>
      <c r="Q154" t="s">
        <v>382</v>
      </c>
      <c r="R154" t="s">
        <v>382</v>
      </c>
      <c r="S154" t="s">
        <v>382</v>
      </c>
      <c r="T154" t="s">
        <v>382</v>
      </c>
      <c r="U154" t="s">
        <v>382</v>
      </c>
      <c r="V154" t="s">
        <v>382</v>
      </c>
      <c r="W154" t="s">
        <v>382</v>
      </c>
      <c r="X154" t="s">
        <v>382</v>
      </c>
      <c r="Y154" t="s">
        <v>382</v>
      </c>
      <c r="Z154" t="s">
        <v>382</v>
      </c>
      <c r="AA154" t="s">
        <v>382</v>
      </c>
      <c r="AB154" t="s">
        <v>382</v>
      </c>
      <c r="AC154">
        <v>5</v>
      </c>
      <c r="AD154">
        <v>3</v>
      </c>
      <c r="AF154" t="s">
        <v>385</v>
      </c>
      <c r="AH154" t="s">
        <v>27</v>
      </c>
      <c r="AI154" t="s">
        <v>109</v>
      </c>
      <c r="AK154">
        <v>1844</v>
      </c>
      <c r="AL154">
        <v>1969</v>
      </c>
    </row>
    <row r="155" spans="1:38">
      <c r="A155" t="s">
        <v>382</v>
      </c>
      <c r="B155" t="s">
        <v>382</v>
      </c>
      <c r="C155" t="s">
        <v>382</v>
      </c>
      <c r="D155" t="s">
        <v>382</v>
      </c>
      <c r="E155" t="s">
        <v>382</v>
      </c>
      <c r="F155" t="s">
        <v>382</v>
      </c>
      <c r="G155" t="s">
        <v>382</v>
      </c>
      <c r="H155" t="s">
        <v>382</v>
      </c>
      <c r="I155" t="s">
        <v>382</v>
      </c>
      <c r="J155" t="s">
        <v>382</v>
      </c>
      <c r="K155" t="s">
        <v>382</v>
      </c>
      <c r="L155" t="s">
        <v>382</v>
      </c>
      <c r="M155" t="s">
        <v>382</v>
      </c>
      <c r="N155" t="s">
        <v>382</v>
      </c>
      <c r="O155" t="s">
        <v>382</v>
      </c>
      <c r="P155" t="s">
        <v>382</v>
      </c>
      <c r="Q155" t="s">
        <v>382</v>
      </c>
      <c r="R155" t="s">
        <v>382</v>
      </c>
      <c r="S155" t="s">
        <v>382</v>
      </c>
      <c r="T155" t="s">
        <v>382</v>
      </c>
      <c r="U155" t="s">
        <v>382</v>
      </c>
      <c r="V155" t="s">
        <v>382</v>
      </c>
      <c r="W155" t="s">
        <v>382</v>
      </c>
      <c r="X155" t="s">
        <v>382</v>
      </c>
      <c r="Y155" t="s">
        <v>382</v>
      </c>
      <c r="Z155" t="s">
        <v>382</v>
      </c>
      <c r="AA155" t="s">
        <v>382</v>
      </c>
      <c r="AB155" t="s">
        <v>382</v>
      </c>
      <c r="AC155">
        <v>5</v>
      </c>
      <c r="AD155">
        <v>4</v>
      </c>
      <c r="AE155">
        <v>1</v>
      </c>
      <c r="AF155" t="s">
        <v>391</v>
      </c>
      <c r="AH155" t="s">
        <v>38</v>
      </c>
      <c r="AI155" t="s">
        <v>97</v>
      </c>
      <c r="AK155">
        <v>2786</v>
      </c>
      <c r="AL155">
        <v>2444</v>
      </c>
    </row>
    <row r="156" spans="1:38">
      <c r="A156" t="s">
        <v>382</v>
      </c>
      <c r="B156" t="s">
        <v>382</v>
      </c>
      <c r="C156" t="s">
        <v>382</v>
      </c>
      <c r="D156" t="s">
        <v>382</v>
      </c>
      <c r="E156" t="s">
        <v>382</v>
      </c>
      <c r="F156" t="s">
        <v>382</v>
      </c>
      <c r="G156" t="s">
        <v>382</v>
      </c>
      <c r="H156" t="s">
        <v>382</v>
      </c>
      <c r="I156" t="s">
        <v>382</v>
      </c>
      <c r="J156" t="s">
        <v>382</v>
      </c>
      <c r="K156" t="s">
        <v>382</v>
      </c>
      <c r="L156" t="s">
        <v>382</v>
      </c>
      <c r="M156" t="s">
        <v>382</v>
      </c>
      <c r="N156" t="s">
        <v>382</v>
      </c>
      <c r="O156" t="s">
        <v>382</v>
      </c>
      <c r="P156" t="s">
        <v>382</v>
      </c>
      <c r="Q156" t="s">
        <v>382</v>
      </c>
      <c r="R156" t="s">
        <v>382</v>
      </c>
      <c r="S156" t="s">
        <v>382</v>
      </c>
      <c r="T156" t="s">
        <v>382</v>
      </c>
      <c r="U156" t="s">
        <v>382</v>
      </c>
      <c r="V156" t="s">
        <v>382</v>
      </c>
      <c r="W156" t="s">
        <v>382</v>
      </c>
      <c r="X156" t="s">
        <v>382</v>
      </c>
      <c r="Y156" t="s">
        <v>382</v>
      </c>
      <c r="Z156" t="s">
        <v>382</v>
      </c>
      <c r="AA156" t="s">
        <v>382</v>
      </c>
      <c r="AB156" t="s">
        <v>382</v>
      </c>
      <c r="AC156">
        <v>5</v>
      </c>
      <c r="AD156">
        <v>5</v>
      </c>
      <c r="AE156">
        <v>1</v>
      </c>
      <c r="AF156" t="s">
        <v>391</v>
      </c>
      <c r="AH156" t="s">
        <v>38</v>
      </c>
      <c r="AI156" t="s">
        <v>97</v>
      </c>
      <c r="AK156">
        <v>2796</v>
      </c>
      <c r="AL156">
        <v>495</v>
      </c>
    </row>
    <row r="157" spans="1:38">
      <c r="A157" t="s">
        <v>382</v>
      </c>
      <c r="B157" t="s">
        <v>382</v>
      </c>
      <c r="C157" t="s">
        <v>382</v>
      </c>
      <c r="D157" t="s">
        <v>382</v>
      </c>
      <c r="E157" t="s">
        <v>382</v>
      </c>
      <c r="F157" t="s">
        <v>382</v>
      </c>
      <c r="G157" t="s">
        <v>382</v>
      </c>
      <c r="H157" t="s">
        <v>382</v>
      </c>
      <c r="I157" t="s">
        <v>382</v>
      </c>
      <c r="J157" t="s">
        <v>382</v>
      </c>
      <c r="K157" t="s">
        <v>382</v>
      </c>
      <c r="L157" t="s">
        <v>382</v>
      </c>
      <c r="M157" t="s">
        <v>382</v>
      </c>
      <c r="N157" t="s">
        <v>382</v>
      </c>
      <c r="O157" t="s">
        <v>382</v>
      </c>
      <c r="P157" t="s">
        <v>382</v>
      </c>
      <c r="Q157" t="s">
        <v>382</v>
      </c>
      <c r="R157" t="s">
        <v>382</v>
      </c>
      <c r="S157" t="s">
        <v>382</v>
      </c>
      <c r="T157" t="s">
        <v>382</v>
      </c>
      <c r="U157" t="s">
        <v>382</v>
      </c>
      <c r="V157" t="s">
        <v>382</v>
      </c>
      <c r="W157" t="s">
        <v>382</v>
      </c>
      <c r="X157" t="s">
        <v>382</v>
      </c>
      <c r="Y157" t="s">
        <v>382</v>
      </c>
      <c r="Z157" t="s">
        <v>382</v>
      </c>
      <c r="AA157" t="s">
        <v>382</v>
      </c>
      <c r="AB157" t="s">
        <v>382</v>
      </c>
      <c r="AC157">
        <v>5</v>
      </c>
      <c r="AD157">
        <v>1</v>
      </c>
      <c r="AE157">
        <v>1</v>
      </c>
      <c r="AF157" t="s">
        <v>391</v>
      </c>
      <c r="AH157" t="s">
        <v>38</v>
      </c>
      <c r="AI157" t="s">
        <v>97</v>
      </c>
      <c r="AK157">
        <v>1415</v>
      </c>
      <c r="AL157">
        <v>198</v>
      </c>
    </row>
    <row r="158" spans="1:38">
      <c r="A158" t="s">
        <v>382</v>
      </c>
      <c r="B158" t="s">
        <v>382</v>
      </c>
      <c r="C158" t="s">
        <v>382</v>
      </c>
      <c r="D158" t="s">
        <v>382</v>
      </c>
      <c r="E158" t="s">
        <v>382</v>
      </c>
      <c r="F158" t="s">
        <v>382</v>
      </c>
      <c r="G158" t="s">
        <v>382</v>
      </c>
      <c r="H158" t="s">
        <v>382</v>
      </c>
      <c r="I158" t="s">
        <v>382</v>
      </c>
      <c r="J158" t="s">
        <v>382</v>
      </c>
      <c r="K158" t="s">
        <v>382</v>
      </c>
      <c r="L158" t="s">
        <v>382</v>
      </c>
      <c r="M158" t="s">
        <v>382</v>
      </c>
      <c r="N158" t="s">
        <v>382</v>
      </c>
      <c r="O158" t="s">
        <v>382</v>
      </c>
      <c r="P158" t="s">
        <v>382</v>
      </c>
      <c r="Q158" t="s">
        <v>382</v>
      </c>
      <c r="R158" t="s">
        <v>382</v>
      </c>
      <c r="S158" t="s">
        <v>382</v>
      </c>
      <c r="T158" t="s">
        <v>382</v>
      </c>
      <c r="U158" t="s">
        <v>382</v>
      </c>
      <c r="V158" t="s">
        <v>382</v>
      </c>
      <c r="W158" t="s">
        <v>382</v>
      </c>
      <c r="X158" t="s">
        <v>382</v>
      </c>
      <c r="Y158" t="s">
        <v>382</v>
      </c>
      <c r="Z158" t="s">
        <v>382</v>
      </c>
      <c r="AA158" t="s">
        <v>382</v>
      </c>
      <c r="AB158" t="s">
        <v>382</v>
      </c>
      <c r="AC158">
        <v>5</v>
      </c>
      <c r="AD158">
        <v>2</v>
      </c>
      <c r="AF158" t="s">
        <v>385</v>
      </c>
      <c r="AH158" t="s">
        <v>27</v>
      </c>
      <c r="AI158" t="s">
        <v>109</v>
      </c>
      <c r="AK158">
        <v>2435</v>
      </c>
      <c r="AL158">
        <v>764</v>
      </c>
    </row>
    <row r="159" spans="1:38">
      <c r="A159" t="s">
        <v>382</v>
      </c>
      <c r="B159" t="s">
        <v>382</v>
      </c>
      <c r="C159" t="s">
        <v>382</v>
      </c>
      <c r="D159" t="s">
        <v>382</v>
      </c>
      <c r="E159" t="s">
        <v>382</v>
      </c>
      <c r="F159" t="s">
        <v>382</v>
      </c>
      <c r="G159" t="s">
        <v>382</v>
      </c>
      <c r="H159" t="s">
        <v>382</v>
      </c>
      <c r="I159" t="s">
        <v>382</v>
      </c>
      <c r="J159" t="s">
        <v>382</v>
      </c>
      <c r="K159" t="s">
        <v>382</v>
      </c>
      <c r="L159" t="s">
        <v>382</v>
      </c>
      <c r="M159" t="s">
        <v>382</v>
      </c>
      <c r="N159" t="s">
        <v>382</v>
      </c>
      <c r="O159" t="s">
        <v>382</v>
      </c>
      <c r="P159" t="s">
        <v>382</v>
      </c>
      <c r="Q159" t="s">
        <v>382</v>
      </c>
      <c r="R159" t="s">
        <v>382</v>
      </c>
      <c r="S159" t="s">
        <v>382</v>
      </c>
      <c r="T159" t="s">
        <v>382</v>
      </c>
      <c r="U159" t="s">
        <v>382</v>
      </c>
      <c r="V159" t="s">
        <v>382</v>
      </c>
      <c r="W159" t="s">
        <v>382</v>
      </c>
      <c r="X159" t="s">
        <v>382</v>
      </c>
      <c r="Y159" t="s">
        <v>382</v>
      </c>
      <c r="Z159" t="s">
        <v>382</v>
      </c>
      <c r="AA159" t="s">
        <v>382</v>
      </c>
      <c r="AB159" t="s">
        <v>382</v>
      </c>
      <c r="AC159">
        <v>5</v>
      </c>
      <c r="AD159">
        <v>3</v>
      </c>
      <c r="AF159" t="s">
        <v>386</v>
      </c>
      <c r="AH159" t="s">
        <v>29</v>
      </c>
      <c r="AI159" t="s">
        <v>103</v>
      </c>
      <c r="AK159">
        <v>2769</v>
      </c>
      <c r="AL159">
        <v>1111</v>
      </c>
    </row>
    <row r="160" spans="1:38">
      <c r="A160" t="s">
        <v>382</v>
      </c>
      <c r="B160" t="s">
        <v>382</v>
      </c>
      <c r="C160" t="s">
        <v>382</v>
      </c>
      <c r="D160" t="s">
        <v>382</v>
      </c>
      <c r="E160" t="s">
        <v>382</v>
      </c>
      <c r="F160" t="s">
        <v>382</v>
      </c>
      <c r="G160" t="s">
        <v>382</v>
      </c>
      <c r="H160" t="s">
        <v>382</v>
      </c>
      <c r="I160" t="s">
        <v>382</v>
      </c>
      <c r="J160" t="s">
        <v>382</v>
      </c>
      <c r="K160" t="s">
        <v>382</v>
      </c>
      <c r="L160" t="s">
        <v>382</v>
      </c>
      <c r="M160" t="s">
        <v>382</v>
      </c>
      <c r="N160" t="s">
        <v>382</v>
      </c>
      <c r="O160" t="s">
        <v>382</v>
      </c>
      <c r="P160" t="s">
        <v>382</v>
      </c>
      <c r="Q160" t="s">
        <v>382</v>
      </c>
      <c r="R160" t="s">
        <v>382</v>
      </c>
      <c r="S160" t="s">
        <v>382</v>
      </c>
      <c r="T160" t="s">
        <v>382</v>
      </c>
      <c r="U160" t="s">
        <v>382</v>
      </c>
      <c r="V160" t="s">
        <v>382</v>
      </c>
      <c r="W160" t="s">
        <v>382</v>
      </c>
      <c r="X160" t="s">
        <v>382</v>
      </c>
      <c r="Y160" t="s">
        <v>382</v>
      </c>
      <c r="Z160" t="s">
        <v>382</v>
      </c>
      <c r="AA160" t="s">
        <v>382</v>
      </c>
      <c r="AB160" t="s">
        <v>382</v>
      </c>
      <c r="AC160">
        <v>5</v>
      </c>
      <c r="AD160">
        <v>4</v>
      </c>
      <c r="AE160">
        <v>1</v>
      </c>
      <c r="AF160" t="s">
        <v>391</v>
      </c>
      <c r="AH160" t="s">
        <v>38</v>
      </c>
      <c r="AI160" t="s">
        <v>97</v>
      </c>
      <c r="AK160">
        <v>2661</v>
      </c>
      <c r="AL160">
        <v>62</v>
      </c>
    </row>
    <row r="161" spans="1:38">
      <c r="A161" t="s">
        <v>382</v>
      </c>
      <c r="B161" t="s">
        <v>382</v>
      </c>
      <c r="C161" t="s">
        <v>382</v>
      </c>
      <c r="D161" t="s">
        <v>382</v>
      </c>
      <c r="E161" t="s">
        <v>382</v>
      </c>
      <c r="F161" t="s">
        <v>382</v>
      </c>
      <c r="G161" t="s">
        <v>382</v>
      </c>
      <c r="H161" t="s">
        <v>382</v>
      </c>
      <c r="I161" t="s">
        <v>382</v>
      </c>
      <c r="J161" t="s">
        <v>382</v>
      </c>
      <c r="K161" t="s">
        <v>382</v>
      </c>
      <c r="L161" t="s">
        <v>382</v>
      </c>
      <c r="M161" t="s">
        <v>382</v>
      </c>
      <c r="N161" t="s">
        <v>382</v>
      </c>
      <c r="O161" t="s">
        <v>382</v>
      </c>
      <c r="P161" t="s">
        <v>382</v>
      </c>
      <c r="Q161" t="s">
        <v>382</v>
      </c>
      <c r="R161" t="s">
        <v>382</v>
      </c>
      <c r="S161" t="s">
        <v>382</v>
      </c>
      <c r="T161" t="s">
        <v>382</v>
      </c>
      <c r="U161" t="s">
        <v>382</v>
      </c>
      <c r="V161" t="s">
        <v>382</v>
      </c>
      <c r="W161" t="s">
        <v>382</v>
      </c>
      <c r="X161" t="s">
        <v>382</v>
      </c>
      <c r="Y161" t="s">
        <v>382</v>
      </c>
      <c r="Z161" t="s">
        <v>382</v>
      </c>
      <c r="AA161" t="s">
        <v>382</v>
      </c>
      <c r="AB161" t="s">
        <v>382</v>
      </c>
      <c r="AC161">
        <v>5</v>
      </c>
      <c r="AD161">
        <v>5</v>
      </c>
      <c r="AE161">
        <v>1</v>
      </c>
      <c r="AF161" t="s">
        <v>391</v>
      </c>
      <c r="AH161" t="s">
        <v>38</v>
      </c>
      <c r="AI161" t="s">
        <v>97</v>
      </c>
      <c r="AK161">
        <v>1378</v>
      </c>
      <c r="AL161">
        <v>112</v>
      </c>
    </row>
    <row r="162" spans="1:38">
      <c r="A162" t="s">
        <v>382</v>
      </c>
      <c r="B162" t="s">
        <v>382</v>
      </c>
      <c r="C162" t="s">
        <v>382</v>
      </c>
      <c r="D162" t="s">
        <v>382</v>
      </c>
      <c r="E162" t="s">
        <v>382</v>
      </c>
      <c r="F162" t="s">
        <v>382</v>
      </c>
      <c r="G162" t="s">
        <v>382</v>
      </c>
      <c r="H162" t="s">
        <v>382</v>
      </c>
      <c r="I162" t="s">
        <v>382</v>
      </c>
      <c r="J162" t="s">
        <v>382</v>
      </c>
      <c r="K162" t="s">
        <v>382</v>
      </c>
      <c r="L162" t="s">
        <v>382</v>
      </c>
      <c r="M162" t="s">
        <v>382</v>
      </c>
      <c r="N162" t="s">
        <v>382</v>
      </c>
      <c r="O162" t="s">
        <v>382</v>
      </c>
      <c r="P162" t="s">
        <v>382</v>
      </c>
      <c r="Q162" t="s">
        <v>382</v>
      </c>
      <c r="R162" t="s">
        <v>382</v>
      </c>
      <c r="S162" t="s">
        <v>382</v>
      </c>
      <c r="T162" t="s">
        <v>382</v>
      </c>
      <c r="U162" t="s">
        <v>382</v>
      </c>
      <c r="V162" t="s">
        <v>382</v>
      </c>
      <c r="W162" t="s">
        <v>382</v>
      </c>
      <c r="X162" t="s">
        <v>382</v>
      </c>
      <c r="Y162" t="s">
        <v>382</v>
      </c>
      <c r="Z162" t="s">
        <v>382</v>
      </c>
      <c r="AA162" t="s">
        <v>382</v>
      </c>
      <c r="AB162" t="s">
        <v>382</v>
      </c>
      <c r="AC162">
        <v>5</v>
      </c>
      <c r="AD162">
        <v>1</v>
      </c>
      <c r="AF162" t="s">
        <v>386</v>
      </c>
      <c r="AH162" t="s">
        <v>29</v>
      </c>
      <c r="AI162" t="s">
        <v>103</v>
      </c>
      <c r="AK162">
        <v>1694</v>
      </c>
      <c r="AL162">
        <v>443</v>
      </c>
    </row>
    <row r="163" spans="1:38">
      <c r="A163" t="s">
        <v>382</v>
      </c>
      <c r="B163" t="s">
        <v>382</v>
      </c>
      <c r="C163" t="s">
        <v>382</v>
      </c>
      <c r="D163" t="s">
        <v>382</v>
      </c>
      <c r="E163" t="s">
        <v>382</v>
      </c>
      <c r="F163" t="s">
        <v>382</v>
      </c>
      <c r="G163" t="s">
        <v>382</v>
      </c>
      <c r="H163" t="s">
        <v>382</v>
      </c>
      <c r="I163" t="s">
        <v>382</v>
      </c>
      <c r="J163" t="s">
        <v>382</v>
      </c>
      <c r="K163" t="s">
        <v>382</v>
      </c>
      <c r="L163" t="s">
        <v>382</v>
      </c>
      <c r="M163" t="s">
        <v>382</v>
      </c>
      <c r="N163" t="s">
        <v>382</v>
      </c>
      <c r="O163" t="s">
        <v>382</v>
      </c>
      <c r="P163" t="s">
        <v>382</v>
      </c>
      <c r="Q163" t="s">
        <v>382</v>
      </c>
      <c r="R163" t="s">
        <v>382</v>
      </c>
      <c r="S163" t="s">
        <v>382</v>
      </c>
      <c r="T163" t="s">
        <v>382</v>
      </c>
      <c r="U163" t="s">
        <v>382</v>
      </c>
      <c r="V163" t="s">
        <v>382</v>
      </c>
      <c r="W163" t="s">
        <v>382</v>
      </c>
      <c r="X163" t="s">
        <v>382</v>
      </c>
      <c r="Y163" t="s">
        <v>382</v>
      </c>
      <c r="Z163" t="s">
        <v>382</v>
      </c>
      <c r="AA163" t="s">
        <v>382</v>
      </c>
      <c r="AB163" t="s">
        <v>382</v>
      </c>
      <c r="AC163">
        <v>5</v>
      </c>
      <c r="AD163">
        <v>2</v>
      </c>
      <c r="AF163" t="s">
        <v>386</v>
      </c>
      <c r="AH163" t="s">
        <v>29</v>
      </c>
      <c r="AI163" t="s">
        <v>103</v>
      </c>
      <c r="AK163">
        <v>3207</v>
      </c>
      <c r="AL163">
        <v>154</v>
      </c>
    </row>
    <row r="164" spans="1:38">
      <c r="A164" t="s">
        <v>382</v>
      </c>
      <c r="B164" t="s">
        <v>382</v>
      </c>
      <c r="C164" t="s">
        <v>382</v>
      </c>
      <c r="D164" t="s">
        <v>382</v>
      </c>
      <c r="E164" t="s">
        <v>382</v>
      </c>
      <c r="F164" t="s">
        <v>382</v>
      </c>
      <c r="G164" t="s">
        <v>382</v>
      </c>
      <c r="H164" t="s">
        <v>382</v>
      </c>
      <c r="I164" t="s">
        <v>382</v>
      </c>
      <c r="J164" t="s">
        <v>382</v>
      </c>
      <c r="K164" t="s">
        <v>382</v>
      </c>
      <c r="L164" t="s">
        <v>382</v>
      </c>
      <c r="M164" t="s">
        <v>382</v>
      </c>
      <c r="N164" t="s">
        <v>382</v>
      </c>
      <c r="O164" t="s">
        <v>382</v>
      </c>
      <c r="P164" t="s">
        <v>382</v>
      </c>
      <c r="Q164" t="s">
        <v>382</v>
      </c>
      <c r="R164" t="s">
        <v>382</v>
      </c>
      <c r="S164" t="s">
        <v>382</v>
      </c>
      <c r="T164" t="s">
        <v>382</v>
      </c>
      <c r="U164" t="s">
        <v>382</v>
      </c>
      <c r="V164" t="s">
        <v>382</v>
      </c>
      <c r="W164" t="s">
        <v>382</v>
      </c>
      <c r="X164" t="s">
        <v>382</v>
      </c>
      <c r="Y164" t="s">
        <v>382</v>
      </c>
      <c r="Z164" t="s">
        <v>382</v>
      </c>
      <c r="AA164" t="s">
        <v>382</v>
      </c>
      <c r="AB164" t="s">
        <v>382</v>
      </c>
      <c r="AC164">
        <v>5</v>
      </c>
      <c r="AD164">
        <v>3</v>
      </c>
      <c r="AE164">
        <v>1</v>
      </c>
      <c r="AF164" t="s">
        <v>391</v>
      </c>
      <c r="AH164" t="s">
        <v>38</v>
      </c>
      <c r="AI164" t="s">
        <v>97</v>
      </c>
      <c r="AK164">
        <v>2950</v>
      </c>
      <c r="AL164">
        <v>1781</v>
      </c>
    </row>
    <row r="165" spans="1:38">
      <c r="A165" t="s">
        <v>382</v>
      </c>
      <c r="B165" t="s">
        <v>382</v>
      </c>
      <c r="C165" t="s">
        <v>382</v>
      </c>
      <c r="D165" t="s">
        <v>382</v>
      </c>
      <c r="E165" t="s">
        <v>382</v>
      </c>
      <c r="F165" t="s">
        <v>382</v>
      </c>
      <c r="G165" t="s">
        <v>382</v>
      </c>
      <c r="H165" t="s">
        <v>382</v>
      </c>
      <c r="I165" t="s">
        <v>382</v>
      </c>
      <c r="J165" t="s">
        <v>382</v>
      </c>
      <c r="K165" t="s">
        <v>382</v>
      </c>
      <c r="L165" t="s">
        <v>382</v>
      </c>
      <c r="M165" t="s">
        <v>382</v>
      </c>
      <c r="N165" t="s">
        <v>382</v>
      </c>
      <c r="O165" t="s">
        <v>382</v>
      </c>
      <c r="P165" t="s">
        <v>382</v>
      </c>
      <c r="Q165" t="s">
        <v>382</v>
      </c>
      <c r="R165" t="s">
        <v>382</v>
      </c>
      <c r="S165" t="s">
        <v>382</v>
      </c>
      <c r="T165" t="s">
        <v>382</v>
      </c>
      <c r="U165" t="s">
        <v>382</v>
      </c>
      <c r="V165" t="s">
        <v>382</v>
      </c>
      <c r="W165" t="s">
        <v>382</v>
      </c>
      <c r="X165" t="s">
        <v>382</v>
      </c>
      <c r="Y165" t="s">
        <v>382</v>
      </c>
      <c r="Z165" t="s">
        <v>382</v>
      </c>
      <c r="AA165" t="s">
        <v>382</v>
      </c>
      <c r="AB165" t="s">
        <v>382</v>
      </c>
      <c r="AC165">
        <v>5</v>
      </c>
      <c r="AD165">
        <v>4</v>
      </c>
      <c r="AE165">
        <v>1</v>
      </c>
      <c r="AF165" t="s">
        <v>391</v>
      </c>
      <c r="AH165" t="s">
        <v>38</v>
      </c>
      <c r="AI165" t="s">
        <v>97</v>
      </c>
      <c r="AK165">
        <v>2659</v>
      </c>
      <c r="AL165">
        <v>1194</v>
      </c>
    </row>
    <row r="166" spans="1:38">
      <c r="A166" t="s">
        <v>382</v>
      </c>
      <c r="B166" t="s">
        <v>382</v>
      </c>
      <c r="C166" t="s">
        <v>382</v>
      </c>
      <c r="D166" t="s">
        <v>382</v>
      </c>
      <c r="E166" t="s">
        <v>382</v>
      </c>
      <c r="F166" t="s">
        <v>382</v>
      </c>
      <c r="G166" t="s">
        <v>382</v>
      </c>
      <c r="H166" t="s">
        <v>382</v>
      </c>
      <c r="I166" t="s">
        <v>382</v>
      </c>
      <c r="J166" t="s">
        <v>382</v>
      </c>
      <c r="K166" t="s">
        <v>382</v>
      </c>
      <c r="L166" t="s">
        <v>382</v>
      </c>
      <c r="M166" t="s">
        <v>382</v>
      </c>
      <c r="N166" t="s">
        <v>382</v>
      </c>
      <c r="O166" t="s">
        <v>382</v>
      </c>
      <c r="P166" t="s">
        <v>382</v>
      </c>
      <c r="Q166" t="s">
        <v>382</v>
      </c>
      <c r="R166" t="s">
        <v>382</v>
      </c>
      <c r="S166" t="s">
        <v>382</v>
      </c>
      <c r="T166" t="s">
        <v>382</v>
      </c>
      <c r="U166" t="s">
        <v>382</v>
      </c>
      <c r="V166" t="s">
        <v>382</v>
      </c>
      <c r="W166" t="s">
        <v>382</v>
      </c>
      <c r="X166" t="s">
        <v>382</v>
      </c>
      <c r="Y166" t="s">
        <v>382</v>
      </c>
      <c r="Z166" t="s">
        <v>382</v>
      </c>
      <c r="AA166" t="s">
        <v>382</v>
      </c>
      <c r="AB166" t="s">
        <v>382</v>
      </c>
      <c r="AC166">
        <v>5</v>
      </c>
      <c r="AD166">
        <v>5</v>
      </c>
      <c r="AF166" t="s">
        <v>386</v>
      </c>
      <c r="AH166" t="s">
        <v>29</v>
      </c>
      <c r="AI166" t="s">
        <v>103</v>
      </c>
      <c r="AK166">
        <v>1370</v>
      </c>
      <c r="AL166">
        <v>162</v>
      </c>
    </row>
    <row r="167" spans="1:38">
      <c r="A167" t="s">
        <v>382</v>
      </c>
      <c r="B167" t="s">
        <v>382</v>
      </c>
      <c r="C167" t="s">
        <v>382</v>
      </c>
      <c r="D167" t="s">
        <v>382</v>
      </c>
      <c r="E167" t="s">
        <v>382</v>
      </c>
      <c r="F167" t="s">
        <v>382</v>
      </c>
      <c r="G167" t="s">
        <v>382</v>
      </c>
      <c r="H167" t="s">
        <v>382</v>
      </c>
      <c r="I167" t="s">
        <v>382</v>
      </c>
      <c r="J167" t="s">
        <v>382</v>
      </c>
      <c r="K167" t="s">
        <v>382</v>
      </c>
      <c r="L167" t="s">
        <v>382</v>
      </c>
      <c r="M167" t="s">
        <v>382</v>
      </c>
      <c r="N167" t="s">
        <v>382</v>
      </c>
      <c r="O167" t="s">
        <v>382</v>
      </c>
      <c r="P167" t="s">
        <v>382</v>
      </c>
      <c r="Q167" t="s">
        <v>382</v>
      </c>
      <c r="R167" t="s">
        <v>382</v>
      </c>
      <c r="S167" t="s">
        <v>382</v>
      </c>
      <c r="T167" t="s">
        <v>382</v>
      </c>
      <c r="U167" t="s">
        <v>382</v>
      </c>
      <c r="V167" t="s">
        <v>382</v>
      </c>
      <c r="W167" t="s">
        <v>382</v>
      </c>
      <c r="X167" t="s">
        <v>382</v>
      </c>
      <c r="Y167" t="s">
        <v>382</v>
      </c>
      <c r="Z167" t="s">
        <v>382</v>
      </c>
      <c r="AA167" t="s">
        <v>382</v>
      </c>
      <c r="AB167" t="s">
        <v>382</v>
      </c>
      <c r="AC167">
        <v>5</v>
      </c>
      <c r="AD167">
        <v>1</v>
      </c>
      <c r="AE167">
        <v>1</v>
      </c>
      <c r="AF167" t="s">
        <v>383</v>
      </c>
      <c r="AH167" t="s">
        <v>22</v>
      </c>
      <c r="AI167" t="s">
        <v>97</v>
      </c>
      <c r="AK167">
        <v>1842</v>
      </c>
      <c r="AL167">
        <v>332</v>
      </c>
    </row>
    <row r="168" spans="1:38">
      <c r="A168" t="s">
        <v>382</v>
      </c>
      <c r="B168" t="s">
        <v>382</v>
      </c>
      <c r="C168" t="s">
        <v>382</v>
      </c>
      <c r="D168" t="s">
        <v>382</v>
      </c>
      <c r="E168" t="s">
        <v>382</v>
      </c>
      <c r="F168" t="s">
        <v>382</v>
      </c>
      <c r="G168" t="s">
        <v>382</v>
      </c>
      <c r="H168" t="s">
        <v>382</v>
      </c>
      <c r="I168" t="s">
        <v>382</v>
      </c>
      <c r="J168" t="s">
        <v>382</v>
      </c>
      <c r="K168" t="s">
        <v>382</v>
      </c>
      <c r="L168" t="s">
        <v>382</v>
      </c>
      <c r="M168" t="s">
        <v>382</v>
      </c>
      <c r="N168" t="s">
        <v>382</v>
      </c>
      <c r="O168" t="s">
        <v>382</v>
      </c>
      <c r="P168" t="s">
        <v>382</v>
      </c>
      <c r="Q168" t="s">
        <v>382</v>
      </c>
      <c r="R168" t="s">
        <v>382</v>
      </c>
      <c r="S168" t="s">
        <v>382</v>
      </c>
      <c r="T168" t="s">
        <v>382</v>
      </c>
      <c r="U168" t="s">
        <v>382</v>
      </c>
      <c r="V168" t="s">
        <v>382</v>
      </c>
      <c r="W168" t="s">
        <v>382</v>
      </c>
      <c r="X168" t="s">
        <v>382</v>
      </c>
      <c r="Y168" t="s">
        <v>382</v>
      </c>
      <c r="Z168" t="s">
        <v>382</v>
      </c>
      <c r="AA168" t="s">
        <v>382</v>
      </c>
      <c r="AB168" t="s">
        <v>382</v>
      </c>
      <c r="AC168">
        <v>5</v>
      </c>
      <c r="AD168">
        <v>2</v>
      </c>
      <c r="AE168">
        <v>1</v>
      </c>
      <c r="AF168" t="s">
        <v>383</v>
      </c>
      <c r="AH168" t="s">
        <v>22</v>
      </c>
      <c r="AI168" t="s">
        <v>97</v>
      </c>
      <c r="AK168">
        <v>1929</v>
      </c>
      <c r="AL168">
        <v>808</v>
      </c>
    </row>
    <row r="169" spans="1:38">
      <c r="A169" t="s">
        <v>382</v>
      </c>
      <c r="B169" t="s">
        <v>382</v>
      </c>
      <c r="C169" t="s">
        <v>382</v>
      </c>
      <c r="D169" t="s">
        <v>382</v>
      </c>
      <c r="E169" t="s">
        <v>382</v>
      </c>
      <c r="F169" t="s">
        <v>382</v>
      </c>
      <c r="G169" t="s">
        <v>382</v>
      </c>
      <c r="H169" t="s">
        <v>382</v>
      </c>
      <c r="I169" t="s">
        <v>382</v>
      </c>
      <c r="J169" t="s">
        <v>382</v>
      </c>
      <c r="K169" t="s">
        <v>382</v>
      </c>
      <c r="L169" t="s">
        <v>382</v>
      </c>
      <c r="M169" t="s">
        <v>382</v>
      </c>
      <c r="N169" t="s">
        <v>382</v>
      </c>
      <c r="O169" t="s">
        <v>382</v>
      </c>
      <c r="P169" t="s">
        <v>382</v>
      </c>
      <c r="Q169" t="s">
        <v>382</v>
      </c>
      <c r="R169" t="s">
        <v>382</v>
      </c>
      <c r="S169" t="s">
        <v>382</v>
      </c>
      <c r="T169" t="s">
        <v>382</v>
      </c>
      <c r="U169" t="s">
        <v>382</v>
      </c>
      <c r="V169" t="s">
        <v>382</v>
      </c>
      <c r="W169" t="s">
        <v>382</v>
      </c>
      <c r="X169" t="s">
        <v>382</v>
      </c>
      <c r="Y169" t="s">
        <v>382</v>
      </c>
      <c r="Z169" t="s">
        <v>382</v>
      </c>
      <c r="AA169" t="s">
        <v>382</v>
      </c>
      <c r="AB169" t="s">
        <v>382</v>
      </c>
      <c r="AC169">
        <v>5</v>
      </c>
      <c r="AD169">
        <v>3</v>
      </c>
      <c r="AE169">
        <v>1</v>
      </c>
      <c r="AF169" t="s">
        <v>383</v>
      </c>
      <c r="AH169" t="s">
        <v>22</v>
      </c>
      <c r="AI169" t="s">
        <v>97</v>
      </c>
      <c r="AK169">
        <v>3031</v>
      </c>
      <c r="AL169">
        <v>1894</v>
      </c>
    </row>
    <row r="170" spans="1:38">
      <c r="A170" t="s">
        <v>382</v>
      </c>
      <c r="B170" t="s">
        <v>382</v>
      </c>
      <c r="C170" t="s">
        <v>382</v>
      </c>
      <c r="D170" t="s">
        <v>382</v>
      </c>
      <c r="E170" t="s">
        <v>382</v>
      </c>
      <c r="F170" t="s">
        <v>382</v>
      </c>
      <c r="G170" t="s">
        <v>382</v>
      </c>
      <c r="H170" t="s">
        <v>382</v>
      </c>
      <c r="I170" t="s">
        <v>382</v>
      </c>
      <c r="J170" t="s">
        <v>382</v>
      </c>
      <c r="K170" t="s">
        <v>382</v>
      </c>
      <c r="L170" t="s">
        <v>382</v>
      </c>
      <c r="M170" t="s">
        <v>382</v>
      </c>
      <c r="N170" t="s">
        <v>382</v>
      </c>
      <c r="O170" t="s">
        <v>382</v>
      </c>
      <c r="P170" t="s">
        <v>382</v>
      </c>
      <c r="Q170" t="s">
        <v>382</v>
      </c>
      <c r="R170" t="s">
        <v>382</v>
      </c>
      <c r="S170" t="s">
        <v>382</v>
      </c>
      <c r="T170" t="s">
        <v>382</v>
      </c>
      <c r="U170" t="s">
        <v>382</v>
      </c>
      <c r="V170" t="s">
        <v>382</v>
      </c>
      <c r="W170" t="s">
        <v>382</v>
      </c>
      <c r="X170" t="s">
        <v>382</v>
      </c>
      <c r="Y170" t="s">
        <v>382</v>
      </c>
      <c r="Z170" t="s">
        <v>382</v>
      </c>
      <c r="AA170" t="s">
        <v>382</v>
      </c>
      <c r="AB170" t="s">
        <v>382</v>
      </c>
      <c r="AC170">
        <v>5</v>
      </c>
      <c r="AD170">
        <v>4</v>
      </c>
      <c r="AE170">
        <v>1</v>
      </c>
      <c r="AF170" t="s">
        <v>383</v>
      </c>
      <c r="AH170" t="s">
        <v>22</v>
      </c>
      <c r="AI170" t="s">
        <v>97</v>
      </c>
      <c r="AK170">
        <v>1180</v>
      </c>
      <c r="AL170">
        <v>1627</v>
      </c>
    </row>
    <row r="171" spans="1:38">
      <c r="A171" t="s">
        <v>382</v>
      </c>
      <c r="B171" t="s">
        <v>382</v>
      </c>
      <c r="C171" t="s">
        <v>382</v>
      </c>
      <c r="D171" t="s">
        <v>382</v>
      </c>
      <c r="E171" t="s">
        <v>382</v>
      </c>
      <c r="F171" t="s">
        <v>382</v>
      </c>
      <c r="G171" t="s">
        <v>382</v>
      </c>
      <c r="H171" t="s">
        <v>382</v>
      </c>
      <c r="I171" t="s">
        <v>382</v>
      </c>
      <c r="J171" t="s">
        <v>382</v>
      </c>
      <c r="K171" t="s">
        <v>382</v>
      </c>
      <c r="L171" t="s">
        <v>382</v>
      </c>
      <c r="M171" t="s">
        <v>382</v>
      </c>
      <c r="N171" t="s">
        <v>382</v>
      </c>
      <c r="O171" t="s">
        <v>382</v>
      </c>
      <c r="P171" t="s">
        <v>382</v>
      </c>
      <c r="Q171" t="s">
        <v>382</v>
      </c>
      <c r="R171" t="s">
        <v>382</v>
      </c>
      <c r="S171" t="s">
        <v>382</v>
      </c>
      <c r="T171" t="s">
        <v>382</v>
      </c>
      <c r="U171" t="s">
        <v>382</v>
      </c>
      <c r="V171" t="s">
        <v>382</v>
      </c>
      <c r="W171" t="s">
        <v>382</v>
      </c>
      <c r="X171" t="s">
        <v>382</v>
      </c>
      <c r="Y171" t="s">
        <v>382</v>
      </c>
      <c r="Z171" t="s">
        <v>382</v>
      </c>
      <c r="AA171" t="s">
        <v>382</v>
      </c>
      <c r="AB171" t="s">
        <v>382</v>
      </c>
      <c r="AC171">
        <v>5</v>
      </c>
      <c r="AD171">
        <v>5</v>
      </c>
      <c r="AE171">
        <v>1</v>
      </c>
      <c r="AF171" t="s">
        <v>383</v>
      </c>
      <c r="AH171" t="s">
        <v>22</v>
      </c>
      <c r="AI171" t="s">
        <v>97</v>
      </c>
      <c r="AK171">
        <v>1812</v>
      </c>
      <c r="AL171">
        <v>1430</v>
      </c>
    </row>
    <row r="172" spans="1:38">
      <c r="A172" t="s">
        <v>382</v>
      </c>
      <c r="B172" t="s">
        <v>382</v>
      </c>
      <c r="C172" t="s">
        <v>382</v>
      </c>
      <c r="D172" t="s">
        <v>382</v>
      </c>
      <c r="E172" t="s">
        <v>382</v>
      </c>
      <c r="F172" t="s">
        <v>382</v>
      </c>
      <c r="G172" t="s">
        <v>382</v>
      </c>
      <c r="H172" t="s">
        <v>382</v>
      </c>
      <c r="I172" t="s">
        <v>382</v>
      </c>
      <c r="J172" t="s">
        <v>382</v>
      </c>
      <c r="K172" t="s">
        <v>382</v>
      </c>
      <c r="L172" t="s">
        <v>382</v>
      </c>
      <c r="M172" t="s">
        <v>382</v>
      </c>
      <c r="N172" t="s">
        <v>382</v>
      </c>
      <c r="O172" t="s">
        <v>382</v>
      </c>
      <c r="P172" t="s">
        <v>382</v>
      </c>
      <c r="Q172" t="s">
        <v>382</v>
      </c>
      <c r="R172" t="s">
        <v>382</v>
      </c>
      <c r="S172" t="s">
        <v>382</v>
      </c>
      <c r="T172" t="s">
        <v>382</v>
      </c>
      <c r="U172" t="s">
        <v>382</v>
      </c>
      <c r="V172" t="s">
        <v>382</v>
      </c>
      <c r="W172" t="s">
        <v>382</v>
      </c>
      <c r="X172" t="s">
        <v>382</v>
      </c>
      <c r="Y172" t="s">
        <v>382</v>
      </c>
      <c r="Z172" t="s">
        <v>382</v>
      </c>
      <c r="AA172" t="s">
        <v>382</v>
      </c>
      <c r="AB172" t="s">
        <v>382</v>
      </c>
      <c r="AC172">
        <v>5</v>
      </c>
      <c r="AD172">
        <v>1</v>
      </c>
      <c r="AE172">
        <v>1</v>
      </c>
      <c r="AF172" t="s">
        <v>383</v>
      </c>
      <c r="AH172" t="s">
        <v>22</v>
      </c>
      <c r="AI172" t="s">
        <v>97</v>
      </c>
      <c r="AK172">
        <v>1387</v>
      </c>
      <c r="AL172">
        <v>310</v>
      </c>
    </row>
    <row r="173" spans="1:38">
      <c r="A173" t="s">
        <v>382</v>
      </c>
      <c r="B173" t="s">
        <v>382</v>
      </c>
      <c r="C173" t="s">
        <v>382</v>
      </c>
      <c r="D173" t="s">
        <v>382</v>
      </c>
      <c r="E173" t="s">
        <v>382</v>
      </c>
      <c r="F173" t="s">
        <v>382</v>
      </c>
      <c r="G173" t="s">
        <v>382</v>
      </c>
      <c r="H173" t="s">
        <v>382</v>
      </c>
      <c r="I173" t="s">
        <v>382</v>
      </c>
      <c r="J173" t="s">
        <v>382</v>
      </c>
      <c r="K173" t="s">
        <v>382</v>
      </c>
      <c r="L173" t="s">
        <v>382</v>
      </c>
      <c r="M173" t="s">
        <v>382</v>
      </c>
      <c r="N173" t="s">
        <v>382</v>
      </c>
      <c r="O173" t="s">
        <v>382</v>
      </c>
      <c r="P173" t="s">
        <v>382</v>
      </c>
      <c r="Q173" t="s">
        <v>382</v>
      </c>
      <c r="R173" t="s">
        <v>382</v>
      </c>
      <c r="S173" t="s">
        <v>382</v>
      </c>
      <c r="T173" t="s">
        <v>382</v>
      </c>
      <c r="U173" t="s">
        <v>382</v>
      </c>
      <c r="V173" t="s">
        <v>382</v>
      </c>
      <c r="W173" t="s">
        <v>382</v>
      </c>
      <c r="X173" t="s">
        <v>382</v>
      </c>
      <c r="Y173" t="s">
        <v>382</v>
      </c>
      <c r="Z173" t="s">
        <v>382</v>
      </c>
      <c r="AA173" t="s">
        <v>382</v>
      </c>
      <c r="AB173" t="s">
        <v>382</v>
      </c>
      <c r="AC173">
        <v>5</v>
      </c>
      <c r="AD173">
        <v>2</v>
      </c>
      <c r="AE173">
        <v>1</v>
      </c>
      <c r="AF173" t="s">
        <v>383</v>
      </c>
      <c r="AH173" t="s">
        <v>22</v>
      </c>
      <c r="AI173" t="s">
        <v>97</v>
      </c>
      <c r="AK173">
        <v>2446</v>
      </c>
      <c r="AL173">
        <v>2441</v>
      </c>
    </row>
    <row r="174" spans="1:38">
      <c r="A174" t="s">
        <v>382</v>
      </c>
      <c r="B174" t="s">
        <v>382</v>
      </c>
      <c r="C174" t="s">
        <v>382</v>
      </c>
      <c r="D174" t="s">
        <v>382</v>
      </c>
      <c r="E174" t="s">
        <v>382</v>
      </c>
      <c r="F174" t="s">
        <v>382</v>
      </c>
      <c r="G174" t="s">
        <v>382</v>
      </c>
      <c r="H174" t="s">
        <v>382</v>
      </c>
      <c r="I174" t="s">
        <v>382</v>
      </c>
      <c r="J174" t="s">
        <v>382</v>
      </c>
      <c r="K174" t="s">
        <v>382</v>
      </c>
      <c r="L174" t="s">
        <v>382</v>
      </c>
      <c r="M174" t="s">
        <v>382</v>
      </c>
      <c r="N174" t="s">
        <v>382</v>
      </c>
      <c r="O174" t="s">
        <v>382</v>
      </c>
      <c r="P174" t="s">
        <v>382</v>
      </c>
      <c r="Q174" t="s">
        <v>382</v>
      </c>
      <c r="R174" t="s">
        <v>382</v>
      </c>
      <c r="S174" t="s">
        <v>382</v>
      </c>
      <c r="T174" t="s">
        <v>382</v>
      </c>
      <c r="U174" t="s">
        <v>382</v>
      </c>
      <c r="V174" t="s">
        <v>382</v>
      </c>
      <c r="W174" t="s">
        <v>382</v>
      </c>
      <c r="X174" t="s">
        <v>382</v>
      </c>
      <c r="Y174" t="s">
        <v>382</v>
      </c>
      <c r="Z174" t="s">
        <v>382</v>
      </c>
      <c r="AA174" t="s">
        <v>382</v>
      </c>
      <c r="AB174" t="s">
        <v>382</v>
      </c>
      <c r="AC174">
        <v>5</v>
      </c>
      <c r="AD174">
        <v>3</v>
      </c>
      <c r="AE174">
        <v>1</v>
      </c>
      <c r="AF174" t="s">
        <v>391</v>
      </c>
      <c r="AH174" t="s">
        <v>38</v>
      </c>
      <c r="AI174" t="s">
        <v>97</v>
      </c>
      <c r="AK174">
        <v>1059</v>
      </c>
      <c r="AL174">
        <v>1705</v>
      </c>
    </row>
    <row r="175" spans="1:38">
      <c r="A175" t="s">
        <v>382</v>
      </c>
      <c r="B175" t="s">
        <v>382</v>
      </c>
      <c r="C175" t="s">
        <v>382</v>
      </c>
      <c r="D175" t="s">
        <v>382</v>
      </c>
      <c r="E175" t="s">
        <v>382</v>
      </c>
      <c r="F175" t="s">
        <v>382</v>
      </c>
      <c r="G175" t="s">
        <v>382</v>
      </c>
      <c r="H175" t="s">
        <v>382</v>
      </c>
      <c r="I175" t="s">
        <v>382</v>
      </c>
      <c r="J175" t="s">
        <v>382</v>
      </c>
      <c r="K175" t="s">
        <v>382</v>
      </c>
      <c r="L175" t="s">
        <v>382</v>
      </c>
      <c r="M175" t="s">
        <v>382</v>
      </c>
      <c r="N175" t="s">
        <v>382</v>
      </c>
      <c r="O175" t="s">
        <v>382</v>
      </c>
      <c r="P175" t="s">
        <v>382</v>
      </c>
      <c r="Q175" t="s">
        <v>382</v>
      </c>
      <c r="R175" t="s">
        <v>382</v>
      </c>
      <c r="S175" t="s">
        <v>382</v>
      </c>
      <c r="T175" t="s">
        <v>382</v>
      </c>
      <c r="U175" t="s">
        <v>382</v>
      </c>
      <c r="V175" t="s">
        <v>382</v>
      </c>
      <c r="W175" t="s">
        <v>382</v>
      </c>
      <c r="X175" t="s">
        <v>382</v>
      </c>
      <c r="Y175" t="s">
        <v>382</v>
      </c>
      <c r="Z175" t="s">
        <v>382</v>
      </c>
      <c r="AA175" t="s">
        <v>382</v>
      </c>
      <c r="AB175" t="s">
        <v>382</v>
      </c>
      <c r="AC175">
        <v>5</v>
      </c>
      <c r="AD175">
        <v>4</v>
      </c>
      <c r="AE175">
        <v>1</v>
      </c>
      <c r="AF175" t="s">
        <v>383</v>
      </c>
      <c r="AH175" t="s">
        <v>22</v>
      </c>
      <c r="AI175" t="s">
        <v>97</v>
      </c>
      <c r="AK175">
        <v>1303</v>
      </c>
      <c r="AL175">
        <v>1957</v>
      </c>
    </row>
    <row r="176" spans="1:38">
      <c r="A176" t="s">
        <v>382</v>
      </c>
      <c r="B176" t="s">
        <v>382</v>
      </c>
      <c r="C176" t="s">
        <v>382</v>
      </c>
      <c r="D176" t="s">
        <v>382</v>
      </c>
      <c r="E176" t="s">
        <v>382</v>
      </c>
      <c r="F176" t="s">
        <v>382</v>
      </c>
      <c r="G176" t="s">
        <v>382</v>
      </c>
      <c r="H176" t="s">
        <v>382</v>
      </c>
      <c r="I176" t="s">
        <v>382</v>
      </c>
      <c r="J176" t="s">
        <v>382</v>
      </c>
      <c r="K176" t="s">
        <v>382</v>
      </c>
      <c r="L176" t="s">
        <v>382</v>
      </c>
      <c r="M176" t="s">
        <v>382</v>
      </c>
      <c r="N176" t="s">
        <v>382</v>
      </c>
      <c r="O176" t="s">
        <v>382</v>
      </c>
      <c r="P176" t="s">
        <v>382</v>
      </c>
      <c r="Q176" t="s">
        <v>382</v>
      </c>
      <c r="R176" t="s">
        <v>382</v>
      </c>
      <c r="S176" t="s">
        <v>382</v>
      </c>
      <c r="T176" t="s">
        <v>382</v>
      </c>
      <c r="U176" t="s">
        <v>382</v>
      </c>
      <c r="V176" t="s">
        <v>382</v>
      </c>
      <c r="W176" t="s">
        <v>382</v>
      </c>
      <c r="X176" t="s">
        <v>382</v>
      </c>
      <c r="Y176" t="s">
        <v>382</v>
      </c>
      <c r="Z176" t="s">
        <v>382</v>
      </c>
      <c r="AA176" t="s">
        <v>382</v>
      </c>
      <c r="AB176" t="s">
        <v>382</v>
      </c>
      <c r="AC176">
        <v>5</v>
      </c>
      <c r="AD176">
        <v>5</v>
      </c>
      <c r="AE176">
        <v>1</v>
      </c>
      <c r="AF176" t="s">
        <v>383</v>
      </c>
      <c r="AH176" t="s">
        <v>22</v>
      </c>
      <c r="AI176" t="s">
        <v>97</v>
      </c>
      <c r="AK176">
        <v>1486</v>
      </c>
      <c r="AL176">
        <v>2400</v>
      </c>
    </row>
    <row r="177" spans="1:38">
      <c r="A177" t="s">
        <v>382</v>
      </c>
      <c r="B177" t="s">
        <v>382</v>
      </c>
      <c r="C177" t="s">
        <v>382</v>
      </c>
      <c r="D177" t="s">
        <v>382</v>
      </c>
      <c r="E177" t="s">
        <v>382</v>
      </c>
      <c r="F177" t="s">
        <v>382</v>
      </c>
      <c r="G177" t="s">
        <v>382</v>
      </c>
      <c r="H177" t="s">
        <v>382</v>
      </c>
      <c r="I177" t="s">
        <v>382</v>
      </c>
      <c r="J177" t="s">
        <v>382</v>
      </c>
      <c r="K177" t="s">
        <v>382</v>
      </c>
      <c r="L177" t="s">
        <v>382</v>
      </c>
      <c r="M177" t="s">
        <v>382</v>
      </c>
      <c r="N177" t="s">
        <v>382</v>
      </c>
      <c r="O177" t="s">
        <v>382</v>
      </c>
      <c r="P177" t="s">
        <v>382</v>
      </c>
      <c r="Q177" t="s">
        <v>382</v>
      </c>
      <c r="R177" t="s">
        <v>382</v>
      </c>
      <c r="S177" t="s">
        <v>382</v>
      </c>
      <c r="T177" t="s">
        <v>382</v>
      </c>
      <c r="U177" t="s">
        <v>382</v>
      </c>
      <c r="V177" t="s">
        <v>382</v>
      </c>
      <c r="W177" t="s">
        <v>382</v>
      </c>
      <c r="X177" t="s">
        <v>382</v>
      </c>
      <c r="Y177" t="s">
        <v>382</v>
      </c>
      <c r="Z177" t="s">
        <v>382</v>
      </c>
      <c r="AA177" t="s">
        <v>382</v>
      </c>
      <c r="AB177" t="s">
        <v>382</v>
      </c>
      <c r="AC177">
        <v>5</v>
      </c>
      <c r="AD177">
        <v>1</v>
      </c>
      <c r="AF177" t="s">
        <v>385</v>
      </c>
      <c r="AH177" t="s">
        <v>27</v>
      </c>
      <c r="AI177" t="s">
        <v>109</v>
      </c>
      <c r="AK177">
        <v>1355</v>
      </c>
      <c r="AL177">
        <v>2209</v>
      </c>
    </row>
    <row r="178" spans="1:38">
      <c r="A178" t="s">
        <v>382</v>
      </c>
      <c r="B178" t="s">
        <v>382</v>
      </c>
      <c r="C178" t="s">
        <v>382</v>
      </c>
      <c r="D178" t="s">
        <v>382</v>
      </c>
      <c r="E178" t="s">
        <v>382</v>
      </c>
      <c r="F178" t="s">
        <v>382</v>
      </c>
      <c r="G178" t="s">
        <v>382</v>
      </c>
      <c r="H178" t="s">
        <v>382</v>
      </c>
      <c r="I178" t="s">
        <v>382</v>
      </c>
      <c r="J178" t="s">
        <v>382</v>
      </c>
      <c r="K178" t="s">
        <v>382</v>
      </c>
      <c r="L178" t="s">
        <v>382</v>
      </c>
      <c r="M178" t="s">
        <v>382</v>
      </c>
      <c r="N178" t="s">
        <v>382</v>
      </c>
      <c r="O178" t="s">
        <v>382</v>
      </c>
      <c r="P178" t="s">
        <v>382</v>
      </c>
      <c r="Q178" t="s">
        <v>382</v>
      </c>
      <c r="R178" t="s">
        <v>382</v>
      </c>
      <c r="S178" t="s">
        <v>382</v>
      </c>
      <c r="T178" t="s">
        <v>382</v>
      </c>
      <c r="U178" t="s">
        <v>382</v>
      </c>
      <c r="V178" t="s">
        <v>382</v>
      </c>
      <c r="W178" t="s">
        <v>382</v>
      </c>
      <c r="X178" t="s">
        <v>382</v>
      </c>
      <c r="Y178" t="s">
        <v>382</v>
      </c>
      <c r="Z178" t="s">
        <v>382</v>
      </c>
      <c r="AA178" t="s">
        <v>382</v>
      </c>
      <c r="AB178" t="s">
        <v>382</v>
      </c>
      <c r="AC178">
        <v>5</v>
      </c>
      <c r="AD178">
        <v>2</v>
      </c>
      <c r="AE178">
        <v>1</v>
      </c>
      <c r="AF178" t="s">
        <v>391</v>
      </c>
      <c r="AH178" t="s">
        <v>38</v>
      </c>
      <c r="AI178" t="s">
        <v>97</v>
      </c>
      <c r="AK178">
        <v>3265</v>
      </c>
      <c r="AL178">
        <v>1301</v>
      </c>
    </row>
    <row r="179" spans="1:38">
      <c r="A179" t="s">
        <v>382</v>
      </c>
      <c r="B179" t="s">
        <v>382</v>
      </c>
      <c r="C179" t="s">
        <v>382</v>
      </c>
      <c r="D179" t="s">
        <v>382</v>
      </c>
      <c r="E179" t="s">
        <v>382</v>
      </c>
      <c r="F179" t="s">
        <v>382</v>
      </c>
      <c r="G179" t="s">
        <v>382</v>
      </c>
      <c r="H179" t="s">
        <v>382</v>
      </c>
      <c r="I179" t="s">
        <v>382</v>
      </c>
      <c r="J179" t="s">
        <v>382</v>
      </c>
      <c r="K179" t="s">
        <v>382</v>
      </c>
      <c r="L179" t="s">
        <v>382</v>
      </c>
      <c r="M179" t="s">
        <v>382</v>
      </c>
      <c r="N179" t="s">
        <v>382</v>
      </c>
      <c r="O179" t="s">
        <v>382</v>
      </c>
      <c r="P179" t="s">
        <v>382</v>
      </c>
      <c r="Q179" t="s">
        <v>382</v>
      </c>
      <c r="R179" t="s">
        <v>382</v>
      </c>
      <c r="S179" t="s">
        <v>382</v>
      </c>
      <c r="T179" t="s">
        <v>382</v>
      </c>
      <c r="U179" t="s">
        <v>382</v>
      </c>
      <c r="V179" t="s">
        <v>382</v>
      </c>
      <c r="W179" t="s">
        <v>382</v>
      </c>
      <c r="X179" t="s">
        <v>382</v>
      </c>
      <c r="Y179" t="s">
        <v>382</v>
      </c>
      <c r="Z179" t="s">
        <v>382</v>
      </c>
      <c r="AA179" t="s">
        <v>382</v>
      </c>
      <c r="AB179" t="s">
        <v>382</v>
      </c>
      <c r="AC179">
        <v>5</v>
      </c>
      <c r="AD179">
        <v>3</v>
      </c>
      <c r="AF179" t="s">
        <v>386</v>
      </c>
      <c r="AH179" t="s">
        <v>29</v>
      </c>
      <c r="AI179" t="s">
        <v>103</v>
      </c>
      <c r="AK179">
        <v>636</v>
      </c>
      <c r="AL179">
        <v>944</v>
      </c>
    </row>
    <row r="180" spans="1:38">
      <c r="A180" t="s">
        <v>382</v>
      </c>
      <c r="B180" t="s">
        <v>382</v>
      </c>
      <c r="C180" t="s">
        <v>382</v>
      </c>
      <c r="D180" t="s">
        <v>382</v>
      </c>
      <c r="E180" t="s">
        <v>382</v>
      </c>
      <c r="F180" t="s">
        <v>382</v>
      </c>
      <c r="G180" t="s">
        <v>382</v>
      </c>
      <c r="H180" t="s">
        <v>382</v>
      </c>
      <c r="I180" t="s">
        <v>382</v>
      </c>
      <c r="J180" t="s">
        <v>382</v>
      </c>
      <c r="K180" t="s">
        <v>382</v>
      </c>
      <c r="L180" t="s">
        <v>382</v>
      </c>
      <c r="M180" t="s">
        <v>382</v>
      </c>
      <c r="N180" t="s">
        <v>382</v>
      </c>
      <c r="O180" t="s">
        <v>382</v>
      </c>
      <c r="P180" t="s">
        <v>382</v>
      </c>
      <c r="Q180" t="s">
        <v>382</v>
      </c>
      <c r="R180" t="s">
        <v>382</v>
      </c>
      <c r="S180" t="s">
        <v>382</v>
      </c>
      <c r="T180" t="s">
        <v>382</v>
      </c>
      <c r="U180" t="s">
        <v>382</v>
      </c>
      <c r="V180" t="s">
        <v>382</v>
      </c>
      <c r="W180" t="s">
        <v>382</v>
      </c>
      <c r="X180" t="s">
        <v>382</v>
      </c>
      <c r="Y180" t="s">
        <v>382</v>
      </c>
      <c r="Z180" t="s">
        <v>382</v>
      </c>
      <c r="AA180" t="s">
        <v>382</v>
      </c>
      <c r="AB180" t="s">
        <v>382</v>
      </c>
      <c r="AC180">
        <v>5</v>
      </c>
      <c r="AD180">
        <v>4</v>
      </c>
      <c r="AF180" t="s">
        <v>386</v>
      </c>
      <c r="AH180" t="s">
        <v>29</v>
      </c>
      <c r="AI180" t="s">
        <v>103</v>
      </c>
      <c r="AK180">
        <v>617</v>
      </c>
      <c r="AL180">
        <v>972</v>
      </c>
    </row>
    <row r="181" spans="1:38">
      <c r="A181" t="s">
        <v>382</v>
      </c>
      <c r="B181" t="s">
        <v>382</v>
      </c>
      <c r="C181" t="s">
        <v>382</v>
      </c>
      <c r="D181" t="s">
        <v>382</v>
      </c>
      <c r="E181" t="s">
        <v>382</v>
      </c>
      <c r="F181" t="s">
        <v>382</v>
      </c>
      <c r="G181" t="s">
        <v>382</v>
      </c>
      <c r="H181" t="s">
        <v>382</v>
      </c>
      <c r="I181" t="s">
        <v>382</v>
      </c>
      <c r="J181" t="s">
        <v>382</v>
      </c>
      <c r="K181" t="s">
        <v>382</v>
      </c>
      <c r="L181" t="s">
        <v>382</v>
      </c>
      <c r="M181" t="s">
        <v>382</v>
      </c>
      <c r="N181" t="s">
        <v>382</v>
      </c>
      <c r="O181" t="s">
        <v>382</v>
      </c>
      <c r="P181" t="s">
        <v>382</v>
      </c>
      <c r="Q181" t="s">
        <v>382</v>
      </c>
      <c r="R181" t="s">
        <v>382</v>
      </c>
      <c r="S181" t="s">
        <v>382</v>
      </c>
      <c r="T181" t="s">
        <v>382</v>
      </c>
      <c r="U181" t="s">
        <v>382</v>
      </c>
      <c r="V181" t="s">
        <v>382</v>
      </c>
      <c r="W181" t="s">
        <v>382</v>
      </c>
      <c r="X181" t="s">
        <v>382</v>
      </c>
      <c r="Y181" t="s">
        <v>382</v>
      </c>
      <c r="Z181" t="s">
        <v>382</v>
      </c>
      <c r="AA181" t="s">
        <v>382</v>
      </c>
      <c r="AB181" t="s">
        <v>382</v>
      </c>
      <c r="AC181">
        <v>5</v>
      </c>
      <c r="AD181">
        <v>5</v>
      </c>
      <c r="AF181" t="s">
        <v>386</v>
      </c>
      <c r="AH181" t="s">
        <v>29</v>
      </c>
      <c r="AI181" t="s">
        <v>103</v>
      </c>
      <c r="AK181">
        <v>2244</v>
      </c>
      <c r="AL181">
        <v>1334</v>
      </c>
    </row>
    <row r="182" spans="1:38">
      <c r="A182" t="s">
        <v>382</v>
      </c>
      <c r="B182" t="s">
        <v>382</v>
      </c>
      <c r="C182" t="s">
        <v>382</v>
      </c>
      <c r="D182" t="s">
        <v>382</v>
      </c>
      <c r="E182" t="s">
        <v>382</v>
      </c>
      <c r="F182" t="s">
        <v>382</v>
      </c>
      <c r="G182" t="s">
        <v>382</v>
      </c>
      <c r="H182" t="s">
        <v>382</v>
      </c>
      <c r="I182" t="s">
        <v>382</v>
      </c>
      <c r="J182" t="s">
        <v>382</v>
      </c>
      <c r="K182" t="s">
        <v>382</v>
      </c>
      <c r="L182" t="s">
        <v>382</v>
      </c>
      <c r="M182" t="s">
        <v>382</v>
      </c>
      <c r="N182" t="s">
        <v>382</v>
      </c>
      <c r="O182" t="s">
        <v>382</v>
      </c>
      <c r="P182" t="s">
        <v>382</v>
      </c>
      <c r="Q182" t="s">
        <v>382</v>
      </c>
      <c r="R182" t="s">
        <v>382</v>
      </c>
      <c r="S182" t="s">
        <v>382</v>
      </c>
      <c r="T182" t="s">
        <v>382</v>
      </c>
      <c r="U182" t="s">
        <v>382</v>
      </c>
      <c r="V182" t="s">
        <v>382</v>
      </c>
      <c r="W182" t="s">
        <v>382</v>
      </c>
      <c r="X182" t="s">
        <v>382</v>
      </c>
      <c r="Y182" t="s">
        <v>382</v>
      </c>
      <c r="Z182" t="s">
        <v>382</v>
      </c>
      <c r="AA182" t="s">
        <v>382</v>
      </c>
      <c r="AB182" t="s">
        <v>382</v>
      </c>
      <c r="AC182">
        <v>5</v>
      </c>
      <c r="AD182">
        <v>1</v>
      </c>
      <c r="AF182" t="s">
        <v>386</v>
      </c>
      <c r="AH182" t="s">
        <v>29</v>
      </c>
      <c r="AI182" t="s">
        <v>103</v>
      </c>
      <c r="AK182">
        <v>1625</v>
      </c>
      <c r="AL182">
        <v>2439</v>
      </c>
    </row>
    <row r="183" spans="1:38">
      <c r="A183" t="s">
        <v>382</v>
      </c>
      <c r="B183" t="s">
        <v>382</v>
      </c>
      <c r="C183" t="s">
        <v>382</v>
      </c>
      <c r="D183" t="s">
        <v>382</v>
      </c>
      <c r="E183" t="s">
        <v>382</v>
      </c>
      <c r="F183" t="s">
        <v>382</v>
      </c>
      <c r="G183" t="s">
        <v>382</v>
      </c>
      <c r="H183" t="s">
        <v>382</v>
      </c>
      <c r="I183" t="s">
        <v>382</v>
      </c>
      <c r="J183" t="s">
        <v>382</v>
      </c>
      <c r="K183" t="s">
        <v>382</v>
      </c>
      <c r="L183" t="s">
        <v>382</v>
      </c>
      <c r="M183" t="s">
        <v>382</v>
      </c>
      <c r="N183" t="s">
        <v>382</v>
      </c>
      <c r="O183" t="s">
        <v>382</v>
      </c>
      <c r="P183" t="s">
        <v>382</v>
      </c>
      <c r="Q183" t="s">
        <v>382</v>
      </c>
      <c r="R183" t="s">
        <v>382</v>
      </c>
      <c r="S183" t="s">
        <v>382</v>
      </c>
      <c r="T183" t="s">
        <v>382</v>
      </c>
      <c r="U183" t="s">
        <v>382</v>
      </c>
      <c r="V183" t="s">
        <v>382</v>
      </c>
      <c r="W183" t="s">
        <v>382</v>
      </c>
      <c r="X183" t="s">
        <v>382</v>
      </c>
      <c r="Y183" t="s">
        <v>382</v>
      </c>
      <c r="Z183" t="s">
        <v>382</v>
      </c>
      <c r="AA183" t="s">
        <v>382</v>
      </c>
      <c r="AB183" t="s">
        <v>382</v>
      </c>
      <c r="AC183">
        <v>5</v>
      </c>
      <c r="AD183">
        <v>2</v>
      </c>
      <c r="AF183" t="s">
        <v>386</v>
      </c>
      <c r="AH183" t="s">
        <v>29</v>
      </c>
      <c r="AI183" t="s">
        <v>103</v>
      </c>
      <c r="AK183">
        <v>1298</v>
      </c>
      <c r="AL183">
        <v>1767</v>
      </c>
    </row>
    <row r="184" spans="1:38">
      <c r="A184" t="s">
        <v>382</v>
      </c>
      <c r="B184" t="s">
        <v>382</v>
      </c>
      <c r="C184" t="s">
        <v>382</v>
      </c>
      <c r="D184" t="s">
        <v>382</v>
      </c>
      <c r="E184" t="s">
        <v>382</v>
      </c>
      <c r="F184" t="s">
        <v>382</v>
      </c>
      <c r="G184" t="s">
        <v>382</v>
      </c>
      <c r="H184" t="s">
        <v>382</v>
      </c>
      <c r="I184" t="s">
        <v>382</v>
      </c>
      <c r="J184" t="s">
        <v>382</v>
      </c>
      <c r="K184" t="s">
        <v>382</v>
      </c>
      <c r="L184" t="s">
        <v>382</v>
      </c>
      <c r="M184" t="s">
        <v>382</v>
      </c>
      <c r="N184" t="s">
        <v>382</v>
      </c>
      <c r="O184" t="s">
        <v>382</v>
      </c>
      <c r="P184" t="s">
        <v>382</v>
      </c>
      <c r="Q184" t="s">
        <v>382</v>
      </c>
      <c r="R184" t="s">
        <v>382</v>
      </c>
      <c r="S184" t="s">
        <v>382</v>
      </c>
      <c r="T184" t="s">
        <v>382</v>
      </c>
      <c r="U184" t="s">
        <v>382</v>
      </c>
      <c r="V184" t="s">
        <v>382</v>
      </c>
      <c r="W184" t="s">
        <v>382</v>
      </c>
      <c r="X184" t="s">
        <v>382</v>
      </c>
      <c r="Y184" t="s">
        <v>382</v>
      </c>
      <c r="Z184" t="s">
        <v>382</v>
      </c>
      <c r="AA184" t="s">
        <v>382</v>
      </c>
      <c r="AB184" t="s">
        <v>382</v>
      </c>
      <c r="AC184">
        <v>5</v>
      </c>
      <c r="AD184">
        <v>3</v>
      </c>
      <c r="AE184">
        <v>1</v>
      </c>
      <c r="AF184" t="s">
        <v>391</v>
      </c>
      <c r="AH184" t="s">
        <v>38</v>
      </c>
      <c r="AI184" t="s">
        <v>97</v>
      </c>
      <c r="AK184">
        <v>1577</v>
      </c>
      <c r="AL184">
        <v>149</v>
      </c>
    </row>
    <row r="185" spans="1:38">
      <c r="A185" t="s">
        <v>382</v>
      </c>
      <c r="B185" t="s">
        <v>382</v>
      </c>
      <c r="C185" t="s">
        <v>382</v>
      </c>
      <c r="D185" t="s">
        <v>382</v>
      </c>
      <c r="E185" t="s">
        <v>382</v>
      </c>
      <c r="F185" t="s">
        <v>382</v>
      </c>
      <c r="G185" t="s">
        <v>382</v>
      </c>
      <c r="H185" t="s">
        <v>382</v>
      </c>
      <c r="I185" t="s">
        <v>382</v>
      </c>
      <c r="J185" t="s">
        <v>382</v>
      </c>
      <c r="K185" t="s">
        <v>382</v>
      </c>
      <c r="L185" t="s">
        <v>382</v>
      </c>
      <c r="M185" t="s">
        <v>382</v>
      </c>
      <c r="N185" t="s">
        <v>382</v>
      </c>
      <c r="O185" t="s">
        <v>382</v>
      </c>
      <c r="P185" t="s">
        <v>382</v>
      </c>
      <c r="Q185" t="s">
        <v>382</v>
      </c>
      <c r="R185" t="s">
        <v>382</v>
      </c>
      <c r="S185" t="s">
        <v>382</v>
      </c>
      <c r="T185" t="s">
        <v>382</v>
      </c>
      <c r="U185" t="s">
        <v>382</v>
      </c>
      <c r="V185" t="s">
        <v>382</v>
      </c>
      <c r="W185" t="s">
        <v>382</v>
      </c>
      <c r="X185" t="s">
        <v>382</v>
      </c>
      <c r="Y185" t="s">
        <v>382</v>
      </c>
      <c r="Z185" t="s">
        <v>382</v>
      </c>
      <c r="AA185" t="s">
        <v>382</v>
      </c>
      <c r="AB185" t="s">
        <v>382</v>
      </c>
      <c r="AC185">
        <v>5</v>
      </c>
      <c r="AD185">
        <v>4</v>
      </c>
      <c r="AF185" t="s">
        <v>385</v>
      </c>
      <c r="AH185" t="s">
        <v>27</v>
      </c>
      <c r="AI185" t="s">
        <v>109</v>
      </c>
      <c r="AK185">
        <v>952</v>
      </c>
      <c r="AL185">
        <v>260</v>
      </c>
    </row>
    <row r="186" spans="1:38">
      <c r="A186" t="s">
        <v>382</v>
      </c>
      <c r="B186" t="s">
        <v>382</v>
      </c>
      <c r="C186" t="s">
        <v>382</v>
      </c>
      <c r="D186" t="s">
        <v>382</v>
      </c>
      <c r="E186" t="s">
        <v>382</v>
      </c>
      <c r="F186" t="s">
        <v>382</v>
      </c>
      <c r="G186" t="s">
        <v>382</v>
      </c>
      <c r="H186" t="s">
        <v>382</v>
      </c>
      <c r="I186" t="s">
        <v>382</v>
      </c>
      <c r="J186" t="s">
        <v>382</v>
      </c>
      <c r="K186" t="s">
        <v>382</v>
      </c>
      <c r="L186" t="s">
        <v>382</v>
      </c>
      <c r="M186" t="s">
        <v>382</v>
      </c>
      <c r="N186" t="s">
        <v>382</v>
      </c>
      <c r="O186" t="s">
        <v>382</v>
      </c>
      <c r="P186" t="s">
        <v>382</v>
      </c>
      <c r="Q186" t="s">
        <v>382</v>
      </c>
      <c r="R186" t="s">
        <v>382</v>
      </c>
      <c r="S186" t="s">
        <v>382</v>
      </c>
      <c r="T186" t="s">
        <v>382</v>
      </c>
      <c r="U186" t="s">
        <v>382</v>
      </c>
      <c r="V186" t="s">
        <v>382</v>
      </c>
      <c r="W186" t="s">
        <v>382</v>
      </c>
      <c r="X186" t="s">
        <v>382</v>
      </c>
      <c r="Y186" t="s">
        <v>382</v>
      </c>
      <c r="Z186" t="s">
        <v>382</v>
      </c>
      <c r="AA186" t="s">
        <v>382</v>
      </c>
      <c r="AB186" t="s">
        <v>382</v>
      </c>
      <c r="AC186">
        <v>5</v>
      </c>
      <c r="AD186">
        <v>5</v>
      </c>
      <c r="AF186" t="s">
        <v>386</v>
      </c>
      <c r="AH186" t="s">
        <v>29</v>
      </c>
      <c r="AI186" t="s">
        <v>103</v>
      </c>
      <c r="AK186">
        <v>3017</v>
      </c>
      <c r="AL186">
        <v>2244</v>
      </c>
    </row>
    <row r="187" spans="1:38">
      <c r="A187" t="s">
        <v>382</v>
      </c>
      <c r="B187" t="s">
        <v>382</v>
      </c>
      <c r="C187" t="s">
        <v>382</v>
      </c>
      <c r="D187" t="s">
        <v>382</v>
      </c>
      <c r="E187" t="s">
        <v>382</v>
      </c>
      <c r="F187" t="s">
        <v>382</v>
      </c>
      <c r="G187" t="s">
        <v>382</v>
      </c>
      <c r="H187" t="s">
        <v>382</v>
      </c>
      <c r="I187" t="s">
        <v>382</v>
      </c>
      <c r="J187" t="s">
        <v>382</v>
      </c>
      <c r="K187" t="s">
        <v>382</v>
      </c>
      <c r="L187" t="s">
        <v>382</v>
      </c>
      <c r="M187" t="s">
        <v>382</v>
      </c>
      <c r="N187" t="s">
        <v>382</v>
      </c>
      <c r="O187" t="s">
        <v>382</v>
      </c>
      <c r="P187" t="s">
        <v>382</v>
      </c>
      <c r="Q187" t="s">
        <v>382</v>
      </c>
      <c r="R187" t="s">
        <v>382</v>
      </c>
      <c r="S187" t="s">
        <v>382</v>
      </c>
      <c r="T187" t="s">
        <v>382</v>
      </c>
      <c r="U187" t="s">
        <v>382</v>
      </c>
      <c r="V187" t="s">
        <v>382</v>
      </c>
      <c r="W187" t="s">
        <v>382</v>
      </c>
      <c r="X187" t="s">
        <v>382</v>
      </c>
      <c r="Y187" t="s">
        <v>382</v>
      </c>
      <c r="Z187" t="s">
        <v>382</v>
      </c>
      <c r="AA187" t="s">
        <v>382</v>
      </c>
      <c r="AB187" t="s">
        <v>382</v>
      </c>
      <c r="AC187">
        <v>5</v>
      </c>
      <c r="AD187">
        <v>1</v>
      </c>
      <c r="AE187">
        <v>1</v>
      </c>
      <c r="AF187" t="s">
        <v>389</v>
      </c>
      <c r="AH187" t="s">
        <v>35</v>
      </c>
      <c r="AI187" t="s">
        <v>97</v>
      </c>
      <c r="AK187">
        <v>1653</v>
      </c>
      <c r="AL187">
        <v>364</v>
      </c>
    </row>
    <row r="188" spans="1:38">
      <c r="A188" t="s">
        <v>382</v>
      </c>
      <c r="B188" t="s">
        <v>382</v>
      </c>
      <c r="C188" t="s">
        <v>382</v>
      </c>
      <c r="D188" t="s">
        <v>382</v>
      </c>
      <c r="E188" t="s">
        <v>382</v>
      </c>
      <c r="F188" t="s">
        <v>382</v>
      </c>
      <c r="G188" t="s">
        <v>382</v>
      </c>
      <c r="H188" t="s">
        <v>382</v>
      </c>
      <c r="I188" t="s">
        <v>382</v>
      </c>
      <c r="J188" t="s">
        <v>382</v>
      </c>
      <c r="K188" t="s">
        <v>382</v>
      </c>
      <c r="L188" t="s">
        <v>382</v>
      </c>
      <c r="M188" t="s">
        <v>382</v>
      </c>
      <c r="N188" t="s">
        <v>382</v>
      </c>
      <c r="O188" t="s">
        <v>382</v>
      </c>
      <c r="P188" t="s">
        <v>382</v>
      </c>
      <c r="Q188" t="s">
        <v>382</v>
      </c>
      <c r="R188" t="s">
        <v>382</v>
      </c>
      <c r="S188" t="s">
        <v>382</v>
      </c>
      <c r="T188" t="s">
        <v>382</v>
      </c>
      <c r="U188" t="s">
        <v>382</v>
      </c>
      <c r="V188" t="s">
        <v>382</v>
      </c>
      <c r="W188" t="s">
        <v>382</v>
      </c>
      <c r="X188" t="s">
        <v>382</v>
      </c>
      <c r="Y188" t="s">
        <v>382</v>
      </c>
      <c r="Z188" t="s">
        <v>382</v>
      </c>
      <c r="AA188" t="s">
        <v>382</v>
      </c>
      <c r="AB188" t="s">
        <v>382</v>
      </c>
      <c r="AC188">
        <v>5</v>
      </c>
      <c r="AD188">
        <v>2</v>
      </c>
      <c r="AF188" t="s">
        <v>384</v>
      </c>
      <c r="AH188" t="s">
        <v>25</v>
      </c>
      <c r="AI188" t="s">
        <v>106</v>
      </c>
      <c r="AK188">
        <v>1355</v>
      </c>
      <c r="AL188">
        <v>2410</v>
      </c>
    </row>
    <row r="189" spans="1:38">
      <c r="A189" t="s">
        <v>382</v>
      </c>
      <c r="B189" t="s">
        <v>382</v>
      </c>
      <c r="C189" t="s">
        <v>382</v>
      </c>
      <c r="D189" t="s">
        <v>382</v>
      </c>
      <c r="E189" t="s">
        <v>382</v>
      </c>
      <c r="F189" t="s">
        <v>382</v>
      </c>
      <c r="G189" t="s">
        <v>382</v>
      </c>
      <c r="H189" t="s">
        <v>382</v>
      </c>
      <c r="I189" t="s">
        <v>382</v>
      </c>
      <c r="J189" t="s">
        <v>382</v>
      </c>
      <c r="K189" t="s">
        <v>382</v>
      </c>
      <c r="L189" t="s">
        <v>382</v>
      </c>
      <c r="M189" t="s">
        <v>382</v>
      </c>
      <c r="N189" t="s">
        <v>382</v>
      </c>
      <c r="O189" t="s">
        <v>382</v>
      </c>
      <c r="P189" t="s">
        <v>382</v>
      </c>
      <c r="Q189" t="s">
        <v>382</v>
      </c>
      <c r="R189" t="s">
        <v>382</v>
      </c>
      <c r="S189" t="s">
        <v>382</v>
      </c>
      <c r="T189" t="s">
        <v>382</v>
      </c>
      <c r="U189" t="s">
        <v>382</v>
      </c>
      <c r="V189" t="s">
        <v>382</v>
      </c>
      <c r="W189" t="s">
        <v>382</v>
      </c>
      <c r="X189" t="s">
        <v>382</v>
      </c>
      <c r="Y189" t="s">
        <v>382</v>
      </c>
      <c r="Z189" t="s">
        <v>382</v>
      </c>
      <c r="AA189" t="s">
        <v>382</v>
      </c>
      <c r="AB189" t="s">
        <v>382</v>
      </c>
      <c r="AC189">
        <v>5</v>
      </c>
      <c r="AD189">
        <v>3</v>
      </c>
      <c r="AE189">
        <v>1</v>
      </c>
      <c r="AF189" t="s">
        <v>542</v>
      </c>
      <c r="AH189" t="s">
        <v>147</v>
      </c>
      <c r="AI189" t="s">
        <v>97</v>
      </c>
      <c r="AK189">
        <v>1078</v>
      </c>
      <c r="AL189">
        <v>1345</v>
      </c>
    </row>
    <row r="190" spans="1:38">
      <c r="A190" t="s">
        <v>382</v>
      </c>
      <c r="B190" t="s">
        <v>382</v>
      </c>
      <c r="C190" t="s">
        <v>382</v>
      </c>
      <c r="D190" t="s">
        <v>382</v>
      </c>
      <c r="E190" t="s">
        <v>382</v>
      </c>
      <c r="F190" t="s">
        <v>382</v>
      </c>
      <c r="G190" t="s">
        <v>382</v>
      </c>
      <c r="H190" t="s">
        <v>382</v>
      </c>
      <c r="I190" t="s">
        <v>382</v>
      </c>
      <c r="J190" t="s">
        <v>382</v>
      </c>
      <c r="K190" t="s">
        <v>382</v>
      </c>
      <c r="L190" t="s">
        <v>382</v>
      </c>
      <c r="M190" t="s">
        <v>382</v>
      </c>
      <c r="N190" t="s">
        <v>382</v>
      </c>
      <c r="O190" t="s">
        <v>382</v>
      </c>
      <c r="P190" t="s">
        <v>382</v>
      </c>
      <c r="Q190" t="s">
        <v>382</v>
      </c>
      <c r="R190" t="s">
        <v>382</v>
      </c>
      <c r="S190" t="s">
        <v>382</v>
      </c>
      <c r="T190" t="s">
        <v>382</v>
      </c>
      <c r="U190" t="s">
        <v>382</v>
      </c>
      <c r="V190" t="s">
        <v>382</v>
      </c>
      <c r="W190" t="s">
        <v>382</v>
      </c>
      <c r="X190" t="s">
        <v>382</v>
      </c>
      <c r="Y190" t="s">
        <v>382</v>
      </c>
      <c r="Z190" t="s">
        <v>382</v>
      </c>
      <c r="AA190" t="s">
        <v>382</v>
      </c>
      <c r="AB190" t="s">
        <v>382</v>
      </c>
      <c r="AC190">
        <v>5</v>
      </c>
      <c r="AD190">
        <v>4</v>
      </c>
      <c r="AE190">
        <v>1</v>
      </c>
      <c r="AF190" t="s">
        <v>483</v>
      </c>
      <c r="AH190" t="s">
        <v>157</v>
      </c>
      <c r="AI190" t="s">
        <v>97</v>
      </c>
      <c r="AK190">
        <v>2453</v>
      </c>
      <c r="AL190">
        <v>1348</v>
      </c>
    </row>
    <row r="191" spans="1:38">
      <c r="A191" t="s">
        <v>382</v>
      </c>
      <c r="B191" t="s">
        <v>382</v>
      </c>
      <c r="C191" t="s">
        <v>382</v>
      </c>
      <c r="D191" t="s">
        <v>382</v>
      </c>
      <c r="E191" t="s">
        <v>382</v>
      </c>
      <c r="F191" t="s">
        <v>382</v>
      </c>
      <c r="G191" t="s">
        <v>382</v>
      </c>
      <c r="H191" t="s">
        <v>382</v>
      </c>
      <c r="I191" t="s">
        <v>382</v>
      </c>
      <c r="J191" t="s">
        <v>382</v>
      </c>
      <c r="K191" t="s">
        <v>382</v>
      </c>
      <c r="L191" t="s">
        <v>382</v>
      </c>
      <c r="M191" t="s">
        <v>382</v>
      </c>
      <c r="N191" t="s">
        <v>382</v>
      </c>
      <c r="O191" t="s">
        <v>382</v>
      </c>
      <c r="P191" t="s">
        <v>382</v>
      </c>
      <c r="Q191" t="s">
        <v>382</v>
      </c>
      <c r="R191" t="s">
        <v>382</v>
      </c>
      <c r="S191" t="s">
        <v>382</v>
      </c>
      <c r="T191" t="s">
        <v>382</v>
      </c>
      <c r="U191" t="s">
        <v>382</v>
      </c>
      <c r="V191" t="s">
        <v>382</v>
      </c>
      <c r="W191" t="s">
        <v>382</v>
      </c>
      <c r="X191" t="s">
        <v>382</v>
      </c>
      <c r="Y191" t="s">
        <v>382</v>
      </c>
      <c r="Z191" t="s">
        <v>382</v>
      </c>
      <c r="AA191" t="s">
        <v>382</v>
      </c>
      <c r="AB191" t="s">
        <v>382</v>
      </c>
      <c r="AC191">
        <v>5</v>
      </c>
      <c r="AD191">
        <v>5</v>
      </c>
      <c r="AF191" t="s">
        <v>385</v>
      </c>
      <c r="AH191" t="s">
        <v>27</v>
      </c>
      <c r="AI191" t="s">
        <v>109</v>
      </c>
      <c r="AK191">
        <v>1621</v>
      </c>
      <c r="AL191">
        <v>2028</v>
      </c>
    </row>
    <row r="192" spans="1:38">
      <c r="A192" t="s">
        <v>382</v>
      </c>
      <c r="B192" t="s">
        <v>382</v>
      </c>
      <c r="C192" t="s">
        <v>382</v>
      </c>
      <c r="D192" t="s">
        <v>382</v>
      </c>
      <c r="E192" t="s">
        <v>382</v>
      </c>
      <c r="F192" t="s">
        <v>382</v>
      </c>
      <c r="G192" t="s">
        <v>382</v>
      </c>
      <c r="H192" t="s">
        <v>382</v>
      </c>
      <c r="I192" t="s">
        <v>382</v>
      </c>
      <c r="J192" t="s">
        <v>382</v>
      </c>
      <c r="K192" t="s">
        <v>382</v>
      </c>
      <c r="L192" t="s">
        <v>382</v>
      </c>
      <c r="M192" t="s">
        <v>382</v>
      </c>
      <c r="N192" t="s">
        <v>382</v>
      </c>
      <c r="O192" t="s">
        <v>382</v>
      </c>
      <c r="P192" t="s">
        <v>382</v>
      </c>
      <c r="Q192" t="s">
        <v>382</v>
      </c>
      <c r="R192" t="s">
        <v>382</v>
      </c>
      <c r="S192" t="s">
        <v>382</v>
      </c>
      <c r="T192" t="s">
        <v>382</v>
      </c>
      <c r="U192" t="s">
        <v>382</v>
      </c>
      <c r="V192" t="s">
        <v>382</v>
      </c>
      <c r="W192" t="s">
        <v>382</v>
      </c>
      <c r="X192" t="s">
        <v>382</v>
      </c>
      <c r="Y192" t="s">
        <v>382</v>
      </c>
      <c r="Z192" t="s">
        <v>382</v>
      </c>
      <c r="AA192" t="s">
        <v>382</v>
      </c>
      <c r="AB192" t="s">
        <v>382</v>
      </c>
      <c r="AC192">
        <v>5</v>
      </c>
      <c r="AD192">
        <v>1</v>
      </c>
      <c r="AF192" t="s">
        <v>385</v>
      </c>
      <c r="AH192" t="s">
        <v>27</v>
      </c>
      <c r="AI192" t="s">
        <v>109</v>
      </c>
      <c r="AK192">
        <v>1588</v>
      </c>
      <c r="AL192">
        <v>2233</v>
      </c>
    </row>
    <row r="193" spans="1:38">
      <c r="A193" t="s">
        <v>382</v>
      </c>
      <c r="B193" t="s">
        <v>382</v>
      </c>
      <c r="C193" t="s">
        <v>382</v>
      </c>
      <c r="D193" t="s">
        <v>382</v>
      </c>
      <c r="E193" t="s">
        <v>382</v>
      </c>
      <c r="F193" t="s">
        <v>382</v>
      </c>
      <c r="G193" t="s">
        <v>382</v>
      </c>
      <c r="H193" t="s">
        <v>382</v>
      </c>
      <c r="I193" t="s">
        <v>382</v>
      </c>
      <c r="J193" t="s">
        <v>382</v>
      </c>
      <c r="K193" t="s">
        <v>382</v>
      </c>
      <c r="L193" t="s">
        <v>382</v>
      </c>
      <c r="M193" t="s">
        <v>382</v>
      </c>
      <c r="N193" t="s">
        <v>382</v>
      </c>
      <c r="O193" t="s">
        <v>382</v>
      </c>
      <c r="P193" t="s">
        <v>382</v>
      </c>
      <c r="Q193" t="s">
        <v>382</v>
      </c>
      <c r="R193" t="s">
        <v>382</v>
      </c>
      <c r="S193" t="s">
        <v>382</v>
      </c>
      <c r="T193" t="s">
        <v>382</v>
      </c>
      <c r="U193" t="s">
        <v>382</v>
      </c>
      <c r="V193" t="s">
        <v>382</v>
      </c>
      <c r="W193" t="s">
        <v>382</v>
      </c>
      <c r="X193" t="s">
        <v>382</v>
      </c>
      <c r="Y193" t="s">
        <v>382</v>
      </c>
      <c r="Z193" t="s">
        <v>382</v>
      </c>
      <c r="AA193" t="s">
        <v>382</v>
      </c>
      <c r="AB193" t="s">
        <v>382</v>
      </c>
      <c r="AC193">
        <v>5</v>
      </c>
      <c r="AD193">
        <v>2</v>
      </c>
      <c r="AF193" t="s">
        <v>385</v>
      </c>
      <c r="AH193" t="s">
        <v>27</v>
      </c>
      <c r="AI193" t="s">
        <v>109</v>
      </c>
      <c r="AK193">
        <v>2226</v>
      </c>
      <c r="AL193">
        <v>2405</v>
      </c>
    </row>
    <row r="194" spans="1:38">
      <c r="A194" t="s">
        <v>382</v>
      </c>
      <c r="B194" t="s">
        <v>382</v>
      </c>
      <c r="C194" t="s">
        <v>382</v>
      </c>
      <c r="D194" t="s">
        <v>382</v>
      </c>
      <c r="E194" t="s">
        <v>382</v>
      </c>
      <c r="F194" t="s">
        <v>382</v>
      </c>
      <c r="G194" t="s">
        <v>382</v>
      </c>
      <c r="H194" t="s">
        <v>382</v>
      </c>
      <c r="I194" t="s">
        <v>382</v>
      </c>
      <c r="J194" t="s">
        <v>382</v>
      </c>
      <c r="K194" t="s">
        <v>382</v>
      </c>
      <c r="L194" t="s">
        <v>382</v>
      </c>
      <c r="M194" t="s">
        <v>382</v>
      </c>
      <c r="N194" t="s">
        <v>382</v>
      </c>
      <c r="O194" t="s">
        <v>382</v>
      </c>
      <c r="P194" t="s">
        <v>382</v>
      </c>
      <c r="Q194" t="s">
        <v>382</v>
      </c>
      <c r="R194" t="s">
        <v>382</v>
      </c>
      <c r="S194" t="s">
        <v>382</v>
      </c>
      <c r="T194" t="s">
        <v>382</v>
      </c>
      <c r="U194" t="s">
        <v>382</v>
      </c>
      <c r="V194" t="s">
        <v>382</v>
      </c>
      <c r="W194" t="s">
        <v>382</v>
      </c>
      <c r="X194" t="s">
        <v>382</v>
      </c>
      <c r="Y194" t="s">
        <v>382</v>
      </c>
      <c r="Z194" t="s">
        <v>382</v>
      </c>
      <c r="AA194" t="s">
        <v>382</v>
      </c>
      <c r="AB194" t="s">
        <v>382</v>
      </c>
      <c r="AC194">
        <v>5</v>
      </c>
      <c r="AD194">
        <v>3</v>
      </c>
      <c r="AE194">
        <v>1</v>
      </c>
      <c r="AF194" t="s">
        <v>389</v>
      </c>
      <c r="AH194" t="s">
        <v>35</v>
      </c>
      <c r="AI194" t="s">
        <v>97</v>
      </c>
      <c r="AK194">
        <v>1161</v>
      </c>
      <c r="AL194">
        <v>1405</v>
      </c>
    </row>
    <row r="195" spans="1:38">
      <c r="A195" t="s">
        <v>382</v>
      </c>
      <c r="B195" t="s">
        <v>382</v>
      </c>
      <c r="C195" t="s">
        <v>382</v>
      </c>
      <c r="D195" t="s">
        <v>382</v>
      </c>
      <c r="E195" t="s">
        <v>382</v>
      </c>
      <c r="F195" t="s">
        <v>382</v>
      </c>
      <c r="G195" t="s">
        <v>382</v>
      </c>
      <c r="H195" t="s">
        <v>382</v>
      </c>
      <c r="I195" t="s">
        <v>382</v>
      </c>
      <c r="J195" t="s">
        <v>382</v>
      </c>
      <c r="K195" t="s">
        <v>382</v>
      </c>
      <c r="L195" t="s">
        <v>382</v>
      </c>
      <c r="M195" t="s">
        <v>382</v>
      </c>
      <c r="N195" t="s">
        <v>382</v>
      </c>
      <c r="O195" t="s">
        <v>382</v>
      </c>
      <c r="P195" t="s">
        <v>382</v>
      </c>
      <c r="Q195" t="s">
        <v>382</v>
      </c>
      <c r="R195" t="s">
        <v>382</v>
      </c>
      <c r="S195" t="s">
        <v>382</v>
      </c>
      <c r="T195" t="s">
        <v>382</v>
      </c>
      <c r="U195" t="s">
        <v>382</v>
      </c>
      <c r="V195" t="s">
        <v>382</v>
      </c>
      <c r="W195" t="s">
        <v>382</v>
      </c>
      <c r="X195" t="s">
        <v>382</v>
      </c>
      <c r="Y195" t="s">
        <v>382</v>
      </c>
      <c r="Z195" t="s">
        <v>382</v>
      </c>
      <c r="AA195" t="s">
        <v>382</v>
      </c>
      <c r="AB195" t="s">
        <v>382</v>
      </c>
      <c r="AC195">
        <v>5</v>
      </c>
      <c r="AD195">
        <v>4</v>
      </c>
      <c r="AF195" t="s">
        <v>386</v>
      </c>
      <c r="AH195" t="s">
        <v>29</v>
      </c>
      <c r="AI195" t="s">
        <v>103</v>
      </c>
      <c r="AK195">
        <v>1695</v>
      </c>
      <c r="AL195">
        <v>1764</v>
      </c>
    </row>
    <row r="196" spans="1:38">
      <c r="A196" t="s">
        <v>382</v>
      </c>
      <c r="B196" t="s">
        <v>382</v>
      </c>
      <c r="C196" t="s">
        <v>382</v>
      </c>
      <c r="D196" t="s">
        <v>382</v>
      </c>
      <c r="E196" t="s">
        <v>382</v>
      </c>
      <c r="F196" t="s">
        <v>382</v>
      </c>
      <c r="G196" t="s">
        <v>382</v>
      </c>
      <c r="H196" t="s">
        <v>382</v>
      </c>
      <c r="I196" t="s">
        <v>382</v>
      </c>
      <c r="J196" t="s">
        <v>382</v>
      </c>
      <c r="K196" t="s">
        <v>382</v>
      </c>
      <c r="L196" t="s">
        <v>382</v>
      </c>
      <c r="M196" t="s">
        <v>382</v>
      </c>
      <c r="N196" t="s">
        <v>382</v>
      </c>
      <c r="O196" t="s">
        <v>382</v>
      </c>
      <c r="P196" t="s">
        <v>382</v>
      </c>
      <c r="Q196" t="s">
        <v>382</v>
      </c>
      <c r="R196" t="s">
        <v>382</v>
      </c>
      <c r="S196" t="s">
        <v>382</v>
      </c>
      <c r="T196" t="s">
        <v>382</v>
      </c>
      <c r="U196" t="s">
        <v>382</v>
      </c>
      <c r="V196" t="s">
        <v>382</v>
      </c>
      <c r="W196" t="s">
        <v>382</v>
      </c>
      <c r="X196" t="s">
        <v>382</v>
      </c>
      <c r="Y196" t="s">
        <v>382</v>
      </c>
      <c r="Z196" t="s">
        <v>382</v>
      </c>
      <c r="AA196" t="s">
        <v>382</v>
      </c>
      <c r="AB196" t="s">
        <v>382</v>
      </c>
      <c r="AC196">
        <v>5</v>
      </c>
      <c r="AD196">
        <v>5</v>
      </c>
      <c r="AF196" t="s">
        <v>386</v>
      </c>
      <c r="AH196" t="s">
        <v>29</v>
      </c>
      <c r="AI196" t="s">
        <v>103</v>
      </c>
      <c r="AK196">
        <v>2741</v>
      </c>
      <c r="AL196">
        <v>510</v>
      </c>
    </row>
    <row r="197" spans="1:38">
      <c r="A197" t="s">
        <v>382</v>
      </c>
      <c r="B197" t="s">
        <v>382</v>
      </c>
      <c r="C197" t="s">
        <v>382</v>
      </c>
      <c r="D197" t="s">
        <v>382</v>
      </c>
      <c r="E197" t="s">
        <v>382</v>
      </c>
      <c r="F197" t="s">
        <v>382</v>
      </c>
      <c r="G197" t="s">
        <v>382</v>
      </c>
      <c r="H197" t="s">
        <v>382</v>
      </c>
      <c r="I197" t="s">
        <v>382</v>
      </c>
      <c r="J197" t="s">
        <v>382</v>
      </c>
      <c r="K197" t="s">
        <v>382</v>
      </c>
      <c r="L197" t="s">
        <v>382</v>
      </c>
      <c r="M197" t="s">
        <v>382</v>
      </c>
      <c r="N197" t="s">
        <v>382</v>
      </c>
      <c r="O197" t="s">
        <v>382</v>
      </c>
      <c r="P197" t="s">
        <v>382</v>
      </c>
      <c r="Q197" t="s">
        <v>382</v>
      </c>
      <c r="R197" t="s">
        <v>382</v>
      </c>
      <c r="S197" t="s">
        <v>382</v>
      </c>
      <c r="T197" t="s">
        <v>382</v>
      </c>
      <c r="U197" t="s">
        <v>382</v>
      </c>
      <c r="V197" t="s">
        <v>382</v>
      </c>
      <c r="W197" t="s">
        <v>382</v>
      </c>
      <c r="X197" t="s">
        <v>382</v>
      </c>
      <c r="Y197" t="s">
        <v>382</v>
      </c>
      <c r="Z197" t="s">
        <v>382</v>
      </c>
      <c r="AA197" t="s">
        <v>382</v>
      </c>
      <c r="AB197" t="s">
        <v>382</v>
      </c>
      <c r="AC197">
        <v>5</v>
      </c>
      <c r="AD197">
        <v>1</v>
      </c>
      <c r="AE197">
        <v>1</v>
      </c>
      <c r="AF197" t="s">
        <v>393</v>
      </c>
      <c r="AH197" t="s">
        <v>51</v>
      </c>
      <c r="AI197" t="s">
        <v>97</v>
      </c>
      <c r="AK197">
        <v>2540</v>
      </c>
      <c r="AL197">
        <v>816</v>
      </c>
    </row>
    <row r="198" spans="1:38">
      <c r="A198" t="s">
        <v>382</v>
      </c>
      <c r="B198" t="s">
        <v>382</v>
      </c>
      <c r="C198" t="s">
        <v>382</v>
      </c>
      <c r="D198" t="s">
        <v>382</v>
      </c>
      <c r="E198" t="s">
        <v>382</v>
      </c>
      <c r="F198" t="s">
        <v>382</v>
      </c>
      <c r="G198" t="s">
        <v>382</v>
      </c>
      <c r="H198" t="s">
        <v>382</v>
      </c>
      <c r="I198" t="s">
        <v>382</v>
      </c>
      <c r="J198" t="s">
        <v>382</v>
      </c>
      <c r="K198" t="s">
        <v>382</v>
      </c>
      <c r="L198" t="s">
        <v>382</v>
      </c>
      <c r="M198" t="s">
        <v>382</v>
      </c>
      <c r="N198" t="s">
        <v>382</v>
      </c>
      <c r="O198" t="s">
        <v>382</v>
      </c>
      <c r="P198" t="s">
        <v>382</v>
      </c>
      <c r="Q198" t="s">
        <v>382</v>
      </c>
      <c r="R198" t="s">
        <v>382</v>
      </c>
      <c r="S198" t="s">
        <v>382</v>
      </c>
      <c r="T198" t="s">
        <v>382</v>
      </c>
      <c r="U198" t="s">
        <v>382</v>
      </c>
      <c r="V198" t="s">
        <v>382</v>
      </c>
      <c r="W198" t="s">
        <v>382</v>
      </c>
      <c r="X198" t="s">
        <v>382</v>
      </c>
      <c r="Y198" t="s">
        <v>382</v>
      </c>
      <c r="Z198" t="s">
        <v>382</v>
      </c>
      <c r="AA198" t="s">
        <v>382</v>
      </c>
      <c r="AB198" t="s">
        <v>382</v>
      </c>
      <c r="AC198">
        <v>5</v>
      </c>
      <c r="AD198">
        <v>2</v>
      </c>
      <c r="AF198" t="s">
        <v>386</v>
      </c>
      <c r="AH198" t="s">
        <v>29</v>
      </c>
      <c r="AI198" t="s">
        <v>103</v>
      </c>
      <c r="AK198">
        <v>2813</v>
      </c>
      <c r="AL198">
        <v>2250</v>
      </c>
    </row>
    <row r="199" spans="1:38">
      <c r="A199" t="s">
        <v>382</v>
      </c>
      <c r="B199" t="s">
        <v>382</v>
      </c>
      <c r="C199" t="s">
        <v>382</v>
      </c>
      <c r="D199" t="s">
        <v>382</v>
      </c>
      <c r="E199" t="s">
        <v>382</v>
      </c>
      <c r="F199" t="s">
        <v>382</v>
      </c>
      <c r="G199" t="s">
        <v>382</v>
      </c>
      <c r="H199" t="s">
        <v>382</v>
      </c>
      <c r="I199" t="s">
        <v>382</v>
      </c>
      <c r="J199" t="s">
        <v>382</v>
      </c>
      <c r="K199" t="s">
        <v>382</v>
      </c>
      <c r="L199" t="s">
        <v>382</v>
      </c>
      <c r="M199" t="s">
        <v>382</v>
      </c>
      <c r="N199" t="s">
        <v>382</v>
      </c>
      <c r="O199" t="s">
        <v>382</v>
      </c>
      <c r="P199" t="s">
        <v>382</v>
      </c>
      <c r="Q199" t="s">
        <v>382</v>
      </c>
      <c r="R199" t="s">
        <v>382</v>
      </c>
      <c r="S199" t="s">
        <v>382</v>
      </c>
      <c r="T199" t="s">
        <v>382</v>
      </c>
      <c r="U199" t="s">
        <v>382</v>
      </c>
      <c r="V199" t="s">
        <v>382</v>
      </c>
      <c r="W199" t="s">
        <v>382</v>
      </c>
      <c r="X199" t="s">
        <v>382</v>
      </c>
      <c r="Y199" t="s">
        <v>382</v>
      </c>
      <c r="Z199" t="s">
        <v>382</v>
      </c>
      <c r="AA199" t="s">
        <v>382</v>
      </c>
      <c r="AB199" t="s">
        <v>382</v>
      </c>
      <c r="AC199">
        <v>5</v>
      </c>
      <c r="AD199">
        <v>3</v>
      </c>
      <c r="AF199" t="s">
        <v>386</v>
      </c>
      <c r="AH199" t="s">
        <v>29</v>
      </c>
      <c r="AI199" t="s">
        <v>103</v>
      </c>
      <c r="AK199">
        <v>1331</v>
      </c>
      <c r="AL199">
        <v>1746</v>
      </c>
    </row>
    <row r="200" spans="1:38">
      <c r="A200" t="s">
        <v>382</v>
      </c>
      <c r="B200" t="s">
        <v>382</v>
      </c>
      <c r="C200" t="s">
        <v>382</v>
      </c>
      <c r="D200" t="s">
        <v>382</v>
      </c>
      <c r="E200" t="s">
        <v>382</v>
      </c>
      <c r="F200" t="s">
        <v>382</v>
      </c>
      <c r="G200" t="s">
        <v>382</v>
      </c>
      <c r="H200" t="s">
        <v>382</v>
      </c>
      <c r="I200" t="s">
        <v>382</v>
      </c>
      <c r="J200" t="s">
        <v>382</v>
      </c>
      <c r="K200" t="s">
        <v>382</v>
      </c>
      <c r="L200" t="s">
        <v>382</v>
      </c>
      <c r="M200" t="s">
        <v>382</v>
      </c>
      <c r="N200" t="s">
        <v>382</v>
      </c>
      <c r="O200" t="s">
        <v>382</v>
      </c>
      <c r="P200" t="s">
        <v>382</v>
      </c>
      <c r="Q200" t="s">
        <v>382</v>
      </c>
      <c r="R200" t="s">
        <v>382</v>
      </c>
      <c r="S200" t="s">
        <v>382</v>
      </c>
      <c r="T200" t="s">
        <v>382</v>
      </c>
      <c r="U200" t="s">
        <v>382</v>
      </c>
      <c r="V200" t="s">
        <v>382</v>
      </c>
      <c r="W200" t="s">
        <v>382</v>
      </c>
      <c r="X200" t="s">
        <v>382</v>
      </c>
      <c r="Y200" t="s">
        <v>382</v>
      </c>
      <c r="Z200" t="s">
        <v>382</v>
      </c>
      <c r="AA200" t="s">
        <v>382</v>
      </c>
      <c r="AB200" t="s">
        <v>382</v>
      </c>
      <c r="AC200">
        <v>5</v>
      </c>
      <c r="AD200">
        <v>4</v>
      </c>
      <c r="AF200" t="s">
        <v>386</v>
      </c>
      <c r="AH200" t="s">
        <v>29</v>
      </c>
      <c r="AI200" t="s">
        <v>103</v>
      </c>
      <c r="AK200">
        <v>1099</v>
      </c>
      <c r="AL200">
        <v>1806</v>
      </c>
    </row>
    <row r="201" spans="1:38">
      <c r="A201" t="s">
        <v>382</v>
      </c>
      <c r="B201" t="s">
        <v>382</v>
      </c>
      <c r="C201" t="s">
        <v>382</v>
      </c>
      <c r="D201" t="s">
        <v>382</v>
      </c>
      <c r="E201" t="s">
        <v>382</v>
      </c>
      <c r="F201" t="s">
        <v>382</v>
      </c>
      <c r="G201" t="s">
        <v>382</v>
      </c>
      <c r="H201" t="s">
        <v>382</v>
      </c>
      <c r="I201" t="s">
        <v>382</v>
      </c>
      <c r="J201" t="s">
        <v>382</v>
      </c>
      <c r="K201" t="s">
        <v>382</v>
      </c>
      <c r="L201" t="s">
        <v>382</v>
      </c>
      <c r="M201" t="s">
        <v>382</v>
      </c>
      <c r="N201" t="s">
        <v>382</v>
      </c>
      <c r="O201" t="s">
        <v>382</v>
      </c>
      <c r="P201" t="s">
        <v>382</v>
      </c>
      <c r="Q201" t="s">
        <v>382</v>
      </c>
      <c r="R201" t="s">
        <v>382</v>
      </c>
      <c r="S201" t="s">
        <v>382</v>
      </c>
      <c r="T201" t="s">
        <v>382</v>
      </c>
      <c r="U201" t="s">
        <v>382</v>
      </c>
      <c r="V201" t="s">
        <v>382</v>
      </c>
      <c r="W201" t="s">
        <v>382</v>
      </c>
      <c r="X201" t="s">
        <v>382</v>
      </c>
      <c r="Y201" t="s">
        <v>382</v>
      </c>
      <c r="Z201" t="s">
        <v>382</v>
      </c>
      <c r="AA201" t="s">
        <v>382</v>
      </c>
      <c r="AB201" t="s">
        <v>382</v>
      </c>
      <c r="AC201">
        <v>5</v>
      </c>
      <c r="AD201">
        <v>5</v>
      </c>
      <c r="AF201" t="s">
        <v>385</v>
      </c>
      <c r="AH201" t="s">
        <v>27</v>
      </c>
      <c r="AI201" t="s">
        <v>109</v>
      </c>
      <c r="AK201">
        <v>1896</v>
      </c>
      <c r="AL201">
        <v>2513</v>
      </c>
    </row>
    <row r="202" spans="1:38">
      <c r="A202" t="s">
        <v>382</v>
      </c>
      <c r="B202" t="s">
        <v>382</v>
      </c>
      <c r="C202" t="s">
        <v>382</v>
      </c>
      <c r="D202" t="s">
        <v>382</v>
      </c>
      <c r="E202" t="s">
        <v>382</v>
      </c>
      <c r="F202" t="s">
        <v>382</v>
      </c>
      <c r="G202" t="s">
        <v>382</v>
      </c>
      <c r="H202" t="s">
        <v>382</v>
      </c>
      <c r="I202" t="s">
        <v>382</v>
      </c>
      <c r="J202" t="s">
        <v>382</v>
      </c>
      <c r="K202" t="s">
        <v>382</v>
      </c>
      <c r="L202" t="s">
        <v>382</v>
      </c>
      <c r="M202" t="s">
        <v>382</v>
      </c>
      <c r="N202" t="s">
        <v>382</v>
      </c>
      <c r="O202" t="s">
        <v>382</v>
      </c>
      <c r="P202" t="s">
        <v>382</v>
      </c>
      <c r="Q202" t="s">
        <v>382</v>
      </c>
      <c r="R202" t="s">
        <v>382</v>
      </c>
      <c r="S202" t="s">
        <v>382</v>
      </c>
      <c r="T202" t="s">
        <v>382</v>
      </c>
      <c r="U202" t="s">
        <v>382</v>
      </c>
      <c r="V202" t="s">
        <v>382</v>
      </c>
      <c r="W202" t="s">
        <v>382</v>
      </c>
      <c r="X202" t="s">
        <v>382</v>
      </c>
      <c r="Y202" t="s">
        <v>382</v>
      </c>
      <c r="Z202" t="s">
        <v>382</v>
      </c>
      <c r="AA202" t="s">
        <v>382</v>
      </c>
      <c r="AB202" t="s">
        <v>382</v>
      </c>
      <c r="AC202">
        <v>5</v>
      </c>
      <c r="AD202">
        <v>1</v>
      </c>
      <c r="AF202" t="s">
        <v>385</v>
      </c>
      <c r="AH202" t="s">
        <v>27</v>
      </c>
      <c r="AI202" t="s">
        <v>109</v>
      </c>
      <c r="AK202">
        <v>1568</v>
      </c>
      <c r="AL202">
        <v>1835</v>
      </c>
    </row>
    <row r="203" spans="1:38">
      <c r="A203" t="s">
        <v>382</v>
      </c>
      <c r="B203" t="s">
        <v>382</v>
      </c>
      <c r="C203" t="s">
        <v>382</v>
      </c>
      <c r="D203" t="s">
        <v>382</v>
      </c>
      <c r="E203" t="s">
        <v>382</v>
      </c>
      <c r="F203" t="s">
        <v>382</v>
      </c>
      <c r="G203" t="s">
        <v>382</v>
      </c>
      <c r="H203" t="s">
        <v>382</v>
      </c>
      <c r="I203" t="s">
        <v>382</v>
      </c>
      <c r="J203" t="s">
        <v>382</v>
      </c>
      <c r="K203" t="s">
        <v>382</v>
      </c>
      <c r="L203" t="s">
        <v>382</v>
      </c>
      <c r="M203" t="s">
        <v>382</v>
      </c>
      <c r="N203" t="s">
        <v>382</v>
      </c>
      <c r="O203" t="s">
        <v>382</v>
      </c>
      <c r="P203" t="s">
        <v>382</v>
      </c>
      <c r="Q203" t="s">
        <v>382</v>
      </c>
      <c r="R203" t="s">
        <v>382</v>
      </c>
      <c r="S203" t="s">
        <v>382</v>
      </c>
      <c r="T203" t="s">
        <v>382</v>
      </c>
      <c r="U203" t="s">
        <v>382</v>
      </c>
      <c r="V203" t="s">
        <v>382</v>
      </c>
      <c r="W203" t="s">
        <v>382</v>
      </c>
      <c r="X203" t="s">
        <v>382</v>
      </c>
      <c r="Y203" t="s">
        <v>382</v>
      </c>
      <c r="Z203" t="s">
        <v>382</v>
      </c>
      <c r="AA203" t="s">
        <v>382</v>
      </c>
      <c r="AB203" t="s">
        <v>382</v>
      </c>
      <c r="AC203">
        <v>5</v>
      </c>
      <c r="AD203">
        <v>2</v>
      </c>
      <c r="AF203" t="s">
        <v>386</v>
      </c>
      <c r="AH203" t="s">
        <v>29</v>
      </c>
      <c r="AI203" t="s">
        <v>103</v>
      </c>
      <c r="AK203">
        <v>2729</v>
      </c>
      <c r="AL203">
        <v>235</v>
      </c>
    </row>
    <row r="204" spans="1:38">
      <c r="A204" t="s">
        <v>382</v>
      </c>
      <c r="B204" t="s">
        <v>382</v>
      </c>
      <c r="C204" t="s">
        <v>382</v>
      </c>
      <c r="D204" t="s">
        <v>382</v>
      </c>
      <c r="E204" t="s">
        <v>382</v>
      </c>
      <c r="F204" t="s">
        <v>382</v>
      </c>
      <c r="G204" t="s">
        <v>382</v>
      </c>
      <c r="H204" t="s">
        <v>382</v>
      </c>
      <c r="I204" t="s">
        <v>382</v>
      </c>
      <c r="J204" t="s">
        <v>382</v>
      </c>
      <c r="K204" t="s">
        <v>382</v>
      </c>
      <c r="L204" t="s">
        <v>382</v>
      </c>
      <c r="M204" t="s">
        <v>382</v>
      </c>
      <c r="N204" t="s">
        <v>382</v>
      </c>
      <c r="O204" t="s">
        <v>382</v>
      </c>
      <c r="P204" t="s">
        <v>382</v>
      </c>
      <c r="Q204" t="s">
        <v>382</v>
      </c>
      <c r="R204" t="s">
        <v>382</v>
      </c>
      <c r="S204" t="s">
        <v>382</v>
      </c>
      <c r="T204" t="s">
        <v>382</v>
      </c>
      <c r="U204" t="s">
        <v>382</v>
      </c>
      <c r="V204" t="s">
        <v>382</v>
      </c>
      <c r="W204" t="s">
        <v>382</v>
      </c>
      <c r="X204" t="s">
        <v>382</v>
      </c>
      <c r="Y204" t="s">
        <v>382</v>
      </c>
      <c r="Z204" t="s">
        <v>382</v>
      </c>
      <c r="AA204" t="s">
        <v>382</v>
      </c>
      <c r="AB204" t="s">
        <v>382</v>
      </c>
      <c r="AC204">
        <v>5</v>
      </c>
      <c r="AD204">
        <v>3</v>
      </c>
      <c r="AF204" t="s">
        <v>386</v>
      </c>
      <c r="AH204" t="s">
        <v>29</v>
      </c>
      <c r="AI204" t="s">
        <v>103</v>
      </c>
      <c r="AK204">
        <v>2711</v>
      </c>
      <c r="AL204">
        <v>1929</v>
      </c>
    </row>
    <row r="205" spans="1:38">
      <c r="A205" t="s">
        <v>382</v>
      </c>
      <c r="B205" t="s">
        <v>382</v>
      </c>
      <c r="C205" t="s">
        <v>382</v>
      </c>
      <c r="D205" t="s">
        <v>382</v>
      </c>
      <c r="E205" t="s">
        <v>382</v>
      </c>
      <c r="F205" t="s">
        <v>382</v>
      </c>
      <c r="G205" t="s">
        <v>382</v>
      </c>
      <c r="H205" t="s">
        <v>382</v>
      </c>
      <c r="I205" t="s">
        <v>382</v>
      </c>
      <c r="J205" t="s">
        <v>382</v>
      </c>
      <c r="K205" t="s">
        <v>382</v>
      </c>
      <c r="L205" t="s">
        <v>382</v>
      </c>
      <c r="M205" t="s">
        <v>382</v>
      </c>
      <c r="N205" t="s">
        <v>382</v>
      </c>
      <c r="O205" t="s">
        <v>382</v>
      </c>
      <c r="P205" t="s">
        <v>382</v>
      </c>
      <c r="Q205" t="s">
        <v>382</v>
      </c>
      <c r="R205" t="s">
        <v>382</v>
      </c>
      <c r="S205" t="s">
        <v>382</v>
      </c>
      <c r="T205" t="s">
        <v>382</v>
      </c>
      <c r="U205" t="s">
        <v>382</v>
      </c>
      <c r="V205" t="s">
        <v>382</v>
      </c>
      <c r="W205" t="s">
        <v>382</v>
      </c>
      <c r="X205" t="s">
        <v>382</v>
      </c>
      <c r="Y205" t="s">
        <v>382</v>
      </c>
      <c r="Z205" t="s">
        <v>382</v>
      </c>
      <c r="AA205" t="s">
        <v>382</v>
      </c>
      <c r="AB205" t="s">
        <v>382</v>
      </c>
      <c r="AC205">
        <v>5</v>
      </c>
      <c r="AD205">
        <v>4</v>
      </c>
      <c r="AE205">
        <v>1</v>
      </c>
      <c r="AF205" t="s">
        <v>387</v>
      </c>
      <c r="AH205" t="s">
        <v>31</v>
      </c>
      <c r="AI205" t="s">
        <v>97</v>
      </c>
      <c r="AK205">
        <v>2830</v>
      </c>
      <c r="AL205">
        <v>1397</v>
      </c>
    </row>
    <row r="206" spans="1:38">
      <c r="A206" t="s">
        <v>382</v>
      </c>
      <c r="B206" t="s">
        <v>382</v>
      </c>
      <c r="C206" t="s">
        <v>382</v>
      </c>
      <c r="D206" t="s">
        <v>382</v>
      </c>
      <c r="E206" t="s">
        <v>382</v>
      </c>
      <c r="F206" t="s">
        <v>382</v>
      </c>
      <c r="G206" t="s">
        <v>382</v>
      </c>
      <c r="H206" t="s">
        <v>382</v>
      </c>
      <c r="I206" t="s">
        <v>382</v>
      </c>
      <c r="J206" t="s">
        <v>382</v>
      </c>
      <c r="K206" t="s">
        <v>382</v>
      </c>
      <c r="L206" t="s">
        <v>382</v>
      </c>
      <c r="M206" t="s">
        <v>382</v>
      </c>
      <c r="N206" t="s">
        <v>382</v>
      </c>
      <c r="O206" t="s">
        <v>382</v>
      </c>
      <c r="P206" t="s">
        <v>382</v>
      </c>
      <c r="Q206" t="s">
        <v>382</v>
      </c>
      <c r="R206" t="s">
        <v>382</v>
      </c>
      <c r="S206" t="s">
        <v>382</v>
      </c>
      <c r="T206" t="s">
        <v>382</v>
      </c>
      <c r="U206" t="s">
        <v>382</v>
      </c>
      <c r="V206" t="s">
        <v>382</v>
      </c>
      <c r="W206" t="s">
        <v>382</v>
      </c>
      <c r="X206" t="s">
        <v>382</v>
      </c>
      <c r="Y206" t="s">
        <v>382</v>
      </c>
      <c r="Z206" t="s">
        <v>382</v>
      </c>
      <c r="AA206" t="s">
        <v>382</v>
      </c>
      <c r="AB206" t="s">
        <v>382</v>
      </c>
      <c r="AC206">
        <v>5</v>
      </c>
      <c r="AD206">
        <v>5</v>
      </c>
      <c r="AF206" t="s">
        <v>386</v>
      </c>
      <c r="AH206" t="s">
        <v>29</v>
      </c>
      <c r="AI206" t="s">
        <v>103</v>
      </c>
      <c r="AK206">
        <v>2481</v>
      </c>
      <c r="AL206">
        <v>1172</v>
      </c>
    </row>
    <row r="207" spans="1:38">
      <c r="A207" t="s">
        <v>382</v>
      </c>
      <c r="B207" t="s">
        <v>382</v>
      </c>
      <c r="C207" t="s">
        <v>382</v>
      </c>
      <c r="D207" t="s">
        <v>382</v>
      </c>
      <c r="E207" t="s">
        <v>382</v>
      </c>
      <c r="F207" t="s">
        <v>382</v>
      </c>
      <c r="G207" t="s">
        <v>382</v>
      </c>
      <c r="H207" t="s">
        <v>382</v>
      </c>
      <c r="I207" t="s">
        <v>382</v>
      </c>
      <c r="J207" t="s">
        <v>382</v>
      </c>
      <c r="K207" t="s">
        <v>382</v>
      </c>
      <c r="L207" t="s">
        <v>382</v>
      </c>
      <c r="M207" t="s">
        <v>382</v>
      </c>
      <c r="N207" t="s">
        <v>382</v>
      </c>
      <c r="O207" t="s">
        <v>382</v>
      </c>
      <c r="P207" t="s">
        <v>382</v>
      </c>
      <c r="Q207" t="s">
        <v>382</v>
      </c>
      <c r="R207" t="s">
        <v>382</v>
      </c>
      <c r="S207" t="s">
        <v>382</v>
      </c>
      <c r="T207" t="s">
        <v>382</v>
      </c>
      <c r="U207" t="s">
        <v>382</v>
      </c>
      <c r="V207" t="s">
        <v>382</v>
      </c>
      <c r="W207" t="s">
        <v>382</v>
      </c>
      <c r="X207" t="s">
        <v>382</v>
      </c>
      <c r="Y207" t="s">
        <v>382</v>
      </c>
      <c r="Z207" t="s">
        <v>382</v>
      </c>
      <c r="AA207" t="s">
        <v>382</v>
      </c>
      <c r="AB207" t="s">
        <v>382</v>
      </c>
      <c r="AC207">
        <v>5</v>
      </c>
      <c r="AD207">
        <v>1</v>
      </c>
      <c r="AF207" t="s">
        <v>386</v>
      </c>
      <c r="AH207" t="s">
        <v>29</v>
      </c>
      <c r="AI207" t="s">
        <v>103</v>
      </c>
      <c r="AK207">
        <v>1091</v>
      </c>
      <c r="AL207">
        <v>737</v>
      </c>
    </row>
    <row r="208" spans="1:38">
      <c r="A208" t="s">
        <v>382</v>
      </c>
      <c r="B208" t="s">
        <v>382</v>
      </c>
      <c r="C208" t="s">
        <v>382</v>
      </c>
      <c r="D208" t="s">
        <v>382</v>
      </c>
      <c r="E208" t="s">
        <v>382</v>
      </c>
      <c r="F208" t="s">
        <v>382</v>
      </c>
      <c r="G208" t="s">
        <v>382</v>
      </c>
      <c r="H208" t="s">
        <v>382</v>
      </c>
      <c r="I208" t="s">
        <v>382</v>
      </c>
      <c r="J208" t="s">
        <v>382</v>
      </c>
      <c r="K208" t="s">
        <v>382</v>
      </c>
      <c r="L208" t="s">
        <v>382</v>
      </c>
      <c r="M208" t="s">
        <v>382</v>
      </c>
      <c r="N208" t="s">
        <v>382</v>
      </c>
      <c r="O208" t="s">
        <v>382</v>
      </c>
      <c r="P208" t="s">
        <v>382</v>
      </c>
      <c r="Q208" t="s">
        <v>382</v>
      </c>
      <c r="R208" t="s">
        <v>382</v>
      </c>
      <c r="S208" t="s">
        <v>382</v>
      </c>
      <c r="T208" t="s">
        <v>382</v>
      </c>
      <c r="U208" t="s">
        <v>382</v>
      </c>
      <c r="V208" t="s">
        <v>382</v>
      </c>
      <c r="W208" t="s">
        <v>382</v>
      </c>
      <c r="X208" t="s">
        <v>382</v>
      </c>
      <c r="Y208" t="s">
        <v>382</v>
      </c>
      <c r="Z208" t="s">
        <v>382</v>
      </c>
      <c r="AA208" t="s">
        <v>382</v>
      </c>
      <c r="AB208" t="s">
        <v>382</v>
      </c>
      <c r="AC208">
        <v>5</v>
      </c>
      <c r="AD208">
        <v>2</v>
      </c>
      <c r="AF208" t="s">
        <v>386</v>
      </c>
      <c r="AH208" t="s">
        <v>29</v>
      </c>
      <c r="AI208" t="s">
        <v>103</v>
      </c>
      <c r="AK208">
        <v>1128</v>
      </c>
      <c r="AL208">
        <v>85</v>
      </c>
    </row>
    <row r="209" spans="1:38">
      <c r="A209" t="s">
        <v>382</v>
      </c>
      <c r="B209" t="s">
        <v>382</v>
      </c>
      <c r="C209" t="s">
        <v>382</v>
      </c>
      <c r="D209" t="s">
        <v>382</v>
      </c>
      <c r="E209" t="s">
        <v>382</v>
      </c>
      <c r="F209" t="s">
        <v>382</v>
      </c>
      <c r="G209" t="s">
        <v>382</v>
      </c>
      <c r="H209" t="s">
        <v>382</v>
      </c>
      <c r="I209" t="s">
        <v>382</v>
      </c>
      <c r="J209" t="s">
        <v>382</v>
      </c>
      <c r="K209" t="s">
        <v>382</v>
      </c>
      <c r="L209" t="s">
        <v>382</v>
      </c>
      <c r="M209" t="s">
        <v>382</v>
      </c>
      <c r="N209" t="s">
        <v>382</v>
      </c>
      <c r="O209" t="s">
        <v>382</v>
      </c>
      <c r="P209" t="s">
        <v>382</v>
      </c>
      <c r="Q209" t="s">
        <v>382</v>
      </c>
      <c r="R209" t="s">
        <v>382</v>
      </c>
      <c r="S209" t="s">
        <v>382</v>
      </c>
      <c r="T209" t="s">
        <v>382</v>
      </c>
      <c r="U209" t="s">
        <v>382</v>
      </c>
      <c r="V209" t="s">
        <v>382</v>
      </c>
      <c r="W209" t="s">
        <v>382</v>
      </c>
      <c r="X209" t="s">
        <v>382</v>
      </c>
      <c r="Y209" t="s">
        <v>382</v>
      </c>
      <c r="Z209" t="s">
        <v>382</v>
      </c>
      <c r="AA209" t="s">
        <v>382</v>
      </c>
      <c r="AB209" t="s">
        <v>382</v>
      </c>
      <c r="AC209">
        <v>5</v>
      </c>
      <c r="AD209">
        <v>3</v>
      </c>
      <c r="AF209" t="s">
        <v>386</v>
      </c>
      <c r="AH209" t="s">
        <v>29</v>
      </c>
      <c r="AI209" t="s">
        <v>103</v>
      </c>
      <c r="AK209">
        <v>1101</v>
      </c>
      <c r="AL209">
        <v>545</v>
      </c>
    </row>
    <row r="210" spans="1:38">
      <c r="A210" t="s">
        <v>382</v>
      </c>
      <c r="B210" t="s">
        <v>382</v>
      </c>
      <c r="C210" t="s">
        <v>382</v>
      </c>
      <c r="D210" t="s">
        <v>382</v>
      </c>
      <c r="E210" t="s">
        <v>382</v>
      </c>
      <c r="F210" t="s">
        <v>382</v>
      </c>
      <c r="G210" t="s">
        <v>382</v>
      </c>
      <c r="H210" t="s">
        <v>382</v>
      </c>
      <c r="I210" t="s">
        <v>382</v>
      </c>
      <c r="J210" t="s">
        <v>382</v>
      </c>
      <c r="K210" t="s">
        <v>382</v>
      </c>
      <c r="L210" t="s">
        <v>382</v>
      </c>
      <c r="M210" t="s">
        <v>382</v>
      </c>
      <c r="N210" t="s">
        <v>382</v>
      </c>
      <c r="O210" t="s">
        <v>382</v>
      </c>
      <c r="P210" t="s">
        <v>382</v>
      </c>
      <c r="Q210" t="s">
        <v>382</v>
      </c>
      <c r="R210" t="s">
        <v>382</v>
      </c>
      <c r="S210" t="s">
        <v>382</v>
      </c>
      <c r="T210" t="s">
        <v>382</v>
      </c>
      <c r="U210" t="s">
        <v>382</v>
      </c>
      <c r="V210" t="s">
        <v>382</v>
      </c>
      <c r="W210" t="s">
        <v>382</v>
      </c>
      <c r="X210" t="s">
        <v>382</v>
      </c>
      <c r="Y210" t="s">
        <v>382</v>
      </c>
      <c r="Z210" t="s">
        <v>382</v>
      </c>
      <c r="AA210" t="s">
        <v>382</v>
      </c>
      <c r="AB210" t="s">
        <v>382</v>
      </c>
      <c r="AC210">
        <v>5</v>
      </c>
      <c r="AD210">
        <v>4</v>
      </c>
      <c r="AF210" t="s">
        <v>386</v>
      </c>
      <c r="AH210" t="s">
        <v>29</v>
      </c>
      <c r="AI210" t="s">
        <v>103</v>
      </c>
      <c r="AK210">
        <v>2034</v>
      </c>
      <c r="AL210">
        <v>1673</v>
      </c>
    </row>
    <row r="211" spans="1:38">
      <c r="A211" t="s">
        <v>382</v>
      </c>
      <c r="B211" t="s">
        <v>382</v>
      </c>
      <c r="C211" t="s">
        <v>382</v>
      </c>
      <c r="D211" t="s">
        <v>382</v>
      </c>
      <c r="E211" t="s">
        <v>382</v>
      </c>
      <c r="F211" t="s">
        <v>382</v>
      </c>
      <c r="G211" t="s">
        <v>382</v>
      </c>
      <c r="H211" t="s">
        <v>382</v>
      </c>
      <c r="I211" t="s">
        <v>382</v>
      </c>
      <c r="J211" t="s">
        <v>382</v>
      </c>
      <c r="K211" t="s">
        <v>382</v>
      </c>
      <c r="L211" t="s">
        <v>382</v>
      </c>
      <c r="M211" t="s">
        <v>382</v>
      </c>
      <c r="N211" t="s">
        <v>382</v>
      </c>
      <c r="O211" t="s">
        <v>382</v>
      </c>
      <c r="P211" t="s">
        <v>382</v>
      </c>
      <c r="Q211" t="s">
        <v>382</v>
      </c>
      <c r="R211" t="s">
        <v>382</v>
      </c>
      <c r="S211" t="s">
        <v>382</v>
      </c>
      <c r="T211" t="s">
        <v>382</v>
      </c>
      <c r="U211" t="s">
        <v>382</v>
      </c>
      <c r="V211" t="s">
        <v>382</v>
      </c>
      <c r="W211" t="s">
        <v>382</v>
      </c>
      <c r="X211" t="s">
        <v>382</v>
      </c>
      <c r="Y211" t="s">
        <v>382</v>
      </c>
      <c r="Z211" t="s">
        <v>382</v>
      </c>
      <c r="AA211" t="s">
        <v>382</v>
      </c>
      <c r="AB211" t="s">
        <v>382</v>
      </c>
      <c r="AC211">
        <v>5</v>
      </c>
      <c r="AD211">
        <v>5</v>
      </c>
      <c r="AF211" t="s">
        <v>386</v>
      </c>
      <c r="AH211" t="s">
        <v>29</v>
      </c>
      <c r="AI211" t="s">
        <v>103</v>
      </c>
      <c r="AK211">
        <v>885</v>
      </c>
      <c r="AL211">
        <v>858</v>
      </c>
    </row>
    <row r="212" spans="1:38">
      <c r="A212" t="s">
        <v>382</v>
      </c>
      <c r="B212" t="s">
        <v>382</v>
      </c>
      <c r="C212" t="s">
        <v>382</v>
      </c>
      <c r="D212" t="s">
        <v>382</v>
      </c>
      <c r="E212" t="s">
        <v>382</v>
      </c>
      <c r="F212" t="s">
        <v>382</v>
      </c>
      <c r="G212" t="s">
        <v>382</v>
      </c>
      <c r="H212" t="s">
        <v>382</v>
      </c>
      <c r="I212" t="s">
        <v>382</v>
      </c>
      <c r="J212" t="s">
        <v>382</v>
      </c>
      <c r="K212" t="s">
        <v>382</v>
      </c>
      <c r="L212" t="s">
        <v>382</v>
      </c>
      <c r="M212" t="s">
        <v>382</v>
      </c>
      <c r="N212" t="s">
        <v>382</v>
      </c>
      <c r="O212" t="s">
        <v>382</v>
      </c>
      <c r="P212" t="s">
        <v>382</v>
      </c>
      <c r="Q212" t="s">
        <v>382</v>
      </c>
      <c r="R212" t="s">
        <v>382</v>
      </c>
      <c r="S212" t="s">
        <v>382</v>
      </c>
      <c r="T212" t="s">
        <v>382</v>
      </c>
      <c r="U212" t="s">
        <v>382</v>
      </c>
      <c r="V212" t="s">
        <v>382</v>
      </c>
      <c r="W212" t="s">
        <v>382</v>
      </c>
      <c r="X212" t="s">
        <v>382</v>
      </c>
      <c r="Y212" t="s">
        <v>382</v>
      </c>
      <c r="Z212" t="s">
        <v>382</v>
      </c>
      <c r="AA212" t="s">
        <v>382</v>
      </c>
      <c r="AB212" t="s">
        <v>382</v>
      </c>
      <c r="AC212">
        <v>5</v>
      </c>
      <c r="AD212">
        <v>1</v>
      </c>
      <c r="AF212" t="s">
        <v>385</v>
      </c>
      <c r="AH212" t="s">
        <v>27</v>
      </c>
      <c r="AI212" t="s">
        <v>109</v>
      </c>
      <c r="AK212">
        <v>2156</v>
      </c>
      <c r="AL212">
        <v>398</v>
      </c>
    </row>
    <row r="213" spans="1:38">
      <c r="A213" t="s">
        <v>382</v>
      </c>
      <c r="B213" t="s">
        <v>382</v>
      </c>
      <c r="C213" t="s">
        <v>382</v>
      </c>
      <c r="D213" t="s">
        <v>382</v>
      </c>
      <c r="E213" t="s">
        <v>382</v>
      </c>
      <c r="F213" t="s">
        <v>382</v>
      </c>
      <c r="G213" t="s">
        <v>382</v>
      </c>
      <c r="H213" t="s">
        <v>382</v>
      </c>
      <c r="I213" t="s">
        <v>382</v>
      </c>
      <c r="J213" t="s">
        <v>382</v>
      </c>
      <c r="K213" t="s">
        <v>382</v>
      </c>
      <c r="L213" t="s">
        <v>382</v>
      </c>
      <c r="M213" t="s">
        <v>382</v>
      </c>
      <c r="N213" t="s">
        <v>382</v>
      </c>
      <c r="O213" t="s">
        <v>382</v>
      </c>
      <c r="P213" t="s">
        <v>382</v>
      </c>
      <c r="Q213" t="s">
        <v>382</v>
      </c>
      <c r="R213" t="s">
        <v>382</v>
      </c>
      <c r="S213" t="s">
        <v>382</v>
      </c>
      <c r="T213" t="s">
        <v>382</v>
      </c>
      <c r="U213" t="s">
        <v>382</v>
      </c>
      <c r="V213" t="s">
        <v>382</v>
      </c>
      <c r="W213" t="s">
        <v>382</v>
      </c>
      <c r="X213" t="s">
        <v>382</v>
      </c>
      <c r="Y213" t="s">
        <v>382</v>
      </c>
      <c r="Z213" t="s">
        <v>382</v>
      </c>
      <c r="AA213" t="s">
        <v>382</v>
      </c>
      <c r="AB213" t="s">
        <v>382</v>
      </c>
      <c r="AC213">
        <v>5</v>
      </c>
      <c r="AD213">
        <v>2</v>
      </c>
      <c r="AF213" t="s">
        <v>386</v>
      </c>
      <c r="AH213" t="s">
        <v>29</v>
      </c>
      <c r="AI213" t="s">
        <v>103</v>
      </c>
      <c r="AK213">
        <v>1427</v>
      </c>
      <c r="AL213">
        <v>1717</v>
      </c>
    </row>
    <row r="214" spans="1:38">
      <c r="A214" t="s">
        <v>382</v>
      </c>
      <c r="B214" t="s">
        <v>382</v>
      </c>
      <c r="C214" t="s">
        <v>382</v>
      </c>
      <c r="D214" t="s">
        <v>382</v>
      </c>
      <c r="E214" t="s">
        <v>382</v>
      </c>
      <c r="F214" t="s">
        <v>382</v>
      </c>
      <c r="G214" t="s">
        <v>382</v>
      </c>
      <c r="H214" t="s">
        <v>382</v>
      </c>
      <c r="I214" t="s">
        <v>382</v>
      </c>
      <c r="J214" t="s">
        <v>382</v>
      </c>
      <c r="K214" t="s">
        <v>382</v>
      </c>
      <c r="L214" t="s">
        <v>382</v>
      </c>
      <c r="M214" t="s">
        <v>382</v>
      </c>
      <c r="N214" t="s">
        <v>382</v>
      </c>
      <c r="O214" t="s">
        <v>382</v>
      </c>
      <c r="P214" t="s">
        <v>382</v>
      </c>
      <c r="Q214" t="s">
        <v>382</v>
      </c>
      <c r="R214" t="s">
        <v>382</v>
      </c>
      <c r="S214" t="s">
        <v>382</v>
      </c>
      <c r="T214" t="s">
        <v>382</v>
      </c>
      <c r="U214" t="s">
        <v>382</v>
      </c>
      <c r="V214" t="s">
        <v>382</v>
      </c>
      <c r="W214" t="s">
        <v>382</v>
      </c>
      <c r="X214" t="s">
        <v>382</v>
      </c>
      <c r="Y214" t="s">
        <v>382</v>
      </c>
      <c r="Z214" t="s">
        <v>382</v>
      </c>
      <c r="AA214" t="s">
        <v>382</v>
      </c>
      <c r="AB214" t="s">
        <v>382</v>
      </c>
      <c r="AC214">
        <v>5</v>
      </c>
      <c r="AD214">
        <v>3</v>
      </c>
      <c r="AF214" t="s">
        <v>386</v>
      </c>
      <c r="AH214" t="s">
        <v>29</v>
      </c>
      <c r="AI214" t="s">
        <v>103</v>
      </c>
      <c r="AK214">
        <v>2505</v>
      </c>
      <c r="AL214">
        <v>1681</v>
      </c>
    </row>
    <row r="215" spans="1:38">
      <c r="A215" t="s">
        <v>382</v>
      </c>
      <c r="B215" t="s">
        <v>382</v>
      </c>
      <c r="C215" t="s">
        <v>382</v>
      </c>
      <c r="D215" t="s">
        <v>382</v>
      </c>
      <c r="E215" t="s">
        <v>382</v>
      </c>
      <c r="F215" t="s">
        <v>382</v>
      </c>
      <c r="G215" t="s">
        <v>382</v>
      </c>
      <c r="H215" t="s">
        <v>382</v>
      </c>
      <c r="I215" t="s">
        <v>382</v>
      </c>
      <c r="J215" t="s">
        <v>382</v>
      </c>
      <c r="K215" t="s">
        <v>382</v>
      </c>
      <c r="L215" t="s">
        <v>382</v>
      </c>
      <c r="M215" t="s">
        <v>382</v>
      </c>
      <c r="N215" t="s">
        <v>382</v>
      </c>
      <c r="O215" t="s">
        <v>382</v>
      </c>
      <c r="P215" t="s">
        <v>382</v>
      </c>
      <c r="Q215" t="s">
        <v>382</v>
      </c>
      <c r="R215" t="s">
        <v>382</v>
      </c>
      <c r="S215" t="s">
        <v>382</v>
      </c>
      <c r="T215" t="s">
        <v>382</v>
      </c>
      <c r="U215" t="s">
        <v>382</v>
      </c>
      <c r="V215" t="s">
        <v>382</v>
      </c>
      <c r="W215" t="s">
        <v>382</v>
      </c>
      <c r="X215" t="s">
        <v>382</v>
      </c>
      <c r="Y215" t="s">
        <v>382</v>
      </c>
      <c r="Z215" t="s">
        <v>382</v>
      </c>
      <c r="AA215" t="s">
        <v>382</v>
      </c>
      <c r="AB215" t="s">
        <v>382</v>
      </c>
      <c r="AC215">
        <v>5</v>
      </c>
      <c r="AD215">
        <v>4</v>
      </c>
      <c r="AF215" t="s">
        <v>386</v>
      </c>
      <c r="AH215" t="s">
        <v>29</v>
      </c>
      <c r="AI215" t="s">
        <v>103</v>
      </c>
      <c r="AK215">
        <v>2881</v>
      </c>
      <c r="AL215">
        <v>966</v>
      </c>
    </row>
    <row r="216" spans="1:38">
      <c r="A216" t="s">
        <v>382</v>
      </c>
      <c r="B216" t="s">
        <v>382</v>
      </c>
      <c r="C216" t="s">
        <v>382</v>
      </c>
      <c r="D216" t="s">
        <v>382</v>
      </c>
      <c r="E216" t="s">
        <v>382</v>
      </c>
      <c r="F216" t="s">
        <v>382</v>
      </c>
      <c r="G216" t="s">
        <v>382</v>
      </c>
      <c r="H216" t="s">
        <v>382</v>
      </c>
      <c r="I216" t="s">
        <v>382</v>
      </c>
      <c r="J216" t="s">
        <v>382</v>
      </c>
      <c r="K216" t="s">
        <v>382</v>
      </c>
      <c r="L216" t="s">
        <v>382</v>
      </c>
      <c r="M216" t="s">
        <v>382</v>
      </c>
      <c r="N216" t="s">
        <v>382</v>
      </c>
      <c r="O216" t="s">
        <v>382</v>
      </c>
      <c r="P216" t="s">
        <v>382</v>
      </c>
      <c r="Q216" t="s">
        <v>382</v>
      </c>
      <c r="R216" t="s">
        <v>382</v>
      </c>
      <c r="S216" t="s">
        <v>382</v>
      </c>
      <c r="T216" t="s">
        <v>382</v>
      </c>
      <c r="U216" t="s">
        <v>382</v>
      </c>
      <c r="V216" t="s">
        <v>382</v>
      </c>
      <c r="W216" t="s">
        <v>382</v>
      </c>
      <c r="X216" t="s">
        <v>382</v>
      </c>
      <c r="Y216" t="s">
        <v>382</v>
      </c>
      <c r="Z216" t="s">
        <v>382</v>
      </c>
      <c r="AA216" t="s">
        <v>382</v>
      </c>
      <c r="AB216" t="s">
        <v>382</v>
      </c>
      <c r="AC216">
        <v>5</v>
      </c>
      <c r="AD216">
        <v>5</v>
      </c>
      <c r="AF216" t="s">
        <v>386</v>
      </c>
      <c r="AH216" t="s">
        <v>29</v>
      </c>
      <c r="AI216" t="s">
        <v>103</v>
      </c>
      <c r="AK216">
        <v>2306</v>
      </c>
      <c r="AL216">
        <v>1253</v>
      </c>
    </row>
    <row r="217" spans="1:38">
      <c r="A217" t="s">
        <v>382</v>
      </c>
      <c r="B217" t="s">
        <v>382</v>
      </c>
      <c r="C217" t="s">
        <v>382</v>
      </c>
      <c r="D217" t="s">
        <v>382</v>
      </c>
      <c r="E217" t="s">
        <v>382</v>
      </c>
      <c r="F217" t="s">
        <v>382</v>
      </c>
      <c r="G217" t="s">
        <v>382</v>
      </c>
      <c r="H217" t="s">
        <v>382</v>
      </c>
      <c r="I217" t="s">
        <v>382</v>
      </c>
      <c r="J217" t="s">
        <v>382</v>
      </c>
      <c r="K217" t="s">
        <v>382</v>
      </c>
      <c r="L217" t="s">
        <v>382</v>
      </c>
      <c r="M217" t="s">
        <v>382</v>
      </c>
      <c r="N217" t="s">
        <v>382</v>
      </c>
      <c r="O217" t="s">
        <v>382</v>
      </c>
      <c r="P217" t="s">
        <v>382</v>
      </c>
      <c r="Q217" t="s">
        <v>382</v>
      </c>
      <c r="R217" t="s">
        <v>382</v>
      </c>
      <c r="S217" t="s">
        <v>382</v>
      </c>
      <c r="T217" t="s">
        <v>382</v>
      </c>
      <c r="U217" t="s">
        <v>382</v>
      </c>
      <c r="V217" t="s">
        <v>382</v>
      </c>
      <c r="W217" t="s">
        <v>382</v>
      </c>
      <c r="X217" t="s">
        <v>382</v>
      </c>
      <c r="Y217" t="s">
        <v>382</v>
      </c>
      <c r="Z217" t="s">
        <v>382</v>
      </c>
      <c r="AA217" t="s">
        <v>382</v>
      </c>
      <c r="AB217" t="s">
        <v>382</v>
      </c>
      <c r="AC217">
        <v>5</v>
      </c>
      <c r="AD217">
        <v>1</v>
      </c>
      <c r="AF217" t="s">
        <v>386</v>
      </c>
      <c r="AH217" t="s">
        <v>29</v>
      </c>
      <c r="AI217" t="s">
        <v>103</v>
      </c>
      <c r="AK217">
        <v>2398</v>
      </c>
      <c r="AL217">
        <v>2292</v>
      </c>
    </row>
    <row r="218" spans="1:38">
      <c r="A218" t="s">
        <v>382</v>
      </c>
      <c r="B218" t="s">
        <v>382</v>
      </c>
      <c r="C218" t="s">
        <v>382</v>
      </c>
      <c r="D218" t="s">
        <v>382</v>
      </c>
      <c r="E218" t="s">
        <v>382</v>
      </c>
      <c r="F218" t="s">
        <v>382</v>
      </c>
      <c r="G218" t="s">
        <v>382</v>
      </c>
      <c r="H218" t="s">
        <v>382</v>
      </c>
      <c r="I218" t="s">
        <v>382</v>
      </c>
      <c r="J218" t="s">
        <v>382</v>
      </c>
      <c r="K218" t="s">
        <v>382</v>
      </c>
      <c r="L218" t="s">
        <v>382</v>
      </c>
      <c r="M218" t="s">
        <v>382</v>
      </c>
      <c r="N218" t="s">
        <v>382</v>
      </c>
      <c r="O218" t="s">
        <v>382</v>
      </c>
      <c r="P218" t="s">
        <v>382</v>
      </c>
      <c r="Q218" t="s">
        <v>382</v>
      </c>
      <c r="R218" t="s">
        <v>382</v>
      </c>
      <c r="S218" t="s">
        <v>382</v>
      </c>
      <c r="T218" t="s">
        <v>382</v>
      </c>
      <c r="U218" t="s">
        <v>382</v>
      </c>
      <c r="V218" t="s">
        <v>382</v>
      </c>
      <c r="W218" t="s">
        <v>382</v>
      </c>
      <c r="X218" t="s">
        <v>382</v>
      </c>
      <c r="Y218" t="s">
        <v>382</v>
      </c>
      <c r="Z218" t="s">
        <v>382</v>
      </c>
      <c r="AA218" t="s">
        <v>382</v>
      </c>
      <c r="AB218" t="s">
        <v>382</v>
      </c>
      <c r="AC218">
        <v>5</v>
      </c>
      <c r="AD218">
        <v>2</v>
      </c>
      <c r="AF218" t="s">
        <v>386</v>
      </c>
      <c r="AH218" t="s">
        <v>29</v>
      </c>
      <c r="AI218" t="s">
        <v>103</v>
      </c>
      <c r="AK218">
        <v>778</v>
      </c>
      <c r="AL218">
        <v>1697</v>
      </c>
    </row>
    <row r="219" spans="1:38">
      <c r="A219" t="s">
        <v>382</v>
      </c>
      <c r="B219" t="s">
        <v>382</v>
      </c>
      <c r="C219" t="s">
        <v>382</v>
      </c>
      <c r="D219" t="s">
        <v>382</v>
      </c>
      <c r="E219" t="s">
        <v>382</v>
      </c>
      <c r="F219" t="s">
        <v>382</v>
      </c>
      <c r="G219" t="s">
        <v>382</v>
      </c>
      <c r="H219" t="s">
        <v>382</v>
      </c>
      <c r="I219" t="s">
        <v>382</v>
      </c>
      <c r="J219" t="s">
        <v>382</v>
      </c>
      <c r="K219" t="s">
        <v>382</v>
      </c>
      <c r="L219" t="s">
        <v>382</v>
      </c>
      <c r="M219" t="s">
        <v>382</v>
      </c>
      <c r="N219" t="s">
        <v>382</v>
      </c>
      <c r="O219" t="s">
        <v>382</v>
      </c>
      <c r="P219" t="s">
        <v>382</v>
      </c>
      <c r="Q219" t="s">
        <v>382</v>
      </c>
      <c r="R219" t="s">
        <v>382</v>
      </c>
      <c r="S219" t="s">
        <v>382</v>
      </c>
      <c r="T219" t="s">
        <v>382</v>
      </c>
      <c r="U219" t="s">
        <v>382</v>
      </c>
      <c r="V219" t="s">
        <v>382</v>
      </c>
      <c r="W219" t="s">
        <v>382</v>
      </c>
      <c r="X219" t="s">
        <v>382</v>
      </c>
      <c r="Y219" t="s">
        <v>382</v>
      </c>
      <c r="Z219" t="s">
        <v>382</v>
      </c>
      <c r="AA219" t="s">
        <v>382</v>
      </c>
      <c r="AB219" t="s">
        <v>382</v>
      </c>
      <c r="AC219">
        <v>5</v>
      </c>
      <c r="AD219">
        <v>3</v>
      </c>
      <c r="AF219" t="s">
        <v>386</v>
      </c>
      <c r="AH219" t="s">
        <v>29</v>
      </c>
      <c r="AI219" t="s">
        <v>103</v>
      </c>
      <c r="AK219">
        <v>723</v>
      </c>
      <c r="AL219">
        <v>927</v>
      </c>
    </row>
    <row r="220" spans="1:38">
      <c r="A220" t="s">
        <v>382</v>
      </c>
      <c r="B220" t="s">
        <v>382</v>
      </c>
      <c r="C220" t="s">
        <v>382</v>
      </c>
      <c r="D220" t="s">
        <v>382</v>
      </c>
      <c r="E220" t="s">
        <v>382</v>
      </c>
      <c r="F220" t="s">
        <v>382</v>
      </c>
      <c r="G220" t="s">
        <v>382</v>
      </c>
      <c r="H220" t="s">
        <v>382</v>
      </c>
      <c r="I220" t="s">
        <v>382</v>
      </c>
      <c r="J220" t="s">
        <v>382</v>
      </c>
      <c r="K220" t="s">
        <v>382</v>
      </c>
      <c r="L220" t="s">
        <v>382</v>
      </c>
      <c r="M220" t="s">
        <v>382</v>
      </c>
      <c r="N220" t="s">
        <v>382</v>
      </c>
      <c r="O220" t="s">
        <v>382</v>
      </c>
      <c r="P220" t="s">
        <v>382</v>
      </c>
      <c r="Q220" t="s">
        <v>382</v>
      </c>
      <c r="R220" t="s">
        <v>382</v>
      </c>
      <c r="S220" t="s">
        <v>382</v>
      </c>
      <c r="T220" t="s">
        <v>382</v>
      </c>
      <c r="U220" t="s">
        <v>382</v>
      </c>
      <c r="V220" t="s">
        <v>382</v>
      </c>
      <c r="W220" t="s">
        <v>382</v>
      </c>
      <c r="X220" t="s">
        <v>382</v>
      </c>
      <c r="Y220" t="s">
        <v>382</v>
      </c>
      <c r="Z220" t="s">
        <v>382</v>
      </c>
      <c r="AA220" t="s">
        <v>382</v>
      </c>
      <c r="AB220" t="s">
        <v>382</v>
      </c>
      <c r="AC220">
        <v>5</v>
      </c>
      <c r="AD220">
        <v>4</v>
      </c>
      <c r="AF220" t="s">
        <v>386</v>
      </c>
      <c r="AH220" t="s">
        <v>29</v>
      </c>
      <c r="AI220" t="s">
        <v>103</v>
      </c>
      <c r="AK220">
        <v>2584</v>
      </c>
      <c r="AL220">
        <v>2187</v>
      </c>
    </row>
    <row r="221" spans="1:38">
      <c r="A221" t="s">
        <v>382</v>
      </c>
      <c r="B221" t="s">
        <v>382</v>
      </c>
      <c r="C221" t="s">
        <v>382</v>
      </c>
      <c r="D221" t="s">
        <v>382</v>
      </c>
      <c r="E221" t="s">
        <v>382</v>
      </c>
      <c r="F221" t="s">
        <v>382</v>
      </c>
      <c r="G221" t="s">
        <v>382</v>
      </c>
      <c r="H221" t="s">
        <v>382</v>
      </c>
      <c r="I221" t="s">
        <v>382</v>
      </c>
      <c r="J221" t="s">
        <v>382</v>
      </c>
      <c r="K221" t="s">
        <v>382</v>
      </c>
      <c r="L221" t="s">
        <v>382</v>
      </c>
      <c r="M221" t="s">
        <v>382</v>
      </c>
      <c r="N221" t="s">
        <v>382</v>
      </c>
      <c r="O221" t="s">
        <v>382</v>
      </c>
      <c r="P221" t="s">
        <v>382</v>
      </c>
      <c r="Q221" t="s">
        <v>382</v>
      </c>
      <c r="R221" t="s">
        <v>382</v>
      </c>
      <c r="S221" t="s">
        <v>382</v>
      </c>
      <c r="T221" t="s">
        <v>382</v>
      </c>
      <c r="U221" t="s">
        <v>382</v>
      </c>
      <c r="V221" t="s">
        <v>382</v>
      </c>
      <c r="W221" t="s">
        <v>382</v>
      </c>
      <c r="X221" t="s">
        <v>382</v>
      </c>
      <c r="Y221" t="s">
        <v>382</v>
      </c>
      <c r="Z221" t="s">
        <v>382</v>
      </c>
      <c r="AA221" t="s">
        <v>382</v>
      </c>
      <c r="AB221" t="s">
        <v>382</v>
      </c>
      <c r="AC221">
        <v>5</v>
      </c>
      <c r="AD221">
        <v>5</v>
      </c>
      <c r="AF221" t="s">
        <v>392</v>
      </c>
      <c r="AH221" t="s">
        <v>41</v>
      </c>
      <c r="AI221" t="s">
        <v>102</v>
      </c>
      <c r="AK221">
        <v>2503</v>
      </c>
      <c r="AL221">
        <v>88</v>
      </c>
    </row>
    <row r="222" spans="1:38">
      <c r="A222" t="s">
        <v>382</v>
      </c>
      <c r="B222" t="s">
        <v>382</v>
      </c>
      <c r="C222" t="s">
        <v>382</v>
      </c>
      <c r="D222" t="s">
        <v>382</v>
      </c>
      <c r="E222" t="s">
        <v>382</v>
      </c>
      <c r="F222" t="s">
        <v>382</v>
      </c>
      <c r="G222" t="s">
        <v>382</v>
      </c>
      <c r="H222" t="s">
        <v>382</v>
      </c>
      <c r="I222" t="s">
        <v>382</v>
      </c>
      <c r="J222" t="s">
        <v>382</v>
      </c>
      <c r="K222" t="s">
        <v>382</v>
      </c>
      <c r="L222" t="s">
        <v>382</v>
      </c>
      <c r="M222" t="s">
        <v>382</v>
      </c>
      <c r="N222" t="s">
        <v>382</v>
      </c>
      <c r="O222" t="s">
        <v>382</v>
      </c>
      <c r="P222" t="s">
        <v>382</v>
      </c>
      <c r="Q222" t="s">
        <v>382</v>
      </c>
      <c r="R222" t="s">
        <v>382</v>
      </c>
      <c r="S222" t="s">
        <v>382</v>
      </c>
      <c r="T222" t="s">
        <v>382</v>
      </c>
      <c r="U222" t="s">
        <v>382</v>
      </c>
      <c r="V222" t="s">
        <v>382</v>
      </c>
      <c r="W222" t="s">
        <v>382</v>
      </c>
      <c r="X222" t="s">
        <v>382</v>
      </c>
      <c r="Y222" t="s">
        <v>382</v>
      </c>
      <c r="Z222" t="s">
        <v>382</v>
      </c>
      <c r="AA222" t="s">
        <v>382</v>
      </c>
      <c r="AB222" t="s">
        <v>382</v>
      </c>
      <c r="AC222">
        <v>5</v>
      </c>
      <c r="AD222">
        <v>1</v>
      </c>
      <c r="AE222">
        <v>1</v>
      </c>
      <c r="AF222" t="s">
        <v>383</v>
      </c>
      <c r="AH222" t="s">
        <v>22</v>
      </c>
      <c r="AI222" t="s">
        <v>97</v>
      </c>
      <c r="AK222">
        <v>1843</v>
      </c>
      <c r="AL222">
        <v>2354</v>
      </c>
    </row>
    <row r="223" spans="1:38">
      <c r="A223" t="s">
        <v>382</v>
      </c>
      <c r="B223" t="s">
        <v>382</v>
      </c>
      <c r="C223" t="s">
        <v>382</v>
      </c>
      <c r="D223" t="s">
        <v>382</v>
      </c>
      <c r="E223" t="s">
        <v>382</v>
      </c>
      <c r="F223" t="s">
        <v>382</v>
      </c>
      <c r="G223" t="s">
        <v>382</v>
      </c>
      <c r="H223" t="s">
        <v>382</v>
      </c>
      <c r="I223" t="s">
        <v>382</v>
      </c>
      <c r="J223" t="s">
        <v>382</v>
      </c>
      <c r="K223" t="s">
        <v>382</v>
      </c>
      <c r="L223" t="s">
        <v>382</v>
      </c>
      <c r="M223" t="s">
        <v>382</v>
      </c>
      <c r="N223" t="s">
        <v>382</v>
      </c>
      <c r="O223" t="s">
        <v>382</v>
      </c>
      <c r="P223" t="s">
        <v>382</v>
      </c>
      <c r="Q223" t="s">
        <v>382</v>
      </c>
      <c r="R223" t="s">
        <v>382</v>
      </c>
      <c r="S223" t="s">
        <v>382</v>
      </c>
      <c r="T223" t="s">
        <v>382</v>
      </c>
      <c r="U223" t="s">
        <v>382</v>
      </c>
      <c r="V223" t="s">
        <v>382</v>
      </c>
      <c r="W223" t="s">
        <v>382</v>
      </c>
      <c r="X223" t="s">
        <v>382</v>
      </c>
      <c r="Y223" t="s">
        <v>382</v>
      </c>
      <c r="Z223" t="s">
        <v>382</v>
      </c>
      <c r="AA223" t="s">
        <v>382</v>
      </c>
      <c r="AB223" t="s">
        <v>382</v>
      </c>
      <c r="AC223">
        <v>5</v>
      </c>
      <c r="AD223">
        <v>2</v>
      </c>
      <c r="AF223" t="s">
        <v>386</v>
      </c>
      <c r="AH223" t="s">
        <v>29</v>
      </c>
      <c r="AI223" t="s">
        <v>103</v>
      </c>
      <c r="AK223">
        <v>1043</v>
      </c>
      <c r="AL223">
        <v>2332</v>
      </c>
    </row>
    <row r="224" spans="1:38">
      <c r="A224" t="s">
        <v>382</v>
      </c>
      <c r="B224" t="s">
        <v>382</v>
      </c>
      <c r="C224" t="s">
        <v>382</v>
      </c>
      <c r="D224" t="s">
        <v>382</v>
      </c>
      <c r="E224" t="s">
        <v>382</v>
      </c>
      <c r="F224" t="s">
        <v>382</v>
      </c>
      <c r="G224" t="s">
        <v>382</v>
      </c>
      <c r="H224" t="s">
        <v>382</v>
      </c>
      <c r="I224" t="s">
        <v>382</v>
      </c>
      <c r="J224" t="s">
        <v>382</v>
      </c>
      <c r="K224" t="s">
        <v>382</v>
      </c>
      <c r="L224" t="s">
        <v>382</v>
      </c>
      <c r="M224" t="s">
        <v>382</v>
      </c>
      <c r="N224" t="s">
        <v>382</v>
      </c>
      <c r="O224" t="s">
        <v>382</v>
      </c>
      <c r="P224" t="s">
        <v>382</v>
      </c>
      <c r="Q224" t="s">
        <v>382</v>
      </c>
      <c r="R224" t="s">
        <v>382</v>
      </c>
      <c r="S224" t="s">
        <v>382</v>
      </c>
      <c r="T224" t="s">
        <v>382</v>
      </c>
      <c r="U224" t="s">
        <v>382</v>
      </c>
      <c r="V224" t="s">
        <v>382</v>
      </c>
      <c r="W224" t="s">
        <v>382</v>
      </c>
      <c r="X224" t="s">
        <v>382</v>
      </c>
      <c r="Y224" t="s">
        <v>382</v>
      </c>
      <c r="Z224" t="s">
        <v>382</v>
      </c>
      <c r="AA224" t="s">
        <v>382</v>
      </c>
      <c r="AB224" t="s">
        <v>382</v>
      </c>
      <c r="AC224">
        <v>5</v>
      </c>
      <c r="AD224">
        <v>3</v>
      </c>
      <c r="AE224">
        <v>1</v>
      </c>
      <c r="AF224" t="s">
        <v>391</v>
      </c>
      <c r="AH224" t="s">
        <v>38</v>
      </c>
      <c r="AI224" t="s">
        <v>97</v>
      </c>
      <c r="AK224">
        <v>761</v>
      </c>
      <c r="AL224">
        <v>543</v>
      </c>
    </row>
    <row r="225" spans="1:38">
      <c r="A225" t="s">
        <v>382</v>
      </c>
      <c r="B225" t="s">
        <v>382</v>
      </c>
      <c r="C225" t="s">
        <v>382</v>
      </c>
      <c r="D225" t="s">
        <v>382</v>
      </c>
      <c r="E225" t="s">
        <v>382</v>
      </c>
      <c r="F225" t="s">
        <v>382</v>
      </c>
      <c r="G225" t="s">
        <v>382</v>
      </c>
      <c r="H225" t="s">
        <v>382</v>
      </c>
      <c r="I225" t="s">
        <v>382</v>
      </c>
      <c r="J225" t="s">
        <v>382</v>
      </c>
      <c r="K225" t="s">
        <v>382</v>
      </c>
      <c r="L225" t="s">
        <v>382</v>
      </c>
      <c r="M225" t="s">
        <v>382</v>
      </c>
      <c r="N225" t="s">
        <v>382</v>
      </c>
      <c r="O225" t="s">
        <v>382</v>
      </c>
      <c r="P225" t="s">
        <v>382</v>
      </c>
      <c r="Q225" t="s">
        <v>382</v>
      </c>
      <c r="R225" t="s">
        <v>382</v>
      </c>
      <c r="S225" t="s">
        <v>382</v>
      </c>
      <c r="T225" t="s">
        <v>382</v>
      </c>
      <c r="U225" t="s">
        <v>382</v>
      </c>
      <c r="V225" t="s">
        <v>382</v>
      </c>
      <c r="W225" t="s">
        <v>382</v>
      </c>
      <c r="X225" t="s">
        <v>382</v>
      </c>
      <c r="Y225" t="s">
        <v>382</v>
      </c>
      <c r="Z225" t="s">
        <v>382</v>
      </c>
      <c r="AA225" t="s">
        <v>382</v>
      </c>
      <c r="AB225" t="s">
        <v>382</v>
      </c>
      <c r="AC225">
        <v>5</v>
      </c>
      <c r="AD225">
        <v>4</v>
      </c>
      <c r="AE225">
        <v>1</v>
      </c>
      <c r="AF225" t="s">
        <v>391</v>
      </c>
      <c r="AH225" t="s">
        <v>38</v>
      </c>
      <c r="AI225" t="s">
        <v>97</v>
      </c>
      <c r="AK225">
        <v>1596</v>
      </c>
      <c r="AL225">
        <v>339</v>
      </c>
    </row>
    <row r="226" spans="1:38">
      <c r="A226" t="s">
        <v>382</v>
      </c>
      <c r="B226" t="s">
        <v>382</v>
      </c>
      <c r="C226" t="s">
        <v>382</v>
      </c>
      <c r="D226" t="s">
        <v>382</v>
      </c>
      <c r="E226" t="s">
        <v>382</v>
      </c>
      <c r="F226" t="s">
        <v>382</v>
      </c>
      <c r="G226" t="s">
        <v>382</v>
      </c>
      <c r="H226" t="s">
        <v>382</v>
      </c>
      <c r="I226" t="s">
        <v>382</v>
      </c>
      <c r="J226" t="s">
        <v>382</v>
      </c>
      <c r="K226" t="s">
        <v>382</v>
      </c>
      <c r="L226" t="s">
        <v>382</v>
      </c>
      <c r="M226" t="s">
        <v>382</v>
      </c>
      <c r="N226" t="s">
        <v>382</v>
      </c>
      <c r="O226" t="s">
        <v>382</v>
      </c>
      <c r="P226" t="s">
        <v>382</v>
      </c>
      <c r="Q226" t="s">
        <v>382</v>
      </c>
      <c r="R226" t="s">
        <v>382</v>
      </c>
      <c r="S226" t="s">
        <v>382</v>
      </c>
      <c r="T226" t="s">
        <v>382</v>
      </c>
      <c r="U226" t="s">
        <v>382</v>
      </c>
      <c r="V226" t="s">
        <v>382</v>
      </c>
      <c r="W226" t="s">
        <v>382</v>
      </c>
      <c r="X226" t="s">
        <v>382</v>
      </c>
      <c r="Y226" t="s">
        <v>382</v>
      </c>
      <c r="Z226" t="s">
        <v>382</v>
      </c>
      <c r="AA226" t="s">
        <v>382</v>
      </c>
      <c r="AB226" t="s">
        <v>382</v>
      </c>
      <c r="AC226">
        <v>5</v>
      </c>
      <c r="AD226">
        <v>5</v>
      </c>
      <c r="AF226" t="s">
        <v>386</v>
      </c>
      <c r="AH226" t="s">
        <v>29</v>
      </c>
      <c r="AI226" t="s">
        <v>103</v>
      </c>
      <c r="AK226">
        <v>2517</v>
      </c>
      <c r="AL226">
        <v>171</v>
      </c>
    </row>
    <row r="227" spans="1:38">
      <c r="A227" t="s">
        <v>382</v>
      </c>
      <c r="B227" t="s">
        <v>382</v>
      </c>
      <c r="C227" t="s">
        <v>382</v>
      </c>
      <c r="D227" t="s">
        <v>382</v>
      </c>
      <c r="E227" t="s">
        <v>382</v>
      </c>
      <c r="F227" t="s">
        <v>382</v>
      </c>
      <c r="G227" t="s">
        <v>382</v>
      </c>
      <c r="H227" t="s">
        <v>382</v>
      </c>
      <c r="I227" t="s">
        <v>382</v>
      </c>
      <c r="J227" t="s">
        <v>382</v>
      </c>
      <c r="K227" t="s">
        <v>382</v>
      </c>
      <c r="L227" t="s">
        <v>382</v>
      </c>
      <c r="M227" t="s">
        <v>382</v>
      </c>
      <c r="N227" t="s">
        <v>382</v>
      </c>
      <c r="O227" t="s">
        <v>382</v>
      </c>
      <c r="P227" t="s">
        <v>382</v>
      </c>
      <c r="Q227" t="s">
        <v>382</v>
      </c>
      <c r="R227" t="s">
        <v>382</v>
      </c>
      <c r="S227" t="s">
        <v>382</v>
      </c>
      <c r="T227" t="s">
        <v>382</v>
      </c>
      <c r="U227" t="s">
        <v>382</v>
      </c>
      <c r="V227" t="s">
        <v>382</v>
      </c>
      <c r="W227" t="s">
        <v>382</v>
      </c>
      <c r="X227" t="s">
        <v>382</v>
      </c>
      <c r="Y227" t="s">
        <v>382</v>
      </c>
      <c r="Z227" t="s">
        <v>382</v>
      </c>
      <c r="AA227" t="s">
        <v>382</v>
      </c>
      <c r="AB227" t="s">
        <v>382</v>
      </c>
      <c r="AC227">
        <v>5</v>
      </c>
      <c r="AD227">
        <v>1</v>
      </c>
      <c r="AF227" t="s">
        <v>386</v>
      </c>
      <c r="AH227" t="s">
        <v>29</v>
      </c>
      <c r="AI227" t="s">
        <v>103</v>
      </c>
      <c r="AK227">
        <v>2199</v>
      </c>
      <c r="AL227">
        <v>681</v>
      </c>
    </row>
    <row r="228" spans="1:38">
      <c r="A228" t="s">
        <v>382</v>
      </c>
      <c r="B228" t="s">
        <v>382</v>
      </c>
      <c r="C228" t="s">
        <v>382</v>
      </c>
      <c r="D228" t="s">
        <v>382</v>
      </c>
      <c r="E228" t="s">
        <v>382</v>
      </c>
      <c r="F228" t="s">
        <v>382</v>
      </c>
      <c r="G228" t="s">
        <v>382</v>
      </c>
      <c r="H228" t="s">
        <v>382</v>
      </c>
      <c r="I228" t="s">
        <v>382</v>
      </c>
      <c r="J228" t="s">
        <v>382</v>
      </c>
      <c r="K228" t="s">
        <v>382</v>
      </c>
      <c r="L228" t="s">
        <v>382</v>
      </c>
      <c r="M228" t="s">
        <v>382</v>
      </c>
      <c r="N228" t="s">
        <v>382</v>
      </c>
      <c r="O228" t="s">
        <v>382</v>
      </c>
      <c r="P228" t="s">
        <v>382</v>
      </c>
      <c r="Q228" t="s">
        <v>382</v>
      </c>
      <c r="R228" t="s">
        <v>382</v>
      </c>
      <c r="S228" t="s">
        <v>382</v>
      </c>
      <c r="T228" t="s">
        <v>382</v>
      </c>
      <c r="U228" t="s">
        <v>382</v>
      </c>
      <c r="V228" t="s">
        <v>382</v>
      </c>
      <c r="W228" t="s">
        <v>382</v>
      </c>
      <c r="X228" t="s">
        <v>382</v>
      </c>
      <c r="Y228" t="s">
        <v>382</v>
      </c>
      <c r="Z228" t="s">
        <v>382</v>
      </c>
      <c r="AA228" t="s">
        <v>382</v>
      </c>
      <c r="AB228" t="s">
        <v>382</v>
      </c>
      <c r="AC228">
        <v>5</v>
      </c>
      <c r="AD228">
        <v>2</v>
      </c>
      <c r="AE228">
        <v>1</v>
      </c>
      <c r="AF228" t="s">
        <v>387</v>
      </c>
      <c r="AH228" t="s">
        <v>31</v>
      </c>
      <c r="AI228" t="s">
        <v>97</v>
      </c>
      <c r="AK228">
        <v>1323</v>
      </c>
      <c r="AL228">
        <v>1481</v>
      </c>
    </row>
    <row r="229" spans="1:38">
      <c r="A229" t="s">
        <v>382</v>
      </c>
      <c r="B229" t="s">
        <v>382</v>
      </c>
      <c r="C229" t="s">
        <v>382</v>
      </c>
      <c r="D229" t="s">
        <v>382</v>
      </c>
      <c r="E229" t="s">
        <v>382</v>
      </c>
      <c r="F229" t="s">
        <v>382</v>
      </c>
      <c r="G229" t="s">
        <v>382</v>
      </c>
      <c r="H229" t="s">
        <v>382</v>
      </c>
      <c r="I229" t="s">
        <v>382</v>
      </c>
      <c r="J229" t="s">
        <v>382</v>
      </c>
      <c r="K229" t="s">
        <v>382</v>
      </c>
      <c r="L229" t="s">
        <v>382</v>
      </c>
      <c r="M229" t="s">
        <v>382</v>
      </c>
      <c r="N229" t="s">
        <v>382</v>
      </c>
      <c r="O229" t="s">
        <v>382</v>
      </c>
      <c r="P229" t="s">
        <v>382</v>
      </c>
      <c r="Q229" t="s">
        <v>382</v>
      </c>
      <c r="R229" t="s">
        <v>382</v>
      </c>
      <c r="S229" t="s">
        <v>382</v>
      </c>
      <c r="T229" t="s">
        <v>382</v>
      </c>
      <c r="U229" t="s">
        <v>382</v>
      </c>
      <c r="V229" t="s">
        <v>382</v>
      </c>
      <c r="W229" t="s">
        <v>382</v>
      </c>
      <c r="X229" t="s">
        <v>382</v>
      </c>
      <c r="Y229" t="s">
        <v>382</v>
      </c>
      <c r="Z229" t="s">
        <v>382</v>
      </c>
      <c r="AA229" t="s">
        <v>382</v>
      </c>
      <c r="AB229" t="s">
        <v>382</v>
      </c>
      <c r="AC229">
        <v>5</v>
      </c>
      <c r="AD229">
        <v>3</v>
      </c>
      <c r="AF229" t="s">
        <v>385</v>
      </c>
      <c r="AH229" t="s">
        <v>27</v>
      </c>
      <c r="AI229" t="s">
        <v>109</v>
      </c>
      <c r="AK229">
        <v>2954</v>
      </c>
      <c r="AL229">
        <v>214</v>
      </c>
    </row>
    <row r="230" spans="1:38">
      <c r="A230" t="s">
        <v>382</v>
      </c>
      <c r="B230" t="s">
        <v>382</v>
      </c>
      <c r="C230" t="s">
        <v>382</v>
      </c>
      <c r="D230" t="s">
        <v>382</v>
      </c>
      <c r="E230" t="s">
        <v>382</v>
      </c>
      <c r="F230" t="s">
        <v>382</v>
      </c>
      <c r="G230" t="s">
        <v>382</v>
      </c>
      <c r="H230" t="s">
        <v>382</v>
      </c>
      <c r="I230" t="s">
        <v>382</v>
      </c>
      <c r="J230" t="s">
        <v>382</v>
      </c>
      <c r="K230" t="s">
        <v>382</v>
      </c>
      <c r="L230" t="s">
        <v>382</v>
      </c>
      <c r="M230" t="s">
        <v>382</v>
      </c>
      <c r="N230" t="s">
        <v>382</v>
      </c>
      <c r="O230" t="s">
        <v>382</v>
      </c>
      <c r="P230" t="s">
        <v>382</v>
      </c>
      <c r="Q230" t="s">
        <v>382</v>
      </c>
      <c r="R230" t="s">
        <v>382</v>
      </c>
      <c r="S230" t="s">
        <v>382</v>
      </c>
      <c r="T230" t="s">
        <v>382</v>
      </c>
      <c r="U230" t="s">
        <v>382</v>
      </c>
      <c r="V230" t="s">
        <v>382</v>
      </c>
      <c r="W230" t="s">
        <v>382</v>
      </c>
      <c r="X230" t="s">
        <v>382</v>
      </c>
      <c r="Y230" t="s">
        <v>382</v>
      </c>
      <c r="Z230" t="s">
        <v>382</v>
      </c>
      <c r="AA230" t="s">
        <v>382</v>
      </c>
      <c r="AB230" t="s">
        <v>382</v>
      </c>
      <c r="AC230">
        <v>5</v>
      </c>
      <c r="AD230">
        <v>4</v>
      </c>
      <c r="AF230" t="s">
        <v>385</v>
      </c>
      <c r="AH230" t="s">
        <v>27</v>
      </c>
      <c r="AI230" t="s">
        <v>109</v>
      </c>
      <c r="AK230">
        <v>3174</v>
      </c>
      <c r="AL230">
        <v>1490</v>
      </c>
    </row>
    <row r="231" spans="1:38">
      <c r="A231" t="s">
        <v>382</v>
      </c>
      <c r="B231" t="s">
        <v>382</v>
      </c>
      <c r="C231" t="s">
        <v>382</v>
      </c>
      <c r="D231" t="s">
        <v>382</v>
      </c>
      <c r="E231" t="s">
        <v>382</v>
      </c>
      <c r="F231" t="s">
        <v>382</v>
      </c>
      <c r="G231" t="s">
        <v>382</v>
      </c>
      <c r="H231" t="s">
        <v>382</v>
      </c>
      <c r="I231" t="s">
        <v>382</v>
      </c>
      <c r="J231" t="s">
        <v>382</v>
      </c>
      <c r="K231" t="s">
        <v>382</v>
      </c>
      <c r="L231" t="s">
        <v>382</v>
      </c>
      <c r="M231" t="s">
        <v>382</v>
      </c>
      <c r="N231" t="s">
        <v>382</v>
      </c>
      <c r="O231" t="s">
        <v>382</v>
      </c>
      <c r="P231" t="s">
        <v>382</v>
      </c>
      <c r="Q231" t="s">
        <v>382</v>
      </c>
      <c r="R231" t="s">
        <v>382</v>
      </c>
      <c r="S231" t="s">
        <v>382</v>
      </c>
      <c r="T231" t="s">
        <v>382</v>
      </c>
      <c r="U231" t="s">
        <v>382</v>
      </c>
      <c r="V231" t="s">
        <v>382</v>
      </c>
      <c r="W231" t="s">
        <v>382</v>
      </c>
      <c r="X231" t="s">
        <v>382</v>
      </c>
      <c r="Y231" t="s">
        <v>382</v>
      </c>
      <c r="Z231" t="s">
        <v>382</v>
      </c>
      <c r="AA231" t="s">
        <v>382</v>
      </c>
      <c r="AB231" t="s">
        <v>382</v>
      </c>
      <c r="AC231">
        <v>5</v>
      </c>
      <c r="AD231">
        <v>5</v>
      </c>
      <c r="AE231">
        <v>1</v>
      </c>
      <c r="AF231" t="s">
        <v>391</v>
      </c>
      <c r="AH231" t="s">
        <v>38</v>
      </c>
      <c r="AI231" t="s">
        <v>97</v>
      </c>
      <c r="AK231">
        <v>644</v>
      </c>
      <c r="AL231">
        <v>1967</v>
      </c>
    </row>
    <row r="232" spans="1:38">
      <c r="A232" t="s">
        <v>382</v>
      </c>
      <c r="B232" t="s">
        <v>382</v>
      </c>
      <c r="C232" t="s">
        <v>382</v>
      </c>
      <c r="D232" t="s">
        <v>382</v>
      </c>
      <c r="E232" t="s">
        <v>382</v>
      </c>
      <c r="F232" t="s">
        <v>382</v>
      </c>
      <c r="G232" t="s">
        <v>382</v>
      </c>
      <c r="H232" t="s">
        <v>382</v>
      </c>
      <c r="I232" t="s">
        <v>382</v>
      </c>
      <c r="J232" t="s">
        <v>382</v>
      </c>
      <c r="K232" t="s">
        <v>382</v>
      </c>
      <c r="L232" t="s">
        <v>382</v>
      </c>
      <c r="M232" t="s">
        <v>382</v>
      </c>
      <c r="N232" t="s">
        <v>382</v>
      </c>
      <c r="O232" t="s">
        <v>382</v>
      </c>
      <c r="P232" t="s">
        <v>382</v>
      </c>
      <c r="Q232" t="s">
        <v>382</v>
      </c>
      <c r="R232" t="s">
        <v>382</v>
      </c>
      <c r="S232" t="s">
        <v>382</v>
      </c>
      <c r="T232" t="s">
        <v>382</v>
      </c>
      <c r="U232" t="s">
        <v>382</v>
      </c>
      <c r="V232" t="s">
        <v>382</v>
      </c>
      <c r="W232" t="s">
        <v>382</v>
      </c>
      <c r="X232" t="s">
        <v>382</v>
      </c>
      <c r="Y232" t="s">
        <v>382</v>
      </c>
      <c r="Z232" t="s">
        <v>382</v>
      </c>
      <c r="AA232" t="s">
        <v>382</v>
      </c>
      <c r="AB232" t="s">
        <v>382</v>
      </c>
      <c r="AC232">
        <v>5</v>
      </c>
      <c r="AD232">
        <v>1</v>
      </c>
      <c r="AF232" t="s">
        <v>386</v>
      </c>
      <c r="AH232" t="s">
        <v>29</v>
      </c>
      <c r="AI232" t="s">
        <v>103</v>
      </c>
      <c r="AK232">
        <v>2582</v>
      </c>
      <c r="AL232">
        <v>46</v>
      </c>
    </row>
    <row r="233" spans="1:38">
      <c r="A233" t="s">
        <v>382</v>
      </c>
      <c r="B233" t="s">
        <v>382</v>
      </c>
      <c r="C233" t="s">
        <v>382</v>
      </c>
      <c r="D233" t="s">
        <v>382</v>
      </c>
      <c r="E233" t="s">
        <v>382</v>
      </c>
      <c r="F233" t="s">
        <v>382</v>
      </c>
      <c r="G233" t="s">
        <v>382</v>
      </c>
      <c r="H233" t="s">
        <v>382</v>
      </c>
      <c r="I233" t="s">
        <v>382</v>
      </c>
      <c r="J233" t="s">
        <v>382</v>
      </c>
      <c r="K233" t="s">
        <v>382</v>
      </c>
      <c r="L233" t="s">
        <v>382</v>
      </c>
      <c r="M233" t="s">
        <v>382</v>
      </c>
      <c r="N233" t="s">
        <v>382</v>
      </c>
      <c r="O233" t="s">
        <v>382</v>
      </c>
      <c r="P233" t="s">
        <v>382</v>
      </c>
      <c r="Q233" t="s">
        <v>382</v>
      </c>
      <c r="R233" t="s">
        <v>382</v>
      </c>
      <c r="S233" t="s">
        <v>382</v>
      </c>
      <c r="T233" t="s">
        <v>382</v>
      </c>
      <c r="U233" t="s">
        <v>382</v>
      </c>
      <c r="V233" t="s">
        <v>382</v>
      </c>
      <c r="W233" t="s">
        <v>382</v>
      </c>
      <c r="X233" t="s">
        <v>382</v>
      </c>
      <c r="Y233" t="s">
        <v>382</v>
      </c>
      <c r="Z233" t="s">
        <v>382</v>
      </c>
      <c r="AA233" t="s">
        <v>382</v>
      </c>
      <c r="AB233" t="s">
        <v>382</v>
      </c>
      <c r="AC233">
        <v>5</v>
      </c>
      <c r="AD233">
        <v>2</v>
      </c>
      <c r="AE233">
        <v>1</v>
      </c>
      <c r="AF233" t="s">
        <v>387</v>
      </c>
      <c r="AH233" t="s">
        <v>31</v>
      </c>
      <c r="AI233" t="s">
        <v>97</v>
      </c>
      <c r="AK233">
        <v>2823</v>
      </c>
      <c r="AL233">
        <v>1394</v>
      </c>
    </row>
    <row r="234" spans="1:38">
      <c r="A234" t="s">
        <v>382</v>
      </c>
      <c r="B234" t="s">
        <v>382</v>
      </c>
      <c r="C234" t="s">
        <v>382</v>
      </c>
      <c r="D234" t="s">
        <v>382</v>
      </c>
      <c r="E234" t="s">
        <v>382</v>
      </c>
      <c r="F234" t="s">
        <v>382</v>
      </c>
      <c r="G234" t="s">
        <v>382</v>
      </c>
      <c r="H234" t="s">
        <v>382</v>
      </c>
      <c r="I234" t="s">
        <v>382</v>
      </c>
      <c r="J234" t="s">
        <v>382</v>
      </c>
      <c r="K234" t="s">
        <v>382</v>
      </c>
      <c r="L234" t="s">
        <v>382</v>
      </c>
      <c r="M234" t="s">
        <v>382</v>
      </c>
      <c r="N234" t="s">
        <v>382</v>
      </c>
      <c r="O234" t="s">
        <v>382</v>
      </c>
      <c r="P234" t="s">
        <v>382</v>
      </c>
      <c r="Q234" t="s">
        <v>382</v>
      </c>
      <c r="R234" t="s">
        <v>382</v>
      </c>
      <c r="S234" t="s">
        <v>382</v>
      </c>
      <c r="T234" t="s">
        <v>382</v>
      </c>
      <c r="U234" t="s">
        <v>382</v>
      </c>
      <c r="V234" t="s">
        <v>382</v>
      </c>
      <c r="W234" t="s">
        <v>382</v>
      </c>
      <c r="X234" t="s">
        <v>382</v>
      </c>
      <c r="Y234" t="s">
        <v>382</v>
      </c>
      <c r="Z234" t="s">
        <v>382</v>
      </c>
      <c r="AA234" t="s">
        <v>382</v>
      </c>
      <c r="AB234" t="s">
        <v>382</v>
      </c>
      <c r="AC234">
        <v>5</v>
      </c>
      <c r="AD234">
        <v>3</v>
      </c>
      <c r="AE234">
        <v>1</v>
      </c>
      <c r="AF234" t="s">
        <v>387</v>
      </c>
      <c r="AH234" t="s">
        <v>31</v>
      </c>
      <c r="AI234" t="s">
        <v>97</v>
      </c>
      <c r="AK234">
        <v>2447</v>
      </c>
      <c r="AL234">
        <v>1560</v>
      </c>
    </row>
    <row r="235" spans="1:38">
      <c r="A235" t="s">
        <v>382</v>
      </c>
      <c r="B235" t="s">
        <v>382</v>
      </c>
      <c r="C235" t="s">
        <v>382</v>
      </c>
      <c r="D235" t="s">
        <v>382</v>
      </c>
      <c r="E235" t="s">
        <v>382</v>
      </c>
      <c r="F235" t="s">
        <v>382</v>
      </c>
      <c r="G235" t="s">
        <v>382</v>
      </c>
      <c r="H235" t="s">
        <v>382</v>
      </c>
      <c r="I235" t="s">
        <v>382</v>
      </c>
      <c r="J235" t="s">
        <v>382</v>
      </c>
      <c r="K235" t="s">
        <v>382</v>
      </c>
      <c r="L235" t="s">
        <v>382</v>
      </c>
      <c r="M235" t="s">
        <v>382</v>
      </c>
      <c r="N235" t="s">
        <v>382</v>
      </c>
      <c r="O235" t="s">
        <v>382</v>
      </c>
      <c r="P235" t="s">
        <v>382</v>
      </c>
      <c r="Q235" t="s">
        <v>382</v>
      </c>
      <c r="R235" t="s">
        <v>382</v>
      </c>
      <c r="S235" t="s">
        <v>382</v>
      </c>
      <c r="T235" t="s">
        <v>382</v>
      </c>
      <c r="U235" t="s">
        <v>382</v>
      </c>
      <c r="V235" t="s">
        <v>382</v>
      </c>
      <c r="W235" t="s">
        <v>382</v>
      </c>
      <c r="X235" t="s">
        <v>382</v>
      </c>
      <c r="Y235" t="s">
        <v>382</v>
      </c>
      <c r="Z235" t="s">
        <v>382</v>
      </c>
      <c r="AA235" t="s">
        <v>382</v>
      </c>
      <c r="AB235" t="s">
        <v>382</v>
      </c>
      <c r="AC235">
        <v>5</v>
      </c>
      <c r="AD235">
        <v>4</v>
      </c>
      <c r="AE235">
        <v>1</v>
      </c>
      <c r="AF235" t="s">
        <v>387</v>
      </c>
      <c r="AH235" t="s">
        <v>31</v>
      </c>
      <c r="AI235" t="s">
        <v>97</v>
      </c>
      <c r="AK235">
        <v>680</v>
      </c>
      <c r="AL235">
        <v>1692</v>
      </c>
    </row>
    <row r="236" spans="1:38">
      <c r="A236" t="s">
        <v>382</v>
      </c>
      <c r="B236" t="s">
        <v>382</v>
      </c>
      <c r="C236" t="s">
        <v>382</v>
      </c>
      <c r="D236" t="s">
        <v>382</v>
      </c>
      <c r="E236" t="s">
        <v>382</v>
      </c>
      <c r="F236" t="s">
        <v>382</v>
      </c>
      <c r="G236" t="s">
        <v>382</v>
      </c>
      <c r="H236" t="s">
        <v>382</v>
      </c>
      <c r="I236" t="s">
        <v>382</v>
      </c>
      <c r="J236" t="s">
        <v>382</v>
      </c>
      <c r="K236" t="s">
        <v>382</v>
      </c>
      <c r="L236" t="s">
        <v>382</v>
      </c>
      <c r="M236" t="s">
        <v>382</v>
      </c>
      <c r="N236" t="s">
        <v>382</v>
      </c>
      <c r="O236" t="s">
        <v>382</v>
      </c>
      <c r="P236" t="s">
        <v>382</v>
      </c>
      <c r="Q236" t="s">
        <v>382</v>
      </c>
      <c r="R236" t="s">
        <v>382</v>
      </c>
      <c r="S236" t="s">
        <v>382</v>
      </c>
      <c r="T236" t="s">
        <v>382</v>
      </c>
      <c r="U236" t="s">
        <v>382</v>
      </c>
      <c r="V236" t="s">
        <v>382</v>
      </c>
      <c r="W236" t="s">
        <v>382</v>
      </c>
      <c r="X236" t="s">
        <v>382</v>
      </c>
      <c r="Y236" t="s">
        <v>382</v>
      </c>
      <c r="Z236" t="s">
        <v>382</v>
      </c>
      <c r="AA236" t="s">
        <v>382</v>
      </c>
      <c r="AB236" t="s">
        <v>382</v>
      </c>
      <c r="AC236">
        <v>5</v>
      </c>
      <c r="AD236">
        <v>5</v>
      </c>
      <c r="AE236">
        <v>1</v>
      </c>
      <c r="AF236" t="s">
        <v>387</v>
      </c>
      <c r="AH236" t="s">
        <v>31</v>
      </c>
      <c r="AI236" t="s">
        <v>97</v>
      </c>
      <c r="AK236">
        <v>3076</v>
      </c>
      <c r="AL236">
        <v>1589</v>
      </c>
    </row>
    <row r="237" spans="1:38">
      <c r="A237" t="s">
        <v>382</v>
      </c>
      <c r="B237" t="s">
        <v>382</v>
      </c>
      <c r="C237" t="s">
        <v>382</v>
      </c>
      <c r="D237" t="s">
        <v>382</v>
      </c>
      <c r="E237" t="s">
        <v>382</v>
      </c>
      <c r="F237" t="s">
        <v>382</v>
      </c>
      <c r="G237" t="s">
        <v>382</v>
      </c>
      <c r="H237" t="s">
        <v>382</v>
      </c>
      <c r="I237" t="s">
        <v>382</v>
      </c>
      <c r="J237" t="s">
        <v>382</v>
      </c>
      <c r="K237" t="s">
        <v>382</v>
      </c>
      <c r="L237" t="s">
        <v>382</v>
      </c>
      <c r="M237" t="s">
        <v>382</v>
      </c>
      <c r="N237" t="s">
        <v>382</v>
      </c>
      <c r="O237" t="s">
        <v>382</v>
      </c>
      <c r="P237" t="s">
        <v>382</v>
      </c>
      <c r="Q237" t="s">
        <v>382</v>
      </c>
      <c r="R237" t="s">
        <v>382</v>
      </c>
      <c r="S237" t="s">
        <v>382</v>
      </c>
      <c r="T237" t="s">
        <v>382</v>
      </c>
      <c r="U237" t="s">
        <v>382</v>
      </c>
      <c r="V237" t="s">
        <v>382</v>
      </c>
      <c r="W237" t="s">
        <v>382</v>
      </c>
      <c r="X237" t="s">
        <v>382</v>
      </c>
      <c r="Y237" t="s">
        <v>382</v>
      </c>
      <c r="Z237" t="s">
        <v>382</v>
      </c>
      <c r="AA237" t="s">
        <v>382</v>
      </c>
      <c r="AB237" t="s">
        <v>382</v>
      </c>
      <c r="AC237">
        <v>5</v>
      </c>
      <c r="AD237">
        <v>1</v>
      </c>
      <c r="AF237" t="s">
        <v>386</v>
      </c>
      <c r="AH237" t="s">
        <v>29</v>
      </c>
      <c r="AI237" t="s">
        <v>103</v>
      </c>
      <c r="AK237">
        <v>2528</v>
      </c>
      <c r="AL237">
        <v>789</v>
      </c>
    </row>
    <row r="238" spans="1:38">
      <c r="A238" t="s">
        <v>382</v>
      </c>
      <c r="B238" t="s">
        <v>382</v>
      </c>
      <c r="C238" t="s">
        <v>382</v>
      </c>
      <c r="D238" t="s">
        <v>382</v>
      </c>
      <c r="E238" t="s">
        <v>382</v>
      </c>
      <c r="F238" t="s">
        <v>382</v>
      </c>
      <c r="G238" t="s">
        <v>382</v>
      </c>
      <c r="H238" t="s">
        <v>382</v>
      </c>
      <c r="I238" t="s">
        <v>382</v>
      </c>
      <c r="J238" t="s">
        <v>382</v>
      </c>
      <c r="K238" t="s">
        <v>382</v>
      </c>
      <c r="L238" t="s">
        <v>382</v>
      </c>
      <c r="M238" t="s">
        <v>382</v>
      </c>
      <c r="N238" t="s">
        <v>382</v>
      </c>
      <c r="O238" t="s">
        <v>382</v>
      </c>
      <c r="P238" t="s">
        <v>382</v>
      </c>
      <c r="Q238" t="s">
        <v>382</v>
      </c>
      <c r="R238" t="s">
        <v>382</v>
      </c>
      <c r="S238" t="s">
        <v>382</v>
      </c>
      <c r="T238" t="s">
        <v>382</v>
      </c>
      <c r="U238" t="s">
        <v>382</v>
      </c>
      <c r="V238" t="s">
        <v>382</v>
      </c>
      <c r="W238" t="s">
        <v>382</v>
      </c>
      <c r="X238" t="s">
        <v>382</v>
      </c>
      <c r="Y238" t="s">
        <v>382</v>
      </c>
      <c r="Z238" t="s">
        <v>382</v>
      </c>
      <c r="AA238" t="s">
        <v>382</v>
      </c>
      <c r="AB238" t="s">
        <v>382</v>
      </c>
      <c r="AC238">
        <v>5</v>
      </c>
      <c r="AD238">
        <v>2</v>
      </c>
      <c r="AE238">
        <v>1</v>
      </c>
      <c r="AF238" t="s">
        <v>387</v>
      </c>
      <c r="AH238" t="s">
        <v>31</v>
      </c>
      <c r="AI238" t="s">
        <v>97</v>
      </c>
      <c r="AK238">
        <v>793</v>
      </c>
      <c r="AL238">
        <v>1336</v>
      </c>
    </row>
    <row r="239" spans="1:38">
      <c r="A239" t="s">
        <v>382</v>
      </c>
      <c r="B239" t="s">
        <v>382</v>
      </c>
      <c r="C239" t="s">
        <v>382</v>
      </c>
      <c r="D239" t="s">
        <v>382</v>
      </c>
      <c r="E239" t="s">
        <v>382</v>
      </c>
      <c r="F239" t="s">
        <v>382</v>
      </c>
      <c r="G239" t="s">
        <v>382</v>
      </c>
      <c r="H239" t="s">
        <v>382</v>
      </c>
      <c r="I239" t="s">
        <v>382</v>
      </c>
      <c r="J239" t="s">
        <v>382</v>
      </c>
      <c r="K239" t="s">
        <v>382</v>
      </c>
      <c r="L239" t="s">
        <v>382</v>
      </c>
      <c r="M239" t="s">
        <v>382</v>
      </c>
      <c r="N239" t="s">
        <v>382</v>
      </c>
      <c r="O239" t="s">
        <v>382</v>
      </c>
      <c r="P239" t="s">
        <v>382</v>
      </c>
      <c r="Q239" t="s">
        <v>382</v>
      </c>
      <c r="R239" t="s">
        <v>382</v>
      </c>
      <c r="S239" t="s">
        <v>382</v>
      </c>
      <c r="T239" t="s">
        <v>382</v>
      </c>
      <c r="U239" t="s">
        <v>382</v>
      </c>
      <c r="V239" t="s">
        <v>382</v>
      </c>
      <c r="W239" t="s">
        <v>382</v>
      </c>
      <c r="X239" t="s">
        <v>382</v>
      </c>
      <c r="Y239" t="s">
        <v>382</v>
      </c>
      <c r="Z239" t="s">
        <v>382</v>
      </c>
      <c r="AA239" t="s">
        <v>382</v>
      </c>
      <c r="AB239" t="s">
        <v>382</v>
      </c>
      <c r="AC239">
        <v>5</v>
      </c>
      <c r="AD239">
        <v>3</v>
      </c>
      <c r="AF239" t="s">
        <v>392</v>
      </c>
      <c r="AH239" t="s">
        <v>41</v>
      </c>
      <c r="AI239" t="s">
        <v>102</v>
      </c>
      <c r="AK239">
        <v>2976</v>
      </c>
      <c r="AL239">
        <v>1013</v>
      </c>
    </row>
    <row r="240" spans="1:38">
      <c r="A240" t="s">
        <v>382</v>
      </c>
      <c r="B240" t="s">
        <v>382</v>
      </c>
      <c r="C240" t="s">
        <v>382</v>
      </c>
      <c r="D240" t="s">
        <v>382</v>
      </c>
      <c r="E240" t="s">
        <v>382</v>
      </c>
      <c r="F240" t="s">
        <v>382</v>
      </c>
      <c r="G240" t="s">
        <v>382</v>
      </c>
      <c r="H240" t="s">
        <v>382</v>
      </c>
      <c r="I240" t="s">
        <v>382</v>
      </c>
      <c r="J240" t="s">
        <v>382</v>
      </c>
      <c r="K240" t="s">
        <v>382</v>
      </c>
      <c r="L240" t="s">
        <v>382</v>
      </c>
      <c r="M240" t="s">
        <v>382</v>
      </c>
      <c r="N240" t="s">
        <v>382</v>
      </c>
      <c r="O240" t="s">
        <v>382</v>
      </c>
      <c r="P240" t="s">
        <v>382</v>
      </c>
      <c r="Q240" t="s">
        <v>382</v>
      </c>
      <c r="R240" t="s">
        <v>382</v>
      </c>
      <c r="S240" t="s">
        <v>382</v>
      </c>
      <c r="T240" t="s">
        <v>382</v>
      </c>
      <c r="U240" t="s">
        <v>382</v>
      </c>
      <c r="V240" t="s">
        <v>382</v>
      </c>
      <c r="W240" t="s">
        <v>382</v>
      </c>
      <c r="X240" t="s">
        <v>382</v>
      </c>
      <c r="Y240" t="s">
        <v>382</v>
      </c>
      <c r="Z240" t="s">
        <v>382</v>
      </c>
      <c r="AA240" t="s">
        <v>382</v>
      </c>
      <c r="AB240" t="s">
        <v>382</v>
      </c>
      <c r="AC240">
        <v>5</v>
      </c>
      <c r="AD240">
        <v>4</v>
      </c>
      <c r="AF240" t="s">
        <v>386</v>
      </c>
      <c r="AH240" t="s">
        <v>29</v>
      </c>
      <c r="AI240" t="s">
        <v>103</v>
      </c>
      <c r="AK240">
        <v>1820</v>
      </c>
      <c r="AL240">
        <v>2180</v>
      </c>
    </row>
    <row r="241" spans="1:38">
      <c r="A241" t="s">
        <v>382</v>
      </c>
      <c r="B241" t="s">
        <v>382</v>
      </c>
      <c r="C241" t="s">
        <v>382</v>
      </c>
      <c r="D241" t="s">
        <v>382</v>
      </c>
      <c r="E241" t="s">
        <v>382</v>
      </c>
      <c r="F241" t="s">
        <v>382</v>
      </c>
      <c r="G241" t="s">
        <v>382</v>
      </c>
      <c r="H241" t="s">
        <v>382</v>
      </c>
      <c r="I241" t="s">
        <v>382</v>
      </c>
      <c r="J241" t="s">
        <v>382</v>
      </c>
      <c r="K241" t="s">
        <v>382</v>
      </c>
      <c r="L241" t="s">
        <v>382</v>
      </c>
      <c r="M241" t="s">
        <v>382</v>
      </c>
      <c r="N241" t="s">
        <v>382</v>
      </c>
      <c r="O241" t="s">
        <v>382</v>
      </c>
      <c r="P241" t="s">
        <v>382</v>
      </c>
      <c r="Q241" t="s">
        <v>382</v>
      </c>
      <c r="R241" t="s">
        <v>382</v>
      </c>
      <c r="S241" t="s">
        <v>382</v>
      </c>
      <c r="T241" t="s">
        <v>382</v>
      </c>
      <c r="U241" t="s">
        <v>382</v>
      </c>
      <c r="V241" t="s">
        <v>382</v>
      </c>
      <c r="W241" t="s">
        <v>382</v>
      </c>
      <c r="X241" t="s">
        <v>382</v>
      </c>
      <c r="Y241" t="s">
        <v>382</v>
      </c>
      <c r="Z241" t="s">
        <v>382</v>
      </c>
      <c r="AA241" t="s">
        <v>382</v>
      </c>
      <c r="AB241" t="s">
        <v>382</v>
      </c>
      <c r="AC241">
        <v>5</v>
      </c>
      <c r="AD241">
        <v>5</v>
      </c>
      <c r="AF241" t="s">
        <v>386</v>
      </c>
      <c r="AH241" t="s">
        <v>29</v>
      </c>
      <c r="AI241" t="s">
        <v>103</v>
      </c>
      <c r="AK241">
        <v>1018</v>
      </c>
      <c r="AL241">
        <v>127</v>
      </c>
    </row>
    <row r="242" spans="1:38">
      <c r="A242" t="s">
        <v>382</v>
      </c>
      <c r="B242" t="s">
        <v>382</v>
      </c>
      <c r="C242" t="s">
        <v>382</v>
      </c>
      <c r="D242" t="s">
        <v>382</v>
      </c>
      <c r="E242" t="s">
        <v>382</v>
      </c>
      <c r="F242" t="s">
        <v>382</v>
      </c>
      <c r="G242" t="s">
        <v>382</v>
      </c>
      <c r="H242" t="s">
        <v>382</v>
      </c>
      <c r="I242" t="s">
        <v>382</v>
      </c>
      <c r="J242" t="s">
        <v>382</v>
      </c>
      <c r="K242" t="s">
        <v>382</v>
      </c>
      <c r="L242" t="s">
        <v>382</v>
      </c>
      <c r="M242" t="s">
        <v>382</v>
      </c>
      <c r="N242" t="s">
        <v>382</v>
      </c>
      <c r="O242" t="s">
        <v>382</v>
      </c>
      <c r="P242" t="s">
        <v>382</v>
      </c>
      <c r="Q242" t="s">
        <v>382</v>
      </c>
      <c r="R242" t="s">
        <v>382</v>
      </c>
      <c r="S242" t="s">
        <v>382</v>
      </c>
      <c r="T242" t="s">
        <v>382</v>
      </c>
      <c r="U242" t="s">
        <v>382</v>
      </c>
      <c r="V242" t="s">
        <v>382</v>
      </c>
      <c r="W242" t="s">
        <v>382</v>
      </c>
      <c r="X242" t="s">
        <v>382</v>
      </c>
      <c r="Y242" t="s">
        <v>382</v>
      </c>
      <c r="Z242" t="s">
        <v>382</v>
      </c>
      <c r="AA242" t="s">
        <v>382</v>
      </c>
      <c r="AB242" t="s">
        <v>382</v>
      </c>
      <c r="AC242">
        <v>5</v>
      </c>
      <c r="AD242">
        <v>1</v>
      </c>
      <c r="AF242" t="s">
        <v>386</v>
      </c>
      <c r="AH242" t="s">
        <v>29</v>
      </c>
      <c r="AI242" t="s">
        <v>103</v>
      </c>
      <c r="AK242">
        <v>1611</v>
      </c>
      <c r="AL242">
        <v>608</v>
      </c>
    </row>
    <row r="243" spans="1:38">
      <c r="A243" t="s">
        <v>382</v>
      </c>
      <c r="B243" t="s">
        <v>382</v>
      </c>
      <c r="C243" t="s">
        <v>382</v>
      </c>
      <c r="D243" t="s">
        <v>382</v>
      </c>
      <c r="E243" t="s">
        <v>382</v>
      </c>
      <c r="F243" t="s">
        <v>382</v>
      </c>
      <c r="G243" t="s">
        <v>382</v>
      </c>
      <c r="H243" t="s">
        <v>382</v>
      </c>
      <c r="I243" t="s">
        <v>382</v>
      </c>
      <c r="J243" t="s">
        <v>382</v>
      </c>
      <c r="K243" t="s">
        <v>382</v>
      </c>
      <c r="L243" t="s">
        <v>382</v>
      </c>
      <c r="M243" t="s">
        <v>382</v>
      </c>
      <c r="N243" t="s">
        <v>382</v>
      </c>
      <c r="O243" t="s">
        <v>382</v>
      </c>
      <c r="P243" t="s">
        <v>382</v>
      </c>
      <c r="Q243" t="s">
        <v>382</v>
      </c>
      <c r="R243" t="s">
        <v>382</v>
      </c>
      <c r="S243" t="s">
        <v>382</v>
      </c>
      <c r="T243" t="s">
        <v>382</v>
      </c>
      <c r="U243" t="s">
        <v>382</v>
      </c>
      <c r="V243" t="s">
        <v>382</v>
      </c>
      <c r="W243" t="s">
        <v>382</v>
      </c>
      <c r="X243" t="s">
        <v>382</v>
      </c>
      <c r="Y243" t="s">
        <v>382</v>
      </c>
      <c r="Z243" t="s">
        <v>382</v>
      </c>
      <c r="AA243" t="s">
        <v>382</v>
      </c>
      <c r="AB243" t="s">
        <v>382</v>
      </c>
      <c r="AC243">
        <v>5</v>
      </c>
      <c r="AD243">
        <v>2</v>
      </c>
      <c r="AF243" t="s">
        <v>385</v>
      </c>
      <c r="AH243" t="s">
        <v>27</v>
      </c>
      <c r="AI243" t="s">
        <v>109</v>
      </c>
      <c r="AK243">
        <v>2053</v>
      </c>
      <c r="AL243">
        <v>1311</v>
      </c>
    </row>
    <row r="244" spans="1:38">
      <c r="A244" t="s">
        <v>382</v>
      </c>
      <c r="B244" t="s">
        <v>382</v>
      </c>
      <c r="C244" t="s">
        <v>382</v>
      </c>
      <c r="D244" t="s">
        <v>382</v>
      </c>
      <c r="E244" t="s">
        <v>382</v>
      </c>
      <c r="F244" t="s">
        <v>382</v>
      </c>
      <c r="G244" t="s">
        <v>382</v>
      </c>
      <c r="H244" t="s">
        <v>382</v>
      </c>
      <c r="I244" t="s">
        <v>382</v>
      </c>
      <c r="J244" t="s">
        <v>382</v>
      </c>
      <c r="K244" t="s">
        <v>382</v>
      </c>
      <c r="L244" t="s">
        <v>382</v>
      </c>
      <c r="M244" t="s">
        <v>382</v>
      </c>
      <c r="N244" t="s">
        <v>382</v>
      </c>
      <c r="O244" t="s">
        <v>382</v>
      </c>
      <c r="P244" t="s">
        <v>382</v>
      </c>
      <c r="Q244" t="s">
        <v>382</v>
      </c>
      <c r="R244" t="s">
        <v>382</v>
      </c>
      <c r="S244" t="s">
        <v>382</v>
      </c>
      <c r="T244" t="s">
        <v>382</v>
      </c>
      <c r="U244" t="s">
        <v>382</v>
      </c>
      <c r="V244" t="s">
        <v>382</v>
      </c>
      <c r="W244" t="s">
        <v>382</v>
      </c>
      <c r="X244" t="s">
        <v>382</v>
      </c>
      <c r="Y244" t="s">
        <v>382</v>
      </c>
      <c r="Z244" t="s">
        <v>382</v>
      </c>
      <c r="AA244" t="s">
        <v>382</v>
      </c>
      <c r="AB244" t="s">
        <v>382</v>
      </c>
      <c r="AC244">
        <v>5</v>
      </c>
      <c r="AD244">
        <v>3</v>
      </c>
      <c r="AF244" t="s">
        <v>386</v>
      </c>
      <c r="AH244" t="s">
        <v>29</v>
      </c>
      <c r="AI244" t="s">
        <v>103</v>
      </c>
      <c r="AK244">
        <v>1104</v>
      </c>
      <c r="AL244">
        <v>805</v>
      </c>
    </row>
    <row r="245" spans="1:38">
      <c r="A245" t="s">
        <v>382</v>
      </c>
      <c r="B245" t="s">
        <v>382</v>
      </c>
      <c r="C245" t="s">
        <v>382</v>
      </c>
      <c r="D245" t="s">
        <v>382</v>
      </c>
      <c r="E245" t="s">
        <v>382</v>
      </c>
      <c r="F245" t="s">
        <v>382</v>
      </c>
      <c r="G245" t="s">
        <v>382</v>
      </c>
      <c r="H245" t="s">
        <v>382</v>
      </c>
      <c r="I245" t="s">
        <v>382</v>
      </c>
      <c r="J245" t="s">
        <v>382</v>
      </c>
      <c r="K245" t="s">
        <v>382</v>
      </c>
      <c r="L245" t="s">
        <v>382</v>
      </c>
      <c r="M245" t="s">
        <v>382</v>
      </c>
      <c r="N245" t="s">
        <v>382</v>
      </c>
      <c r="O245" t="s">
        <v>382</v>
      </c>
      <c r="P245" t="s">
        <v>382</v>
      </c>
      <c r="Q245" t="s">
        <v>382</v>
      </c>
      <c r="R245" t="s">
        <v>382</v>
      </c>
      <c r="S245" t="s">
        <v>382</v>
      </c>
      <c r="T245" t="s">
        <v>382</v>
      </c>
      <c r="U245" t="s">
        <v>382</v>
      </c>
      <c r="V245" t="s">
        <v>382</v>
      </c>
      <c r="W245" t="s">
        <v>382</v>
      </c>
      <c r="X245" t="s">
        <v>382</v>
      </c>
      <c r="Y245" t="s">
        <v>382</v>
      </c>
      <c r="Z245" t="s">
        <v>382</v>
      </c>
      <c r="AA245" t="s">
        <v>382</v>
      </c>
      <c r="AB245" t="s">
        <v>382</v>
      </c>
      <c r="AC245">
        <v>5</v>
      </c>
      <c r="AD245">
        <v>4</v>
      </c>
      <c r="AF245" t="s">
        <v>392</v>
      </c>
      <c r="AH245" t="s">
        <v>41</v>
      </c>
      <c r="AI245" t="s">
        <v>102</v>
      </c>
      <c r="AK245">
        <v>1554</v>
      </c>
      <c r="AL245">
        <v>1583</v>
      </c>
    </row>
    <row r="246" spans="1:38">
      <c r="A246" t="s">
        <v>382</v>
      </c>
      <c r="B246" t="s">
        <v>382</v>
      </c>
      <c r="C246" t="s">
        <v>382</v>
      </c>
      <c r="D246" t="s">
        <v>382</v>
      </c>
      <c r="E246" t="s">
        <v>382</v>
      </c>
      <c r="F246" t="s">
        <v>382</v>
      </c>
      <c r="G246" t="s">
        <v>382</v>
      </c>
      <c r="H246" t="s">
        <v>382</v>
      </c>
      <c r="I246" t="s">
        <v>382</v>
      </c>
      <c r="J246" t="s">
        <v>382</v>
      </c>
      <c r="K246" t="s">
        <v>382</v>
      </c>
      <c r="L246" t="s">
        <v>382</v>
      </c>
      <c r="M246" t="s">
        <v>382</v>
      </c>
      <c r="N246" t="s">
        <v>382</v>
      </c>
      <c r="O246" t="s">
        <v>382</v>
      </c>
      <c r="P246" t="s">
        <v>382</v>
      </c>
      <c r="Q246" t="s">
        <v>382</v>
      </c>
      <c r="R246" t="s">
        <v>382</v>
      </c>
      <c r="S246" t="s">
        <v>382</v>
      </c>
      <c r="T246" t="s">
        <v>382</v>
      </c>
      <c r="U246" t="s">
        <v>382</v>
      </c>
      <c r="V246" t="s">
        <v>382</v>
      </c>
      <c r="W246" t="s">
        <v>382</v>
      </c>
      <c r="X246" t="s">
        <v>382</v>
      </c>
      <c r="Y246" t="s">
        <v>382</v>
      </c>
      <c r="Z246" t="s">
        <v>382</v>
      </c>
      <c r="AA246" t="s">
        <v>382</v>
      </c>
      <c r="AB246" t="s">
        <v>382</v>
      </c>
      <c r="AC246">
        <v>5</v>
      </c>
      <c r="AD246">
        <v>5</v>
      </c>
      <c r="AE246">
        <v>1</v>
      </c>
      <c r="AF246" t="s">
        <v>393</v>
      </c>
      <c r="AH246" t="s">
        <v>51</v>
      </c>
      <c r="AI246" t="s">
        <v>97</v>
      </c>
      <c r="AK246">
        <v>2875</v>
      </c>
      <c r="AL246">
        <v>1851</v>
      </c>
    </row>
    <row r="247" spans="1:38">
      <c r="A247" t="s">
        <v>382</v>
      </c>
      <c r="B247" t="s">
        <v>382</v>
      </c>
      <c r="C247" t="s">
        <v>382</v>
      </c>
      <c r="D247" t="s">
        <v>382</v>
      </c>
      <c r="E247" t="s">
        <v>382</v>
      </c>
      <c r="F247" t="s">
        <v>382</v>
      </c>
      <c r="G247" t="s">
        <v>382</v>
      </c>
      <c r="H247" t="s">
        <v>382</v>
      </c>
      <c r="I247" t="s">
        <v>382</v>
      </c>
      <c r="J247" t="s">
        <v>382</v>
      </c>
      <c r="K247" t="s">
        <v>382</v>
      </c>
      <c r="L247" t="s">
        <v>382</v>
      </c>
      <c r="M247" t="s">
        <v>382</v>
      </c>
      <c r="N247" t="s">
        <v>382</v>
      </c>
      <c r="O247" t="s">
        <v>382</v>
      </c>
      <c r="P247" t="s">
        <v>382</v>
      </c>
      <c r="Q247" t="s">
        <v>382</v>
      </c>
      <c r="R247" t="s">
        <v>382</v>
      </c>
      <c r="S247" t="s">
        <v>382</v>
      </c>
      <c r="T247" t="s">
        <v>382</v>
      </c>
      <c r="U247" t="s">
        <v>382</v>
      </c>
      <c r="V247" t="s">
        <v>382</v>
      </c>
      <c r="W247" t="s">
        <v>382</v>
      </c>
      <c r="X247" t="s">
        <v>382</v>
      </c>
      <c r="Y247" t="s">
        <v>382</v>
      </c>
      <c r="Z247" t="s">
        <v>382</v>
      </c>
      <c r="AA247" t="s">
        <v>382</v>
      </c>
      <c r="AB247" t="s">
        <v>382</v>
      </c>
      <c r="AC247">
        <v>5</v>
      </c>
      <c r="AD247">
        <v>1</v>
      </c>
      <c r="AF247" t="s">
        <v>385</v>
      </c>
      <c r="AH247" t="s">
        <v>27</v>
      </c>
      <c r="AI247" t="s">
        <v>109</v>
      </c>
      <c r="AK247">
        <v>3042</v>
      </c>
      <c r="AL247">
        <v>95</v>
      </c>
    </row>
    <row r="248" spans="1:38">
      <c r="A248" t="s">
        <v>382</v>
      </c>
      <c r="B248" t="s">
        <v>382</v>
      </c>
      <c r="C248" t="s">
        <v>382</v>
      </c>
      <c r="D248" t="s">
        <v>382</v>
      </c>
      <c r="E248" t="s">
        <v>382</v>
      </c>
      <c r="F248" t="s">
        <v>382</v>
      </c>
      <c r="G248" t="s">
        <v>382</v>
      </c>
      <c r="H248" t="s">
        <v>382</v>
      </c>
      <c r="I248" t="s">
        <v>382</v>
      </c>
      <c r="J248" t="s">
        <v>382</v>
      </c>
      <c r="K248" t="s">
        <v>382</v>
      </c>
      <c r="L248" t="s">
        <v>382</v>
      </c>
      <c r="M248" t="s">
        <v>382</v>
      </c>
      <c r="N248" t="s">
        <v>382</v>
      </c>
      <c r="O248" t="s">
        <v>382</v>
      </c>
      <c r="P248" t="s">
        <v>382</v>
      </c>
      <c r="Q248" t="s">
        <v>382</v>
      </c>
      <c r="R248" t="s">
        <v>382</v>
      </c>
      <c r="S248" t="s">
        <v>382</v>
      </c>
      <c r="T248" t="s">
        <v>382</v>
      </c>
      <c r="U248" t="s">
        <v>382</v>
      </c>
      <c r="V248" t="s">
        <v>382</v>
      </c>
      <c r="W248" t="s">
        <v>382</v>
      </c>
      <c r="X248" t="s">
        <v>382</v>
      </c>
      <c r="Y248" t="s">
        <v>382</v>
      </c>
      <c r="Z248" t="s">
        <v>382</v>
      </c>
      <c r="AA248" t="s">
        <v>382</v>
      </c>
      <c r="AB248" t="s">
        <v>382</v>
      </c>
      <c r="AC248">
        <v>5</v>
      </c>
      <c r="AD248">
        <v>2</v>
      </c>
      <c r="AF248" t="s">
        <v>385</v>
      </c>
      <c r="AH248" t="s">
        <v>27</v>
      </c>
      <c r="AI248" t="s">
        <v>109</v>
      </c>
      <c r="AK248">
        <v>3033</v>
      </c>
      <c r="AL248">
        <v>1157</v>
      </c>
    </row>
    <row r="249" spans="1:38">
      <c r="A249" t="s">
        <v>382</v>
      </c>
      <c r="B249" t="s">
        <v>382</v>
      </c>
      <c r="C249" t="s">
        <v>382</v>
      </c>
      <c r="D249" t="s">
        <v>382</v>
      </c>
      <c r="E249" t="s">
        <v>382</v>
      </c>
      <c r="F249" t="s">
        <v>382</v>
      </c>
      <c r="G249" t="s">
        <v>382</v>
      </c>
      <c r="H249" t="s">
        <v>382</v>
      </c>
      <c r="I249" t="s">
        <v>382</v>
      </c>
      <c r="J249" t="s">
        <v>382</v>
      </c>
      <c r="K249" t="s">
        <v>382</v>
      </c>
      <c r="L249" t="s">
        <v>382</v>
      </c>
      <c r="M249" t="s">
        <v>382</v>
      </c>
      <c r="N249" t="s">
        <v>382</v>
      </c>
      <c r="O249" t="s">
        <v>382</v>
      </c>
      <c r="P249" t="s">
        <v>382</v>
      </c>
      <c r="Q249" t="s">
        <v>382</v>
      </c>
      <c r="R249" t="s">
        <v>382</v>
      </c>
      <c r="S249" t="s">
        <v>382</v>
      </c>
      <c r="T249" t="s">
        <v>382</v>
      </c>
      <c r="U249" t="s">
        <v>382</v>
      </c>
      <c r="V249" t="s">
        <v>382</v>
      </c>
      <c r="W249" t="s">
        <v>382</v>
      </c>
      <c r="X249" t="s">
        <v>382</v>
      </c>
      <c r="Y249" t="s">
        <v>382</v>
      </c>
      <c r="Z249" t="s">
        <v>382</v>
      </c>
      <c r="AA249" t="s">
        <v>382</v>
      </c>
      <c r="AB249" t="s">
        <v>382</v>
      </c>
      <c r="AC249">
        <v>5</v>
      </c>
      <c r="AD249">
        <v>3</v>
      </c>
      <c r="AF249" t="s">
        <v>392</v>
      </c>
      <c r="AH249" t="s">
        <v>41</v>
      </c>
      <c r="AI249" t="s">
        <v>102</v>
      </c>
      <c r="AK249">
        <v>1161</v>
      </c>
      <c r="AL249">
        <v>1632</v>
      </c>
    </row>
    <row r="250" spans="1:38">
      <c r="A250" t="s">
        <v>382</v>
      </c>
      <c r="B250" t="s">
        <v>382</v>
      </c>
      <c r="C250" t="s">
        <v>382</v>
      </c>
      <c r="D250" t="s">
        <v>382</v>
      </c>
      <c r="E250" t="s">
        <v>382</v>
      </c>
      <c r="F250" t="s">
        <v>382</v>
      </c>
      <c r="G250" t="s">
        <v>382</v>
      </c>
      <c r="H250" t="s">
        <v>382</v>
      </c>
      <c r="I250" t="s">
        <v>382</v>
      </c>
      <c r="J250" t="s">
        <v>382</v>
      </c>
      <c r="K250" t="s">
        <v>382</v>
      </c>
      <c r="L250" t="s">
        <v>382</v>
      </c>
      <c r="M250" t="s">
        <v>382</v>
      </c>
      <c r="N250" t="s">
        <v>382</v>
      </c>
      <c r="O250" t="s">
        <v>382</v>
      </c>
      <c r="P250" t="s">
        <v>382</v>
      </c>
      <c r="Q250" t="s">
        <v>382</v>
      </c>
      <c r="R250" t="s">
        <v>382</v>
      </c>
      <c r="S250" t="s">
        <v>382</v>
      </c>
      <c r="T250" t="s">
        <v>382</v>
      </c>
      <c r="U250" t="s">
        <v>382</v>
      </c>
      <c r="V250" t="s">
        <v>382</v>
      </c>
      <c r="W250" t="s">
        <v>382</v>
      </c>
      <c r="X250" t="s">
        <v>382</v>
      </c>
      <c r="Y250" t="s">
        <v>382</v>
      </c>
      <c r="Z250" t="s">
        <v>382</v>
      </c>
      <c r="AA250" t="s">
        <v>382</v>
      </c>
      <c r="AB250" t="s">
        <v>382</v>
      </c>
      <c r="AC250">
        <v>5</v>
      </c>
      <c r="AD250">
        <v>4</v>
      </c>
      <c r="AF250" t="s">
        <v>392</v>
      </c>
      <c r="AH250" t="s">
        <v>41</v>
      </c>
      <c r="AI250" t="s">
        <v>102</v>
      </c>
      <c r="AK250">
        <v>1219</v>
      </c>
      <c r="AL250">
        <v>932</v>
      </c>
    </row>
    <row r="251" spans="1:38">
      <c r="A251" t="s">
        <v>382</v>
      </c>
      <c r="B251" t="s">
        <v>382</v>
      </c>
      <c r="C251" t="s">
        <v>382</v>
      </c>
      <c r="D251" t="s">
        <v>382</v>
      </c>
      <c r="E251" t="s">
        <v>382</v>
      </c>
      <c r="F251" t="s">
        <v>382</v>
      </c>
      <c r="G251" t="s">
        <v>382</v>
      </c>
      <c r="H251" t="s">
        <v>382</v>
      </c>
      <c r="I251" t="s">
        <v>382</v>
      </c>
      <c r="J251" t="s">
        <v>382</v>
      </c>
      <c r="K251" t="s">
        <v>382</v>
      </c>
      <c r="L251" t="s">
        <v>382</v>
      </c>
      <c r="M251" t="s">
        <v>382</v>
      </c>
      <c r="N251" t="s">
        <v>382</v>
      </c>
      <c r="O251" t="s">
        <v>382</v>
      </c>
      <c r="P251" t="s">
        <v>382</v>
      </c>
      <c r="Q251" t="s">
        <v>382</v>
      </c>
      <c r="R251" t="s">
        <v>382</v>
      </c>
      <c r="S251" t="s">
        <v>382</v>
      </c>
      <c r="T251" t="s">
        <v>382</v>
      </c>
      <c r="U251" t="s">
        <v>382</v>
      </c>
      <c r="V251" t="s">
        <v>382</v>
      </c>
      <c r="W251" t="s">
        <v>382</v>
      </c>
      <c r="X251" t="s">
        <v>382</v>
      </c>
      <c r="Y251" t="s">
        <v>382</v>
      </c>
      <c r="Z251" t="s">
        <v>382</v>
      </c>
      <c r="AA251" t="s">
        <v>382</v>
      </c>
      <c r="AB251" t="s">
        <v>382</v>
      </c>
      <c r="AC251">
        <v>5</v>
      </c>
      <c r="AD251">
        <v>5</v>
      </c>
      <c r="AF251" t="s">
        <v>386</v>
      </c>
      <c r="AH251" t="s">
        <v>29</v>
      </c>
      <c r="AI251" t="s">
        <v>103</v>
      </c>
      <c r="AK251">
        <v>3047</v>
      </c>
      <c r="AL251">
        <v>611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2"/>
  <sheetViews>
    <sheetView tabSelected="1" topLeftCell="A246" workbookViewId="0">
      <selection activeCell="G28" sqref="G28"/>
    </sheetView>
  </sheetViews>
  <sheetFormatPr baseColWidth="10" defaultColWidth="8.83203125" defaultRowHeight="14" x14ac:dyDescent="0"/>
  <cols>
    <col min="1" max="1" width="30.6640625" style="45" bestFit="1" customWidth="1"/>
    <col min="2" max="2" width="7.6640625" style="45" bestFit="1" customWidth="1"/>
    <col min="3" max="5" width="8.1640625" style="45" bestFit="1" customWidth="1"/>
    <col min="6" max="6" width="9.6640625" style="45" bestFit="1" customWidth="1"/>
    <col min="7" max="7" width="106" style="45" bestFit="1" customWidth="1"/>
    <col min="8" max="8" width="5.33203125" style="45" bestFit="1" customWidth="1"/>
    <col min="9" max="9" width="8" style="45" bestFit="1" customWidth="1"/>
    <col min="10" max="10" width="9.83203125" style="45" bestFit="1" customWidth="1"/>
    <col min="11" max="11" width="8.1640625" style="45" bestFit="1" customWidth="1"/>
    <col min="12" max="12" width="11.1640625" style="45" bestFit="1" customWidth="1"/>
    <col min="13" max="13" width="8.83203125" style="45"/>
  </cols>
  <sheetData>
    <row r="1" spans="1:12">
      <c r="A1" s="45" t="s">
        <v>296</v>
      </c>
      <c r="F1" s="45" t="s">
        <v>403</v>
      </c>
    </row>
    <row r="2" spans="1:12">
      <c r="A2" s="45" t="s">
        <v>402</v>
      </c>
      <c r="F2" s="45" t="s">
        <v>310</v>
      </c>
    </row>
    <row r="3" spans="1:12">
      <c r="A3" s="45" t="s">
        <v>297</v>
      </c>
      <c r="C3" s="45" t="s">
        <v>298</v>
      </c>
      <c r="D3" s="45" t="s">
        <v>299</v>
      </c>
      <c r="F3" s="46" t="s">
        <v>305</v>
      </c>
    </row>
    <row r="4" spans="1:12">
      <c r="A4" s="45" t="s">
        <v>312</v>
      </c>
    </row>
    <row r="5" spans="1:12" ht="15" thickBot="1"/>
    <row r="6" spans="1:12" ht="16" thickTop="1" thickBot="1">
      <c r="A6" s="138" t="s">
        <v>404</v>
      </c>
      <c r="B6" s="58" t="s">
        <v>545</v>
      </c>
      <c r="C6" s="58" t="s">
        <v>489</v>
      </c>
      <c r="D6" s="58" t="s">
        <v>543</v>
      </c>
      <c r="E6" s="58" t="s">
        <v>597</v>
      </c>
      <c r="F6" s="58" t="s">
        <v>650</v>
      </c>
      <c r="G6" s="59"/>
      <c r="H6" s="59"/>
      <c r="I6" s="59"/>
      <c r="J6" s="59"/>
      <c r="K6" s="59"/>
      <c r="L6" s="146"/>
    </row>
    <row r="7" spans="1:12" ht="15" thickTop="1">
      <c r="A7" s="139" t="s">
        <v>405</v>
      </c>
      <c r="B7" s="60">
        <f>Transect1!B8</f>
        <v>50</v>
      </c>
      <c r="C7" s="60">
        <f>'Transect 2'!B8</f>
        <v>50</v>
      </c>
      <c r="D7" s="60">
        <f>'Transect 3'!B8</f>
        <v>50</v>
      </c>
      <c r="E7" s="60">
        <f>'Transect 4'!B8</f>
        <v>50</v>
      </c>
      <c r="F7" s="60">
        <f>Transect5!B8</f>
        <v>50</v>
      </c>
      <c r="G7" s="56"/>
      <c r="H7" s="56"/>
      <c r="I7" s="56"/>
      <c r="J7" s="56"/>
      <c r="K7" s="56"/>
      <c r="L7" s="147"/>
    </row>
    <row r="8" spans="1:12">
      <c r="A8" s="140" t="s">
        <v>406</v>
      </c>
      <c r="B8" s="49">
        <f ca="1">Transect1!B26</f>
        <v>250</v>
      </c>
      <c r="C8" s="49">
        <f ca="1">'Transect 2'!B26</f>
        <v>250</v>
      </c>
      <c r="D8" s="49">
        <f ca="1">'Transect 3'!B26</f>
        <v>250</v>
      </c>
      <c r="E8" s="49">
        <f ca="1">'Transect 4'!B26</f>
        <v>250</v>
      </c>
      <c r="F8" s="49">
        <f ca="1">Transect5!B26</f>
        <v>250</v>
      </c>
      <c r="L8" s="148"/>
    </row>
    <row r="9" spans="1:12" ht="15" thickBot="1">
      <c r="A9" s="141" t="s">
        <v>407</v>
      </c>
      <c r="B9" s="61">
        <f ca="1">Transect1!H126</f>
        <v>249</v>
      </c>
      <c r="C9" s="61">
        <f ca="1">'Transect 2'!H126</f>
        <v>250</v>
      </c>
      <c r="D9" s="61">
        <f ca="1">'Transect 3'!H126</f>
        <v>250</v>
      </c>
      <c r="E9" s="61">
        <f ca="1">'Transect 4'!H126</f>
        <v>250</v>
      </c>
      <c r="F9" s="61">
        <f ca="1">Transect5!H126</f>
        <v>250</v>
      </c>
      <c r="G9" s="57"/>
      <c r="H9" s="57"/>
      <c r="I9" s="57"/>
      <c r="J9" s="57"/>
      <c r="K9" s="57"/>
      <c r="L9" s="149"/>
    </row>
    <row r="10" spans="1:12" ht="15" thickTop="1">
      <c r="A10" s="140" t="s">
        <v>408</v>
      </c>
      <c r="H10" s="47" t="s">
        <v>409</v>
      </c>
      <c r="I10" s="47" t="s">
        <v>410</v>
      </c>
      <c r="J10" s="47" t="s">
        <v>411</v>
      </c>
      <c r="L10" s="148"/>
    </row>
    <row r="11" spans="1:12">
      <c r="A11" s="142" t="s">
        <v>351</v>
      </c>
      <c r="B11" s="52">
        <f ca="1">Transect1!C16</f>
        <v>41.76706827309237</v>
      </c>
      <c r="C11" s="52">
        <f ca="1">'Transect 2'!C16</f>
        <v>61.199999999999996</v>
      </c>
      <c r="D11" s="52">
        <f ca="1">'Transect 3'!C16</f>
        <v>57.199999999999996</v>
      </c>
      <c r="E11" s="52">
        <f ca="1">'Transect 4'!C16</f>
        <v>60.4</v>
      </c>
      <c r="F11" s="52">
        <f ca="1">Transect5!C16</f>
        <v>46.800000000000004</v>
      </c>
      <c r="G11" s="51"/>
      <c r="H11" s="52">
        <f t="shared" ref="H11:H20" ca="1" si="0">AVERAGE(B11:F11)</f>
        <v>53.473413654618469</v>
      </c>
      <c r="I11" s="52">
        <f t="shared" ref="I11:I20" ca="1" si="1">STDEV(B11:F11)</f>
        <v>8.7054315335236723</v>
      </c>
      <c r="J11" s="52">
        <f t="shared" ref="J11:J20" ca="1" si="2">I11/SQRT(5)</f>
        <v>3.893187336485834</v>
      </c>
      <c r="K11" s="51"/>
      <c r="L11" s="150"/>
    </row>
    <row r="12" spans="1:12">
      <c r="A12" s="143" t="s">
        <v>352</v>
      </c>
      <c r="B12" s="50">
        <f ca="1">Transect1!C17</f>
        <v>0</v>
      </c>
      <c r="C12" s="50">
        <f ca="1">'Transect 2'!C17</f>
        <v>0</v>
      </c>
      <c r="D12" s="50">
        <f ca="1">'Transect 3'!C17</f>
        <v>0</v>
      </c>
      <c r="E12" s="50">
        <f ca="1">'Transect 4'!C17</f>
        <v>0</v>
      </c>
      <c r="F12" s="50">
        <f ca="1">Transect5!C17</f>
        <v>0</v>
      </c>
      <c r="H12" s="50">
        <f t="shared" ca="1" si="0"/>
        <v>0</v>
      </c>
      <c r="I12" s="50">
        <f t="shared" ca="1" si="1"/>
        <v>0</v>
      </c>
      <c r="J12" s="50">
        <f t="shared" ca="1" si="2"/>
        <v>0</v>
      </c>
      <c r="L12" s="148"/>
    </row>
    <row r="13" spans="1:12">
      <c r="A13" s="142" t="s">
        <v>353</v>
      </c>
      <c r="B13" s="52">
        <f ca="1">Transect1!C18</f>
        <v>0</v>
      </c>
      <c r="C13" s="52">
        <f ca="1">'Transect 2'!C18</f>
        <v>0</v>
      </c>
      <c r="D13" s="52">
        <f ca="1">'Transect 3'!C18</f>
        <v>0</v>
      </c>
      <c r="E13" s="52">
        <f ca="1">'Transect 4'!C18</f>
        <v>0</v>
      </c>
      <c r="F13" s="52">
        <f ca="1">Transect5!C18</f>
        <v>0</v>
      </c>
      <c r="G13" s="51"/>
      <c r="H13" s="52">
        <f t="shared" ca="1" si="0"/>
        <v>0</v>
      </c>
      <c r="I13" s="52">
        <f t="shared" ca="1" si="1"/>
        <v>0</v>
      </c>
      <c r="J13" s="52">
        <f t="shared" ca="1" si="2"/>
        <v>0</v>
      </c>
      <c r="K13" s="51"/>
      <c r="L13" s="150"/>
    </row>
    <row r="14" spans="1:12">
      <c r="A14" s="143" t="s">
        <v>354</v>
      </c>
      <c r="B14" s="50">
        <f ca="1">Transect1!C19</f>
        <v>1.2048192771084338</v>
      </c>
      <c r="C14" s="50">
        <f ca="1">'Transect 2'!C19</f>
        <v>0.8</v>
      </c>
      <c r="D14" s="50">
        <f ca="1">'Transect 3'!C19</f>
        <v>0</v>
      </c>
      <c r="E14" s="50">
        <f ca="1">'Transect 4'!C19</f>
        <v>1.6</v>
      </c>
      <c r="F14" s="50">
        <f ca="1">Transect5!C19</f>
        <v>3.2</v>
      </c>
      <c r="H14" s="50">
        <f t="shared" ca="1" si="0"/>
        <v>1.3609638554216867</v>
      </c>
      <c r="I14" s="50">
        <f t="shared" ca="1" si="1"/>
        <v>1.1864312466037361</v>
      </c>
      <c r="J14" s="50">
        <f t="shared" ca="1" si="2"/>
        <v>0.5305881836071541</v>
      </c>
      <c r="L14" s="148"/>
    </row>
    <row r="15" spans="1:12">
      <c r="A15" s="142" t="s">
        <v>355</v>
      </c>
      <c r="B15" s="52">
        <f ca="1">Transect1!C20</f>
        <v>24.899598393574294</v>
      </c>
      <c r="C15" s="52">
        <f ca="1">'Transect 2'!C20</f>
        <v>24</v>
      </c>
      <c r="D15" s="52">
        <f ca="1">'Transect 3'!C20</f>
        <v>23.599999999999998</v>
      </c>
      <c r="E15" s="52">
        <f ca="1">'Transect 4'!C20</f>
        <v>21.6</v>
      </c>
      <c r="F15" s="52">
        <f ca="1">Transect5!C20</f>
        <v>30.4</v>
      </c>
      <c r="G15" s="51"/>
      <c r="H15" s="52">
        <f t="shared" ca="1" si="0"/>
        <v>24.899919678714859</v>
      </c>
      <c r="I15" s="52">
        <f t="shared" ca="1" si="1"/>
        <v>3.3030289178657455</v>
      </c>
      <c r="J15" s="52">
        <f t="shared" ca="1" si="2"/>
        <v>1.4771594383990752</v>
      </c>
      <c r="K15" s="51"/>
      <c r="L15" s="150"/>
    </row>
    <row r="16" spans="1:12">
      <c r="A16" s="143" t="s">
        <v>356</v>
      </c>
      <c r="B16" s="50">
        <f ca="1">Transect1!C21</f>
        <v>0</v>
      </c>
      <c r="C16" s="50">
        <f ca="1">'Transect 2'!C21</f>
        <v>0</v>
      </c>
      <c r="D16" s="50">
        <f ca="1">'Transect 3'!C21</f>
        <v>0</v>
      </c>
      <c r="E16" s="50">
        <f ca="1">'Transect 4'!C21</f>
        <v>0</v>
      </c>
      <c r="F16" s="50">
        <f ca="1">Transect5!C21</f>
        <v>0</v>
      </c>
      <c r="H16" s="50">
        <f t="shared" ca="1" si="0"/>
        <v>0</v>
      </c>
      <c r="I16" s="50">
        <f t="shared" ca="1" si="1"/>
        <v>0</v>
      </c>
      <c r="J16" s="50">
        <f t="shared" ca="1" si="2"/>
        <v>0</v>
      </c>
      <c r="L16" s="148"/>
    </row>
    <row r="17" spans="1:12">
      <c r="A17" s="142" t="s">
        <v>357</v>
      </c>
      <c r="B17" s="52">
        <f ca="1">Transect1!C22</f>
        <v>7.6305220883534144</v>
      </c>
      <c r="C17" s="52">
        <f ca="1">'Transect 2'!C22</f>
        <v>5.2</v>
      </c>
      <c r="D17" s="52">
        <f ca="1">'Transect 3'!C22</f>
        <v>2.8000000000000003</v>
      </c>
      <c r="E17" s="52">
        <f ca="1">'Transect 4'!C22</f>
        <v>2.8000000000000003</v>
      </c>
      <c r="F17" s="52">
        <f ca="1">Transect5!C22</f>
        <v>2</v>
      </c>
      <c r="G17" s="51"/>
      <c r="H17" s="52">
        <f t="shared" ca="1" si="0"/>
        <v>4.0861044176706836</v>
      </c>
      <c r="I17" s="52">
        <f t="shared" ca="1" si="1"/>
        <v>2.3164423573828672</v>
      </c>
      <c r="J17" s="52">
        <f t="shared" ca="1" si="2"/>
        <v>1.0359445154135904</v>
      </c>
      <c r="K17" s="51"/>
      <c r="L17" s="150"/>
    </row>
    <row r="18" spans="1:12">
      <c r="A18" s="143" t="s">
        <v>358</v>
      </c>
      <c r="B18" s="50">
        <f ca="1">Transect1!C23</f>
        <v>0</v>
      </c>
      <c r="C18" s="50">
        <f ca="1">'Transect 2'!C23</f>
        <v>0</v>
      </c>
      <c r="D18" s="50">
        <f ca="1">'Transect 3'!C23</f>
        <v>0</v>
      </c>
      <c r="E18" s="50">
        <f ca="1">'Transect 4'!C23</f>
        <v>0</v>
      </c>
      <c r="F18" s="50">
        <f ca="1">Transect5!C23</f>
        <v>0</v>
      </c>
      <c r="H18" s="50">
        <f t="shared" ca="1" si="0"/>
        <v>0</v>
      </c>
      <c r="I18" s="50">
        <f t="shared" ca="1" si="1"/>
        <v>0</v>
      </c>
      <c r="J18" s="50">
        <f t="shared" ca="1" si="2"/>
        <v>0</v>
      </c>
      <c r="L18" s="148"/>
    </row>
    <row r="19" spans="1:12">
      <c r="A19" s="142" t="s">
        <v>359</v>
      </c>
      <c r="B19" s="52">
        <f ca="1">Transect1!C24</f>
        <v>24.497991967871485</v>
      </c>
      <c r="C19" s="52">
        <f ca="1">'Transect 2'!C24</f>
        <v>8.7999999999999989</v>
      </c>
      <c r="D19" s="52">
        <f ca="1">'Transect 3'!C24</f>
        <v>16.400000000000002</v>
      </c>
      <c r="E19" s="52">
        <f ca="1">'Transect 4'!C24</f>
        <v>13.600000000000001</v>
      </c>
      <c r="F19" s="52">
        <f ca="1">Transect5!C24</f>
        <v>17.599999999999998</v>
      </c>
      <c r="G19" s="51"/>
      <c r="H19" s="52">
        <f t="shared" ca="1" si="0"/>
        <v>16.179598393574299</v>
      </c>
      <c r="I19" s="52">
        <f t="shared" ca="1" si="1"/>
        <v>5.7527078313420335</v>
      </c>
      <c r="J19" s="52">
        <f t="shared" ca="1" si="2"/>
        <v>2.5726891531152365</v>
      </c>
      <c r="K19" s="51"/>
      <c r="L19" s="150"/>
    </row>
    <row r="20" spans="1:12">
      <c r="A20" s="143" t="s">
        <v>360</v>
      </c>
      <c r="B20" s="50">
        <f ca="1">Transect1!C25</f>
        <v>0.4</v>
      </c>
      <c r="C20" s="50">
        <f ca="1">'Transect 2'!C25</f>
        <v>0</v>
      </c>
      <c r="D20" s="50">
        <f ca="1">'Transect 3'!C25</f>
        <v>0</v>
      </c>
      <c r="E20" s="50">
        <f ca="1">'Transect 4'!C25</f>
        <v>0</v>
      </c>
      <c r="F20" s="50">
        <f ca="1">Transect5!C25</f>
        <v>0</v>
      </c>
      <c r="H20" s="50">
        <f t="shared" ca="1" si="0"/>
        <v>0.08</v>
      </c>
      <c r="I20" s="50">
        <f t="shared" ca="1" si="1"/>
        <v>0.1788854381999832</v>
      </c>
      <c r="J20" s="50">
        <f t="shared" ca="1" si="2"/>
        <v>8.0000000000000016E-2</v>
      </c>
      <c r="L20" s="148"/>
    </row>
    <row r="21" spans="1:12">
      <c r="A21" s="143" t="s">
        <v>412</v>
      </c>
      <c r="B21" s="50">
        <f ca="1">SUM(B11:B20) - B20</f>
        <v>100</v>
      </c>
      <c r="C21" s="50">
        <f ca="1">SUM(C11:C20) - C20</f>
        <v>100</v>
      </c>
      <c r="D21" s="50">
        <f ca="1">SUM(D11:D20) - D20</f>
        <v>100</v>
      </c>
      <c r="E21" s="50">
        <f ca="1">SUM(E11:E20) - E20</f>
        <v>100</v>
      </c>
      <c r="F21" s="50">
        <f ca="1">SUM(F11:F20) - F20</f>
        <v>100</v>
      </c>
      <c r="L21" s="148"/>
    </row>
    <row r="22" spans="1:12">
      <c r="A22" s="143"/>
      <c r="L22" s="148"/>
    </row>
    <row r="23" spans="1:12">
      <c r="A23" s="140" t="s">
        <v>413</v>
      </c>
      <c r="H23" s="47" t="s">
        <v>409</v>
      </c>
      <c r="I23" s="47" t="s">
        <v>410</v>
      </c>
      <c r="J23" s="47" t="s">
        <v>411</v>
      </c>
      <c r="L23" s="148"/>
    </row>
    <row r="24" spans="1:12">
      <c r="A24" s="144" t="s">
        <v>351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150"/>
    </row>
    <row r="25" spans="1:12">
      <c r="A25" s="143" t="s">
        <v>113</v>
      </c>
      <c r="B25" s="50">
        <f ca="1">Transect1!I17</f>
        <v>0</v>
      </c>
      <c r="C25" s="50">
        <f ca="1">'Transect 2'!I17</f>
        <v>0</v>
      </c>
      <c r="D25" s="50">
        <f ca="1">'Transect 3'!I17</f>
        <v>0</v>
      </c>
      <c r="E25" s="50">
        <f ca="1">'Transect 4'!I17</f>
        <v>0</v>
      </c>
      <c r="F25" s="50">
        <f ca="1">Transect5!I17</f>
        <v>0</v>
      </c>
      <c r="H25" s="50">
        <f t="shared" ref="H25:H56" ca="1" si="3">AVERAGE(B25:F25)</f>
        <v>0</v>
      </c>
      <c r="I25" s="50">
        <f t="shared" ref="I25:I56" ca="1" si="4">STDEV(B25:F25)</f>
        <v>0</v>
      </c>
      <c r="J25" s="50">
        <f t="shared" ref="J25:J56" ca="1" si="5">I25/SQRT(5)</f>
        <v>0</v>
      </c>
      <c r="L25" s="148"/>
    </row>
    <row r="26" spans="1:12">
      <c r="A26" s="143" t="s">
        <v>115</v>
      </c>
      <c r="B26" s="50">
        <f ca="1">Transect1!I18</f>
        <v>1.2048192771084338</v>
      </c>
      <c r="C26" s="50">
        <f ca="1">'Transect 2'!I18</f>
        <v>1.2</v>
      </c>
      <c r="D26" s="50">
        <f ca="1">'Transect 3'!I18</f>
        <v>2.8000000000000003</v>
      </c>
      <c r="E26" s="50">
        <f ca="1">'Transect 4'!I18</f>
        <v>2.4</v>
      </c>
      <c r="F26" s="50">
        <f ca="1">Transect5!I18</f>
        <v>1.2</v>
      </c>
      <c r="H26" s="50">
        <f t="shared" ca="1" si="3"/>
        <v>1.7609638554216869</v>
      </c>
      <c r="I26" s="50">
        <f t="shared" ca="1" si="4"/>
        <v>0.77888076590451738</v>
      </c>
      <c r="J26" s="50">
        <f t="shared" ca="1" si="5"/>
        <v>0.34832606778592023</v>
      </c>
      <c r="L26" s="148"/>
    </row>
    <row r="27" spans="1:12">
      <c r="A27" s="143" t="s">
        <v>116</v>
      </c>
      <c r="B27" s="50">
        <f ca="1">Transect1!I19</f>
        <v>0</v>
      </c>
      <c r="C27" s="50">
        <f ca="1">'Transect 2'!I19</f>
        <v>0</v>
      </c>
      <c r="D27" s="50">
        <f ca="1">'Transect 3'!I19</f>
        <v>0</v>
      </c>
      <c r="E27" s="50">
        <f ca="1">'Transect 4'!I19</f>
        <v>0</v>
      </c>
      <c r="F27" s="50">
        <f ca="1">Transect5!I19</f>
        <v>0</v>
      </c>
      <c r="H27" s="50">
        <f t="shared" ca="1" si="3"/>
        <v>0</v>
      </c>
      <c r="I27" s="50">
        <f t="shared" ca="1" si="4"/>
        <v>0</v>
      </c>
      <c r="J27" s="50">
        <f t="shared" ca="1" si="5"/>
        <v>0</v>
      </c>
      <c r="L27" s="148"/>
    </row>
    <row r="28" spans="1:12">
      <c r="A28" s="143" t="s">
        <v>118</v>
      </c>
      <c r="B28" s="50">
        <f ca="1">Transect1!I20</f>
        <v>0</v>
      </c>
      <c r="C28" s="50">
        <f ca="1">'Transect 2'!I20</f>
        <v>0</v>
      </c>
      <c r="D28" s="50">
        <f ca="1">'Transect 3'!I20</f>
        <v>0</v>
      </c>
      <c r="E28" s="50">
        <f ca="1">'Transect 4'!I20</f>
        <v>0</v>
      </c>
      <c r="F28" s="50">
        <f ca="1">Transect5!I20</f>
        <v>0.4</v>
      </c>
      <c r="H28" s="50">
        <f t="shared" ca="1" si="3"/>
        <v>0.08</v>
      </c>
      <c r="I28" s="50">
        <f t="shared" ca="1" si="4"/>
        <v>0.1788854381999832</v>
      </c>
      <c r="J28" s="50">
        <f t="shared" ca="1" si="5"/>
        <v>8.0000000000000016E-2</v>
      </c>
      <c r="L28" s="148"/>
    </row>
    <row r="29" spans="1:12">
      <c r="A29" s="143" t="s">
        <v>120</v>
      </c>
      <c r="B29" s="50">
        <f ca="1">Transect1!I21</f>
        <v>10.441767068273093</v>
      </c>
      <c r="C29" s="50">
        <f ca="1">'Transect 2'!I21</f>
        <v>20</v>
      </c>
      <c r="D29" s="50">
        <f ca="1">'Transect 3'!I21</f>
        <v>11.200000000000001</v>
      </c>
      <c r="E29" s="50">
        <f ca="1">'Transect 4'!I21</f>
        <v>22</v>
      </c>
      <c r="F29" s="50">
        <f ca="1">Transect5!I21</f>
        <v>4.3999999999999995</v>
      </c>
      <c r="H29" s="50">
        <f t="shared" ca="1" si="3"/>
        <v>13.608353413654621</v>
      </c>
      <c r="I29" s="50">
        <f t="shared" ca="1" si="4"/>
        <v>7.2782911173132776</v>
      </c>
      <c r="J29" s="50">
        <f t="shared" ca="1" si="5"/>
        <v>3.2549507396690771</v>
      </c>
      <c r="L29" s="148"/>
    </row>
    <row r="30" spans="1:12">
      <c r="A30" s="143" t="s">
        <v>121</v>
      </c>
      <c r="B30" s="50">
        <f ca="1">Transect1!I22</f>
        <v>0</v>
      </c>
      <c r="C30" s="50">
        <f ca="1">'Transect 2'!I22</f>
        <v>0.4</v>
      </c>
      <c r="D30" s="50">
        <f ca="1">'Transect 3'!I22</f>
        <v>0.4</v>
      </c>
      <c r="E30" s="50">
        <f ca="1">'Transect 4'!I22</f>
        <v>0</v>
      </c>
      <c r="F30" s="50">
        <f ca="1">Transect5!I22</f>
        <v>0</v>
      </c>
      <c r="H30" s="50">
        <f t="shared" ca="1" si="3"/>
        <v>0.16</v>
      </c>
      <c r="I30" s="50">
        <f t="shared" ca="1" si="4"/>
        <v>0.21908902300206645</v>
      </c>
      <c r="J30" s="50">
        <f t="shared" ca="1" si="5"/>
        <v>9.7979589711327128E-2</v>
      </c>
      <c r="L30" s="148"/>
    </row>
    <row r="31" spans="1:12">
      <c r="A31" s="143" t="s">
        <v>123</v>
      </c>
      <c r="B31" s="50">
        <f ca="1">Transect1!I23</f>
        <v>0</v>
      </c>
      <c r="C31" s="50">
        <f ca="1">'Transect 2'!I23</f>
        <v>0</v>
      </c>
      <c r="D31" s="50">
        <f ca="1">'Transect 3'!I23</f>
        <v>0</v>
      </c>
      <c r="E31" s="50">
        <f ca="1">'Transect 4'!I23</f>
        <v>0</v>
      </c>
      <c r="F31" s="50">
        <f ca="1">Transect5!I23</f>
        <v>0</v>
      </c>
      <c r="H31" s="50">
        <f t="shared" ca="1" si="3"/>
        <v>0</v>
      </c>
      <c r="I31" s="50">
        <f t="shared" ca="1" si="4"/>
        <v>0</v>
      </c>
      <c r="J31" s="50">
        <f t="shared" ca="1" si="5"/>
        <v>0</v>
      </c>
      <c r="L31" s="148"/>
    </row>
    <row r="32" spans="1:12">
      <c r="A32" s="143" t="s">
        <v>125</v>
      </c>
      <c r="B32" s="50">
        <f ca="1">Transect1!I24</f>
        <v>0</v>
      </c>
      <c r="C32" s="50">
        <f ca="1">'Transect 2'!I24</f>
        <v>0</v>
      </c>
      <c r="D32" s="50">
        <f ca="1">'Transect 3'!I24</f>
        <v>0</v>
      </c>
      <c r="E32" s="50">
        <f ca="1">'Transect 4'!I24</f>
        <v>0</v>
      </c>
      <c r="F32" s="50">
        <f ca="1">Transect5!I24</f>
        <v>0</v>
      </c>
      <c r="H32" s="50">
        <f t="shared" ca="1" si="3"/>
        <v>0</v>
      </c>
      <c r="I32" s="50">
        <f t="shared" ca="1" si="4"/>
        <v>0</v>
      </c>
      <c r="J32" s="50">
        <f t="shared" ca="1" si="5"/>
        <v>0</v>
      </c>
      <c r="L32" s="148"/>
    </row>
    <row r="33" spans="1:12">
      <c r="A33" s="143" t="s">
        <v>127</v>
      </c>
      <c r="B33" s="50">
        <f ca="1">Transect1!I25</f>
        <v>0</v>
      </c>
      <c r="C33" s="50">
        <f ca="1">'Transect 2'!I25</f>
        <v>0</v>
      </c>
      <c r="D33" s="50">
        <f ca="1">'Transect 3'!I25</f>
        <v>0</v>
      </c>
      <c r="E33" s="50">
        <f ca="1">'Transect 4'!I25</f>
        <v>0</v>
      </c>
      <c r="F33" s="50">
        <f ca="1">Transect5!I25</f>
        <v>0</v>
      </c>
      <c r="H33" s="50">
        <f t="shared" ca="1" si="3"/>
        <v>0</v>
      </c>
      <c r="I33" s="50">
        <f t="shared" ca="1" si="4"/>
        <v>0</v>
      </c>
      <c r="J33" s="50">
        <f t="shared" ca="1" si="5"/>
        <v>0</v>
      </c>
      <c r="L33" s="148"/>
    </row>
    <row r="34" spans="1:12">
      <c r="A34" s="143" t="s">
        <v>129</v>
      </c>
      <c r="B34" s="50">
        <f ca="1">Transect1!I26</f>
        <v>0.40160642570281119</v>
      </c>
      <c r="C34" s="50">
        <f ca="1">'Transect 2'!I26</f>
        <v>0</v>
      </c>
      <c r="D34" s="50">
        <f ca="1">'Transect 3'!I26</f>
        <v>0</v>
      </c>
      <c r="E34" s="50">
        <f ca="1">'Transect 4'!I26</f>
        <v>0</v>
      </c>
      <c r="F34" s="50">
        <f ca="1">Transect5!I26</f>
        <v>0</v>
      </c>
      <c r="H34" s="50">
        <f t="shared" ca="1" si="3"/>
        <v>8.0321285140562235E-2</v>
      </c>
      <c r="I34" s="50">
        <f t="shared" ca="1" si="4"/>
        <v>0.17960385361444092</v>
      </c>
      <c r="J34" s="50">
        <f t="shared" ca="1" si="5"/>
        <v>8.0321285140562235E-2</v>
      </c>
      <c r="L34" s="148"/>
    </row>
    <row r="35" spans="1:12">
      <c r="A35" s="143" t="s">
        <v>130</v>
      </c>
      <c r="B35" s="50">
        <f ca="1">Transect1!I27</f>
        <v>0</v>
      </c>
      <c r="C35" s="50">
        <f ca="1">'Transect 2'!I27</f>
        <v>0</v>
      </c>
      <c r="D35" s="50">
        <f ca="1">'Transect 3'!I27</f>
        <v>0</v>
      </c>
      <c r="E35" s="50">
        <f ca="1">'Transect 4'!I27</f>
        <v>0</v>
      </c>
      <c r="F35" s="50">
        <f ca="1">Transect5!I27</f>
        <v>0</v>
      </c>
      <c r="H35" s="50">
        <f t="shared" ca="1" si="3"/>
        <v>0</v>
      </c>
      <c r="I35" s="50">
        <f t="shared" ca="1" si="4"/>
        <v>0</v>
      </c>
      <c r="J35" s="50">
        <f t="shared" ca="1" si="5"/>
        <v>0</v>
      </c>
      <c r="L35" s="148"/>
    </row>
    <row r="36" spans="1:12">
      <c r="A36" s="143" t="s">
        <v>132</v>
      </c>
      <c r="B36" s="50">
        <f ca="1">Transect1!I28</f>
        <v>10.040160642570282</v>
      </c>
      <c r="C36" s="50">
        <f ca="1">'Transect 2'!I28</f>
        <v>10</v>
      </c>
      <c r="D36" s="50">
        <f ca="1">'Transect 3'!I28</f>
        <v>21.6</v>
      </c>
      <c r="E36" s="50">
        <f ca="1">'Transect 4'!I28</f>
        <v>8</v>
      </c>
      <c r="F36" s="50">
        <f ca="1">Transect5!I28</f>
        <v>9.6</v>
      </c>
      <c r="H36" s="50">
        <f t="shared" ca="1" si="3"/>
        <v>11.848032128514056</v>
      </c>
      <c r="I36" s="50">
        <f t="shared" ca="1" si="4"/>
        <v>5.5146509213437689</v>
      </c>
      <c r="J36" s="50">
        <f t="shared" ca="1" si="5"/>
        <v>2.4662268664613025</v>
      </c>
      <c r="L36" s="148"/>
    </row>
    <row r="37" spans="1:12">
      <c r="A37" s="143" t="s">
        <v>133</v>
      </c>
      <c r="B37" s="50">
        <f ca="1">Transect1!I29</f>
        <v>0</v>
      </c>
      <c r="C37" s="50">
        <f ca="1">'Transect 2'!I29</f>
        <v>0</v>
      </c>
      <c r="D37" s="50">
        <f ca="1">'Transect 3'!I29</f>
        <v>0</v>
      </c>
      <c r="E37" s="50">
        <f ca="1">'Transect 4'!I29</f>
        <v>0</v>
      </c>
      <c r="F37" s="50">
        <f ca="1">Transect5!I29</f>
        <v>0</v>
      </c>
      <c r="H37" s="50">
        <f t="shared" ca="1" si="3"/>
        <v>0</v>
      </c>
      <c r="I37" s="50">
        <f t="shared" ca="1" si="4"/>
        <v>0</v>
      </c>
      <c r="J37" s="50">
        <f t="shared" ca="1" si="5"/>
        <v>0</v>
      </c>
      <c r="L37" s="148"/>
    </row>
    <row r="38" spans="1:12">
      <c r="A38" s="143" t="s">
        <v>135</v>
      </c>
      <c r="B38" s="50">
        <f ca="1">Transect1!I30</f>
        <v>0</v>
      </c>
      <c r="C38" s="50">
        <f ca="1">'Transect 2'!I30</f>
        <v>0</v>
      </c>
      <c r="D38" s="50">
        <f ca="1">'Transect 3'!I30</f>
        <v>0</v>
      </c>
      <c r="E38" s="50">
        <f ca="1">'Transect 4'!I30</f>
        <v>0</v>
      </c>
      <c r="F38" s="50">
        <f ca="1">Transect5!I30</f>
        <v>0</v>
      </c>
      <c r="H38" s="50">
        <f t="shared" ca="1" si="3"/>
        <v>0</v>
      </c>
      <c r="I38" s="50">
        <f t="shared" ca="1" si="4"/>
        <v>0</v>
      </c>
      <c r="J38" s="50">
        <f t="shared" ca="1" si="5"/>
        <v>0</v>
      </c>
      <c r="L38" s="148"/>
    </row>
    <row r="39" spans="1:12">
      <c r="A39" s="143" t="s">
        <v>137</v>
      </c>
      <c r="B39" s="50">
        <f ca="1">Transect1!I31</f>
        <v>0.80321285140562237</v>
      </c>
      <c r="C39" s="50">
        <f ca="1">'Transect 2'!I31</f>
        <v>1.6</v>
      </c>
      <c r="D39" s="50">
        <f ca="1">'Transect 3'!I31</f>
        <v>0.4</v>
      </c>
      <c r="E39" s="50">
        <f ca="1">'Transect 4'!I31</f>
        <v>0.4</v>
      </c>
      <c r="F39" s="50">
        <f ca="1">Transect5!I31</f>
        <v>0</v>
      </c>
      <c r="H39" s="50">
        <f t="shared" ca="1" si="3"/>
        <v>0.64064257028112448</v>
      </c>
      <c r="I39" s="50">
        <f t="shared" ca="1" si="4"/>
        <v>0.60684354869709289</v>
      </c>
      <c r="J39" s="50">
        <f t="shared" ca="1" si="5"/>
        <v>0.27138868531878074</v>
      </c>
      <c r="L39" s="148"/>
    </row>
    <row r="40" spans="1:12">
      <c r="A40" s="143" t="s">
        <v>138</v>
      </c>
      <c r="B40" s="50">
        <f ca="1">Transect1!I32</f>
        <v>0</v>
      </c>
      <c r="C40" s="50">
        <f ca="1">'Transect 2'!I32</f>
        <v>0.8</v>
      </c>
      <c r="D40" s="50">
        <f ca="1">'Transect 3'!I32</f>
        <v>1.6</v>
      </c>
      <c r="E40" s="50">
        <f ca="1">'Transect 4'!I32</f>
        <v>0.8</v>
      </c>
      <c r="F40" s="50">
        <f ca="1">Transect5!I32</f>
        <v>0</v>
      </c>
      <c r="H40" s="50">
        <f t="shared" ca="1" si="3"/>
        <v>0.64</v>
      </c>
      <c r="I40" s="50">
        <f t="shared" ca="1" si="4"/>
        <v>0.66932802122726054</v>
      </c>
      <c r="J40" s="50">
        <f t="shared" ca="1" si="5"/>
        <v>0.29933259094191533</v>
      </c>
      <c r="L40" s="148"/>
    </row>
    <row r="41" spans="1:12">
      <c r="A41" s="143" t="s">
        <v>140</v>
      </c>
      <c r="B41" s="50">
        <f ca="1">Transect1!I33</f>
        <v>0</v>
      </c>
      <c r="C41" s="50">
        <f ca="1">'Transect 2'!I33</f>
        <v>0</v>
      </c>
      <c r="D41" s="50">
        <f ca="1">'Transect 3'!I33</f>
        <v>0</v>
      </c>
      <c r="E41" s="50">
        <f ca="1">'Transect 4'!I33</f>
        <v>0</v>
      </c>
      <c r="F41" s="50">
        <f ca="1">Transect5!I33</f>
        <v>0.4</v>
      </c>
      <c r="H41" s="50">
        <f t="shared" ca="1" si="3"/>
        <v>0.08</v>
      </c>
      <c r="I41" s="50">
        <f t="shared" ca="1" si="4"/>
        <v>0.1788854381999832</v>
      </c>
      <c r="J41" s="50">
        <f t="shared" ca="1" si="5"/>
        <v>8.0000000000000016E-2</v>
      </c>
      <c r="L41" s="148"/>
    </row>
    <row r="42" spans="1:12">
      <c r="A42" s="143" t="s">
        <v>142</v>
      </c>
      <c r="B42" s="50">
        <f ca="1">Transect1!I34</f>
        <v>0.40160642570281119</v>
      </c>
      <c r="C42" s="50">
        <f ca="1">'Transect 2'!I34</f>
        <v>1.6</v>
      </c>
      <c r="D42" s="50">
        <f ca="1">'Transect 3'!I34</f>
        <v>0.8</v>
      </c>
      <c r="E42" s="50">
        <f ca="1">'Transect 4'!I34</f>
        <v>0</v>
      </c>
      <c r="F42" s="50">
        <f ca="1">Transect5!I34</f>
        <v>0</v>
      </c>
      <c r="H42" s="50">
        <f t="shared" ca="1" si="3"/>
        <v>0.56032128514056223</v>
      </c>
      <c r="I42" s="50">
        <f t="shared" ca="1" si="4"/>
        <v>0.66923239765008613</v>
      </c>
      <c r="J42" s="50">
        <f t="shared" ca="1" si="5"/>
        <v>0.29928982677815258</v>
      </c>
      <c r="L42" s="148"/>
    </row>
    <row r="43" spans="1:12">
      <c r="A43" s="143" t="s">
        <v>143</v>
      </c>
      <c r="B43" s="50">
        <f ca="1">Transect1!I35</f>
        <v>0</v>
      </c>
      <c r="C43" s="50">
        <f ca="1">'Transect 2'!I35</f>
        <v>0</v>
      </c>
      <c r="D43" s="50">
        <f ca="1">'Transect 3'!I35</f>
        <v>0</v>
      </c>
      <c r="E43" s="50">
        <f ca="1">'Transect 4'!I35</f>
        <v>0</v>
      </c>
      <c r="F43" s="50">
        <f ca="1">Transect5!I35</f>
        <v>0</v>
      </c>
      <c r="H43" s="50">
        <f t="shared" ca="1" si="3"/>
        <v>0</v>
      </c>
      <c r="I43" s="50">
        <f t="shared" ca="1" si="4"/>
        <v>0</v>
      </c>
      <c r="J43" s="50">
        <f t="shared" ca="1" si="5"/>
        <v>0</v>
      </c>
      <c r="L43" s="148"/>
    </row>
    <row r="44" spans="1:12">
      <c r="A44" s="143" t="s">
        <v>145</v>
      </c>
      <c r="B44" s="50">
        <f ca="1">Transect1!I36</f>
        <v>0.80321285140562237</v>
      </c>
      <c r="C44" s="50">
        <f ca="1">'Transect 2'!I36</f>
        <v>2.8000000000000003</v>
      </c>
      <c r="D44" s="50">
        <f ca="1">'Transect 3'!I36</f>
        <v>2</v>
      </c>
      <c r="E44" s="50">
        <f ca="1">'Transect 4'!I36</f>
        <v>0</v>
      </c>
      <c r="F44" s="50">
        <f ca="1">Transect5!I36</f>
        <v>1.2</v>
      </c>
      <c r="H44" s="50">
        <f t="shared" ca="1" si="3"/>
        <v>1.3606425702811245</v>
      </c>
      <c r="I44" s="50">
        <f t="shared" ca="1" si="4"/>
        <v>1.0803251668313836</v>
      </c>
      <c r="J44" s="50">
        <f t="shared" ca="1" si="5"/>
        <v>0.48313610216775493</v>
      </c>
      <c r="L44" s="148"/>
    </row>
    <row r="45" spans="1:12">
      <c r="A45" s="143" t="s">
        <v>146</v>
      </c>
      <c r="B45" s="50">
        <f ca="1">Transect1!I37</f>
        <v>0</v>
      </c>
      <c r="C45" s="50">
        <f ca="1">'Transect 2'!I37</f>
        <v>0</v>
      </c>
      <c r="D45" s="50">
        <f ca="1">'Transect 3'!I37</f>
        <v>0.4</v>
      </c>
      <c r="E45" s="50">
        <f ca="1">'Transect 4'!I37</f>
        <v>1.2</v>
      </c>
      <c r="F45" s="50">
        <f ca="1">Transect5!I37</f>
        <v>0.8</v>
      </c>
      <c r="H45" s="50">
        <f t="shared" ca="1" si="3"/>
        <v>0.48000000000000009</v>
      </c>
      <c r="I45" s="50">
        <f t="shared" ca="1" si="4"/>
        <v>0.52153619241621185</v>
      </c>
      <c r="J45" s="50">
        <f t="shared" ca="1" si="5"/>
        <v>0.23323807579381198</v>
      </c>
      <c r="L45" s="148"/>
    </row>
    <row r="46" spans="1:12">
      <c r="A46" s="143" t="s">
        <v>148</v>
      </c>
      <c r="B46" s="50">
        <f ca="1">Transect1!I38</f>
        <v>0</v>
      </c>
      <c r="C46" s="50">
        <f ca="1">'Transect 2'!I38</f>
        <v>0</v>
      </c>
      <c r="D46" s="50">
        <f ca="1">'Transect 3'!I38</f>
        <v>0</v>
      </c>
      <c r="E46" s="50">
        <f ca="1">'Transect 4'!I38</f>
        <v>0</v>
      </c>
      <c r="F46" s="50">
        <f ca="1">Transect5!I38</f>
        <v>0</v>
      </c>
      <c r="H46" s="50">
        <f t="shared" ca="1" si="3"/>
        <v>0</v>
      </c>
      <c r="I46" s="50">
        <f t="shared" ca="1" si="4"/>
        <v>0</v>
      </c>
      <c r="J46" s="50">
        <f t="shared" ca="1" si="5"/>
        <v>0</v>
      </c>
      <c r="L46" s="148"/>
    </row>
    <row r="47" spans="1:12">
      <c r="A47" s="143" t="s">
        <v>150</v>
      </c>
      <c r="B47" s="50">
        <f ca="1">Transect1!I39</f>
        <v>0</v>
      </c>
      <c r="C47" s="50">
        <f ca="1">'Transect 2'!I39</f>
        <v>0</v>
      </c>
      <c r="D47" s="50">
        <f ca="1">'Transect 3'!I39</f>
        <v>0</v>
      </c>
      <c r="E47" s="50">
        <f ca="1">'Transect 4'!I39</f>
        <v>0</v>
      </c>
      <c r="F47" s="50">
        <f ca="1">Transect5!I39</f>
        <v>0</v>
      </c>
      <c r="H47" s="50">
        <f t="shared" ca="1" si="3"/>
        <v>0</v>
      </c>
      <c r="I47" s="50">
        <f t="shared" ca="1" si="4"/>
        <v>0</v>
      </c>
      <c r="J47" s="50">
        <f t="shared" ca="1" si="5"/>
        <v>0</v>
      </c>
      <c r="L47" s="148"/>
    </row>
    <row r="48" spans="1:12">
      <c r="A48" s="143" t="s">
        <v>152</v>
      </c>
      <c r="B48" s="50">
        <f ca="1">Transect1!I40</f>
        <v>0</v>
      </c>
      <c r="C48" s="50">
        <f ca="1">'Transect 2'!I40</f>
        <v>0.4</v>
      </c>
      <c r="D48" s="50">
        <f ca="1">'Transect 3'!I40</f>
        <v>1.6</v>
      </c>
      <c r="E48" s="50">
        <f ca="1">'Transect 4'!I40</f>
        <v>1.2</v>
      </c>
      <c r="F48" s="50">
        <f ca="1">Transect5!I40</f>
        <v>1.6</v>
      </c>
      <c r="H48" s="50">
        <f t="shared" ca="1" si="3"/>
        <v>0.96000000000000019</v>
      </c>
      <c r="I48" s="50">
        <f t="shared" ca="1" si="4"/>
        <v>0.72663608498339782</v>
      </c>
      <c r="J48" s="50">
        <f t="shared" ca="1" si="5"/>
        <v>0.32496153618543833</v>
      </c>
      <c r="L48" s="148"/>
    </row>
    <row r="49" spans="1:12">
      <c r="A49" s="143" t="s">
        <v>154</v>
      </c>
      <c r="B49" s="50">
        <f ca="1">Transect1!I41</f>
        <v>0</v>
      </c>
      <c r="C49" s="50">
        <f ca="1">'Transect 2'!I41</f>
        <v>0.4</v>
      </c>
      <c r="D49" s="50">
        <f ca="1">'Transect 3'!I41</f>
        <v>0</v>
      </c>
      <c r="E49" s="50">
        <f ca="1">'Transect 4'!I41</f>
        <v>0.4</v>
      </c>
      <c r="F49" s="50">
        <f ca="1">Transect5!I41</f>
        <v>0.4</v>
      </c>
      <c r="H49" s="50">
        <f t="shared" ca="1" si="3"/>
        <v>0.24000000000000005</v>
      </c>
      <c r="I49" s="50">
        <f t="shared" ca="1" si="4"/>
        <v>0.21908902300206645</v>
      </c>
      <c r="J49" s="50">
        <f t="shared" ca="1" si="5"/>
        <v>9.7979589711327128E-2</v>
      </c>
      <c r="L49" s="148"/>
    </row>
    <row r="50" spans="1:12">
      <c r="A50" s="143" t="s">
        <v>156</v>
      </c>
      <c r="B50" s="50">
        <f ca="1">Transect1!I42</f>
        <v>0</v>
      </c>
      <c r="C50" s="50">
        <f ca="1">'Transect 2'!I42</f>
        <v>0.8</v>
      </c>
      <c r="D50" s="50">
        <f ca="1">'Transect 3'!I42</f>
        <v>0</v>
      </c>
      <c r="E50" s="50">
        <f ca="1">'Transect 4'!I42</f>
        <v>2.4</v>
      </c>
      <c r="F50" s="50">
        <f ca="1">Transect5!I42</f>
        <v>0.4</v>
      </c>
      <c r="H50" s="50">
        <f t="shared" ca="1" si="3"/>
        <v>0.72</v>
      </c>
      <c r="I50" s="50">
        <f t="shared" ca="1" si="4"/>
        <v>0.9959919678390986</v>
      </c>
      <c r="J50" s="50">
        <f t="shared" ca="1" si="5"/>
        <v>0.44542114902640173</v>
      </c>
      <c r="L50" s="148"/>
    </row>
    <row r="51" spans="1:12">
      <c r="A51" s="143" t="s">
        <v>158</v>
      </c>
      <c r="B51" s="50">
        <f ca="1">Transect1!I43</f>
        <v>6.8273092369477917</v>
      </c>
      <c r="C51" s="50">
        <f ca="1">'Transect 2'!I43</f>
        <v>1.6</v>
      </c>
      <c r="D51" s="50">
        <f ca="1">'Transect 3'!I43</f>
        <v>4.8</v>
      </c>
      <c r="E51" s="50">
        <f ca="1">'Transect 4'!I43</f>
        <v>6.8000000000000007</v>
      </c>
      <c r="F51" s="50">
        <f ca="1">Transect5!I43</f>
        <v>4.3999999999999995</v>
      </c>
      <c r="H51" s="50">
        <f t="shared" ca="1" si="3"/>
        <v>4.8854618473895588</v>
      </c>
      <c r="I51" s="50">
        <f t="shared" ca="1" si="4"/>
        <v>2.1490383957375943</v>
      </c>
      <c r="J51" s="50">
        <f t="shared" ca="1" si="5"/>
        <v>0.96107918782527091</v>
      </c>
      <c r="L51" s="148"/>
    </row>
    <row r="52" spans="1:12">
      <c r="A52" s="143" t="s">
        <v>159</v>
      </c>
      <c r="B52" s="50">
        <f ca="1">Transect1!I44</f>
        <v>0</v>
      </c>
      <c r="C52" s="50">
        <f ca="1">'Transect 2'!I44</f>
        <v>0</v>
      </c>
      <c r="D52" s="50">
        <f ca="1">'Transect 3'!I44</f>
        <v>0</v>
      </c>
      <c r="E52" s="50">
        <f ca="1">'Transect 4'!I44</f>
        <v>0</v>
      </c>
      <c r="F52" s="50">
        <f ca="1">Transect5!I44</f>
        <v>0</v>
      </c>
      <c r="H52" s="50">
        <f t="shared" ca="1" si="3"/>
        <v>0</v>
      </c>
      <c r="I52" s="50">
        <f t="shared" ca="1" si="4"/>
        <v>0</v>
      </c>
      <c r="J52" s="50">
        <f t="shared" ca="1" si="5"/>
        <v>0</v>
      </c>
      <c r="L52" s="148"/>
    </row>
    <row r="53" spans="1:12">
      <c r="A53" s="143" t="s">
        <v>161</v>
      </c>
      <c r="B53" s="50">
        <f ca="1">Transect1!I45</f>
        <v>2.0080321285140563</v>
      </c>
      <c r="C53" s="50">
        <f ca="1">'Transect 2'!I45</f>
        <v>1.6</v>
      </c>
      <c r="D53" s="50">
        <f ca="1">'Transect 3'!I45</f>
        <v>0</v>
      </c>
      <c r="E53" s="50">
        <f ca="1">'Transect 4'!I45</f>
        <v>0</v>
      </c>
      <c r="F53" s="50">
        <f ca="1">Transect5!I45</f>
        <v>0</v>
      </c>
      <c r="H53" s="50">
        <f t="shared" ca="1" si="3"/>
        <v>0.7216064257028113</v>
      </c>
      <c r="I53" s="50">
        <f t="shared" ca="1" si="4"/>
        <v>0.9985757183442272</v>
      </c>
      <c r="J53" s="50">
        <f t="shared" ca="1" si="5"/>
        <v>0.44657663737967512</v>
      </c>
      <c r="L53" s="148"/>
    </row>
    <row r="54" spans="1:12">
      <c r="A54" s="143" t="s">
        <v>162</v>
      </c>
      <c r="B54" s="50">
        <f ca="1">Transect1!I46</f>
        <v>1.6064257028112447</v>
      </c>
      <c r="C54" s="50">
        <f ca="1">'Transect 2'!I46</f>
        <v>0</v>
      </c>
      <c r="D54" s="50">
        <f ca="1">'Transect 3'!I46</f>
        <v>0</v>
      </c>
      <c r="E54" s="50">
        <f ca="1">'Transect 4'!I46</f>
        <v>0.4</v>
      </c>
      <c r="F54" s="50">
        <f ca="1">Transect5!I46</f>
        <v>16</v>
      </c>
      <c r="H54" s="50">
        <f t="shared" ca="1" si="3"/>
        <v>3.6012851405622492</v>
      </c>
      <c r="I54" s="50">
        <f t="shared" ca="1" si="4"/>
        <v>6.9622972182405478</v>
      </c>
      <c r="J54" s="50">
        <f t="shared" ca="1" si="5"/>
        <v>3.1136339719087105</v>
      </c>
      <c r="L54" s="148"/>
    </row>
    <row r="55" spans="1:12">
      <c r="A55" s="143" t="s">
        <v>163</v>
      </c>
      <c r="B55" s="50">
        <f ca="1">Transect1!I47</f>
        <v>0</v>
      </c>
      <c r="C55" s="50">
        <f ca="1">'Transect 2'!I47</f>
        <v>0</v>
      </c>
      <c r="D55" s="50">
        <f ca="1">'Transect 3'!I47</f>
        <v>0.4</v>
      </c>
      <c r="E55" s="50">
        <f ca="1">'Transect 4'!I47</f>
        <v>0</v>
      </c>
      <c r="F55" s="50">
        <f ca="1">Transect5!I47</f>
        <v>0.4</v>
      </c>
      <c r="H55" s="50">
        <f t="shared" ca="1" si="3"/>
        <v>0.16</v>
      </c>
      <c r="I55" s="50">
        <f t="shared" ca="1" si="4"/>
        <v>0.21908902300206645</v>
      </c>
      <c r="J55" s="50">
        <f t="shared" ca="1" si="5"/>
        <v>9.7979589711327128E-2</v>
      </c>
      <c r="L55" s="148"/>
    </row>
    <row r="56" spans="1:12">
      <c r="A56" s="143" t="s">
        <v>165</v>
      </c>
      <c r="B56" s="50">
        <f ca="1">Transect1!I48</f>
        <v>0</v>
      </c>
      <c r="C56" s="50">
        <f ca="1">'Transect 2'!I48</f>
        <v>0</v>
      </c>
      <c r="D56" s="50">
        <f ca="1">'Transect 3'!I48</f>
        <v>0.4</v>
      </c>
      <c r="E56" s="50">
        <f ca="1">'Transect 4'!I48</f>
        <v>0</v>
      </c>
      <c r="F56" s="50">
        <f ca="1">Transect5!I48</f>
        <v>0</v>
      </c>
      <c r="H56" s="50">
        <f t="shared" ca="1" si="3"/>
        <v>0.08</v>
      </c>
      <c r="I56" s="50">
        <f t="shared" ca="1" si="4"/>
        <v>0.1788854381999832</v>
      </c>
      <c r="J56" s="50">
        <f t="shared" ca="1" si="5"/>
        <v>8.0000000000000016E-2</v>
      </c>
      <c r="L56" s="148"/>
    </row>
    <row r="57" spans="1:12">
      <c r="A57" s="143" t="s">
        <v>167</v>
      </c>
      <c r="B57" s="50">
        <f ca="1">Transect1!I49</f>
        <v>0</v>
      </c>
      <c r="C57" s="50">
        <f ca="1">'Transect 2'!I49</f>
        <v>0.4</v>
      </c>
      <c r="D57" s="50">
        <f ca="1">'Transect 3'!I49</f>
        <v>0</v>
      </c>
      <c r="E57" s="50">
        <f ca="1">'Transect 4'!I49</f>
        <v>1.2</v>
      </c>
      <c r="F57" s="50">
        <f ca="1">Transect5!I49</f>
        <v>0</v>
      </c>
      <c r="H57" s="50">
        <f t="shared" ref="H57:H80" ca="1" si="6">AVERAGE(B57:F57)</f>
        <v>0.32</v>
      </c>
      <c r="I57" s="50">
        <f t="shared" ref="I57:I80" ca="1" si="7">STDEV(B57:F57)</f>
        <v>0.52153619241621196</v>
      </c>
      <c r="J57" s="50">
        <f t="shared" ref="J57:J88" ca="1" si="8">I57/SQRT(5)</f>
        <v>0.23323807579381203</v>
      </c>
      <c r="L57" s="148"/>
    </row>
    <row r="58" spans="1:12">
      <c r="A58" s="143" t="s">
        <v>169</v>
      </c>
      <c r="B58" s="50">
        <f ca="1">Transect1!I50</f>
        <v>0.40160642570281119</v>
      </c>
      <c r="C58" s="50">
        <f ca="1">'Transect 2'!I50</f>
        <v>0</v>
      </c>
      <c r="D58" s="50">
        <f ca="1">'Transect 3'!I50</f>
        <v>0</v>
      </c>
      <c r="E58" s="50">
        <f ca="1">'Transect 4'!I50</f>
        <v>0</v>
      </c>
      <c r="F58" s="50">
        <f ca="1">Transect5!I50</f>
        <v>0</v>
      </c>
      <c r="H58" s="50">
        <f t="shared" ca="1" si="6"/>
        <v>8.0321285140562235E-2</v>
      </c>
      <c r="I58" s="50">
        <f t="shared" ca="1" si="7"/>
        <v>0.17960385361444092</v>
      </c>
      <c r="J58" s="50">
        <f t="shared" ca="1" si="8"/>
        <v>8.0321285140562235E-2</v>
      </c>
      <c r="L58" s="148"/>
    </row>
    <row r="59" spans="1:12">
      <c r="A59" s="143" t="s">
        <v>170</v>
      </c>
      <c r="B59" s="50">
        <f ca="1">Transect1!I51</f>
        <v>0</v>
      </c>
      <c r="C59" s="50">
        <f ca="1">'Transect 2'!I51</f>
        <v>0</v>
      </c>
      <c r="D59" s="50">
        <f ca="1">'Transect 3'!I51</f>
        <v>0</v>
      </c>
      <c r="E59" s="50">
        <f ca="1">'Transect 4'!I51</f>
        <v>0</v>
      </c>
      <c r="F59" s="50">
        <f ca="1">Transect5!I51</f>
        <v>0</v>
      </c>
      <c r="H59" s="50">
        <f t="shared" ca="1" si="6"/>
        <v>0</v>
      </c>
      <c r="I59" s="50">
        <f t="shared" ca="1" si="7"/>
        <v>0</v>
      </c>
      <c r="J59" s="50">
        <f t="shared" ca="1" si="8"/>
        <v>0</v>
      </c>
      <c r="L59" s="148"/>
    </row>
    <row r="60" spans="1:12">
      <c r="A60" s="143" t="s">
        <v>172</v>
      </c>
      <c r="B60" s="50">
        <f ca="1">Transect1!I52</f>
        <v>0</v>
      </c>
      <c r="C60" s="50">
        <f ca="1">'Transect 2'!I52</f>
        <v>0</v>
      </c>
      <c r="D60" s="50">
        <f ca="1">'Transect 3'!I52</f>
        <v>0</v>
      </c>
      <c r="E60" s="50">
        <f ca="1">'Transect 4'!I52</f>
        <v>0</v>
      </c>
      <c r="F60" s="50">
        <f ca="1">Transect5!I52</f>
        <v>0</v>
      </c>
      <c r="H60" s="50">
        <f t="shared" ca="1" si="6"/>
        <v>0</v>
      </c>
      <c r="I60" s="50">
        <f t="shared" ca="1" si="7"/>
        <v>0</v>
      </c>
      <c r="J60" s="50">
        <f t="shared" ca="1" si="8"/>
        <v>0</v>
      </c>
      <c r="L60" s="148"/>
    </row>
    <row r="61" spans="1:12">
      <c r="A61" s="143" t="s">
        <v>174</v>
      </c>
      <c r="B61" s="50">
        <f ca="1">Transect1!I53</f>
        <v>0</v>
      </c>
      <c r="C61" s="50">
        <f ca="1">'Transect 2'!I53</f>
        <v>0</v>
      </c>
      <c r="D61" s="50">
        <f ca="1">'Transect 3'!I53</f>
        <v>0</v>
      </c>
      <c r="E61" s="50">
        <f ca="1">'Transect 4'!I53</f>
        <v>0</v>
      </c>
      <c r="F61" s="50">
        <f ca="1">Transect5!I53</f>
        <v>0</v>
      </c>
      <c r="H61" s="50">
        <f t="shared" ca="1" si="6"/>
        <v>0</v>
      </c>
      <c r="I61" s="50">
        <f t="shared" ca="1" si="7"/>
        <v>0</v>
      </c>
      <c r="J61" s="50">
        <f t="shared" ca="1" si="8"/>
        <v>0</v>
      </c>
      <c r="L61" s="148"/>
    </row>
    <row r="62" spans="1:12">
      <c r="A62" s="143" t="s">
        <v>176</v>
      </c>
      <c r="B62" s="50">
        <f ca="1">Transect1!I54</f>
        <v>1.2048192771084338</v>
      </c>
      <c r="C62" s="50">
        <f ca="1">'Transect 2'!I54</f>
        <v>0</v>
      </c>
      <c r="D62" s="50">
        <f ca="1">'Transect 3'!I54</f>
        <v>0</v>
      </c>
      <c r="E62" s="50">
        <f ca="1">'Transect 4'!I54</f>
        <v>0.8</v>
      </c>
      <c r="F62" s="50">
        <f ca="1">Transect5!I54</f>
        <v>0</v>
      </c>
      <c r="H62" s="50">
        <f t="shared" ca="1" si="6"/>
        <v>0.40096385542168678</v>
      </c>
      <c r="I62" s="50">
        <f t="shared" ca="1" si="7"/>
        <v>0.56739083172866234</v>
      </c>
      <c r="J62" s="50">
        <f t="shared" ca="1" si="8"/>
        <v>0.25374489391108668</v>
      </c>
      <c r="L62" s="148"/>
    </row>
    <row r="63" spans="1:12">
      <c r="A63" s="143" t="s">
        <v>177</v>
      </c>
      <c r="B63" s="50">
        <f ca="1">Transect1!I55</f>
        <v>0</v>
      </c>
      <c r="C63" s="50">
        <f ca="1">'Transect 2'!I55</f>
        <v>0</v>
      </c>
      <c r="D63" s="50">
        <f ca="1">'Transect 3'!I55</f>
        <v>0</v>
      </c>
      <c r="E63" s="50">
        <f ca="1">'Transect 4'!I55</f>
        <v>0</v>
      </c>
      <c r="F63" s="50">
        <f ca="1">Transect5!I55</f>
        <v>0</v>
      </c>
      <c r="H63" s="50">
        <f t="shared" ca="1" si="6"/>
        <v>0</v>
      </c>
      <c r="I63" s="50">
        <f t="shared" ca="1" si="7"/>
        <v>0</v>
      </c>
      <c r="J63" s="50">
        <f t="shared" ca="1" si="8"/>
        <v>0</v>
      </c>
      <c r="L63" s="148"/>
    </row>
    <row r="64" spans="1:12">
      <c r="A64" s="143" t="s">
        <v>179</v>
      </c>
      <c r="B64" s="50">
        <f ca="1">Transect1!I56</f>
        <v>0</v>
      </c>
      <c r="C64" s="50">
        <f ca="1">'Transect 2'!I56</f>
        <v>0</v>
      </c>
      <c r="D64" s="50">
        <f ca="1">'Transect 3'!I56</f>
        <v>0</v>
      </c>
      <c r="E64" s="50">
        <f ca="1">'Transect 4'!I56</f>
        <v>0</v>
      </c>
      <c r="F64" s="50">
        <f ca="1">Transect5!I56</f>
        <v>0</v>
      </c>
      <c r="H64" s="50">
        <f t="shared" ca="1" si="6"/>
        <v>0</v>
      </c>
      <c r="I64" s="50">
        <f t="shared" ca="1" si="7"/>
        <v>0</v>
      </c>
      <c r="J64" s="50">
        <f t="shared" ca="1" si="8"/>
        <v>0</v>
      </c>
      <c r="L64" s="148"/>
    </row>
    <row r="65" spans="1:12">
      <c r="A65" s="143" t="s">
        <v>181</v>
      </c>
      <c r="B65" s="50">
        <f ca="1">Transect1!I57</f>
        <v>0</v>
      </c>
      <c r="C65" s="50">
        <f ca="1">'Transect 2'!I57</f>
        <v>0</v>
      </c>
      <c r="D65" s="50">
        <f ca="1">'Transect 3'!I57</f>
        <v>0</v>
      </c>
      <c r="E65" s="50">
        <f ca="1">'Transect 4'!I57</f>
        <v>0</v>
      </c>
      <c r="F65" s="50">
        <f ca="1">Transect5!I57</f>
        <v>0</v>
      </c>
      <c r="H65" s="50">
        <f t="shared" ca="1" si="6"/>
        <v>0</v>
      </c>
      <c r="I65" s="50">
        <f t="shared" ca="1" si="7"/>
        <v>0</v>
      </c>
      <c r="J65" s="50">
        <f t="shared" ca="1" si="8"/>
        <v>0</v>
      </c>
      <c r="L65" s="148"/>
    </row>
    <row r="66" spans="1:12">
      <c r="A66" s="143" t="s">
        <v>183</v>
      </c>
      <c r="B66" s="50">
        <f ca="1">Transect1!I58</f>
        <v>4.0160642570281126</v>
      </c>
      <c r="C66" s="50">
        <f ca="1">'Transect 2'!I58</f>
        <v>9.1999999999999993</v>
      </c>
      <c r="D66" s="50">
        <f ca="1">'Transect 3'!I58</f>
        <v>2.8000000000000003</v>
      </c>
      <c r="E66" s="50">
        <f ca="1">'Transect 4'!I58</f>
        <v>2.4</v>
      </c>
      <c r="F66" s="50">
        <f ca="1">Transect5!I58</f>
        <v>2</v>
      </c>
      <c r="H66" s="50">
        <f t="shared" ca="1" si="6"/>
        <v>4.0832128514056221</v>
      </c>
      <c r="I66" s="50">
        <f t="shared" ca="1" si="7"/>
        <v>2.9582780534949129</v>
      </c>
      <c r="J66" s="50">
        <f t="shared" ca="1" si="8"/>
        <v>1.3229821647920768</v>
      </c>
      <c r="L66" s="148"/>
    </row>
    <row r="67" spans="1:12">
      <c r="A67" s="143" t="s">
        <v>184</v>
      </c>
      <c r="B67" s="50">
        <f ca="1">Transect1!I59</f>
        <v>0</v>
      </c>
      <c r="C67" s="50">
        <f ca="1">'Transect 2'!I59</f>
        <v>0</v>
      </c>
      <c r="D67" s="50">
        <f ca="1">'Transect 3'!I59</f>
        <v>0</v>
      </c>
      <c r="E67" s="50">
        <f ca="1">'Transect 4'!I59</f>
        <v>0</v>
      </c>
      <c r="F67" s="50">
        <f ca="1">Transect5!I59</f>
        <v>0</v>
      </c>
      <c r="H67" s="50">
        <f t="shared" ca="1" si="6"/>
        <v>0</v>
      </c>
      <c r="I67" s="50">
        <f t="shared" ca="1" si="7"/>
        <v>0</v>
      </c>
      <c r="J67" s="50">
        <f t="shared" ca="1" si="8"/>
        <v>0</v>
      </c>
      <c r="L67" s="148"/>
    </row>
    <row r="68" spans="1:12">
      <c r="A68" s="143" t="s">
        <v>186</v>
      </c>
      <c r="B68" s="50">
        <f ca="1">Transect1!I60</f>
        <v>0</v>
      </c>
      <c r="C68" s="50">
        <f ca="1">'Transect 2'!I60</f>
        <v>1.2</v>
      </c>
      <c r="D68" s="50">
        <f ca="1">'Transect 3'!I60</f>
        <v>0.8</v>
      </c>
      <c r="E68" s="50">
        <f ca="1">'Transect 4'!I60</f>
        <v>0.4</v>
      </c>
      <c r="F68" s="50">
        <f ca="1">Transect5!I60</f>
        <v>0</v>
      </c>
      <c r="H68" s="50">
        <f t="shared" ca="1" si="6"/>
        <v>0.48</v>
      </c>
      <c r="I68" s="50">
        <f t="shared" ca="1" si="7"/>
        <v>0.52153619241621196</v>
      </c>
      <c r="J68" s="50">
        <f t="shared" ca="1" si="8"/>
        <v>0.23323807579381203</v>
      </c>
      <c r="L68" s="148"/>
    </row>
    <row r="69" spans="1:12">
      <c r="A69" s="143" t="s">
        <v>188</v>
      </c>
      <c r="B69" s="50">
        <f ca="1">Transect1!I61</f>
        <v>0</v>
      </c>
      <c r="C69" s="50">
        <f ca="1">'Transect 2'!I61</f>
        <v>1.2</v>
      </c>
      <c r="D69" s="50">
        <f ca="1">'Transect 3'!I61</f>
        <v>0</v>
      </c>
      <c r="E69" s="50">
        <f ca="1">'Transect 4'!I61</f>
        <v>0</v>
      </c>
      <c r="F69" s="50">
        <f ca="1">Transect5!I61</f>
        <v>0.4</v>
      </c>
      <c r="H69" s="50">
        <f t="shared" ca="1" si="6"/>
        <v>0.32</v>
      </c>
      <c r="I69" s="50">
        <f t="shared" ca="1" si="7"/>
        <v>0.52153619241621196</v>
      </c>
      <c r="J69" s="50">
        <f t="shared" ca="1" si="8"/>
        <v>0.23323807579381203</v>
      </c>
      <c r="L69" s="148"/>
    </row>
    <row r="70" spans="1:12">
      <c r="A70" s="143" t="s">
        <v>190</v>
      </c>
      <c r="B70" s="50">
        <f ca="1">Transect1!I62</f>
        <v>0</v>
      </c>
      <c r="C70" s="50">
        <f ca="1">'Transect 2'!I62</f>
        <v>0</v>
      </c>
      <c r="D70" s="50">
        <f ca="1">'Transect 3'!I62</f>
        <v>0</v>
      </c>
      <c r="E70" s="50">
        <f ca="1">'Transect 4'!I62</f>
        <v>0</v>
      </c>
      <c r="F70" s="50">
        <f ca="1">Transect5!I62</f>
        <v>0</v>
      </c>
      <c r="H70" s="50">
        <f t="shared" ca="1" si="6"/>
        <v>0</v>
      </c>
      <c r="I70" s="50">
        <f t="shared" ca="1" si="7"/>
        <v>0</v>
      </c>
      <c r="J70" s="50">
        <f t="shared" ca="1" si="8"/>
        <v>0</v>
      </c>
      <c r="L70" s="148"/>
    </row>
    <row r="71" spans="1:12">
      <c r="A71" s="143" t="s">
        <v>192</v>
      </c>
      <c r="B71" s="50">
        <f ca="1">Transect1!I63</f>
        <v>0</v>
      </c>
      <c r="C71" s="50">
        <f ca="1">'Transect 2'!I63</f>
        <v>0.4</v>
      </c>
      <c r="D71" s="50">
        <f ca="1">'Transect 3'!I63</f>
        <v>0</v>
      </c>
      <c r="E71" s="50">
        <f ca="1">'Transect 4'!I63</f>
        <v>0</v>
      </c>
      <c r="F71" s="50">
        <f ca="1">Transect5!I63</f>
        <v>0</v>
      </c>
      <c r="H71" s="50">
        <f t="shared" ca="1" si="6"/>
        <v>0.08</v>
      </c>
      <c r="I71" s="50">
        <f t="shared" ca="1" si="7"/>
        <v>0.1788854381999832</v>
      </c>
      <c r="J71" s="50">
        <f t="shared" ca="1" si="8"/>
        <v>8.0000000000000016E-2</v>
      </c>
      <c r="L71" s="148"/>
    </row>
    <row r="72" spans="1:12">
      <c r="A72" s="143" t="s">
        <v>194</v>
      </c>
      <c r="B72" s="50">
        <f ca="1">Transect1!I64</f>
        <v>0.40160642570281119</v>
      </c>
      <c r="C72" s="50">
        <f ca="1">'Transect 2'!I64</f>
        <v>0.8</v>
      </c>
      <c r="D72" s="50">
        <f ca="1">'Transect 3'!I64</f>
        <v>2.8000000000000003</v>
      </c>
      <c r="E72" s="50">
        <f ca="1">'Transect 4'!I64</f>
        <v>0.8</v>
      </c>
      <c r="F72" s="50">
        <f ca="1">Transect5!I64</f>
        <v>0</v>
      </c>
      <c r="H72" s="50">
        <f t="shared" ca="1" si="6"/>
        <v>0.96032128514056225</v>
      </c>
      <c r="I72" s="50">
        <f t="shared" ca="1" si="7"/>
        <v>1.0805326079873392</v>
      </c>
      <c r="J72" s="50">
        <f t="shared" ca="1" si="8"/>
        <v>0.48322887267296449</v>
      </c>
      <c r="L72" s="148"/>
    </row>
    <row r="73" spans="1:12">
      <c r="A73" s="143" t="s">
        <v>195</v>
      </c>
      <c r="B73" s="50">
        <f ca="1">Transect1!I65</f>
        <v>0</v>
      </c>
      <c r="C73" s="50">
        <f ca="1">'Transect 2'!I65</f>
        <v>0</v>
      </c>
      <c r="D73" s="50">
        <f ca="1">'Transect 3'!I65</f>
        <v>0</v>
      </c>
      <c r="E73" s="50">
        <f ca="1">'Transect 4'!I65</f>
        <v>0</v>
      </c>
      <c r="F73" s="50">
        <f ca="1">Transect5!I65</f>
        <v>0</v>
      </c>
      <c r="H73" s="50">
        <f t="shared" ca="1" si="6"/>
        <v>0</v>
      </c>
      <c r="I73" s="50">
        <f t="shared" ca="1" si="7"/>
        <v>0</v>
      </c>
      <c r="J73" s="50">
        <f t="shared" ca="1" si="8"/>
        <v>0</v>
      </c>
      <c r="L73" s="148"/>
    </row>
    <row r="74" spans="1:12">
      <c r="A74" s="143" t="s">
        <v>197</v>
      </c>
      <c r="B74" s="50">
        <f ca="1">Transect1!I66</f>
        <v>0</v>
      </c>
      <c r="C74" s="50">
        <f ca="1">'Transect 2'!I66</f>
        <v>0</v>
      </c>
      <c r="D74" s="50">
        <f ca="1">'Transect 3'!I66</f>
        <v>0</v>
      </c>
      <c r="E74" s="50">
        <f ca="1">'Transect 4'!I66</f>
        <v>0</v>
      </c>
      <c r="F74" s="50">
        <f ca="1">Transect5!I66</f>
        <v>0</v>
      </c>
      <c r="H74" s="50">
        <f t="shared" ca="1" si="6"/>
        <v>0</v>
      </c>
      <c r="I74" s="50">
        <f t="shared" ca="1" si="7"/>
        <v>0</v>
      </c>
      <c r="J74" s="50">
        <f t="shared" ca="1" si="8"/>
        <v>0</v>
      </c>
      <c r="L74" s="148"/>
    </row>
    <row r="75" spans="1:12">
      <c r="A75" s="143" t="s">
        <v>199</v>
      </c>
      <c r="B75" s="50">
        <f ca="1">Transect1!I67</f>
        <v>0</v>
      </c>
      <c r="C75" s="50">
        <f ca="1">'Transect 2'!I67</f>
        <v>0</v>
      </c>
      <c r="D75" s="50">
        <f ca="1">'Transect 3'!I67</f>
        <v>0</v>
      </c>
      <c r="E75" s="50">
        <f ca="1">'Transect 4'!I67</f>
        <v>0</v>
      </c>
      <c r="F75" s="50">
        <f ca="1">Transect5!I67</f>
        <v>0</v>
      </c>
      <c r="H75" s="50">
        <f t="shared" ca="1" si="6"/>
        <v>0</v>
      </c>
      <c r="I75" s="50">
        <f t="shared" ca="1" si="7"/>
        <v>0</v>
      </c>
      <c r="J75" s="50">
        <f t="shared" ca="1" si="8"/>
        <v>0</v>
      </c>
      <c r="L75" s="148"/>
    </row>
    <row r="76" spans="1:12">
      <c r="A76" s="143" t="s">
        <v>201</v>
      </c>
      <c r="B76" s="50">
        <f ca="1">Transect1!I68</f>
        <v>0</v>
      </c>
      <c r="C76" s="50">
        <f ca="1">'Transect 2'!I68</f>
        <v>0</v>
      </c>
      <c r="D76" s="50">
        <f ca="1">'Transect 3'!I68</f>
        <v>0</v>
      </c>
      <c r="E76" s="50">
        <f ca="1">'Transect 4'!I68</f>
        <v>0</v>
      </c>
      <c r="F76" s="50">
        <f ca="1">Transect5!I68</f>
        <v>0</v>
      </c>
      <c r="H76" s="50">
        <f t="shared" ca="1" si="6"/>
        <v>0</v>
      </c>
      <c r="I76" s="50">
        <f t="shared" ca="1" si="7"/>
        <v>0</v>
      </c>
      <c r="J76" s="50">
        <f t="shared" ca="1" si="8"/>
        <v>0</v>
      </c>
      <c r="L76" s="148"/>
    </row>
    <row r="77" spans="1:12">
      <c r="A77" s="143" t="s">
        <v>203</v>
      </c>
      <c r="B77" s="50">
        <f ca="1">Transect1!I69</f>
        <v>0</v>
      </c>
      <c r="C77" s="50">
        <f ca="1">'Transect 2'!I69</f>
        <v>0</v>
      </c>
      <c r="D77" s="50">
        <f ca="1">'Transect 3'!I69</f>
        <v>0</v>
      </c>
      <c r="E77" s="50">
        <f ca="1">'Transect 4'!I69</f>
        <v>0</v>
      </c>
      <c r="F77" s="50">
        <f ca="1">Transect5!I69</f>
        <v>0</v>
      </c>
      <c r="H77" s="50">
        <f t="shared" ca="1" si="6"/>
        <v>0</v>
      </c>
      <c r="I77" s="50">
        <f t="shared" ca="1" si="7"/>
        <v>0</v>
      </c>
      <c r="J77" s="50">
        <f t="shared" ca="1" si="8"/>
        <v>0</v>
      </c>
      <c r="L77" s="148"/>
    </row>
    <row r="78" spans="1:12">
      <c r="A78" s="143" t="s">
        <v>205</v>
      </c>
      <c r="B78" s="50">
        <f ca="1">Transect1!I70</f>
        <v>1.2048192771084338</v>
      </c>
      <c r="C78" s="50">
        <f ca="1">'Transect 2'!I70</f>
        <v>4.8</v>
      </c>
      <c r="D78" s="50">
        <f ca="1">'Transect 3'!I70</f>
        <v>2.4</v>
      </c>
      <c r="E78" s="50">
        <f ca="1">'Transect 4'!I70</f>
        <v>7.6</v>
      </c>
      <c r="F78" s="50">
        <f ca="1">Transect5!I70</f>
        <v>3.2</v>
      </c>
      <c r="H78" s="50">
        <f t="shared" ca="1" si="6"/>
        <v>3.8409638554216863</v>
      </c>
      <c r="I78" s="50">
        <f t="shared" ca="1" si="7"/>
        <v>2.4741954650559119</v>
      </c>
      <c r="J78" s="50">
        <f t="shared" ca="1" si="8"/>
        <v>1.1064938498973449</v>
      </c>
      <c r="L78" s="148"/>
    </row>
    <row r="79" spans="1:12">
      <c r="A79" s="143" t="s">
        <v>206</v>
      </c>
      <c r="B79" s="50">
        <f ca="1">Transect1!I71</f>
        <v>0</v>
      </c>
      <c r="C79" s="50">
        <f ca="1">'Transect 2'!I71</f>
        <v>0</v>
      </c>
      <c r="D79" s="50">
        <f ca="1">'Transect 3'!I71</f>
        <v>0</v>
      </c>
      <c r="E79" s="50">
        <f ca="1">'Transect 4'!I71</f>
        <v>1.2</v>
      </c>
      <c r="F79" s="50">
        <f ca="1">Transect5!I71</f>
        <v>0</v>
      </c>
      <c r="H79" s="50">
        <f t="shared" ca="1" si="6"/>
        <v>0.24</v>
      </c>
      <c r="I79" s="50">
        <f t="shared" ca="1" si="7"/>
        <v>0.53665631459994956</v>
      </c>
      <c r="J79" s="50">
        <f t="shared" ca="1" si="8"/>
        <v>0.24</v>
      </c>
      <c r="L79" s="148"/>
    </row>
    <row r="80" spans="1:12">
      <c r="A80" s="143" t="s">
        <v>208</v>
      </c>
      <c r="B80" s="50">
        <f ca="1">Transect1!I72</f>
        <v>0</v>
      </c>
      <c r="C80" s="50">
        <f ca="1">'Transect 2'!I72</f>
        <v>0</v>
      </c>
      <c r="D80" s="50">
        <f ca="1">'Transect 3'!I72</f>
        <v>0</v>
      </c>
      <c r="E80" s="50">
        <f ca="1">'Transect 4'!I72</f>
        <v>0</v>
      </c>
      <c r="F80" s="50">
        <f ca="1">Transect5!I72</f>
        <v>0</v>
      </c>
      <c r="H80" s="50">
        <f t="shared" ca="1" si="6"/>
        <v>0</v>
      </c>
      <c r="I80" s="50">
        <f t="shared" ca="1" si="7"/>
        <v>0</v>
      </c>
      <c r="J80" s="50">
        <f t="shared" ca="1" si="8"/>
        <v>0</v>
      </c>
      <c r="L80" s="148"/>
    </row>
    <row r="81" spans="1:12">
      <c r="A81" s="144" t="s">
        <v>352</v>
      </c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150"/>
    </row>
    <row r="82" spans="1:12">
      <c r="A82" s="143" t="s">
        <v>210</v>
      </c>
      <c r="B82" s="50">
        <f ca="1">Transect1!I74</f>
        <v>0</v>
      </c>
      <c r="C82" s="50">
        <f ca="1">'Transect 2'!I74</f>
        <v>0</v>
      </c>
      <c r="D82" s="50">
        <f ca="1">'Transect 3'!I74</f>
        <v>0</v>
      </c>
      <c r="E82" s="50">
        <f ca="1">'Transect 4'!I74</f>
        <v>0</v>
      </c>
      <c r="F82" s="50">
        <f ca="1">Transect5!I74</f>
        <v>0</v>
      </c>
      <c r="H82" s="50">
        <f t="shared" ref="H82:H93" ca="1" si="9">AVERAGE(B82:F82)</f>
        <v>0</v>
      </c>
      <c r="I82" s="50">
        <f t="shared" ref="I82:I93" ca="1" si="10">STDEV(B82:F82)</f>
        <v>0</v>
      </c>
      <c r="J82" s="50">
        <f t="shared" ref="J82:J93" ca="1" si="11">I82/SQRT(5)</f>
        <v>0</v>
      </c>
      <c r="L82" s="148"/>
    </row>
    <row r="83" spans="1:12">
      <c r="A83" s="143" t="s">
        <v>212</v>
      </c>
      <c r="B83" s="50">
        <f ca="1">Transect1!I75</f>
        <v>0</v>
      </c>
      <c r="C83" s="50">
        <f ca="1">'Transect 2'!I75</f>
        <v>0</v>
      </c>
      <c r="D83" s="50">
        <f ca="1">'Transect 3'!I75</f>
        <v>0</v>
      </c>
      <c r="E83" s="50">
        <f ca="1">'Transect 4'!I75</f>
        <v>0</v>
      </c>
      <c r="F83" s="50">
        <f ca="1">Transect5!I75</f>
        <v>0</v>
      </c>
      <c r="H83" s="50">
        <f t="shared" ca="1" si="9"/>
        <v>0</v>
      </c>
      <c r="I83" s="50">
        <f t="shared" ca="1" si="10"/>
        <v>0</v>
      </c>
      <c r="J83" s="50">
        <f t="shared" ca="1" si="11"/>
        <v>0</v>
      </c>
      <c r="L83" s="148"/>
    </row>
    <row r="84" spans="1:12">
      <c r="A84" s="143" t="s">
        <v>214</v>
      </c>
      <c r="B84" s="50">
        <f ca="1">Transect1!I76</f>
        <v>0</v>
      </c>
      <c r="C84" s="50">
        <f ca="1">'Transect 2'!I76</f>
        <v>0</v>
      </c>
      <c r="D84" s="50">
        <f ca="1">'Transect 3'!I76</f>
        <v>0</v>
      </c>
      <c r="E84" s="50">
        <f ca="1">'Transect 4'!I76</f>
        <v>0</v>
      </c>
      <c r="F84" s="50">
        <f ca="1">Transect5!I76</f>
        <v>0</v>
      </c>
      <c r="H84" s="50">
        <f t="shared" ca="1" si="9"/>
        <v>0</v>
      </c>
      <c r="I84" s="50">
        <f t="shared" ca="1" si="10"/>
        <v>0</v>
      </c>
      <c r="J84" s="50">
        <f t="shared" ca="1" si="11"/>
        <v>0</v>
      </c>
      <c r="L84" s="148"/>
    </row>
    <row r="85" spans="1:12">
      <c r="A85" s="143" t="s">
        <v>216</v>
      </c>
      <c r="B85" s="50">
        <f ca="1">Transect1!I77</f>
        <v>0</v>
      </c>
      <c r="C85" s="50">
        <f ca="1">'Transect 2'!I77</f>
        <v>0</v>
      </c>
      <c r="D85" s="50">
        <f ca="1">'Transect 3'!I77</f>
        <v>0</v>
      </c>
      <c r="E85" s="50">
        <f ca="1">'Transect 4'!I77</f>
        <v>0</v>
      </c>
      <c r="F85" s="50">
        <f ca="1">Transect5!I77</f>
        <v>0</v>
      </c>
      <c r="H85" s="50">
        <f t="shared" ca="1" si="9"/>
        <v>0</v>
      </c>
      <c r="I85" s="50">
        <f t="shared" ca="1" si="10"/>
        <v>0</v>
      </c>
      <c r="J85" s="50">
        <f t="shared" ca="1" si="11"/>
        <v>0</v>
      </c>
      <c r="L85" s="148"/>
    </row>
    <row r="86" spans="1:12">
      <c r="A86" s="143" t="s">
        <v>218</v>
      </c>
      <c r="B86" s="50">
        <f ca="1">Transect1!I78</f>
        <v>0</v>
      </c>
      <c r="C86" s="50">
        <f ca="1">'Transect 2'!I78</f>
        <v>0</v>
      </c>
      <c r="D86" s="50">
        <f ca="1">'Transect 3'!I78</f>
        <v>0</v>
      </c>
      <c r="E86" s="50">
        <f ca="1">'Transect 4'!I78</f>
        <v>0</v>
      </c>
      <c r="F86" s="50">
        <f ca="1">Transect5!I78</f>
        <v>0</v>
      </c>
      <c r="H86" s="50">
        <f t="shared" ca="1" si="9"/>
        <v>0</v>
      </c>
      <c r="I86" s="50">
        <f t="shared" ca="1" si="10"/>
        <v>0</v>
      </c>
      <c r="J86" s="50">
        <f t="shared" ca="1" si="11"/>
        <v>0</v>
      </c>
      <c r="L86" s="148"/>
    </row>
    <row r="87" spans="1:12">
      <c r="A87" s="143" t="s">
        <v>220</v>
      </c>
      <c r="B87" s="50">
        <f ca="1">Transect1!I79</f>
        <v>0</v>
      </c>
      <c r="C87" s="50">
        <f ca="1">'Transect 2'!I79</f>
        <v>0</v>
      </c>
      <c r="D87" s="50">
        <f ca="1">'Transect 3'!I79</f>
        <v>0</v>
      </c>
      <c r="E87" s="50">
        <f ca="1">'Transect 4'!I79</f>
        <v>0</v>
      </c>
      <c r="F87" s="50">
        <f ca="1">Transect5!I79</f>
        <v>0</v>
      </c>
      <c r="H87" s="50">
        <f t="shared" ca="1" si="9"/>
        <v>0</v>
      </c>
      <c r="I87" s="50">
        <f t="shared" ca="1" si="10"/>
        <v>0</v>
      </c>
      <c r="J87" s="50">
        <f t="shared" ca="1" si="11"/>
        <v>0</v>
      </c>
      <c r="L87" s="148"/>
    </row>
    <row r="88" spans="1:12">
      <c r="A88" s="143" t="s">
        <v>414</v>
      </c>
      <c r="B88" s="50">
        <f ca="1">Transect1!I80</f>
        <v>0</v>
      </c>
      <c r="C88" s="50">
        <f ca="1">'Transect 2'!I80</f>
        <v>0</v>
      </c>
      <c r="D88" s="50">
        <f ca="1">'Transect 3'!I80</f>
        <v>0</v>
      </c>
      <c r="E88" s="50">
        <f ca="1">'Transect 4'!I80</f>
        <v>0</v>
      </c>
      <c r="F88" s="50">
        <f ca="1">Transect5!I80</f>
        <v>0</v>
      </c>
      <c r="H88" s="50">
        <f t="shared" ca="1" si="9"/>
        <v>0</v>
      </c>
      <c r="I88" s="50">
        <f t="shared" ca="1" si="10"/>
        <v>0</v>
      </c>
      <c r="J88" s="50">
        <f t="shared" ca="1" si="11"/>
        <v>0</v>
      </c>
      <c r="L88" s="148"/>
    </row>
    <row r="89" spans="1:12">
      <c r="A89" s="143" t="s">
        <v>224</v>
      </c>
      <c r="B89" s="50">
        <f ca="1">Transect1!I81</f>
        <v>0</v>
      </c>
      <c r="C89" s="50">
        <f ca="1">'Transect 2'!I81</f>
        <v>0</v>
      </c>
      <c r="D89" s="50">
        <f ca="1">'Transect 3'!I81</f>
        <v>0</v>
      </c>
      <c r="E89" s="50">
        <f ca="1">'Transect 4'!I81</f>
        <v>0</v>
      </c>
      <c r="F89" s="50">
        <f ca="1">Transect5!I81</f>
        <v>0</v>
      </c>
      <c r="H89" s="50">
        <f t="shared" ca="1" si="9"/>
        <v>0</v>
      </c>
      <c r="I89" s="50">
        <f t="shared" ca="1" si="10"/>
        <v>0</v>
      </c>
      <c r="J89" s="50">
        <f t="shared" ca="1" si="11"/>
        <v>0</v>
      </c>
      <c r="L89" s="148"/>
    </row>
    <row r="90" spans="1:12">
      <c r="A90" s="143" t="s">
        <v>226</v>
      </c>
      <c r="B90" s="50">
        <f ca="1">Transect1!I82</f>
        <v>0</v>
      </c>
      <c r="C90" s="50">
        <f ca="1">'Transect 2'!I82</f>
        <v>0</v>
      </c>
      <c r="D90" s="50">
        <f ca="1">'Transect 3'!I82</f>
        <v>0</v>
      </c>
      <c r="E90" s="50">
        <f ca="1">'Transect 4'!I82</f>
        <v>0</v>
      </c>
      <c r="F90" s="50">
        <f ca="1">Transect5!I82</f>
        <v>0</v>
      </c>
      <c r="H90" s="50">
        <f t="shared" ca="1" si="9"/>
        <v>0</v>
      </c>
      <c r="I90" s="50">
        <f t="shared" ca="1" si="10"/>
        <v>0</v>
      </c>
      <c r="J90" s="50">
        <f t="shared" ca="1" si="11"/>
        <v>0</v>
      </c>
      <c r="L90" s="148"/>
    </row>
    <row r="91" spans="1:12">
      <c r="A91" s="143" t="s">
        <v>228</v>
      </c>
      <c r="B91" s="50">
        <f ca="1">Transect1!I83</f>
        <v>0</v>
      </c>
      <c r="C91" s="50">
        <f ca="1">'Transect 2'!I83</f>
        <v>0</v>
      </c>
      <c r="D91" s="50">
        <f ca="1">'Transect 3'!I83</f>
        <v>0</v>
      </c>
      <c r="E91" s="50">
        <f ca="1">'Transect 4'!I83</f>
        <v>0</v>
      </c>
      <c r="F91" s="50">
        <f ca="1">Transect5!I83</f>
        <v>0</v>
      </c>
      <c r="H91" s="50">
        <f t="shared" ca="1" si="9"/>
        <v>0</v>
      </c>
      <c r="I91" s="50">
        <f t="shared" ca="1" si="10"/>
        <v>0</v>
      </c>
      <c r="J91" s="50">
        <f t="shared" ca="1" si="11"/>
        <v>0</v>
      </c>
      <c r="L91" s="148"/>
    </row>
    <row r="92" spans="1:12">
      <c r="A92" s="143" t="s">
        <v>230</v>
      </c>
      <c r="B92" s="50">
        <f ca="1">Transect1!I84</f>
        <v>0</v>
      </c>
      <c r="C92" s="50">
        <f ca="1">'Transect 2'!I84</f>
        <v>0</v>
      </c>
      <c r="D92" s="50">
        <f ca="1">'Transect 3'!I84</f>
        <v>0</v>
      </c>
      <c r="E92" s="50">
        <f ca="1">'Transect 4'!I84</f>
        <v>0</v>
      </c>
      <c r="F92" s="50">
        <f ca="1">Transect5!I84</f>
        <v>0</v>
      </c>
      <c r="H92" s="50">
        <f t="shared" ca="1" si="9"/>
        <v>0</v>
      </c>
      <c r="I92" s="50">
        <f t="shared" ca="1" si="10"/>
        <v>0</v>
      </c>
      <c r="J92" s="50">
        <f t="shared" ca="1" si="11"/>
        <v>0</v>
      </c>
      <c r="L92" s="148"/>
    </row>
    <row r="93" spans="1:12">
      <c r="A93" s="143" t="s">
        <v>232</v>
      </c>
      <c r="B93" s="50">
        <f ca="1">Transect1!I85</f>
        <v>0</v>
      </c>
      <c r="C93" s="50">
        <f ca="1">'Transect 2'!I85</f>
        <v>0</v>
      </c>
      <c r="D93" s="50">
        <f ca="1">'Transect 3'!I85</f>
        <v>0</v>
      </c>
      <c r="E93" s="50">
        <f ca="1">'Transect 4'!I85</f>
        <v>0</v>
      </c>
      <c r="F93" s="50">
        <f ca="1">Transect5!I85</f>
        <v>0</v>
      </c>
      <c r="H93" s="50">
        <f t="shared" ca="1" si="9"/>
        <v>0</v>
      </c>
      <c r="I93" s="50">
        <f t="shared" ca="1" si="10"/>
        <v>0</v>
      </c>
      <c r="J93" s="50">
        <f t="shared" ca="1" si="11"/>
        <v>0</v>
      </c>
      <c r="L93" s="148"/>
    </row>
    <row r="94" spans="1:12">
      <c r="A94" s="144" t="s">
        <v>353</v>
      </c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150"/>
    </row>
    <row r="95" spans="1:12">
      <c r="A95" s="143" t="s">
        <v>234</v>
      </c>
      <c r="B95" s="50">
        <f ca="1">Transect1!I87</f>
        <v>0</v>
      </c>
      <c r="C95" s="50">
        <f ca="1">'Transect 2'!I87</f>
        <v>0</v>
      </c>
      <c r="D95" s="50">
        <f ca="1">'Transect 3'!I87</f>
        <v>0</v>
      </c>
      <c r="E95" s="50">
        <f ca="1">'Transect 4'!I87</f>
        <v>0</v>
      </c>
      <c r="F95" s="50">
        <f ca="1">Transect5!I87</f>
        <v>0</v>
      </c>
      <c r="H95" s="50">
        <f t="shared" ref="H95:H115" ca="1" si="12">AVERAGE(B95:F95)</f>
        <v>0</v>
      </c>
      <c r="I95" s="50">
        <f t="shared" ref="I95:I115" ca="1" si="13">STDEV(B95:F95)</f>
        <v>0</v>
      </c>
      <c r="J95" s="50">
        <f t="shared" ref="J95:J115" ca="1" si="14">I95/SQRT(5)</f>
        <v>0</v>
      </c>
      <c r="L95" s="148"/>
    </row>
    <row r="96" spans="1:12">
      <c r="A96" s="143" t="s">
        <v>236</v>
      </c>
      <c r="B96" s="50">
        <f ca="1">Transect1!I88</f>
        <v>0</v>
      </c>
      <c r="C96" s="50">
        <f ca="1">'Transect 2'!I88</f>
        <v>0</v>
      </c>
      <c r="D96" s="50">
        <f ca="1">'Transect 3'!I88</f>
        <v>0</v>
      </c>
      <c r="E96" s="50">
        <f ca="1">'Transect 4'!I88</f>
        <v>0</v>
      </c>
      <c r="F96" s="50">
        <f ca="1">Transect5!I88</f>
        <v>0</v>
      </c>
      <c r="H96" s="50">
        <f t="shared" ca="1" si="12"/>
        <v>0</v>
      </c>
      <c r="I96" s="50">
        <f t="shared" ca="1" si="13"/>
        <v>0</v>
      </c>
      <c r="J96" s="50">
        <f t="shared" ca="1" si="14"/>
        <v>0</v>
      </c>
      <c r="L96" s="148"/>
    </row>
    <row r="97" spans="1:12">
      <c r="A97" s="143" t="s">
        <v>415</v>
      </c>
      <c r="B97" s="50">
        <f ca="1">Transect1!I89</f>
        <v>0</v>
      </c>
      <c r="C97" s="50">
        <f ca="1">'Transect 2'!I89</f>
        <v>0</v>
      </c>
      <c r="D97" s="50">
        <f ca="1">'Transect 3'!I89</f>
        <v>0</v>
      </c>
      <c r="E97" s="50">
        <f ca="1">'Transect 4'!I89</f>
        <v>0</v>
      </c>
      <c r="F97" s="50">
        <f ca="1">Transect5!I89</f>
        <v>0</v>
      </c>
      <c r="H97" s="50">
        <f t="shared" ca="1" si="12"/>
        <v>0</v>
      </c>
      <c r="I97" s="50">
        <f t="shared" ca="1" si="13"/>
        <v>0</v>
      </c>
      <c r="J97" s="50">
        <f t="shared" ca="1" si="14"/>
        <v>0</v>
      </c>
      <c r="L97" s="148"/>
    </row>
    <row r="98" spans="1:12">
      <c r="A98" s="143" t="s">
        <v>240</v>
      </c>
      <c r="B98" s="50">
        <f ca="1">Transect1!I90</f>
        <v>0</v>
      </c>
      <c r="C98" s="50">
        <f ca="1">'Transect 2'!I90</f>
        <v>0</v>
      </c>
      <c r="D98" s="50">
        <f ca="1">'Transect 3'!I90</f>
        <v>0</v>
      </c>
      <c r="E98" s="50">
        <f ca="1">'Transect 4'!I90</f>
        <v>0</v>
      </c>
      <c r="F98" s="50">
        <f ca="1">Transect5!I90</f>
        <v>0</v>
      </c>
      <c r="H98" s="50">
        <f t="shared" ca="1" si="12"/>
        <v>0</v>
      </c>
      <c r="I98" s="50">
        <f t="shared" ca="1" si="13"/>
        <v>0</v>
      </c>
      <c r="J98" s="50">
        <f t="shared" ca="1" si="14"/>
        <v>0</v>
      </c>
      <c r="L98" s="148"/>
    </row>
    <row r="99" spans="1:12">
      <c r="A99" s="143" t="s">
        <v>242</v>
      </c>
      <c r="B99" s="50">
        <f ca="1">Transect1!I91</f>
        <v>0</v>
      </c>
      <c r="C99" s="50">
        <f ca="1">'Transect 2'!I91</f>
        <v>0</v>
      </c>
      <c r="D99" s="50">
        <f ca="1">'Transect 3'!I91</f>
        <v>0</v>
      </c>
      <c r="E99" s="50">
        <f ca="1">'Transect 4'!I91</f>
        <v>0</v>
      </c>
      <c r="F99" s="50">
        <f ca="1">Transect5!I91</f>
        <v>0</v>
      </c>
      <c r="H99" s="50">
        <f t="shared" ca="1" si="12"/>
        <v>0</v>
      </c>
      <c r="I99" s="50">
        <f t="shared" ca="1" si="13"/>
        <v>0</v>
      </c>
      <c r="J99" s="50">
        <f t="shared" ca="1" si="14"/>
        <v>0</v>
      </c>
      <c r="L99" s="148"/>
    </row>
    <row r="100" spans="1:12">
      <c r="A100" s="143" t="s">
        <v>244</v>
      </c>
      <c r="B100" s="50">
        <f ca="1">Transect1!I92</f>
        <v>0</v>
      </c>
      <c r="C100" s="50">
        <f ca="1">'Transect 2'!I92</f>
        <v>0</v>
      </c>
      <c r="D100" s="50">
        <f ca="1">'Transect 3'!I92</f>
        <v>0</v>
      </c>
      <c r="E100" s="50">
        <f ca="1">'Transect 4'!I92</f>
        <v>0</v>
      </c>
      <c r="F100" s="50">
        <f ca="1">Transect5!I92</f>
        <v>0</v>
      </c>
      <c r="H100" s="50">
        <f t="shared" ca="1" si="12"/>
        <v>0</v>
      </c>
      <c r="I100" s="50">
        <f t="shared" ca="1" si="13"/>
        <v>0</v>
      </c>
      <c r="J100" s="50">
        <f t="shared" ca="1" si="14"/>
        <v>0</v>
      </c>
      <c r="L100" s="148"/>
    </row>
    <row r="101" spans="1:12">
      <c r="A101" s="143" t="s">
        <v>246</v>
      </c>
      <c r="B101" s="50">
        <f ca="1">Transect1!I93</f>
        <v>0</v>
      </c>
      <c r="C101" s="50">
        <f ca="1">'Transect 2'!I93</f>
        <v>0</v>
      </c>
      <c r="D101" s="50">
        <f ca="1">'Transect 3'!I93</f>
        <v>0</v>
      </c>
      <c r="E101" s="50">
        <f ca="1">'Transect 4'!I93</f>
        <v>0</v>
      </c>
      <c r="F101" s="50">
        <f ca="1">Transect5!I93</f>
        <v>0</v>
      </c>
      <c r="H101" s="50">
        <f t="shared" ca="1" si="12"/>
        <v>0</v>
      </c>
      <c r="I101" s="50">
        <f t="shared" ca="1" si="13"/>
        <v>0</v>
      </c>
      <c r="J101" s="50">
        <f t="shared" ca="1" si="14"/>
        <v>0</v>
      </c>
      <c r="L101" s="148"/>
    </row>
    <row r="102" spans="1:12">
      <c r="A102" s="143" t="s">
        <v>248</v>
      </c>
      <c r="B102" s="50">
        <f ca="1">Transect1!I94</f>
        <v>0</v>
      </c>
      <c r="C102" s="50">
        <f ca="1">'Transect 2'!I94</f>
        <v>0</v>
      </c>
      <c r="D102" s="50">
        <f ca="1">'Transect 3'!I94</f>
        <v>0</v>
      </c>
      <c r="E102" s="50">
        <f ca="1">'Transect 4'!I94</f>
        <v>0</v>
      </c>
      <c r="F102" s="50">
        <f ca="1">Transect5!I94</f>
        <v>0</v>
      </c>
      <c r="H102" s="50">
        <f t="shared" ca="1" si="12"/>
        <v>0</v>
      </c>
      <c r="I102" s="50">
        <f t="shared" ca="1" si="13"/>
        <v>0</v>
      </c>
      <c r="J102" s="50">
        <f t="shared" ca="1" si="14"/>
        <v>0</v>
      </c>
      <c r="L102" s="148"/>
    </row>
    <row r="103" spans="1:12">
      <c r="A103" s="143" t="s">
        <v>250</v>
      </c>
      <c r="B103" s="50">
        <f ca="1">Transect1!I95</f>
        <v>0</v>
      </c>
      <c r="C103" s="50">
        <f ca="1">'Transect 2'!I95</f>
        <v>0</v>
      </c>
      <c r="D103" s="50">
        <f ca="1">'Transect 3'!I95</f>
        <v>0</v>
      </c>
      <c r="E103" s="50">
        <f ca="1">'Transect 4'!I95</f>
        <v>0</v>
      </c>
      <c r="F103" s="50">
        <f ca="1">Transect5!I95</f>
        <v>0</v>
      </c>
      <c r="H103" s="50">
        <f t="shared" ca="1" si="12"/>
        <v>0</v>
      </c>
      <c r="I103" s="50">
        <f t="shared" ca="1" si="13"/>
        <v>0</v>
      </c>
      <c r="J103" s="50">
        <f t="shared" ca="1" si="14"/>
        <v>0</v>
      </c>
      <c r="L103" s="148"/>
    </row>
    <row r="104" spans="1:12">
      <c r="A104" s="143" t="s">
        <v>252</v>
      </c>
      <c r="B104" s="50">
        <f ca="1">Transect1!I96</f>
        <v>0</v>
      </c>
      <c r="C104" s="50">
        <f ca="1">'Transect 2'!I96</f>
        <v>0</v>
      </c>
      <c r="D104" s="50">
        <f ca="1">'Transect 3'!I96</f>
        <v>0</v>
      </c>
      <c r="E104" s="50">
        <f ca="1">'Transect 4'!I96</f>
        <v>0</v>
      </c>
      <c r="F104" s="50">
        <f ca="1">Transect5!I96</f>
        <v>0</v>
      </c>
      <c r="H104" s="50">
        <f t="shared" ca="1" si="12"/>
        <v>0</v>
      </c>
      <c r="I104" s="50">
        <f t="shared" ca="1" si="13"/>
        <v>0</v>
      </c>
      <c r="J104" s="50">
        <f t="shared" ca="1" si="14"/>
        <v>0</v>
      </c>
      <c r="L104" s="148"/>
    </row>
    <row r="105" spans="1:12">
      <c r="A105" s="143" t="s">
        <v>254</v>
      </c>
      <c r="B105" s="50">
        <f ca="1">Transect1!I97</f>
        <v>0</v>
      </c>
      <c r="C105" s="50">
        <f ca="1">'Transect 2'!I97</f>
        <v>0</v>
      </c>
      <c r="D105" s="50">
        <f ca="1">'Transect 3'!I97</f>
        <v>0</v>
      </c>
      <c r="E105" s="50">
        <f ca="1">'Transect 4'!I97</f>
        <v>0</v>
      </c>
      <c r="F105" s="50">
        <f ca="1">Transect5!I97</f>
        <v>0</v>
      </c>
      <c r="H105" s="50">
        <f t="shared" ca="1" si="12"/>
        <v>0</v>
      </c>
      <c r="I105" s="50">
        <f t="shared" ca="1" si="13"/>
        <v>0</v>
      </c>
      <c r="J105" s="50">
        <f t="shared" ca="1" si="14"/>
        <v>0</v>
      </c>
      <c r="L105" s="148"/>
    </row>
    <row r="106" spans="1:12">
      <c r="A106" s="143" t="s">
        <v>256</v>
      </c>
      <c r="B106" s="50">
        <f ca="1">Transect1!I98</f>
        <v>0</v>
      </c>
      <c r="C106" s="50">
        <f ca="1">'Transect 2'!I98</f>
        <v>0</v>
      </c>
      <c r="D106" s="50">
        <f ca="1">'Transect 3'!I98</f>
        <v>0</v>
      </c>
      <c r="E106" s="50">
        <f ca="1">'Transect 4'!I98</f>
        <v>0</v>
      </c>
      <c r="F106" s="50">
        <f ca="1">Transect5!I98</f>
        <v>0</v>
      </c>
      <c r="H106" s="50">
        <f t="shared" ca="1" si="12"/>
        <v>0</v>
      </c>
      <c r="I106" s="50">
        <f t="shared" ca="1" si="13"/>
        <v>0</v>
      </c>
      <c r="J106" s="50">
        <f t="shared" ca="1" si="14"/>
        <v>0</v>
      </c>
      <c r="L106" s="148"/>
    </row>
    <row r="107" spans="1:12">
      <c r="A107" s="143" t="s">
        <v>258</v>
      </c>
      <c r="B107" s="50">
        <f ca="1">Transect1!I99</f>
        <v>0</v>
      </c>
      <c r="C107" s="50">
        <f ca="1">'Transect 2'!I99</f>
        <v>0</v>
      </c>
      <c r="D107" s="50">
        <f ca="1">'Transect 3'!I99</f>
        <v>0</v>
      </c>
      <c r="E107" s="50">
        <f ca="1">'Transect 4'!I99</f>
        <v>0</v>
      </c>
      <c r="F107" s="50">
        <f ca="1">Transect5!I99</f>
        <v>0</v>
      </c>
      <c r="H107" s="50">
        <f t="shared" ca="1" si="12"/>
        <v>0</v>
      </c>
      <c r="I107" s="50">
        <f t="shared" ca="1" si="13"/>
        <v>0</v>
      </c>
      <c r="J107" s="50">
        <f t="shared" ca="1" si="14"/>
        <v>0</v>
      </c>
      <c r="L107" s="148"/>
    </row>
    <row r="108" spans="1:12">
      <c r="A108" s="143" t="s">
        <v>260</v>
      </c>
      <c r="B108" s="50">
        <f ca="1">Transect1!I100</f>
        <v>0</v>
      </c>
      <c r="C108" s="50">
        <f ca="1">'Transect 2'!I100</f>
        <v>0</v>
      </c>
      <c r="D108" s="50">
        <f ca="1">'Transect 3'!I100</f>
        <v>0</v>
      </c>
      <c r="E108" s="50">
        <f ca="1">'Transect 4'!I100</f>
        <v>0</v>
      </c>
      <c r="F108" s="50">
        <f ca="1">Transect5!I100</f>
        <v>0</v>
      </c>
      <c r="H108" s="50">
        <f t="shared" ca="1" si="12"/>
        <v>0</v>
      </c>
      <c r="I108" s="50">
        <f t="shared" ca="1" si="13"/>
        <v>0</v>
      </c>
      <c r="J108" s="50">
        <f t="shared" ca="1" si="14"/>
        <v>0</v>
      </c>
      <c r="L108" s="148"/>
    </row>
    <row r="109" spans="1:12">
      <c r="A109" s="143" t="s">
        <v>262</v>
      </c>
      <c r="B109" s="50">
        <f ca="1">Transect1!I101</f>
        <v>0</v>
      </c>
      <c r="C109" s="50">
        <f ca="1">'Transect 2'!I101</f>
        <v>0</v>
      </c>
      <c r="D109" s="50">
        <f ca="1">'Transect 3'!I101</f>
        <v>0</v>
      </c>
      <c r="E109" s="50">
        <f ca="1">'Transect 4'!I101</f>
        <v>0</v>
      </c>
      <c r="F109" s="50">
        <f ca="1">Transect5!I101</f>
        <v>0</v>
      </c>
      <c r="H109" s="50">
        <f t="shared" ca="1" si="12"/>
        <v>0</v>
      </c>
      <c r="I109" s="50">
        <f t="shared" ca="1" si="13"/>
        <v>0</v>
      </c>
      <c r="J109" s="50">
        <f t="shared" ca="1" si="14"/>
        <v>0</v>
      </c>
      <c r="L109" s="148"/>
    </row>
    <row r="110" spans="1:12">
      <c r="A110" s="143" t="s">
        <v>264</v>
      </c>
      <c r="B110" s="50">
        <f ca="1">Transect1!I102</f>
        <v>0</v>
      </c>
      <c r="C110" s="50">
        <f ca="1">'Transect 2'!I102</f>
        <v>0</v>
      </c>
      <c r="D110" s="50">
        <f ca="1">'Transect 3'!I102</f>
        <v>0</v>
      </c>
      <c r="E110" s="50">
        <f ca="1">'Transect 4'!I102</f>
        <v>0</v>
      </c>
      <c r="F110" s="50">
        <f ca="1">Transect5!I102</f>
        <v>0</v>
      </c>
      <c r="H110" s="50">
        <f t="shared" ca="1" si="12"/>
        <v>0</v>
      </c>
      <c r="I110" s="50">
        <f t="shared" ca="1" si="13"/>
        <v>0</v>
      </c>
      <c r="J110" s="50">
        <f t="shared" ca="1" si="14"/>
        <v>0</v>
      </c>
      <c r="L110" s="148"/>
    </row>
    <row r="111" spans="1:12">
      <c r="A111" s="143" t="s">
        <v>266</v>
      </c>
      <c r="B111" s="50">
        <f ca="1">Transect1!I103</f>
        <v>0</v>
      </c>
      <c r="C111" s="50">
        <f ca="1">'Transect 2'!I103</f>
        <v>0</v>
      </c>
      <c r="D111" s="50">
        <f ca="1">'Transect 3'!I103</f>
        <v>0</v>
      </c>
      <c r="E111" s="50">
        <f ca="1">'Transect 4'!I103</f>
        <v>0</v>
      </c>
      <c r="F111" s="50">
        <f ca="1">Transect5!I103</f>
        <v>0</v>
      </c>
      <c r="H111" s="50">
        <f t="shared" ca="1" si="12"/>
        <v>0</v>
      </c>
      <c r="I111" s="50">
        <f t="shared" ca="1" si="13"/>
        <v>0</v>
      </c>
      <c r="J111" s="50">
        <f t="shared" ca="1" si="14"/>
        <v>0</v>
      </c>
      <c r="L111" s="148"/>
    </row>
    <row r="112" spans="1:12">
      <c r="A112" s="143" t="s">
        <v>268</v>
      </c>
      <c r="B112" s="50">
        <f ca="1">Transect1!I104</f>
        <v>0</v>
      </c>
      <c r="C112" s="50">
        <f ca="1">'Transect 2'!I104</f>
        <v>0</v>
      </c>
      <c r="D112" s="50">
        <f ca="1">'Transect 3'!I104</f>
        <v>0</v>
      </c>
      <c r="E112" s="50">
        <f ca="1">'Transect 4'!I104</f>
        <v>0</v>
      </c>
      <c r="F112" s="50">
        <f ca="1">Transect5!I104</f>
        <v>0</v>
      </c>
      <c r="H112" s="50">
        <f t="shared" ca="1" si="12"/>
        <v>0</v>
      </c>
      <c r="I112" s="50">
        <f t="shared" ca="1" si="13"/>
        <v>0</v>
      </c>
      <c r="J112" s="50">
        <f t="shared" ca="1" si="14"/>
        <v>0</v>
      </c>
      <c r="L112" s="148"/>
    </row>
    <row r="113" spans="1:12">
      <c r="A113" s="143" t="s">
        <v>270</v>
      </c>
      <c r="B113" s="50">
        <f ca="1">Transect1!I105</f>
        <v>0</v>
      </c>
      <c r="C113" s="50">
        <f ca="1">'Transect 2'!I105</f>
        <v>0</v>
      </c>
      <c r="D113" s="50">
        <f ca="1">'Transect 3'!I105</f>
        <v>0</v>
      </c>
      <c r="E113" s="50">
        <f ca="1">'Transect 4'!I105</f>
        <v>0</v>
      </c>
      <c r="F113" s="50">
        <f ca="1">Transect5!I105</f>
        <v>0</v>
      </c>
      <c r="H113" s="50">
        <f t="shared" ca="1" si="12"/>
        <v>0</v>
      </c>
      <c r="I113" s="50">
        <f t="shared" ca="1" si="13"/>
        <v>0</v>
      </c>
      <c r="J113" s="50">
        <f t="shared" ca="1" si="14"/>
        <v>0</v>
      </c>
      <c r="L113" s="148"/>
    </row>
    <row r="114" spans="1:12">
      <c r="A114" s="143" t="s">
        <v>272</v>
      </c>
      <c r="B114" s="50">
        <f ca="1">Transect1!I106</f>
        <v>0</v>
      </c>
      <c r="C114" s="50">
        <f ca="1">'Transect 2'!I106</f>
        <v>0</v>
      </c>
      <c r="D114" s="50">
        <f ca="1">'Transect 3'!I106</f>
        <v>0</v>
      </c>
      <c r="E114" s="50">
        <f ca="1">'Transect 4'!I106</f>
        <v>0</v>
      </c>
      <c r="F114" s="50">
        <f ca="1">Transect5!I106</f>
        <v>0</v>
      </c>
      <c r="H114" s="50">
        <f t="shared" ca="1" si="12"/>
        <v>0</v>
      </c>
      <c r="I114" s="50">
        <f t="shared" ca="1" si="13"/>
        <v>0</v>
      </c>
      <c r="J114" s="50">
        <f t="shared" ca="1" si="14"/>
        <v>0</v>
      </c>
      <c r="L114" s="148"/>
    </row>
    <row r="115" spans="1:12">
      <c r="A115" s="143" t="s">
        <v>274</v>
      </c>
      <c r="B115" s="50">
        <f ca="1">Transect1!I107</f>
        <v>0</v>
      </c>
      <c r="C115" s="50">
        <f ca="1">'Transect 2'!I107</f>
        <v>0</v>
      </c>
      <c r="D115" s="50">
        <f ca="1">'Transect 3'!I107</f>
        <v>0</v>
      </c>
      <c r="E115" s="50">
        <f ca="1">'Transect 4'!I107</f>
        <v>0</v>
      </c>
      <c r="F115" s="50">
        <f ca="1">Transect5!I107</f>
        <v>0</v>
      </c>
      <c r="H115" s="50">
        <f t="shared" ca="1" si="12"/>
        <v>0</v>
      </c>
      <c r="I115" s="50">
        <f t="shared" ca="1" si="13"/>
        <v>0</v>
      </c>
      <c r="J115" s="50">
        <f t="shared" ca="1" si="14"/>
        <v>0</v>
      </c>
      <c r="L115" s="148"/>
    </row>
    <row r="116" spans="1:12">
      <c r="A116" s="144" t="s">
        <v>354</v>
      </c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150"/>
    </row>
    <row r="117" spans="1:12">
      <c r="A117" s="143" t="s">
        <v>276</v>
      </c>
      <c r="B117" s="50">
        <f ca="1">Transect1!I109</f>
        <v>0</v>
      </c>
      <c r="C117" s="50">
        <f ca="1">'Transect 2'!I109</f>
        <v>0</v>
      </c>
      <c r="D117" s="50">
        <f ca="1">'Transect 3'!I109</f>
        <v>0</v>
      </c>
      <c r="E117" s="50">
        <f ca="1">'Transect 4'!I109</f>
        <v>0</v>
      </c>
      <c r="F117" s="50">
        <f ca="1">Transect5!I109</f>
        <v>0</v>
      </c>
      <c r="H117" s="50">
        <f ca="1">AVERAGE(B117:F117)</f>
        <v>0</v>
      </c>
      <c r="I117" s="50">
        <f ca="1">STDEV(B117:F117)</f>
        <v>0</v>
      </c>
      <c r="J117" s="50">
        <f ca="1">I117/SQRT(5)</f>
        <v>0</v>
      </c>
      <c r="L117" s="148"/>
    </row>
    <row r="118" spans="1:12">
      <c r="A118" s="143" t="s">
        <v>278</v>
      </c>
      <c r="B118" s="50">
        <f ca="1">Transect1!I110</f>
        <v>1.2048192771084338</v>
      </c>
      <c r="C118" s="50">
        <f ca="1">'Transect 2'!I110</f>
        <v>0.8</v>
      </c>
      <c r="D118" s="50">
        <f ca="1">'Transect 3'!I110</f>
        <v>0</v>
      </c>
      <c r="E118" s="50">
        <f ca="1">'Transect 4'!I110</f>
        <v>1.6</v>
      </c>
      <c r="F118" s="50">
        <f ca="1">Transect5!I110</f>
        <v>3.2</v>
      </c>
      <c r="H118" s="50">
        <f ca="1">AVERAGE(B118:F118)</f>
        <v>1.3609638554216867</v>
      </c>
      <c r="I118" s="50">
        <f ca="1">STDEV(B118:F118)</f>
        <v>1.1864312466037361</v>
      </c>
      <c r="J118" s="50">
        <f ca="1">I118/SQRT(5)</f>
        <v>0.5305881836071541</v>
      </c>
      <c r="L118" s="148"/>
    </row>
    <row r="119" spans="1:12">
      <c r="A119" s="143" t="s">
        <v>279</v>
      </c>
      <c r="B119" s="50">
        <f ca="1">Transect1!I111</f>
        <v>0</v>
      </c>
      <c r="C119" s="50">
        <f ca="1">'Transect 2'!I111</f>
        <v>0</v>
      </c>
      <c r="D119" s="50">
        <f ca="1">'Transect 3'!I111</f>
        <v>0</v>
      </c>
      <c r="E119" s="50">
        <f ca="1">'Transect 4'!I111</f>
        <v>0</v>
      </c>
      <c r="F119" s="50">
        <f ca="1">Transect5!I111</f>
        <v>0</v>
      </c>
      <c r="H119" s="50">
        <f ca="1">AVERAGE(B119:F119)</f>
        <v>0</v>
      </c>
      <c r="I119" s="50">
        <f ca="1">STDEV(B119:F119)</f>
        <v>0</v>
      </c>
      <c r="J119" s="50">
        <f ca="1">I119/SQRT(5)</f>
        <v>0</v>
      </c>
      <c r="L119" s="148"/>
    </row>
    <row r="120" spans="1:12">
      <c r="A120" s="144" t="s">
        <v>355</v>
      </c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150"/>
    </row>
    <row r="121" spans="1:12">
      <c r="A121" s="143" t="s">
        <v>281</v>
      </c>
      <c r="B121" s="50">
        <f ca="1">Transect1!I113</f>
        <v>24.899598393574294</v>
      </c>
      <c r="C121" s="50">
        <f ca="1">'Transect 2'!I113</f>
        <v>24</v>
      </c>
      <c r="D121" s="50">
        <f ca="1">'Transect 3'!I113</f>
        <v>23.599999999999998</v>
      </c>
      <c r="E121" s="50">
        <f ca="1">'Transect 4'!I113</f>
        <v>21.6</v>
      </c>
      <c r="F121" s="50">
        <f ca="1">Transect5!I113</f>
        <v>30.4</v>
      </c>
      <c r="H121" s="50">
        <f ca="1">AVERAGE(B121:F121)</f>
        <v>24.899919678714859</v>
      </c>
      <c r="I121" s="50">
        <f ca="1">STDEV(B121:F121)</f>
        <v>3.3030289178657455</v>
      </c>
      <c r="J121" s="50">
        <f ca="1">I121/SQRT(5)</f>
        <v>1.4771594383990752</v>
      </c>
      <c r="L121" s="148"/>
    </row>
    <row r="122" spans="1:12">
      <c r="A122" s="144" t="s">
        <v>356</v>
      </c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150"/>
    </row>
    <row r="123" spans="1:12">
      <c r="A123" s="143" t="s">
        <v>416</v>
      </c>
      <c r="B123" s="50">
        <f ca="1">Transect1!I115</f>
        <v>0</v>
      </c>
      <c r="C123" s="50">
        <f ca="1">'Transect 2'!I115</f>
        <v>0</v>
      </c>
      <c r="D123" s="50">
        <f ca="1">'Transect 3'!I115</f>
        <v>0</v>
      </c>
      <c r="E123" s="50">
        <f ca="1">'Transect 4'!I115</f>
        <v>0</v>
      </c>
      <c r="F123" s="50">
        <f ca="1">Transect5!I115</f>
        <v>0</v>
      </c>
      <c r="H123" s="50">
        <f ca="1">AVERAGE(B123:F123)</f>
        <v>0</v>
      </c>
      <c r="I123" s="50">
        <f ca="1">STDEV(B123:F123)</f>
        <v>0</v>
      </c>
      <c r="J123" s="50">
        <f ca="1">I123/SQRT(5)</f>
        <v>0</v>
      </c>
      <c r="L123" s="148"/>
    </row>
    <row r="124" spans="1:12">
      <c r="A124" s="144" t="s">
        <v>357</v>
      </c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150"/>
    </row>
    <row r="125" spans="1:12">
      <c r="A125" s="143" t="s">
        <v>283</v>
      </c>
      <c r="B125" s="50">
        <f ca="1">Transect1!I117</f>
        <v>7.6305220883534144</v>
      </c>
      <c r="C125" s="50">
        <f ca="1">'Transect 2'!I117</f>
        <v>5.2</v>
      </c>
      <c r="D125" s="50">
        <f ca="1">'Transect 3'!I117</f>
        <v>2.8000000000000003</v>
      </c>
      <c r="E125" s="50">
        <f ca="1">'Transect 4'!I117</f>
        <v>2.8000000000000003</v>
      </c>
      <c r="F125" s="50">
        <f ca="1">Transect5!I117</f>
        <v>2</v>
      </c>
      <c r="H125" s="50">
        <f ca="1">AVERAGE(B125:F125)</f>
        <v>4.0861044176706836</v>
      </c>
      <c r="I125" s="50">
        <f ca="1">STDEV(B125:F125)</f>
        <v>2.3164423573828672</v>
      </c>
      <c r="J125" s="50">
        <f ca="1">I125/SQRT(5)</f>
        <v>1.0359445154135904</v>
      </c>
      <c r="L125" s="148"/>
    </row>
    <row r="126" spans="1:12">
      <c r="A126" s="144" t="s">
        <v>358</v>
      </c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150"/>
    </row>
    <row r="127" spans="1:12">
      <c r="A127" s="143" t="s">
        <v>284</v>
      </c>
      <c r="B127" s="50">
        <f ca="1">Transect1!I119</f>
        <v>0</v>
      </c>
      <c r="C127" s="50">
        <f ca="1">'Transect 2'!I119</f>
        <v>0</v>
      </c>
      <c r="D127" s="50">
        <f ca="1">'Transect 3'!I119</f>
        <v>0</v>
      </c>
      <c r="E127" s="50">
        <f ca="1">'Transect 4'!I119</f>
        <v>0</v>
      </c>
      <c r="F127" s="50">
        <f ca="1">Transect5!I119</f>
        <v>0</v>
      </c>
      <c r="H127" s="50">
        <f ca="1">AVERAGE(B127:F127)</f>
        <v>0</v>
      </c>
      <c r="I127" s="50">
        <f ca="1">STDEV(B127:F127)</f>
        <v>0</v>
      </c>
      <c r="J127" s="50">
        <f ca="1">I127/SQRT(5)</f>
        <v>0</v>
      </c>
      <c r="L127" s="148"/>
    </row>
    <row r="128" spans="1:12">
      <c r="A128" s="144" t="s">
        <v>359</v>
      </c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150"/>
    </row>
    <row r="129" spans="1:12">
      <c r="A129" s="143" t="s">
        <v>286</v>
      </c>
      <c r="B129" s="50">
        <f ca="1">Transect1!I121</f>
        <v>24.497991967871485</v>
      </c>
      <c r="C129" s="50">
        <f ca="1">'Transect 2'!I121</f>
        <v>8.7999999999999989</v>
      </c>
      <c r="D129" s="50">
        <f ca="1">'Transect 3'!I121</f>
        <v>16.400000000000002</v>
      </c>
      <c r="E129" s="50">
        <f ca="1">'Transect 4'!I121</f>
        <v>13.600000000000001</v>
      </c>
      <c r="F129" s="50">
        <f ca="1">Transect5!I121</f>
        <v>17.599999999999998</v>
      </c>
      <c r="H129" s="50">
        <f ca="1">AVERAGE(B129:F129)</f>
        <v>16.179598393574299</v>
      </c>
      <c r="I129" s="50">
        <f ca="1">STDEV(B129:F129)</f>
        <v>5.7527078313420335</v>
      </c>
      <c r="J129" s="50">
        <f ca="1">I129/SQRT(5)</f>
        <v>2.5726891531152365</v>
      </c>
      <c r="L129" s="148"/>
    </row>
    <row r="130" spans="1:12">
      <c r="A130" s="144" t="s">
        <v>360</v>
      </c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150"/>
    </row>
    <row r="131" spans="1:12">
      <c r="A131" s="143" t="s">
        <v>417</v>
      </c>
      <c r="B131" s="50">
        <f ca="1">Transect1!I123</f>
        <v>0.4</v>
      </c>
      <c r="C131" s="50">
        <f ca="1">'Transect 2'!I123</f>
        <v>0</v>
      </c>
      <c r="D131" s="50">
        <f ca="1">'Transect 3'!I123</f>
        <v>0</v>
      </c>
      <c r="E131" s="50">
        <f ca="1">'Transect 4'!I123</f>
        <v>0</v>
      </c>
      <c r="F131" s="50">
        <f ca="1">Transect5!I123</f>
        <v>0</v>
      </c>
      <c r="H131" s="50">
        <f ca="1">AVERAGE(B131:F131)</f>
        <v>0.08</v>
      </c>
      <c r="I131" s="50">
        <f ca="1">STDEV(B131:F131)</f>
        <v>0.1788854381999832</v>
      </c>
      <c r="J131" s="50">
        <f ca="1">I131/SQRT(5)</f>
        <v>8.0000000000000016E-2</v>
      </c>
      <c r="L131" s="148"/>
    </row>
    <row r="132" spans="1:12">
      <c r="A132" s="143" t="s">
        <v>418</v>
      </c>
      <c r="B132" s="50">
        <f ca="1">Transect1!I124</f>
        <v>0</v>
      </c>
      <c r="C132" s="50">
        <f ca="1">'Transect 2'!I124</f>
        <v>0</v>
      </c>
      <c r="D132" s="50">
        <f ca="1">'Transect 3'!I124</f>
        <v>0</v>
      </c>
      <c r="E132" s="50">
        <f ca="1">'Transect 4'!I124</f>
        <v>0</v>
      </c>
      <c r="F132" s="50">
        <f ca="1">Transect5!I124</f>
        <v>0</v>
      </c>
      <c r="H132" s="50">
        <f ca="1">AVERAGE(B132:F132)</f>
        <v>0</v>
      </c>
      <c r="I132" s="50">
        <f ca="1">STDEV(B132:F132)</f>
        <v>0</v>
      </c>
      <c r="J132" s="50">
        <f ca="1">I132/SQRT(5)</f>
        <v>0</v>
      </c>
      <c r="L132" s="148"/>
    </row>
    <row r="133" spans="1:12">
      <c r="A133" s="143" t="s">
        <v>419</v>
      </c>
      <c r="B133" s="50">
        <f ca="1">Transect1!I125</f>
        <v>0</v>
      </c>
      <c r="C133" s="50">
        <f ca="1">'Transect 2'!I125</f>
        <v>0</v>
      </c>
      <c r="D133" s="50">
        <f ca="1">'Transect 3'!I125</f>
        <v>0</v>
      </c>
      <c r="E133" s="50">
        <f ca="1">'Transect 4'!I125</f>
        <v>0</v>
      </c>
      <c r="F133" s="50">
        <f ca="1">Transect5!I125</f>
        <v>0</v>
      </c>
      <c r="H133" s="50">
        <f ca="1">AVERAGE(B133:F133)</f>
        <v>0</v>
      </c>
      <c r="I133" s="50">
        <f ca="1">STDEV(B133:F133)</f>
        <v>0</v>
      </c>
      <c r="J133" s="50">
        <f ca="1">I133/SQRT(5)</f>
        <v>0</v>
      </c>
      <c r="L133" s="148"/>
    </row>
    <row r="134" spans="1:12">
      <c r="A134" s="143"/>
      <c r="L134" s="148"/>
    </row>
    <row r="135" spans="1:12">
      <c r="A135" s="140" t="s">
        <v>362</v>
      </c>
      <c r="H135" s="47" t="s">
        <v>409</v>
      </c>
      <c r="I135" s="47" t="s">
        <v>410</v>
      </c>
      <c r="J135" s="47" t="s">
        <v>411</v>
      </c>
      <c r="L135" s="148"/>
    </row>
    <row r="136" spans="1:12">
      <c r="A136" s="142" t="s">
        <v>363</v>
      </c>
      <c r="B136" s="52">
        <f ca="1">Transect1!C29</f>
        <v>0</v>
      </c>
      <c r="C136" s="52">
        <f ca="1">'Transect 2'!C29</f>
        <v>0</v>
      </c>
      <c r="D136" s="52">
        <f ca="1">'Transect 3'!C29</f>
        <v>0</v>
      </c>
      <c r="E136" s="52">
        <f ca="1">'Transect 4'!C29</f>
        <v>0</v>
      </c>
      <c r="F136" s="52">
        <f ca="1">Transect5!C29</f>
        <v>0</v>
      </c>
      <c r="G136" s="51"/>
      <c r="H136" s="52">
        <f ca="1">AVERAGE(B136:F136)</f>
        <v>0</v>
      </c>
      <c r="I136" s="52">
        <f ca="1">STDEV(B136:F136)</f>
        <v>0</v>
      </c>
      <c r="J136" s="52">
        <f ca="1">I136/SQRT(5)</f>
        <v>0</v>
      </c>
      <c r="K136" s="51"/>
      <c r="L136" s="150"/>
    </row>
    <row r="137" spans="1:12">
      <c r="A137" s="140" t="s">
        <v>364</v>
      </c>
      <c r="L137" s="148"/>
    </row>
    <row r="138" spans="1:12">
      <c r="A138" s="142" t="s">
        <v>363</v>
      </c>
      <c r="B138" s="52">
        <f ca="1">Transect1!C31</f>
        <v>0</v>
      </c>
      <c r="C138" s="52">
        <f ca="1">'Transect 2'!C31</f>
        <v>0</v>
      </c>
      <c r="D138" s="52">
        <f ca="1">'Transect 3'!C31</f>
        <v>0</v>
      </c>
      <c r="E138" s="52">
        <f ca="1">'Transect 4'!C31</f>
        <v>0</v>
      </c>
      <c r="F138" s="52">
        <f ca="1">Transect5!C31</f>
        <v>0</v>
      </c>
      <c r="G138" s="51"/>
      <c r="H138" s="52">
        <f ca="1">AVERAGE(B138:F138)</f>
        <v>0</v>
      </c>
      <c r="I138" s="52">
        <f ca="1">STDEV(B138:F138)</f>
        <v>0</v>
      </c>
      <c r="J138" s="52">
        <f ca="1">I138/SQRT(5)</f>
        <v>0</v>
      </c>
      <c r="K138" s="51"/>
      <c r="L138" s="150"/>
    </row>
    <row r="139" spans="1:12" ht="15" thickBot="1">
      <c r="A139" s="143"/>
      <c r="L139" s="148"/>
    </row>
    <row r="140" spans="1:12" ht="15" thickTop="1">
      <c r="A140" s="139" t="s">
        <v>420</v>
      </c>
      <c r="B140" s="56"/>
      <c r="C140" s="56"/>
      <c r="D140" s="56"/>
      <c r="E140" s="56"/>
      <c r="F140" s="56"/>
      <c r="G140" s="55" t="s">
        <v>423</v>
      </c>
      <c r="H140" s="55" t="s">
        <v>409</v>
      </c>
      <c r="I140" s="55" t="s">
        <v>410</v>
      </c>
      <c r="J140" s="55" t="s">
        <v>411</v>
      </c>
      <c r="K140" s="55" t="s">
        <v>421</v>
      </c>
      <c r="L140" s="151" t="s">
        <v>422</v>
      </c>
    </row>
    <row r="141" spans="1:12">
      <c r="A141" s="143" t="s">
        <v>351</v>
      </c>
      <c r="B141" s="53">
        <f ca="1">Transect1!B16</f>
        <v>104</v>
      </c>
      <c r="C141" s="53">
        <f ca="1">'Transect 2'!B16</f>
        <v>153</v>
      </c>
      <c r="D141" s="53">
        <f ca="1">'Transect 3'!B16</f>
        <v>143</v>
      </c>
      <c r="E141" s="53">
        <f ca="1">'Transect 4'!B16</f>
        <v>151</v>
      </c>
      <c r="F141" s="53">
        <f ca="1">Transect5!B16</f>
        <v>117</v>
      </c>
      <c r="G141" s="53">
        <f t="shared" ref="G141:G150" ca="1" si="15">SUM(B141:F141)</f>
        <v>668</v>
      </c>
      <c r="H141" s="50">
        <f t="shared" ref="H141:H150" ca="1" si="16">AVERAGE(B141:F141)</f>
        <v>133.6</v>
      </c>
      <c r="I141" s="50">
        <f t="shared" ref="I141:I150" ca="1" si="17">STDEV(B141:F141)</f>
        <v>21.904337470008063</v>
      </c>
      <c r="J141" s="50">
        <f t="shared" ref="J141:J150" ca="1" si="18">I141/SQRT(5)</f>
        <v>9.7959175170067567</v>
      </c>
      <c r="K141" s="50">
        <f ca="1">K154</f>
        <v>2.4124801744070483</v>
      </c>
      <c r="L141" s="153">
        <f ca="1">L154</f>
        <v>0.85877944709383625</v>
      </c>
    </row>
    <row r="142" spans="1:12">
      <c r="A142" s="142" t="s">
        <v>352</v>
      </c>
      <c r="B142" s="54">
        <f ca="1">Transect1!B17</f>
        <v>0</v>
      </c>
      <c r="C142" s="54">
        <f ca="1">'Transect 2'!B17</f>
        <v>0</v>
      </c>
      <c r="D142" s="54">
        <f ca="1">'Transect 3'!B17</f>
        <v>0</v>
      </c>
      <c r="E142" s="54">
        <f ca="1">'Transect 4'!B17</f>
        <v>0</v>
      </c>
      <c r="F142" s="54">
        <f ca="1">Transect5!B17</f>
        <v>0</v>
      </c>
      <c r="G142" s="54">
        <f t="shared" ca="1" si="15"/>
        <v>0</v>
      </c>
      <c r="H142" s="52">
        <f t="shared" ca="1" si="16"/>
        <v>0</v>
      </c>
      <c r="I142" s="52">
        <f t="shared" ca="1" si="17"/>
        <v>0</v>
      </c>
      <c r="J142" s="52">
        <f t="shared" ca="1" si="18"/>
        <v>0</v>
      </c>
      <c r="K142" s="52">
        <f ca="1">K211</f>
        <v>0</v>
      </c>
      <c r="L142" s="154">
        <f ca="1">L211</f>
        <v>1</v>
      </c>
    </row>
    <row r="143" spans="1:12">
      <c r="A143" s="143" t="s">
        <v>353</v>
      </c>
      <c r="B143" s="53">
        <f ca="1">Transect1!B18</f>
        <v>0</v>
      </c>
      <c r="C143" s="53">
        <f ca="1">'Transect 2'!B18</f>
        <v>0</v>
      </c>
      <c r="D143" s="53">
        <f ca="1">'Transect 3'!B18</f>
        <v>0</v>
      </c>
      <c r="E143" s="53">
        <f ca="1">'Transect 4'!B18</f>
        <v>0</v>
      </c>
      <c r="F143" s="53">
        <f ca="1">Transect5!B18</f>
        <v>0</v>
      </c>
      <c r="G143" s="53">
        <f t="shared" ca="1" si="15"/>
        <v>0</v>
      </c>
      <c r="H143" s="50">
        <f t="shared" ca="1" si="16"/>
        <v>0</v>
      </c>
      <c r="I143" s="50">
        <f t="shared" ca="1" si="17"/>
        <v>0</v>
      </c>
      <c r="J143" s="50">
        <f t="shared" ca="1" si="18"/>
        <v>0</v>
      </c>
      <c r="K143" s="50">
        <f ca="1">K224</f>
        <v>0</v>
      </c>
      <c r="L143" s="153">
        <f ca="1">L224</f>
        <v>1</v>
      </c>
    </row>
    <row r="144" spans="1:12">
      <c r="A144" s="142" t="s">
        <v>354</v>
      </c>
      <c r="B144" s="54">
        <f ca="1">Transect1!B19</f>
        <v>3</v>
      </c>
      <c r="C144" s="54">
        <f ca="1">'Transect 2'!B19</f>
        <v>2</v>
      </c>
      <c r="D144" s="54">
        <f ca="1">'Transect 3'!B19</f>
        <v>0</v>
      </c>
      <c r="E144" s="54">
        <f ca="1">'Transect 4'!B19</f>
        <v>4</v>
      </c>
      <c r="F144" s="54">
        <f ca="1">Transect5!B19</f>
        <v>8</v>
      </c>
      <c r="G144" s="54">
        <f t="shared" ca="1" si="15"/>
        <v>17</v>
      </c>
      <c r="H144" s="52">
        <f t="shared" ca="1" si="16"/>
        <v>3.4</v>
      </c>
      <c r="I144" s="52">
        <f t="shared" ca="1" si="17"/>
        <v>2.9664793948382653</v>
      </c>
      <c r="J144" s="52">
        <f t="shared" ca="1" si="18"/>
        <v>1.3266499161421599</v>
      </c>
      <c r="K144" s="52">
        <f ca="1">K246</f>
        <v>0</v>
      </c>
      <c r="L144" s="154">
        <f ca="1">L246</f>
        <v>0</v>
      </c>
    </row>
    <row r="145" spans="1:12">
      <c r="A145" s="143" t="s">
        <v>355</v>
      </c>
      <c r="B145" s="53">
        <f ca="1">Transect1!B20</f>
        <v>62</v>
      </c>
      <c r="C145" s="53">
        <f ca="1">'Transect 2'!B20</f>
        <v>60</v>
      </c>
      <c r="D145" s="53">
        <f ca="1">'Transect 3'!B20</f>
        <v>59</v>
      </c>
      <c r="E145" s="53">
        <f ca="1">'Transect 4'!B20</f>
        <v>54</v>
      </c>
      <c r="F145" s="53">
        <f ca="1">Transect5!B20</f>
        <v>76</v>
      </c>
      <c r="G145" s="53">
        <f t="shared" ca="1" si="15"/>
        <v>311</v>
      </c>
      <c r="H145" s="50">
        <f t="shared" ca="1" si="16"/>
        <v>62.2</v>
      </c>
      <c r="I145" s="50">
        <f t="shared" ca="1" si="17"/>
        <v>8.2583291288250198</v>
      </c>
      <c r="J145" s="50">
        <f t="shared" ca="1" si="18"/>
        <v>3.6932370625238722</v>
      </c>
      <c r="K145" s="50">
        <f ca="1">K250</f>
        <v>0</v>
      </c>
      <c r="L145" s="153">
        <f ca="1">L250</f>
        <v>0</v>
      </c>
    </row>
    <row r="146" spans="1:12">
      <c r="A146" s="142" t="s">
        <v>356</v>
      </c>
      <c r="B146" s="54">
        <f ca="1">Transect1!B21</f>
        <v>0</v>
      </c>
      <c r="C146" s="54">
        <f ca="1">'Transect 2'!B21</f>
        <v>0</v>
      </c>
      <c r="D146" s="54">
        <f ca="1">'Transect 3'!B21</f>
        <v>0</v>
      </c>
      <c r="E146" s="54">
        <f ca="1">'Transect 4'!B21</f>
        <v>0</v>
      </c>
      <c r="F146" s="54">
        <f ca="1">Transect5!B21</f>
        <v>0</v>
      </c>
      <c r="G146" s="54">
        <f t="shared" ca="1" si="15"/>
        <v>0</v>
      </c>
      <c r="H146" s="52">
        <f t="shared" ca="1" si="16"/>
        <v>0</v>
      </c>
      <c r="I146" s="52">
        <f t="shared" ca="1" si="17"/>
        <v>0</v>
      </c>
      <c r="J146" s="52">
        <f t="shared" ca="1" si="18"/>
        <v>0</v>
      </c>
      <c r="K146" s="52">
        <f ca="1">K252</f>
        <v>0</v>
      </c>
      <c r="L146" s="154">
        <f ca="1">L252</f>
        <v>1</v>
      </c>
    </row>
    <row r="147" spans="1:12">
      <c r="A147" s="143" t="s">
        <v>357</v>
      </c>
      <c r="B147" s="53">
        <f ca="1">Transect1!B22</f>
        <v>19</v>
      </c>
      <c r="C147" s="53">
        <f ca="1">'Transect 2'!B22</f>
        <v>13</v>
      </c>
      <c r="D147" s="53">
        <f ca="1">'Transect 3'!B22</f>
        <v>7</v>
      </c>
      <c r="E147" s="53">
        <f ca="1">'Transect 4'!B22</f>
        <v>7</v>
      </c>
      <c r="F147" s="53">
        <f ca="1">Transect5!B22</f>
        <v>5</v>
      </c>
      <c r="G147" s="53">
        <f t="shared" ca="1" si="15"/>
        <v>51</v>
      </c>
      <c r="H147" s="50">
        <f t="shared" ca="1" si="16"/>
        <v>10.199999999999999</v>
      </c>
      <c r="I147" s="50">
        <f t="shared" ca="1" si="17"/>
        <v>5.7619441163551723</v>
      </c>
      <c r="J147" s="50">
        <f t="shared" ca="1" si="18"/>
        <v>2.5768197453450243</v>
      </c>
      <c r="K147" s="50">
        <f ca="1">K254</f>
        <v>0</v>
      </c>
      <c r="L147" s="153">
        <f ca="1">L254</f>
        <v>0</v>
      </c>
    </row>
    <row r="148" spans="1:12">
      <c r="A148" s="142" t="s">
        <v>358</v>
      </c>
      <c r="B148" s="54">
        <f ca="1">Transect1!B23</f>
        <v>0</v>
      </c>
      <c r="C148" s="54">
        <f ca="1">'Transect 2'!B23</f>
        <v>0</v>
      </c>
      <c r="D148" s="54">
        <f ca="1">'Transect 3'!B23</f>
        <v>0</v>
      </c>
      <c r="E148" s="54">
        <f ca="1">'Transect 4'!B23</f>
        <v>0</v>
      </c>
      <c r="F148" s="54">
        <f ca="1">Transect5!B23</f>
        <v>0</v>
      </c>
      <c r="G148" s="54">
        <f t="shared" ca="1" si="15"/>
        <v>0</v>
      </c>
      <c r="H148" s="52">
        <f t="shared" ca="1" si="16"/>
        <v>0</v>
      </c>
      <c r="I148" s="52">
        <f t="shared" ca="1" si="17"/>
        <v>0</v>
      </c>
      <c r="J148" s="52">
        <f t="shared" ca="1" si="18"/>
        <v>0</v>
      </c>
      <c r="K148" s="52">
        <f ca="1">K256</f>
        <v>0</v>
      </c>
      <c r="L148" s="154">
        <f ca="1">L256</f>
        <v>1</v>
      </c>
    </row>
    <row r="149" spans="1:12">
      <c r="A149" s="143" t="s">
        <v>359</v>
      </c>
      <c r="B149" s="53">
        <f ca="1">Transect1!B24</f>
        <v>61</v>
      </c>
      <c r="C149" s="53">
        <f ca="1">'Transect 2'!B24</f>
        <v>22</v>
      </c>
      <c r="D149" s="53">
        <f ca="1">'Transect 3'!B24</f>
        <v>41</v>
      </c>
      <c r="E149" s="53">
        <f ca="1">'Transect 4'!B24</f>
        <v>34</v>
      </c>
      <c r="F149" s="53">
        <f ca="1">Transect5!B24</f>
        <v>44</v>
      </c>
      <c r="G149" s="53">
        <f t="shared" ca="1" si="15"/>
        <v>202</v>
      </c>
      <c r="H149" s="50">
        <f t="shared" ca="1" si="16"/>
        <v>40.4</v>
      </c>
      <c r="I149" s="50">
        <f t="shared" ca="1" si="17"/>
        <v>14.293355099485913</v>
      </c>
      <c r="J149" s="50">
        <f t="shared" ca="1" si="18"/>
        <v>6.3921827257987536</v>
      </c>
      <c r="K149" s="50">
        <f ca="1">K258</f>
        <v>0</v>
      </c>
      <c r="L149" s="153">
        <f ca="1">L258</f>
        <v>0</v>
      </c>
    </row>
    <row r="150" spans="1:12">
      <c r="A150" s="142" t="s">
        <v>360</v>
      </c>
      <c r="B150" s="54">
        <f ca="1">Transect1!B25</f>
        <v>1</v>
      </c>
      <c r="C150" s="54">
        <f ca="1">'Transect 2'!B25</f>
        <v>0</v>
      </c>
      <c r="D150" s="54">
        <f ca="1">'Transect 3'!B25</f>
        <v>0</v>
      </c>
      <c r="E150" s="54">
        <f ca="1">'Transect 4'!B25</f>
        <v>0</v>
      </c>
      <c r="F150" s="54">
        <f ca="1">Transect5!B25</f>
        <v>0</v>
      </c>
      <c r="G150" s="54">
        <f t="shared" ca="1" si="15"/>
        <v>1</v>
      </c>
      <c r="H150" s="52">
        <f t="shared" ca="1" si="16"/>
        <v>0.2</v>
      </c>
      <c r="I150" s="52">
        <f t="shared" ca="1" si="17"/>
        <v>0.44721359549995793</v>
      </c>
      <c r="J150" s="52">
        <f t="shared" ca="1" si="18"/>
        <v>0.19999999999999998</v>
      </c>
      <c r="K150" s="51"/>
      <c r="L150" s="150"/>
    </row>
    <row r="151" spans="1:12">
      <c r="A151" s="140" t="s">
        <v>424</v>
      </c>
      <c r="B151" s="48">
        <f t="shared" ref="B151:G151" ca="1" si="19">SUM(B141:B150)</f>
        <v>250</v>
      </c>
      <c r="C151" s="48">
        <f t="shared" ca="1" si="19"/>
        <v>250</v>
      </c>
      <c r="D151" s="48">
        <f t="shared" ca="1" si="19"/>
        <v>250</v>
      </c>
      <c r="E151" s="48">
        <f t="shared" ca="1" si="19"/>
        <v>250</v>
      </c>
      <c r="F151" s="48">
        <f t="shared" ca="1" si="19"/>
        <v>250</v>
      </c>
      <c r="G151" s="48">
        <f t="shared" ca="1" si="19"/>
        <v>1250</v>
      </c>
      <c r="L151" s="148"/>
    </row>
    <row r="152" spans="1:12">
      <c r="A152" s="143"/>
      <c r="L152" s="148"/>
    </row>
    <row r="153" spans="1:12">
      <c r="A153" s="140" t="s">
        <v>425</v>
      </c>
      <c r="G153" s="47" t="s">
        <v>423</v>
      </c>
      <c r="H153" s="47" t="s">
        <v>409</v>
      </c>
      <c r="I153" s="47" t="s">
        <v>410</v>
      </c>
      <c r="J153" s="47" t="s">
        <v>411</v>
      </c>
      <c r="K153" s="47" t="s">
        <v>421</v>
      </c>
      <c r="L153" s="152" t="s">
        <v>422</v>
      </c>
    </row>
    <row r="154" spans="1:12">
      <c r="A154" s="144" t="s">
        <v>351</v>
      </c>
      <c r="B154" s="51"/>
      <c r="C154" s="51"/>
      <c r="D154" s="51"/>
      <c r="E154" s="51"/>
      <c r="F154" s="51"/>
      <c r="G154" s="51"/>
      <c r="H154" s="51"/>
      <c r="I154" s="51"/>
      <c r="J154" s="51"/>
      <c r="K154" s="52">
        <f ca="1">SUM(K155:K210)</f>
        <v>2.4124801744070483</v>
      </c>
      <c r="L154" s="154">
        <f ca="1">1-SUM(L155:L210)</f>
        <v>0.85877944709383625</v>
      </c>
    </row>
    <row r="155" spans="1:12">
      <c r="A155" s="143" t="s">
        <v>113</v>
      </c>
      <c r="B155" s="53">
        <f ca="1">Transect1!H17</f>
        <v>0</v>
      </c>
      <c r="C155" s="53">
        <f ca="1">'Transect 2'!H17</f>
        <v>0</v>
      </c>
      <c r="D155" s="53">
        <f ca="1">'Transect 3'!H17</f>
        <v>0</v>
      </c>
      <c r="E155" s="53">
        <f ca="1">'Transect 4'!H17</f>
        <v>0</v>
      </c>
      <c r="F155" s="53">
        <f ca="1">Transect5!H17</f>
        <v>0</v>
      </c>
      <c r="G155" s="53">
        <f t="shared" ref="G155:G186" ca="1" si="20">SUM(B155:F155)</f>
        <v>0</v>
      </c>
      <c r="H155" s="50">
        <f t="shared" ref="H155:H186" ca="1" si="21">AVERAGE(B155:F155)</f>
        <v>0</v>
      </c>
      <c r="I155" s="50">
        <f t="shared" ref="I155:I186" ca="1" si="22">STDEV(B155:F155)</f>
        <v>0</v>
      </c>
      <c r="J155" s="50">
        <f t="shared" ref="J155:J186" ca="1" si="23">I155/SQRT(5)</f>
        <v>0</v>
      </c>
      <c r="K155" s="50">
        <f ca="1">IF(G155=0,0,-1*((G155/G141)*(LN(G155/G141))))</f>
        <v>0</v>
      </c>
      <c r="L155" s="153">
        <f ca="1">IF(G155=0,0,(G155/G141)^2)</f>
        <v>0</v>
      </c>
    </row>
    <row r="156" spans="1:12">
      <c r="A156" s="143" t="s">
        <v>115</v>
      </c>
      <c r="B156" s="53">
        <f ca="1">Transect1!H18</f>
        <v>3</v>
      </c>
      <c r="C156" s="53">
        <f ca="1">'Transect 2'!H18</f>
        <v>3</v>
      </c>
      <c r="D156" s="53">
        <f ca="1">'Transect 3'!H18</f>
        <v>7</v>
      </c>
      <c r="E156" s="53">
        <f ca="1">'Transect 4'!H18</f>
        <v>6</v>
      </c>
      <c r="F156" s="53">
        <f ca="1">Transect5!H18</f>
        <v>3</v>
      </c>
      <c r="G156" s="53">
        <f t="shared" ca="1" si="20"/>
        <v>22</v>
      </c>
      <c r="H156" s="50">
        <f t="shared" ca="1" si="21"/>
        <v>4.4000000000000004</v>
      </c>
      <c r="I156" s="50">
        <f t="shared" ca="1" si="22"/>
        <v>1.9493588689617929</v>
      </c>
      <c r="J156" s="50">
        <f t="shared" ca="1" si="23"/>
        <v>0.87177978870813466</v>
      </c>
      <c r="K156" s="50">
        <f ca="1">IF(G156=0,0,-1*((G156/G141)*(LN(G156/G141))))</f>
        <v>0.11241228419748991</v>
      </c>
      <c r="L156" s="153">
        <f ca="1">IF(G156=0,0,(G156/G141)^2)</f>
        <v>1.0846570332389116E-3</v>
      </c>
    </row>
    <row r="157" spans="1:12">
      <c r="A157" s="143" t="s">
        <v>116</v>
      </c>
      <c r="B157" s="53">
        <f ca="1">Transect1!H19</f>
        <v>0</v>
      </c>
      <c r="C157" s="53">
        <f ca="1">'Transect 2'!H19</f>
        <v>0</v>
      </c>
      <c r="D157" s="53">
        <f ca="1">'Transect 3'!H19</f>
        <v>0</v>
      </c>
      <c r="E157" s="53">
        <f ca="1">'Transect 4'!H19</f>
        <v>0</v>
      </c>
      <c r="F157" s="53">
        <f ca="1">Transect5!H19</f>
        <v>0</v>
      </c>
      <c r="G157" s="53">
        <f t="shared" ca="1" si="20"/>
        <v>0</v>
      </c>
      <c r="H157" s="50">
        <f t="shared" ca="1" si="21"/>
        <v>0</v>
      </c>
      <c r="I157" s="50">
        <f t="shared" ca="1" si="22"/>
        <v>0</v>
      </c>
      <c r="J157" s="50">
        <f t="shared" ca="1" si="23"/>
        <v>0</v>
      </c>
      <c r="K157" s="50">
        <f ca="1">IF(G157=0,0,-1*((G157/G141)*(LN(G157/G141))))</f>
        <v>0</v>
      </c>
      <c r="L157" s="153">
        <f ca="1">IF(G157=0,0,(G157/G141)^2)</f>
        <v>0</v>
      </c>
    </row>
    <row r="158" spans="1:12">
      <c r="A158" s="143" t="s">
        <v>118</v>
      </c>
      <c r="B158" s="53">
        <f ca="1">Transect1!H20</f>
        <v>0</v>
      </c>
      <c r="C158" s="53">
        <f ca="1">'Transect 2'!H20</f>
        <v>0</v>
      </c>
      <c r="D158" s="53">
        <f ca="1">'Transect 3'!H20</f>
        <v>0</v>
      </c>
      <c r="E158" s="53">
        <f ca="1">'Transect 4'!H20</f>
        <v>0</v>
      </c>
      <c r="F158" s="53">
        <f ca="1">Transect5!H20</f>
        <v>1</v>
      </c>
      <c r="G158" s="53">
        <f t="shared" ca="1" si="20"/>
        <v>1</v>
      </c>
      <c r="H158" s="50">
        <f t="shared" ca="1" si="21"/>
        <v>0.2</v>
      </c>
      <c r="I158" s="50">
        <f t="shared" ca="1" si="22"/>
        <v>0.44721359549995793</v>
      </c>
      <c r="J158" s="50">
        <f t="shared" ca="1" si="23"/>
        <v>0.19999999999999998</v>
      </c>
      <c r="K158" s="50">
        <f ca="1">IF(G158=0,0,-1*((G158/G141)*(LN(G158/G141))))</f>
        <v>9.7369583436177336E-3</v>
      </c>
      <c r="L158" s="153">
        <f ca="1">IF(G158=0,0,(G158/G141)^2)</f>
        <v>2.2410269281795694E-6</v>
      </c>
    </row>
    <row r="159" spans="1:12">
      <c r="A159" s="143" t="s">
        <v>120</v>
      </c>
      <c r="B159" s="53">
        <f ca="1">Transect1!H21</f>
        <v>26</v>
      </c>
      <c r="C159" s="53">
        <f ca="1">'Transect 2'!H21</f>
        <v>50</v>
      </c>
      <c r="D159" s="53">
        <f ca="1">'Transect 3'!H21</f>
        <v>28</v>
      </c>
      <c r="E159" s="53">
        <f ca="1">'Transect 4'!H21</f>
        <v>55</v>
      </c>
      <c r="F159" s="53">
        <f ca="1">Transect5!H21</f>
        <v>11</v>
      </c>
      <c r="G159" s="53">
        <f t="shared" ca="1" si="20"/>
        <v>170</v>
      </c>
      <c r="H159" s="50">
        <f t="shared" ca="1" si="21"/>
        <v>34</v>
      </c>
      <c r="I159" s="50">
        <f t="shared" ca="1" si="22"/>
        <v>18.207141456033124</v>
      </c>
      <c r="J159" s="50">
        <f t="shared" ca="1" si="23"/>
        <v>8.1424811943289122</v>
      </c>
      <c r="K159" s="50">
        <f ca="1">IF(G159=0,0,-1*((G159/G141)*(LN(G159/G141))))</f>
        <v>0.34826834611180429</v>
      </c>
      <c r="L159" s="153">
        <f ca="1">IF(G159=0,0,(G159/G141)^2)</f>
        <v>6.4765678224389542E-2</v>
      </c>
    </row>
    <row r="160" spans="1:12">
      <c r="A160" s="143" t="s">
        <v>121</v>
      </c>
      <c r="B160" s="53">
        <f ca="1">Transect1!H22</f>
        <v>0</v>
      </c>
      <c r="C160" s="53">
        <f ca="1">'Transect 2'!H22</f>
        <v>1</v>
      </c>
      <c r="D160" s="53">
        <f ca="1">'Transect 3'!H22</f>
        <v>1</v>
      </c>
      <c r="E160" s="53">
        <f ca="1">'Transect 4'!H22</f>
        <v>0</v>
      </c>
      <c r="F160" s="53">
        <f ca="1">Transect5!H22</f>
        <v>0</v>
      </c>
      <c r="G160" s="53">
        <f t="shared" ca="1" si="20"/>
        <v>2</v>
      </c>
      <c r="H160" s="50">
        <f t="shared" ca="1" si="21"/>
        <v>0.4</v>
      </c>
      <c r="I160" s="50">
        <f t="shared" ca="1" si="22"/>
        <v>0.54772255750516607</v>
      </c>
      <c r="J160" s="50">
        <f t="shared" ca="1" si="23"/>
        <v>0.24494897427831777</v>
      </c>
      <c r="K160" s="50">
        <f ca="1">IF(G160=0,0,-1*((G160/G141)*(LN(G160/G141))))</f>
        <v>1.739862572747515E-2</v>
      </c>
      <c r="L160" s="153">
        <f ca="1">IF(G160=0,0,(G160/G141)^2)</f>
        <v>8.9641077127182775E-6</v>
      </c>
    </row>
    <row r="161" spans="1:12">
      <c r="A161" s="143" t="s">
        <v>123</v>
      </c>
      <c r="B161" s="53">
        <f ca="1">Transect1!H23</f>
        <v>0</v>
      </c>
      <c r="C161" s="53">
        <f ca="1">'Transect 2'!H23</f>
        <v>0</v>
      </c>
      <c r="D161" s="53">
        <f ca="1">'Transect 3'!H23</f>
        <v>0</v>
      </c>
      <c r="E161" s="53">
        <f ca="1">'Transect 4'!H23</f>
        <v>0</v>
      </c>
      <c r="F161" s="53">
        <f ca="1">Transect5!H23</f>
        <v>0</v>
      </c>
      <c r="G161" s="53">
        <f t="shared" ca="1" si="20"/>
        <v>0</v>
      </c>
      <c r="H161" s="50">
        <f t="shared" ca="1" si="21"/>
        <v>0</v>
      </c>
      <c r="I161" s="50">
        <f t="shared" ca="1" si="22"/>
        <v>0</v>
      </c>
      <c r="J161" s="50">
        <f t="shared" ca="1" si="23"/>
        <v>0</v>
      </c>
      <c r="K161" s="50">
        <f ca="1">IF(G161=0,0,-1*((G161/G141)*(LN(G161/G141))))</f>
        <v>0</v>
      </c>
      <c r="L161" s="153">
        <f ca="1">IF(G161=0,0,(G161/G141)^2)</f>
        <v>0</v>
      </c>
    </row>
    <row r="162" spans="1:12">
      <c r="A162" s="143" t="s">
        <v>125</v>
      </c>
      <c r="B162" s="53">
        <f ca="1">Transect1!H24</f>
        <v>0</v>
      </c>
      <c r="C162" s="53">
        <f ca="1">'Transect 2'!H24</f>
        <v>0</v>
      </c>
      <c r="D162" s="53">
        <f ca="1">'Transect 3'!H24</f>
        <v>0</v>
      </c>
      <c r="E162" s="53">
        <f ca="1">'Transect 4'!H24</f>
        <v>0</v>
      </c>
      <c r="F162" s="53">
        <f ca="1">Transect5!H24</f>
        <v>0</v>
      </c>
      <c r="G162" s="53">
        <f t="shared" ca="1" si="20"/>
        <v>0</v>
      </c>
      <c r="H162" s="50">
        <f t="shared" ca="1" si="21"/>
        <v>0</v>
      </c>
      <c r="I162" s="50">
        <f t="shared" ca="1" si="22"/>
        <v>0</v>
      </c>
      <c r="J162" s="50">
        <f t="shared" ca="1" si="23"/>
        <v>0</v>
      </c>
      <c r="K162" s="50">
        <f ca="1">IF(G162=0,0,-1*((G162/G141)*(LN(G162/G141))))</f>
        <v>0</v>
      </c>
      <c r="L162" s="153">
        <f ca="1">IF(G162=0,0,(G162/G141)^2)</f>
        <v>0</v>
      </c>
    </row>
    <row r="163" spans="1:12">
      <c r="A163" s="143" t="s">
        <v>127</v>
      </c>
      <c r="B163" s="53">
        <f ca="1">Transect1!H25</f>
        <v>0</v>
      </c>
      <c r="C163" s="53">
        <f ca="1">'Transect 2'!H25</f>
        <v>0</v>
      </c>
      <c r="D163" s="53">
        <f ca="1">'Transect 3'!H25</f>
        <v>0</v>
      </c>
      <c r="E163" s="53">
        <f ca="1">'Transect 4'!H25</f>
        <v>0</v>
      </c>
      <c r="F163" s="53">
        <f ca="1">Transect5!H25</f>
        <v>0</v>
      </c>
      <c r="G163" s="53">
        <f t="shared" ca="1" si="20"/>
        <v>0</v>
      </c>
      <c r="H163" s="50">
        <f t="shared" ca="1" si="21"/>
        <v>0</v>
      </c>
      <c r="I163" s="50">
        <f t="shared" ca="1" si="22"/>
        <v>0</v>
      </c>
      <c r="J163" s="50">
        <f t="shared" ca="1" si="23"/>
        <v>0</v>
      </c>
      <c r="K163" s="50">
        <f ca="1">IF(G163=0,0,-1*((G163/G141)*(LN(G163/G141))))</f>
        <v>0</v>
      </c>
      <c r="L163" s="153">
        <f ca="1">IF(G163=0,0,(G163/G141)^2)</f>
        <v>0</v>
      </c>
    </row>
    <row r="164" spans="1:12">
      <c r="A164" s="143" t="s">
        <v>129</v>
      </c>
      <c r="B164" s="53">
        <f ca="1">Transect1!H26</f>
        <v>1</v>
      </c>
      <c r="C164" s="53">
        <f ca="1">'Transect 2'!H26</f>
        <v>0</v>
      </c>
      <c r="D164" s="53">
        <f ca="1">'Transect 3'!H26</f>
        <v>0</v>
      </c>
      <c r="E164" s="53">
        <f ca="1">'Transect 4'!H26</f>
        <v>0</v>
      </c>
      <c r="F164" s="53">
        <f ca="1">Transect5!H26</f>
        <v>0</v>
      </c>
      <c r="G164" s="53">
        <f t="shared" ca="1" si="20"/>
        <v>1</v>
      </c>
      <c r="H164" s="50">
        <f t="shared" ca="1" si="21"/>
        <v>0.2</v>
      </c>
      <c r="I164" s="50">
        <f t="shared" ca="1" si="22"/>
        <v>0.44721359549995793</v>
      </c>
      <c r="J164" s="50">
        <f t="shared" ca="1" si="23"/>
        <v>0.19999999999999998</v>
      </c>
      <c r="K164" s="50">
        <f ca="1">IF(G164=0,0,-1*((G164/G141)*(LN(G164/G141))))</f>
        <v>9.7369583436177336E-3</v>
      </c>
      <c r="L164" s="153">
        <f ca="1">IF(G164=0,0,(G164/G141)^2)</f>
        <v>2.2410269281795694E-6</v>
      </c>
    </row>
    <row r="165" spans="1:12">
      <c r="A165" s="143" t="s">
        <v>130</v>
      </c>
      <c r="B165" s="53">
        <f ca="1">Transect1!H27</f>
        <v>0</v>
      </c>
      <c r="C165" s="53">
        <f ca="1">'Transect 2'!H27</f>
        <v>0</v>
      </c>
      <c r="D165" s="53">
        <f ca="1">'Transect 3'!H27</f>
        <v>0</v>
      </c>
      <c r="E165" s="53">
        <f ca="1">'Transect 4'!H27</f>
        <v>0</v>
      </c>
      <c r="F165" s="53">
        <f ca="1">Transect5!H27</f>
        <v>0</v>
      </c>
      <c r="G165" s="53">
        <f t="shared" ca="1" si="20"/>
        <v>0</v>
      </c>
      <c r="H165" s="50">
        <f t="shared" ca="1" si="21"/>
        <v>0</v>
      </c>
      <c r="I165" s="50">
        <f t="shared" ca="1" si="22"/>
        <v>0</v>
      </c>
      <c r="J165" s="50">
        <f t="shared" ca="1" si="23"/>
        <v>0</v>
      </c>
      <c r="K165" s="50">
        <f ca="1">IF(G165=0,0,-1*((G165/G141)*(LN(G165/G141))))</f>
        <v>0</v>
      </c>
      <c r="L165" s="153">
        <f ca="1">IF(G165=0,0,(G165/G141)^2)</f>
        <v>0</v>
      </c>
    </row>
    <row r="166" spans="1:12">
      <c r="A166" s="143" t="s">
        <v>132</v>
      </c>
      <c r="B166" s="53">
        <f ca="1">Transect1!H28</f>
        <v>25</v>
      </c>
      <c r="C166" s="53">
        <f ca="1">'Transect 2'!H28</f>
        <v>25</v>
      </c>
      <c r="D166" s="53">
        <f ca="1">'Transect 3'!H28</f>
        <v>54</v>
      </c>
      <c r="E166" s="53">
        <f ca="1">'Transect 4'!H28</f>
        <v>20</v>
      </c>
      <c r="F166" s="53">
        <f ca="1">Transect5!H28</f>
        <v>24</v>
      </c>
      <c r="G166" s="53">
        <f t="shared" ca="1" si="20"/>
        <v>148</v>
      </c>
      <c r="H166" s="50">
        <f t="shared" ca="1" si="21"/>
        <v>29.6</v>
      </c>
      <c r="I166" s="50">
        <f t="shared" ca="1" si="22"/>
        <v>13.794926603646717</v>
      </c>
      <c r="J166" s="50">
        <f t="shared" ca="1" si="23"/>
        <v>6.1692787260748707</v>
      </c>
      <c r="K166" s="50">
        <f ca="1">IF(G166=0,0,-1*((G166/G141)*(LN(G166/G141))))</f>
        <v>0.33390304366217743</v>
      </c>
      <c r="L166" s="153">
        <f ca="1">IF(G166=0,0,(G166/G141)^2)</f>
        <v>4.9087453834845279E-2</v>
      </c>
    </row>
    <row r="167" spans="1:12">
      <c r="A167" s="143" t="s">
        <v>133</v>
      </c>
      <c r="B167" s="53">
        <f ca="1">Transect1!H29</f>
        <v>0</v>
      </c>
      <c r="C167" s="53">
        <f ca="1">'Transect 2'!H29</f>
        <v>0</v>
      </c>
      <c r="D167" s="53">
        <f ca="1">'Transect 3'!H29</f>
        <v>0</v>
      </c>
      <c r="E167" s="53">
        <f ca="1">'Transect 4'!H29</f>
        <v>0</v>
      </c>
      <c r="F167" s="53">
        <f ca="1">Transect5!H29</f>
        <v>0</v>
      </c>
      <c r="G167" s="53">
        <f t="shared" ca="1" si="20"/>
        <v>0</v>
      </c>
      <c r="H167" s="50">
        <f t="shared" ca="1" si="21"/>
        <v>0</v>
      </c>
      <c r="I167" s="50">
        <f t="shared" ca="1" si="22"/>
        <v>0</v>
      </c>
      <c r="J167" s="50">
        <f t="shared" ca="1" si="23"/>
        <v>0</v>
      </c>
      <c r="K167" s="50">
        <f ca="1">IF(G167=0,0,-1*((G167/G141)*(LN(G167/G141))))</f>
        <v>0</v>
      </c>
      <c r="L167" s="153">
        <f ca="1">IF(G167=0,0,(G167/G141)^2)</f>
        <v>0</v>
      </c>
    </row>
    <row r="168" spans="1:12">
      <c r="A168" s="143" t="s">
        <v>135</v>
      </c>
      <c r="B168" s="53">
        <f ca="1">Transect1!H30</f>
        <v>0</v>
      </c>
      <c r="C168" s="53">
        <f ca="1">'Transect 2'!H30</f>
        <v>0</v>
      </c>
      <c r="D168" s="53">
        <f ca="1">'Transect 3'!H30</f>
        <v>0</v>
      </c>
      <c r="E168" s="53">
        <f ca="1">'Transect 4'!H30</f>
        <v>0</v>
      </c>
      <c r="F168" s="53">
        <f ca="1">Transect5!H30</f>
        <v>0</v>
      </c>
      <c r="G168" s="53">
        <f t="shared" ca="1" si="20"/>
        <v>0</v>
      </c>
      <c r="H168" s="50">
        <f t="shared" ca="1" si="21"/>
        <v>0</v>
      </c>
      <c r="I168" s="50">
        <f t="shared" ca="1" si="22"/>
        <v>0</v>
      </c>
      <c r="J168" s="50">
        <f t="shared" ca="1" si="23"/>
        <v>0</v>
      </c>
      <c r="K168" s="50">
        <f ca="1">IF(G168=0,0,-1*((G168/G141)*(LN(G168/G141))))</f>
        <v>0</v>
      </c>
      <c r="L168" s="153">
        <f ca="1">IF(G168=0,0,(G168/G141)^2)</f>
        <v>0</v>
      </c>
    </row>
    <row r="169" spans="1:12">
      <c r="A169" s="143" t="s">
        <v>137</v>
      </c>
      <c r="B169" s="53">
        <f ca="1">Transect1!H31</f>
        <v>2</v>
      </c>
      <c r="C169" s="53">
        <f ca="1">'Transect 2'!H31</f>
        <v>4</v>
      </c>
      <c r="D169" s="53">
        <f ca="1">'Transect 3'!H31</f>
        <v>1</v>
      </c>
      <c r="E169" s="53">
        <f ca="1">'Transect 4'!H31</f>
        <v>1</v>
      </c>
      <c r="F169" s="53">
        <f ca="1">Transect5!H31</f>
        <v>0</v>
      </c>
      <c r="G169" s="53">
        <f t="shared" ca="1" si="20"/>
        <v>8</v>
      </c>
      <c r="H169" s="50">
        <f t="shared" ca="1" si="21"/>
        <v>1.6</v>
      </c>
      <c r="I169" s="50">
        <f t="shared" ca="1" si="22"/>
        <v>1.51657508881031</v>
      </c>
      <c r="J169" s="50">
        <f t="shared" ca="1" si="23"/>
        <v>0.6782329983125267</v>
      </c>
      <c r="K169" s="50">
        <f ca="1">IF(G169=0,0,-1*((G169/G141)*(LN(G169/G141))))</f>
        <v>5.2992175231818088E-2</v>
      </c>
      <c r="L169" s="153">
        <f ca="1">IF(G169=0,0,(G169/G141)^2)</f>
        <v>1.4342572340349244E-4</v>
      </c>
    </row>
    <row r="170" spans="1:12">
      <c r="A170" s="143" t="s">
        <v>138</v>
      </c>
      <c r="B170" s="53">
        <f ca="1">Transect1!H32</f>
        <v>0</v>
      </c>
      <c r="C170" s="53">
        <f ca="1">'Transect 2'!H32</f>
        <v>2</v>
      </c>
      <c r="D170" s="53">
        <f ca="1">'Transect 3'!H32</f>
        <v>4</v>
      </c>
      <c r="E170" s="53">
        <f ca="1">'Transect 4'!H32</f>
        <v>2</v>
      </c>
      <c r="F170" s="53">
        <f ca="1">Transect5!H32</f>
        <v>0</v>
      </c>
      <c r="G170" s="53">
        <f t="shared" ca="1" si="20"/>
        <v>8</v>
      </c>
      <c r="H170" s="50">
        <f t="shared" ca="1" si="21"/>
        <v>1.6</v>
      </c>
      <c r="I170" s="50">
        <f t="shared" ca="1" si="22"/>
        <v>1.6733200530681511</v>
      </c>
      <c r="J170" s="50">
        <f t="shared" ca="1" si="23"/>
        <v>0.74833147735478822</v>
      </c>
      <c r="K170" s="50">
        <f ca="1">IF(G170=0,0,-1*((G170/G141)*(LN(G170/G141))))</f>
        <v>5.2992175231818088E-2</v>
      </c>
      <c r="L170" s="153">
        <f ca="1">IF(G170=0,0,(G170/G141)^2)</f>
        <v>1.4342572340349244E-4</v>
      </c>
    </row>
    <row r="171" spans="1:12">
      <c r="A171" s="143" t="s">
        <v>140</v>
      </c>
      <c r="B171" s="53">
        <f ca="1">Transect1!H33</f>
        <v>0</v>
      </c>
      <c r="C171" s="53">
        <f ca="1">'Transect 2'!H33</f>
        <v>0</v>
      </c>
      <c r="D171" s="53">
        <f ca="1">'Transect 3'!H33</f>
        <v>0</v>
      </c>
      <c r="E171" s="53">
        <f ca="1">'Transect 4'!H33</f>
        <v>0</v>
      </c>
      <c r="F171" s="53">
        <f ca="1">Transect5!H33</f>
        <v>1</v>
      </c>
      <c r="G171" s="53">
        <f t="shared" ca="1" si="20"/>
        <v>1</v>
      </c>
      <c r="H171" s="50">
        <f t="shared" ca="1" si="21"/>
        <v>0.2</v>
      </c>
      <c r="I171" s="50">
        <f t="shared" ca="1" si="22"/>
        <v>0.44721359549995793</v>
      </c>
      <c r="J171" s="50">
        <f t="shared" ca="1" si="23"/>
        <v>0.19999999999999998</v>
      </c>
      <c r="K171" s="50">
        <f ca="1">IF(G171=0,0,-1*((G171/G141)*(LN(G171/G141))))</f>
        <v>9.7369583436177336E-3</v>
      </c>
      <c r="L171" s="153">
        <f ca="1">IF(G171=0,0,(G171/G141)^2)</f>
        <v>2.2410269281795694E-6</v>
      </c>
    </row>
    <row r="172" spans="1:12">
      <c r="A172" s="143" t="s">
        <v>142</v>
      </c>
      <c r="B172" s="53">
        <f ca="1">Transect1!H34</f>
        <v>1</v>
      </c>
      <c r="C172" s="53">
        <f ca="1">'Transect 2'!H34</f>
        <v>4</v>
      </c>
      <c r="D172" s="53">
        <f ca="1">'Transect 3'!H34</f>
        <v>2</v>
      </c>
      <c r="E172" s="53">
        <f ca="1">'Transect 4'!H34</f>
        <v>0</v>
      </c>
      <c r="F172" s="53">
        <f ca="1">Transect5!H34</f>
        <v>0</v>
      </c>
      <c r="G172" s="53">
        <f t="shared" ca="1" si="20"/>
        <v>7</v>
      </c>
      <c r="H172" s="50">
        <f t="shared" ca="1" si="21"/>
        <v>1.4</v>
      </c>
      <c r="I172" s="50">
        <f t="shared" ca="1" si="22"/>
        <v>1.6733200530681511</v>
      </c>
      <c r="J172" s="50">
        <f t="shared" ca="1" si="23"/>
        <v>0.74833147735478822</v>
      </c>
      <c r="K172" s="50">
        <f ca="1">IF(G172=0,0,-1*((G172/G141)*(LN(G172/G141))))</f>
        <v>4.7767434388277435E-2</v>
      </c>
      <c r="L172" s="153">
        <f ca="1">IF(G172=0,0,(G172/G141)^2)</f>
        <v>1.0981031948079887E-4</v>
      </c>
    </row>
    <row r="173" spans="1:12">
      <c r="A173" s="143" t="s">
        <v>143</v>
      </c>
      <c r="B173" s="53">
        <f ca="1">Transect1!H35</f>
        <v>0</v>
      </c>
      <c r="C173" s="53">
        <f ca="1">'Transect 2'!H35</f>
        <v>0</v>
      </c>
      <c r="D173" s="53">
        <f ca="1">'Transect 3'!H35</f>
        <v>0</v>
      </c>
      <c r="E173" s="53">
        <f ca="1">'Transect 4'!H35</f>
        <v>0</v>
      </c>
      <c r="F173" s="53">
        <f ca="1">Transect5!H35</f>
        <v>0</v>
      </c>
      <c r="G173" s="53">
        <f t="shared" ca="1" si="20"/>
        <v>0</v>
      </c>
      <c r="H173" s="50">
        <f t="shared" ca="1" si="21"/>
        <v>0</v>
      </c>
      <c r="I173" s="50">
        <f t="shared" ca="1" si="22"/>
        <v>0</v>
      </c>
      <c r="J173" s="50">
        <f t="shared" ca="1" si="23"/>
        <v>0</v>
      </c>
      <c r="K173" s="50">
        <f ca="1">IF(G173=0,0,-1*((G173/G141)*(LN(G173/G141))))</f>
        <v>0</v>
      </c>
      <c r="L173" s="153">
        <f ca="1">IF(G173=0,0,(G173/G141)^2)</f>
        <v>0</v>
      </c>
    </row>
    <row r="174" spans="1:12">
      <c r="A174" s="143" t="s">
        <v>145</v>
      </c>
      <c r="B174" s="53">
        <f ca="1">Transect1!H36</f>
        <v>2</v>
      </c>
      <c r="C174" s="53">
        <f ca="1">'Transect 2'!H36</f>
        <v>7</v>
      </c>
      <c r="D174" s="53">
        <f ca="1">'Transect 3'!H36</f>
        <v>5</v>
      </c>
      <c r="E174" s="53">
        <f ca="1">'Transect 4'!H36</f>
        <v>0</v>
      </c>
      <c r="F174" s="53">
        <f ca="1">Transect5!H36</f>
        <v>3</v>
      </c>
      <c r="G174" s="53">
        <f t="shared" ca="1" si="20"/>
        <v>17</v>
      </c>
      <c r="H174" s="50">
        <f t="shared" ca="1" si="21"/>
        <v>3.4</v>
      </c>
      <c r="I174" s="50">
        <f t="shared" ca="1" si="22"/>
        <v>2.7018512172212592</v>
      </c>
      <c r="J174" s="50">
        <f t="shared" ca="1" si="23"/>
        <v>1.2083045973594571</v>
      </c>
      <c r="K174" s="50">
        <f ca="1">IF(G174=0,0,-1*((G174/G141)*(LN(G174/G141))))</f>
        <v>9.3425557037675605E-2</v>
      </c>
      <c r="L174" s="153">
        <f ca="1">IF(G174=0,0,(G174/G141)^2)</f>
        <v>6.4765678224389545E-4</v>
      </c>
    </row>
    <row r="175" spans="1:12">
      <c r="A175" s="143" t="s">
        <v>146</v>
      </c>
      <c r="B175" s="53">
        <f ca="1">Transect1!H37</f>
        <v>0</v>
      </c>
      <c r="C175" s="53">
        <f ca="1">'Transect 2'!H37</f>
        <v>0</v>
      </c>
      <c r="D175" s="53">
        <f ca="1">'Transect 3'!H37</f>
        <v>1</v>
      </c>
      <c r="E175" s="53">
        <f ca="1">'Transect 4'!H37</f>
        <v>3</v>
      </c>
      <c r="F175" s="53">
        <f ca="1">Transect5!H37</f>
        <v>2</v>
      </c>
      <c r="G175" s="53">
        <f t="shared" ca="1" si="20"/>
        <v>6</v>
      </c>
      <c r="H175" s="50">
        <f t="shared" ca="1" si="21"/>
        <v>1.2</v>
      </c>
      <c r="I175" s="50">
        <f t="shared" ca="1" si="22"/>
        <v>1.3038404810405297</v>
      </c>
      <c r="J175" s="50">
        <f t="shared" ca="1" si="23"/>
        <v>0.58309518948452999</v>
      </c>
      <c r="K175" s="50">
        <f ca="1">IF(G175=0,0,-1*((G175/G141)*(LN(G175/G141))))</f>
        <v>4.23281021345083E-2</v>
      </c>
      <c r="L175" s="153">
        <f ca="1">IF(G175=0,0,(G175/G141)^2)</f>
        <v>8.0676969414464472E-5</v>
      </c>
    </row>
    <row r="176" spans="1:12">
      <c r="A176" s="143" t="s">
        <v>148</v>
      </c>
      <c r="B176" s="53">
        <f ca="1">Transect1!H38</f>
        <v>0</v>
      </c>
      <c r="C176" s="53">
        <f ca="1">'Transect 2'!H38</f>
        <v>0</v>
      </c>
      <c r="D176" s="53">
        <f ca="1">'Transect 3'!H38</f>
        <v>0</v>
      </c>
      <c r="E176" s="53">
        <f ca="1">'Transect 4'!H38</f>
        <v>0</v>
      </c>
      <c r="F176" s="53">
        <f ca="1">Transect5!H38</f>
        <v>0</v>
      </c>
      <c r="G176" s="53">
        <f t="shared" ca="1" si="20"/>
        <v>0</v>
      </c>
      <c r="H176" s="50">
        <f t="shared" ca="1" si="21"/>
        <v>0</v>
      </c>
      <c r="I176" s="50">
        <f t="shared" ca="1" si="22"/>
        <v>0</v>
      </c>
      <c r="J176" s="50">
        <f t="shared" ca="1" si="23"/>
        <v>0</v>
      </c>
      <c r="K176" s="50">
        <f ca="1">IF(G176=0,0,-1*((G176/G141)*(LN(G176/G141))))</f>
        <v>0</v>
      </c>
      <c r="L176" s="153">
        <f ca="1">IF(G176=0,0,(G176/G141)^2)</f>
        <v>0</v>
      </c>
    </row>
    <row r="177" spans="1:12">
      <c r="A177" s="143" t="s">
        <v>150</v>
      </c>
      <c r="B177" s="53">
        <f ca="1">Transect1!H39</f>
        <v>0</v>
      </c>
      <c r="C177" s="53">
        <f ca="1">'Transect 2'!H39</f>
        <v>0</v>
      </c>
      <c r="D177" s="53">
        <f ca="1">'Transect 3'!H39</f>
        <v>0</v>
      </c>
      <c r="E177" s="53">
        <f ca="1">'Transect 4'!H39</f>
        <v>0</v>
      </c>
      <c r="F177" s="53">
        <f ca="1">Transect5!H39</f>
        <v>0</v>
      </c>
      <c r="G177" s="53">
        <f t="shared" ca="1" si="20"/>
        <v>0</v>
      </c>
      <c r="H177" s="50">
        <f t="shared" ca="1" si="21"/>
        <v>0</v>
      </c>
      <c r="I177" s="50">
        <f t="shared" ca="1" si="22"/>
        <v>0</v>
      </c>
      <c r="J177" s="50">
        <f t="shared" ca="1" si="23"/>
        <v>0</v>
      </c>
      <c r="K177" s="50">
        <f ca="1">IF(G177=0,0,-1*((G177/G141)*(LN(G177/G141))))</f>
        <v>0</v>
      </c>
      <c r="L177" s="153">
        <f ca="1">IF(G177=0,0,(G177/G141)^2)</f>
        <v>0</v>
      </c>
    </row>
    <row r="178" spans="1:12">
      <c r="A178" s="143" t="s">
        <v>152</v>
      </c>
      <c r="B178" s="53">
        <f ca="1">Transect1!H40</f>
        <v>0</v>
      </c>
      <c r="C178" s="53">
        <f ca="1">'Transect 2'!H40</f>
        <v>1</v>
      </c>
      <c r="D178" s="53">
        <f ca="1">'Transect 3'!H40</f>
        <v>4</v>
      </c>
      <c r="E178" s="53">
        <f ca="1">'Transect 4'!H40</f>
        <v>3</v>
      </c>
      <c r="F178" s="53">
        <f ca="1">Transect5!H40</f>
        <v>4</v>
      </c>
      <c r="G178" s="53">
        <f t="shared" ca="1" si="20"/>
        <v>12</v>
      </c>
      <c r="H178" s="50">
        <f t="shared" ca="1" si="21"/>
        <v>2.4</v>
      </c>
      <c r="I178" s="50">
        <f t="shared" ca="1" si="22"/>
        <v>1.8165902124584949</v>
      </c>
      <c r="J178" s="50">
        <f t="shared" ca="1" si="23"/>
        <v>0.81240384046359593</v>
      </c>
      <c r="K178" s="50">
        <f ca="1">IF(G178=0,0,-1*((G178/G141)*(LN(G178/G141))))</f>
        <v>7.2204458510454705E-2</v>
      </c>
      <c r="L178" s="153">
        <f ca="1">IF(G178=0,0,(G178/G141)^2)</f>
        <v>3.2270787765785789E-4</v>
      </c>
    </row>
    <row r="179" spans="1:12">
      <c r="A179" s="143" t="s">
        <v>154</v>
      </c>
      <c r="B179" s="53">
        <f ca="1">Transect1!H41</f>
        <v>0</v>
      </c>
      <c r="C179" s="53">
        <f ca="1">'Transect 2'!H41</f>
        <v>1</v>
      </c>
      <c r="D179" s="53">
        <f ca="1">'Transect 3'!H41</f>
        <v>0</v>
      </c>
      <c r="E179" s="53">
        <f ca="1">'Transect 4'!H41</f>
        <v>1</v>
      </c>
      <c r="F179" s="53">
        <f ca="1">Transect5!H41</f>
        <v>1</v>
      </c>
      <c r="G179" s="53">
        <f t="shared" ca="1" si="20"/>
        <v>3</v>
      </c>
      <c r="H179" s="50">
        <f t="shared" ca="1" si="21"/>
        <v>0.6</v>
      </c>
      <c r="I179" s="50">
        <f t="shared" ca="1" si="22"/>
        <v>0.54772255750516607</v>
      </c>
      <c r="J179" s="50">
        <f t="shared" ca="1" si="23"/>
        <v>0.24494897427831777</v>
      </c>
      <c r="K179" s="50">
        <f ca="1">IF(G179=0,0,-1*((G179/G141)*(LN(G179/G141))))</f>
        <v>2.4276987506894623E-2</v>
      </c>
      <c r="L179" s="153">
        <f ca="1">IF(G179=0,0,(G179/G141)^2)</f>
        <v>2.0169242353616118E-5</v>
      </c>
    </row>
    <row r="180" spans="1:12">
      <c r="A180" s="143" t="s">
        <v>156</v>
      </c>
      <c r="B180" s="53">
        <f ca="1">Transect1!H42</f>
        <v>0</v>
      </c>
      <c r="C180" s="53">
        <f ca="1">'Transect 2'!H42</f>
        <v>2</v>
      </c>
      <c r="D180" s="53">
        <f ca="1">'Transect 3'!H42</f>
        <v>0</v>
      </c>
      <c r="E180" s="53">
        <f ca="1">'Transect 4'!H42</f>
        <v>6</v>
      </c>
      <c r="F180" s="53">
        <f ca="1">Transect5!H42</f>
        <v>1</v>
      </c>
      <c r="G180" s="53">
        <f t="shared" ca="1" si="20"/>
        <v>9</v>
      </c>
      <c r="H180" s="50">
        <f t="shared" ca="1" si="21"/>
        <v>1.8</v>
      </c>
      <c r="I180" s="50">
        <f t="shared" ca="1" si="22"/>
        <v>2.4899799195977463</v>
      </c>
      <c r="J180" s="50">
        <f t="shared" ca="1" si="23"/>
        <v>1.1135528725660042</v>
      </c>
      <c r="K180" s="50">
        <f ca="1">IF(G180=0,0,-1*((G180/G141)*(LN(G180/G141))))</f>
        <v>5.8029299948808143E-2</v>
      </c>
      <c r="L180" s="153">
        <f ca="1">IF(G180=0,0,(G180/G141)^2)</f>
        <v>1.815231811825451E-4</v>
      </c>
    </row>
    <row r="181" spans="1:12">
      <c r="A181" s="143" t="s">
        <v>158</v>
      </c>
      <c r="B181" s="53">
        <f ca="1">Transect1!H43</f>
        <v>17</v>
      </c>
      <c r="C181" s="53">
        <f ca="1">'Transect 2'!H43</f>
        <v>4</v>
      </c>
      <c r="D181" s="53">
        <f ca="1">'Transect 3'!H43</f>
        <v>12</v>
      </c>
      <c r="E181" s="53">
        <f ca="1">'Transect 4'!H43</f>
        <v>17</v>
      </c>
      <c r="F181" s="53">
        <f ca="1">Transect5!H43</f>
        <v>11</v>
      </c>
      <c r="G181" s="53">
        <f t="shared" ca="1" si="20"/>
        <v>61</v>
      </c>
      <c r="H181" s="50">
        <f t="shared" ca="1" si="21"/>
        <v>12.2</v>
      </c>
      <c r="I181" s="50">
        <f t="shared" ca="1" si="22"/>
        <v>5.3572380943915485</v>
      </c>
      <c r="J181" s="50">
        <f t="shared" ca="1" si="23"/>
        <v>2.3958297101421873</v>
      </c>
      <c r="K181" s="50">
        <f ca="1">IF(G181=0,0,-1*((G181/G141)*(LN(G181/G141))))</f>
        <v>0.21856028872928651</v>
      </c>
      <c r="L181" s="153">
        <f ca="1">IF(G181=0,0,(G181/G141)^2)</f>
        <v>8.3388611997561764E-3</v>
      </c>
    </row>
    <row r="182" spans="1:12">
      <c r="A182" s="143" t="s">
        <v>159</v>
      </c>
      <c r="B182" s="53">
        <f ca="1">Transect1!H44</f>
        <v>0</v>
      </c>
      <c r="C182" s="53">
        <f ca="1">'Transect 2'!H44</f>
        <v>0</v>
      </c>
      <c r="D182" s="53">
        <f ca="1">'Transect 3'!H44</f>
        <v>0</v>
      </c>
      <c r="E182" s="53">
        <f ca="1">'Transect 4'!H44</f>
        <v>0</v>
      </c>
      <c r="F182" s="53">
        <f ca="1">Transect5!H44</f>
        <v>0</v>
      </c>
      <c r="G182" s="53">
        <f t="shared" ca="1" si="20"/>
        <v>0</v>
      </c>
      <c r="H182" s="50">
        <f t="shared" ca="1" si="21"/>
        <v>0</v>
      </c>
      <c r="I182" s="50">
        <f t="shared" ca="1" si="22"/>
        <v>0</v>
      </c>
      <c r="J182" s="50">
        <f t="shared" ca="1" si="23"/>
        <v>0</v>
      </c>
      <c r="K182" s="50">
        <f ca="1">IF(G182=0,0,-1*((G182/G141)*(LN(G182/G141))))</f>
        <v>0</v>
      </c>
      <c r="L182" s="153">
        <f ca="1">IF(G182=0,0,(G182/G141)^2)</f>
        <v>0</v>
      </c>
    </row>
    <row r="183" spans="1:12">
      <c r="A183" s="143" t="s">
        <v>161</v>
      </c>
      <c r="B183" s="53">
        <f ca="1">Transect1!H45</f>
        <v>5</v>
      </c>
      <c r="C183" s="53">
        <f ca="1">'Transect 2'!H45</f>
        <v>4</v>
      </c>
      <c r="D183" s="53">
        <f ca="1">'Transect 3'!H45</f>
        <v>0</v>
      </c>
      <c r="E183" s="53">
        <f ca="1">'Transect 4'!H45</f>
        <v>0</v>
      </c>
      <c r="F183" s="53">
        <f ca="1">Transect5!H45</f>
        <v>0</v>
      </c>
      <c r="G183" s="53">
        <f t="shared" ca="1" si="20"/>
        <v>9</v>
      </c>
      <c r="H183" s="50">
        <f t="shared" ca="1" si="21"/>
        <v>1.8</v>
      </c>
      <c r="I183" s="50">
        <f t="shared" ca="1" si="22"/>
        <v>2.4899799195977463</v>
      </c>
      <c r="J183" s="50">
        <f t="shared" ca="1" si="23"/>
        <v>1.1135528725660042</v>
      </c>
      <c r="K183" s="50">
        <f ca="1">IF(G183=0,0,-1*((G183/G141)*(LN(G183/G141))))</f>
        <v>5.8029299948808143E-2</v>
      </c>
      <c r="L183" s="153">
        <f ca="1">IF(G183=0,0,(G183/G141)^2)</f>
        <v>1.815231811825451E-4</v>
      </c>
    </row>
    <row r="184" spans="1:12">
      <c r="A184" s="143" t="s">
        <v>162</v>
      </c>
      <c r="B184" s="53">
        <f ca="1">Transect1!H46</f>
        <v>4</v>
      </c>
      <c r="C184" s="53">
        <f ca="1">'Transect 2'!H46</f>
        <v>0</v>
      </c>
      <c r="D184" s="53">
        <f ca="1">'Transect 3'!H46</f>
        <v>0</v>
      </c>
      <c r="E184" s="53">
        <f ca="1">'Transect 4'!H46</f>
        <v>1</v>
      </c>
      <c r="F184" s="53">
        <f ca="1">Transect5!H46</f>
        <v>40</v>
      </c>
      <c r="G184" s="53">
        <f t="shared" ca="1" si="20"/>
        <v>45</v>
      </c>
      <c r="H184" s="50">
        <f t="shared" ca="1" si="21"/>
        <v>9</v>
      </c>
      <c r="I184" s="50">
        <f t="shared" ca="1" si="22"/>
        <v>17.406895185529212</v>
      </c>
      <c r="J184" s="50">
        <f t="shared" ca="1" si="23"/>
        <v>7.7846001824114257</v>
      </c>
      <c r="K184" s="50">
        <f ca="1">IF(G184=0,0,-1*((G184/G141)*(LN(G184/G141))))</f>
        <v>0.18172628109204292</v>
      </c>
      <c r="L184" s="153">
        <f ca="1">IF(G184=0,0,(G184/G141)^2)</f>
        <v>4.5380795295636277E-3</v>
      </c>
    </row>
    <row r="185" spans="1:12">
      <c r="A185" s="143" t="s">
        <v>163</v>
      </c>
      <c r="B185" s="53">
        <f ca="1">Transect1!H47</f>
        <v>0</v>
      </c>
      <c r="C185" s="53">
        <f ca="1">'Transect 2'!H47</f>
        <v>0</v>
      </c>
      <c r="D185" s="53">
        <f ca="1">'Transect 3'!H47</f>
        <v>1</v>
      </c>
      <c r="E185" s="53">
        <f ca="1">'Transect 4'!H47</f>
        <v>0</v>
      </c>
      <c r="F185" s="53">
        <f ca="1">Transect5!H47</f>
        <v>1</v>
      </c>
      <c r="G185" s="53">
        <f t="shared" ca="1" si="20"/>
        <v>2</v>
      </c>
      <c r="H185" s="50">
        <f t="shared" ca="1" si="21"/>
        <v>0.4</v>
      </c>
      <c r="I185" s="50">
        <f t="shared" ca="1" si="22"/>
        <v>0.54772255750516607</v>
      </c>
      <c r="J185" s="50">
        <f t="shared" ca="1" si="23"/>
        <v>0.24494897427831777</v>
      </c>
      <c r="K185" s="50">
        <f ca="1">IF(G185=0,0,-1*((G185/G141)*(LN(G185/G141))))</f>
        <v>1.739862572747515E-2</v>
      </c>
      <c r="L185" s="153">
        <f ca="1">IF(G185=0,0,(G185/G141)^2)</f>
        <v>8.9641077127182775E-6</v>
      </c>
    </row>
    <row r="186" spans="1:12">
      <c r="A186" s="143" t="s">
        <v>165</v>
      </c>
      <c r="B186" s="53">
        <f ca="1">Transect1!H48</f>
        <v>0</v>
      </c>
      <c r="C186" s="53">
        <f ca="1">'Transect 2'!H48</f>
        <v>0</v>
      </c>
      <c r="D186" s="53">
        <f ca="1">'Transect 3'!H48</f>
        <v>1</v>
      </c>
      <c r="E186" s="53">
        <f ca="1">'Transect 4'!H48</f>
        <v>0</v>
      </c>
      <c r="F186" s="53">
        <f ca="1">Transect5!H48</f>
        <v>0</v>
      </c>
      <c r="G186" s="53">
        <f t="shared" ca="1" si="20"/>
        <v>1</v>
      </c>
      <c r="H186" s="50">
        <f t="shared" ca="1" si="21"/>
        <v>0.2</v>
      </c>
      <c r="I186" s="50">
        <f t="shared" ca="1" si="22"/>
        <v>0.44721359549995793</v>
      </c>
      <c r="J186" s="50">
        <f t="shared" ca="1" si="23"/>
        <v>0.19999999999999998</v>
      </c>
      <c r="K186" s="50">
        <f ca="1">IF(G186=0,0,-1*((G186/G141)*(LN(G186/G141))))</f>
        <v>9.7369583436177336E-3</v>
      </c>
      <c r="L186" s="153">
        <f ca="1">IF(G186=0,0,(G186/G141)^2)</f>
        <v>2.2410269281795694E-6</v>
      </c>
    </row>
    <row r="187" spans="1:12">
      <c r="A187" s="143" t="s">
        <v>167</v>
      </c>
      <c r="B187" s="53">
        <f ca="1">Transect1!H49</f>
        <v>0</v>
      </c>
      <c r="C187" s="53">
        <f ca="1">'Transect 2'!H49</f>
        <v>1</v>
      </c>
      <c r="D187" s="53">
        <f ca="1">'Transect 3'!H49</f>
        <v>0</v>
      </c>
      <c r="E187" s="53">
        <f ca="1">'Transect 4'!H49</f>
        <v>3</v>
      </c>
      <c r="F187" s="53">
        <f ca="1">Transect5!H49</f>
        <v>0</v>
      </c>
      <c r="G187" s="53">
        <f t="shared" ref="G187:G218" ca="1" si="24">SUM(B187:F187)</f>
        <v>4</v>
      </c>
      <c r="H187" s="50">
        <f t="shared" ref="H187:H210" ca="1" si="25">AVERAGE(B187:F187)</f>
        <v>0.8</v>
      </c>
      <c r="I187" s="50">
        <f t="shared" ref="I187:I210" ca="1" si="26">STDEV(B187:F187)</f>
        <v>1.3038404810405297</v>
      </c>
      <c r="J187" s="50">
        <f t="shared" ref="J187:J218" ca="1" si="27">I187/SQRT(5)</f>
        <v>0.58309518948452999</v>
      </c>
      <c r="K187" s="50">
        <f ca="1">IF(G187=0,0,-1*((G187/G141)*(LN(G187/G141))))</f>
        <v>3.0646669535429674E-2</v>
      </c>
      <c r="L187" s="153">
        <f ca="1">IF(G187=0,0,(G187/G141)^2)</f>
        <v>3.585643085087311E-5</v>
      </c>
    </row>
    <row r="188" spans="1:12">
      <c r="A188" s="143" t="s">
        <v>169</v>
      </c>
      <c r="B188" s="53">
        <f ca="1">Transect1!H50</f>
        <v>1</v>
      </c>
      <c r="C188" s="53">
        <f ca="1">'Transect 2'!H50</f>
        <v>0</v>
      </c>
      <c r="D188" s="53">
        <f ca="1">'Transect 3'!H50</f>
        <v>0</v>
      </c>
      <c r="E188" s="53">
        <f ca="1">'Transect 4'!H50</f>
        <v>0</v>
      </c>
      <c r="F188" s="53">
        <f ca="1">Transect5!H50</f>
        <v>0</v>
      </c>
      <c r="G188" s="53">
        <f t="shared" ca="1" si="24"/>
        <v>1</v>
      </c>
      <c r="H188" s="50">
        <f t="shared" ca="1" si="25"/>
        <v>0.2</v>
      </c>
      <c r="I188" s="50">
        <f t="shared" ca="1" si="26"/>
        <v>0.44721359549995793</v>
      </c>
      <c r="J188" s="50">
        <f t="shared" ca="1" si="27"/>
        <v>0.19999999999999998</v>
      </c>
      <c r="K188" s="50">
        <f ca="1">IF(G188=0,0,-1*((G188/G141)*(LN(G188/G141))))</f>
        <v>9.7369583436177336E-3</v>
      </c>
      <c r="L188" s="153">
        <f ca="1">IF(G188=0,0,(G188/G141)^2)</f>
        <v>2.2410269281795694E-6</v>
      </c>
    </row>
    <row r="189" spans="1:12">
      <c r="A189" s="143" t="s">
        <v>170</v>
      </c>
      <c r="B189" s="53">
        <f ca="1">Transect1!H51</f>
        <v>0</v>
      </c>
      <c r="C189" s="53">
        <f ca="1">'Transect 2'!H51</f>
        <v>0</v>
      </c>
      <c r="D189" s="53">
        <f ca="1">'Transect 3'!H51</f>
        <v>0</v>
      </c>
      <c r="E189" s="53">
        <f ca="1">'Transect 4'!H51</f>
        <v>0</v>
      </c>
      <c r="F189" s="53">
        <f ca="1">Transect5!H51</f>
        <v>0</v>
      </c>
      <c r="G189" s="53">
        <f t="shared" ca="1" si="24"/>
        <v>0</v>
      </c>
      <c r="H189" s="50">
        <f t="shared" ca="1" si="25"/>
        <v>0</v>
      </c>
      <c r="I189" s="50">
        <f t="shared" ca="1" si="26"/>
        <v>0</v>
      </c>
      <c r="J189" s="50">
        <f t="shared" ca="1" si="27"/>
        <v>0</v>
      </c>
      <c r="K189" s="50">
        <f ca="1">IF(G189=0,0,-1*((G189/G141)*(LN(G189/G141))))</f>
        <v>0</v>
      </c>
      <c r="L189" s="153">
        <f ca="1">IF(G189=0,0,(G189/G141)^2)</f>
        <v>0</v>
      </c>
    </row>
    <row r="190" spans="1:12">
      <c r="A190" s="143" t="s">
        <v>172</v>
      </c>
      <c r="B190" s="53">
        <f ca="1">Transect1!H52</f>
        <v>0</v>
      </c>
      <c r="C190" s="53">
        <f ca="1">'Transect 2'!H52</f>
        <v>0</v>
      </c>
      <c r="D190" s="53">
        <f ca="1">'Transect 3'!H52</f>
        <v>0</v>
      </c>
      <c r="E190" s="53">
        <f ca="1">'Transect 4'!H52</f>
        <v>0</v>
      </c>
      <c r="F190" s="53">
        <f ca="1">Transect5!H52</f>
        <v>0</v>
      </c>
      <c r="G190" s="53">
        <f t="shared" ca="1" si="24"/>
        <v>0</v>
      </c>
      <c r="H190" s="50">
        <f t="shared" ca="1" si="25"/>
        <v>0</v>
      </c>
      <c r="I190" s="50">
        <f t="shared" ca="1" si="26"/>
        <v>0</v>
      </c>
      <c r="J190" s="50">
        <f t="shared" ca="1" si="27"/>
        <v>0</v>
      </c>
      <c r="K190" s="50">
        <f ca="1">IF(G190=0,0,-1*((G190/G141)*(LN(G190/G141))))</f>
        <v>0</v>
      </c>
      <c r="L190" s="153">
        <f ca="1">IF(G190=0,0,(G190/G141)^2)</f>
        <v>0</v>
      </c>
    </row>
    <row r="191" spans="1:12">
      <c r="A191" s="143" t="s">
        <v>174</v>
      </c>
      <c r="B191" s="53">
        <f ca="1">Transect1!H53</f>
        <v>0</v>
      </c>
      <c r="C191" s="53">
        <f ca="1">'Transect 2'!H53</f>
        <v>0</v>
      </c>
      <c r="D191" s="53">
        <f ca="1">'Transect 3'!H53</f>
        <v>0</v>
      </c>
      <c r="E191" s="53">
        <f ca="1">'Transect 4'!H53</f>
        <v>0</v>
      </c>
      <c r="F191" s="53">
        <f ca="1">Transect5!H53</f>
        <v>0</v>
      </c>
      <c r="G191" s="53">
        <f t="shared" ca="1" si="24"/>
        <v>0</v>
      </c>
      <c r="H191" s="50">
        <f t="shared" ca="1" si="25"/>
        <v>0</v>
      </c>
      <c r="I191" s="50">
        <f t="shared" ca="1" si="26"/>
        <v>0</v>
      </c>
      <c r="J191" s="50">
        <f t="shared" ca="1" si="27"/>
        <v>0</v>
      </c>
      <c r="K191" s="50">
        <f ca="1">IF(G191=0,0,-1*((G191/G141)*(LN(G191/G141))))</f>
        <v>0</v>
      </c>
      <c r="L191" s="153">
        <f ca="1">IF(G191=0,0,(G191/G141)^2)</f>
        <v>0</v>
      </c>
    </row>
    <row r="192" spans="1:12">
      <c r="A192" s="143" t="s">
        <v>176</v>
      </c>
      <c r="B192" s="53">
        <f ca="1">Transect1!H54</f>
        <v>3</v>
      </c>
      <c r="C192" s="53">
        <f ca="1">'Transect 2'!H54</f>
        <v>0</v>
      </c>
      <c r="D192" s="53">
        <f ca="1">'Transect 3'!H54</f>
        <v>0</v>
      </c>
      <c r="E192" s="53">
        <f ca="1">'Transect 4'!H54</f>
        <v>2</v>
      </c>
      <c r="F192" s="53">
        <f ca="1">Transect5!H54</f>
        <v>0</v>
      </c>
      <c r="G192" s="53">
        <f t="shared" ca="1" si="24"/>
        <v>5</v>
      </c>
      <c r="H192" s="50">
        <f t="shared" ca="1" si="25"/>
        <v>1</v>
      </c>
      <c r="I192" s="50">
        <f t="shared" ca="1" si="26"/>
        <v>1.4142135623730951</v>
      </c>
      <c r="J192" s="50">
        <f t="shared" ca="1" si="27"/>
        <v>0.63245553203367588</v>
      </c>
      <c r="K192" s="50">
        <f ca="1">IF(G192=0,0,-1*((G192/G141)*(LN(G192/G141))))</f>
        <v>3.6638100756755582E-2</v>
      </c>
      <c r="L192" s="153">
        <f ca="1">IF(G192=0,0,(G192/G141)^2)</f>
        <v>5.6025673204489224E-5</v>
      </c>
    </row>
    <row r="193" spans="1:12">
      <c r="A193" s="143" t="s">
        <v>177</v>
      </c>
      <c r="B193" s="53">
        <f ca="1">Transect1!H55</f>
        <v>0</v>
      </c>
      <c r="C193" s="53">
        <f ca="1">'Transect 2'!H55</f>
        <v>0</v>
      </c>
      <c r="D193" s="53">
        <f ca="1">'Transect 3'!H55</f>
        <v>0</v>
      </c>
      <c r="E193" s="53">
        <f ca="1">'Transect 4'!H55</f>
        <v>0</v>
      </c>
      <c r="F193" s="53">
        <f ca="1">Transect5!H55</f>
        <v>0</v>
      </c>
      <c r="G193" s="53">
        <f t="shared" ca="1" si="24"/>
        <v>0</v>
      </c>
      <c r="H193" s="50">
        <f t="shared" ca="1" si="25"/>
        <v>0</v>
      </c>
      <c r="I193" s="50">
        <f t="shared" ca="1" si="26"/>
        <v>0</v>
      </c>
      <c r="J193" s="50">
        <f t="shared" ca="1" si="27"/>
        <v>0</v>
      </c>
      <c r="K193" s="50">
        <f ca="1">IF(G193=0,0,-1*((G193/G141)*(LN(G193/G141))))</f>
        <v>0</v>
      </c>
      <c r="L193" s="153">
        <f ca="1">IF(G193=0,0,(G193/G141)^2)</f>
        <v>0</v>
      </c>
    </row>
    <row r="194" spans="1:12">
      <c r="A194" s="143" t="s">
        <v>179</v>
      </c>
      <c r="B194" s="53">
        <f ca="1">Transect1!H56</f>
        <v>0</v>
      </c>
      <c r="C194" s="53">
        <f ca="1">'Transect 2'!H56</f>
        <v>0</v>
      </c>
      <c r="D194" s="53">
        <f ca="1">'Transect 3'!H56</f>
        <v>0</v>
      </c>
      <c r="E194" s="53">
        <f ca="1">'Transect 4'!H56</f>
        <v>0</v>
      </c>
      <c r="F194" s="53">
        <f ca="1">Transect5!H56</f>
        <v>0</v>
      </c>
      <c r="G194" s="53">
        <f t="shared" ca="1" si="24"/>
        <v>0</v>
      </c>
      <c r="H194" s="50">
        <f t="shared" ca="1" si="25"/>
        <v>0</v>
      </c>
      <c r="I194" s="50">
        <f t="shared" ca="1" si="26"/>
        <v>0</v>
      </c>
      <c r="J194" s="50">
        <f t="shared" ca="1" si="27"/>
        <v>0</v>
      </c>
      <c r="K194" s="50">
        <f ca="1">IF(G194=0,0,-1*((G194/G141)*(LN(G194/G141))))</f>
        <v>0</v>
      </c>
      <c r="L194" s="153">
        <f ca="1">IF(G194=0,0,(G194/G141)^2)</f>
        <v>0</v>
      </c>
    </row>
    <row r="195" spans="1:12">
      <c r="A195" s="143" t="s">
        <v>181</v>
      </c>
      <c r="B195" s="53">
        <f ca="1">Transect1!H57</f>
        <v>0</v>
      </c>
      <c r="C195" s="53">
        <f ca="1">'Transect 2'!H57</f>
        <v>0</v>
      </c>
      <c r="D195" s="53">
        <f ca="1">'Transect 3'!H57</f>
        <v>0</v>
      </c>
      <c r="E195" s="53">
        <f ca="1">'Transect 4'!H57</f>
        <v>0</v>
      </c>
      <c r="F195" s="53">
        <f ca="1">Transect5!H57</f>
        <v>0</v>
      </c>
      <c r="G195" s="53">
        <f t="shared" ca="1" si="24"/>
        <v>0</v>
      </c>
      <c r="H195" s="50">
        <f t="shared" ca="1" si="25"/>
        <v>0</v>
      </c>
      <c r="I195" s="50">
        <f t="shared" ca="1" si="26"/>
        <v>0</v>
      </c>
      <c r="J195" s="50">
        <f t="shared" ca="1" si="27"/>
        <v>0</v>
      </c>
      <c r="K195" s="50">
        <f ca="1">IF(G195=0,0,-1*((G195/G141)*(LN(G195/G141))))</f>
        <v>0</v>
      </c>
      <c r="L195" s="153">
        <f ca="1">IF(G195=0,0,(G195/G141)^2)</f>
        <v>0</v>
      </c>
    </row>
    <row r="196" spans="1:12">
      <c r="A196" s="143" t="s">
        <v>183</v>
      </c>
      <c r="B196" s="53">
        <f ca="1">Transect1!H58</f>
        <v>10</v>
      </c>
      <c r="C196" s="53">
        <f ca="1">'Transect 2'!H58</f>
        <v>23</v>
      </c>
      <c r="D196" s="53">
        <f ca="1">'Transect 3'!H58</f>
        <v>7</v>
      </c>
      <c r="E196" s="53">
        <f ca="1">'Transect 4'!H58</f>
        <v>6</v>
      </c>
      <c r="F196" s="53">
        <f ca="1">Transect5!H58</f>
        <v>5</v>
      </c>
      <c r="G196" s="53">
        <f t="shared" ca="1" si="24"/>
        <v>51</v>
      </c>
      <c r="H196" s="50">
        <f t="shared" ca="1" si="25"/>
        <v>10.199999999999999</v>
      </c>
      <c r="I196" s="50">
        <f t="shared" ca="1" si="26"/>
        <v>7.3959448348402379</v>
      </c>
      <c r="J196" s="50">
        <f t="shared" ca="1" si="27"/>
        <v>3.3075670817082452</v>
      </c>
      <c r="K196" s="50">
        <f ca="1">IF(G196=0,0,-1*((G196/G141)*(LN(G196/G141))))</f>
        <v>0.19640058320573103</v>
      </c>
      <c r="L196" s="153">
        <f ca="1">IF(G196=0,0,(G196/G141)^2)</f>
        <v>5.8289110401950599E-3</v>
      </c>
    </row>
    <row r="197" spans="1:12">
      <c r="A197" s="143" t="s">
        <v>184</v>
      </c>
      <c r="B197" s="53">
        <f ca="1">Transect1!H59</f>
        <v>0</v>
      </c>
      <c r="C197" s="53">
        <f ca="1">'Transect 2'!H59</f>
        <v>0</v>
      </c>
      <c r="D197" s="53">
        <f ca="1">'Transect 3'!H59</f>
        <v>0</v>
      </c>
      <c r="E197" s="53">
        <f ca="1">'Transect 4'!H59</f>
        <v>0</v>
      </c>
      <c r="F197" s="53">
        <f ca="1">Transect5!H59</f>
        <v>0</v>
      </c>
      <c r="G197" s="53">
        <f t="shared" ca="1" si="24"/>
        <v>0</v>
      </c>
      <c r="H197" s="50">
        <f t="shared" ca="1" si="25"/>
        <v>0</v>
      </c>
      <c r="I197" s="50">
        <f t="shared" ca="1" si="26"/>
        <v>0</v>
      </c>
      <c r="J197" s="50">
        <f t="shared" ca="1" si="27"/>
        <v>0</v>
      </c>
      <c r="K197" s="50">
        <f ca="1">IF(G197=0,0,-1*((G197/G141)*(LN(G197/G141))))</f>
        <v>0</v>
      </c>
      <c r="L197" s="153">
        <f ca="1">IF(G197=0,0,(G197/G141)^2)</f>
        <v>0</v>
      </c>
    </row>
    <row r="198" spans="1:12">
      <c r="A198" s="143" t="s">
        <v>186</v>
      </c>
      <c r="B198" s="53">
        <f ca="1">Transect1!H60</f>
        <v>0</v>
      </c>
      <c r="C198" s="53">
        <f ca="1">'Transect 2'!H60</f>
        <v>3</v>
      </c>
      <c r="D198" s="53">
        <f ca="1">'Transect 3'!H60</f>
        <v>2</v>
      </c>
      <c r="E198" s="53">
        <f ca="1">'Transect 4'!H60</f>
        <v>1</v>
      </c>
      <c r="F198" s="53">
        <f ca="1">Transect5!H60</f>
        <v>0</v>
      </c>
      <c r="G198" s="53">
        <f t="shared" ca="1" si="24"/>
        <v>6</v>
      </c>
      <c r="H198" s="50">
        <f t="shared" ca="1" si="25"/>
        <v>1.2</v>
      </c>
      <c r="I198" s="50">
        <f t="shared" ca="1" si="26"/>
        <v>1.3038404810405297</v>
      </c>
      <c r="J198" s="50">
        <f t="shared" ca="1" si="27"/>
        <v>0.58309518948452999</v>
      </c>
      <c r="K198" s="50">
        <f ca="1">IF(G198=0,0,-1*((G198/G141)*(LN(G198/G141))))</f>
        <v>4.23281021345083E-2</v>
      </c>
      <c r="L198" s="153">
        <f ca="1">IF(G198=0,0,(G198/G141)^2)</f>
        <v>8.0676969414464472E-5</v>
      </c>
    </row>
    <row r="199" spans="1:12">
      <c r="A199" s="143" t="s">
        <v>188</v>
      </c>
      <c r="B199" s="53">
        <f ca="1">Transect1!H61</f>
        <v>0</v>
      </c>
      <c r="C199" s="53">
        <f ca="1">'Transect 2'!H61</f>
        <v>3</v>
      </c>
      <c r="D199" s="53">
        <f ca="1">'Transect 3'!H61</f>
        <v>0</v>
      </c>
      <c r="E199" s="53">
        <f ca="1">'Transect 4'!H61</f>
        <v>0</v>
      </c>
      <c r="F199" s="53">
        <f ca="1">Transect5!H61</f>
        <v>1</v>
      </c>
      <c r="G199" s="53">
        <f t="shared" ca="1" si="24"/>
        <v>4</v>
      </c>
      <c r="H199" s="50">
        <f t="shared" ca="1" si="25"/>
        <v>0.8</v>
      </c>
      <c r="I199" s="50">
        <f t="shared" ca="1" si="26"/>
        <v>1.3038404810405297</v>
      </c>
      <c r="J199" s="50">
        <f t="shared" ca="1" si="27"/>
        <v>0.58309518948452999</v>
      </c>
      <c r="K199" s="50">
        <f ca="1">IF(G199=0,0,-1*((G199/G141)*(LN(G199/G141))))</f>
        <v>3.0646669535429674E-2</v>
      </c>
      <c r="L199" s="153">
        <f ca="1">IF(G199=0,0,(G199/G141)^2)</f>
        <v>3.585643085087311E-5</v>
      </c>
    </row>
    <row r="200" spans="1:12">
      <c r="A200" s="143" t="s">
        <v>190</v>
      </c>
      <c r="B200" s="53">
        <f ca="1">Transect1!H62</f>
        <v>0</v>
      </c>
      <c r="C200" s="53">
        <f ca="1">'Transect 2'!H62</f>
        <v>0</v>
      </c>
      <c r="D200" s="53">
        <f ca="1">'Transect 3'!H62</f>
        <v>0</v>
      </c>
      <c r="E200" s="53">
        <f ca="1">'Transect 4'!H62</f>
        <v>0</v>
      </c>
      <c r="F200" s="53">
        <f ca="1">Transect5!H62</f>
        <v>0</v>
      </c>
      <c r="G200" s="53">
        <f t="shared" ca="1" si="24"/>
        <v>0</v>
      </c>
      <c r="H200" s="50">
        <f t="shared" ca="1" si="25"/>
        <v>0</v>
      </c>
      <c r="I200" s="50">
        <f t="shared" ca="1" si="26"/>
        <v>0</v>
      </c>
      <c r="J200" s="50">
        <f t="shared" ca="1" si="27"/>
        <v>0</v>
      </c>
      <c r="K200" s="50">
        <f ca="1">IF(G200=0,0,-1*((G200/G141)*(LN(G200/G141))))</f>
        <v>0</v>
      </c>
      <c r="L200" s="153">
        <f ca="1">IF(G200=0,0,(G200/G141)^2)</f>
        <v>0</v>
      </c>
    </row>
    <row r="201" spans="1:12">
      <c r="A201" s="143" t="s">
        <v>192</v>
      </c>
      <c r="B201" s="53">
        <f ca="1">Transect1!H63</f>
        <v>0</v>
      </c>
      <c r="C201" s="53">
        <f ca="1">'Transect 2'!H63</f>
        <v>1</v>
      </c>
      <c r="D201" s="53">
        <f ca="1">'Transect 3'!H63</f>
        <v>0</v>
      </c>
      <c r="E201" s="53">
        <f ca="1">'Transect 4'!H63</f>
        <v>0</v>
      </c>
      <c r="F201" s="53">
        <f ca="1">Transect5!H63</f>
        <v>0</v>
      </c>
      <c r="G201" s="53">
        <f t="shared" ca="1" si="24"/>
        <v>1</v>
      </c>
      <c r="H201" s="50">
        <f t="shared" ca="1" si="25"/>
        <v>0.2</v>
      </c>
      <c r="I201" s="50">
        <f t="shared" ca="1" si="26"/>
        <v>0.44721359549995793</v>
      </c>
      <c r="J201" s="50">
        <f t="shared" ca="1" si="27"/>
        <v>0.19999999999999998</v>
      </c>
      <c r="K201" s="50">
        <f ca="1">IF(G201=0,0,-1*((G201/G141)*(LN(G201/G141))))</f>
        <v>9.7369583436177336E-3</v>
      </c>
      <c r="L201" s="153">
        <f ca="1">IF(G201=0,0,(G201/G141)^2)</f>
        <v>2.2410269281795694E-6</v>
      </c>
    </row>
    <row r="202" spans="1:12">
      <c r="A202" s="143" t="s">
        <v>194</v>
      </c>
      <c r="B202" s="53">
        <f ca="1">Transect1!H64</f>
        <v>1</v>
      </c>
      <c r="C202" s="53">
        <f ca="1">'Transect 2'!H64</f>
        <v>2</v>
      </c>
      <c r="D202" s="53">
        <f ca="1">'Transect 3'!H64</f>
        <v>7</v>
      </c>
      <c r="E202" s="53">
        <f ca="1">'Transect 4'!H64</f>
        <v>2</v>
      </c>
      <c r="F202" s="53">
        <f ca="1">Transect5!H64</f>
        <v>0</v>
      </c>
      <c r="G202" s="53">
        <f t="shared" ca="1" si="24"/>
        <v>12</v>
      </c>
      <c r="H202" s="50">
        <f t="shared" ca="1" si="25"/>
        <v>2.4</v>
      </c>
      <c r="I202" s="50">
        <f t="shared" ca="1" si="26"/>
        <v>2.7018512172212592</v>
      </c>
      <c r="J202" s="50">
        <f t="shared" ca="1" si="27"/>
        <v>1.2083045973594571</v>
      </c>
      <c r="K202" s="50">
        <f ca="1">IF(G202=0,0,-1*((G202/G141)*(LN(G202/G141))))</f>
        <v>7.2204458510454705E-2</v>
      </c>
      <c r="L202" s="153">
        <f ca="1">IF(G202=0,0,(G202/G141)^2)</f>
        <v>3.2270787765785789E-4</v>
      </c>
    </row>
    <row r="203" spans="1:12">
      <c r="A203" s="143" t="s">
        <v>195</v>
      </c>
      <c r="B203" s="53">
        <f ca="1">Transect1!H65</f>
        <v>0</v>
      </c>
      <c r="C203" s="53">
        <f ca="1">'Transect 2'!H65</f>
        <v>0</v>
      </c>
      <c r="D203" s="53">
        <f ca="1">'Transect 3'!H65</f>
        <v>0</v>
      </c>
      <c r="E203" s="53">
        <f ca="1">'Transect 4'!H65</f>
        <v>0</v>
      </c>
      <c r="F203" s="53">
        <f ca="1">Transect5!H65</f>
        <v>0</v>
      </c>
      <c r="G203" s="53">
        <f t="shared" ca="1" si="24"/>
        <v>0</v>
      </c>
      <c r="H203" s="50">
        <f t="shared" ca="1" si="25"/>
        <v>0</v>
      </c>
      <c r="I203" s="50">
        <f t="shared" ca="1" si="26"/>
        <v>0</v>
      </c>
      <c r="J203" s="50">
        <f t="shared" ca="1" si="27"/>
        <v>0</v>
      </c>
      <c r="K203" s="50">
        <f ca="1">IF(G203=0,0,-1*((G203/G141)*(LN(G203/G141))))</f>
        <v>0</v>
      </c>
      <c r="L203" s="153">
        <f ca="1">IF(G203=0,0,(G203/G141)^2)</f>
        <v>0</v>
      </c>
    </row>
    <row r="204" spans="1:12">
      <c r="A204" s="143" t="s">
        <v>197</v>
      </c>
      <c r="B204" s="53">
        <f ca="1">Transect1!H66</f>
        <v>0</v>
      </c>
      <c r="C204" s="53">
        <f ca="1">'Transect 2'!H66</f>
        <v>0</v>
      </c>
      <c r="D204" s="53">
        <f ca="1">'Transect 3'!H66</f>
        <v>0</v>
      </c>
      <c r="E204" s="53">
        <f ca="1">'Transect 4'!H66</f>
        <v>0</v>
      </c>
      <c r="F204" s="53">
        <f ca="1">Transect5!H66</f>
        <v>0</v>
      </c>
      <c r="G204" s="53">
        <f t="shared" ca="1" si="24"/>
        <v>0</v>
      </c>
      <c r="H204" s="50">
        <f t="shared" ca="1" si="25"/>
        <v>0</v>
      </c>
      <c r="I204" s="50">
        <f t="shared" ca="1" si="26"/>
        <v>0</v>
      </c>
      <c r="J204" s="50">
        <f t="shared" ca="1" si="27"/>
        <v>0</v>
      </c>
      <c r="K204" s="50">
        <f ca="1">IF(G204=0,0,-1*((G204/G141)*(LN(G204/G141))))</f>
        <v>0</v>
      </c>
      <c r="L204" s="153">
        <f ca="1">IF(G204=0,0,(G204/G141)^2)</f>
        <v>0</v>
      </c>
    </row>
    <row r="205" spans="1:12">
      <c r="A205" s="143" t="s">
        <v>199</v>
      </c>
      <c r="B205" s="53">
        <f ca="1">Transect1!H67</f>
        <v>0</v>
      </c>
      <c r="C205" s="53">
        <f ca="1">'Transect 2'!H67</f>
        <v>0</v>
      </c>
      <c r="D205" s="53">
        <f ca="1">'Transect 3'!H67</f>
        <v>0</v>
      </c>
      <c r="E205" s="53">
        <f ca="1">'Transect 4'!H67</f>
        <v>0</v>
      </c>
      <c r="F205" s="53">
        <f ca="1">Transect5!H67</f>
        <v>0</v>
      </c>
      <c r="G205" s="53">
        <f t="shared" ca="1" si="24"/>
        <v>0</v>
      </c>
      <c r="H205" s="50">
        <f t="shared" ca="1" si="25"/>
        <v>0</v>
      </c>
      <c r="I205" s="50">
        <f t="shared" ca="1" si="26"/>
        <v>0</v>
      </c>
      <c r="J205" s="50">
        <f t="shared" ca="1" si="27"/>
        <v>0</v>
      </c>
      <c r="K205" s="50">
        <f ca="1">IF(G205=0,0,-1*((G205/G141)*(LN(G205/G141))))</f>
        <v>0</v>
      </c>
      <c r="L205" s="153">
        <f ca="1">IF(G205=0,0,(G205/G141)^2)</f>
        <v>0</v>
      </c>
    </row>
    <row r="206" spans="1:12">
      <c r="A206" s="143" t="s">
        <v>201</v>
      </c>
      <c r="B206" s="53">
        <f ca="1">Transect1!H68</f>
        <v>0</v>
      </c>
      <c r="C206" s="53">
        <f ca="1">'Transect 2'!H68</f>
        <v>0</v>
      </c>
      <c r="D206" s="53">
        <f ca="1">'Transect 3'!H68</f>
        <v>0</v>
      </c>
      <c r="E206" s="53">
        <f ca="1">'Transect 4'!H68</f>
        <v>0</v>
      </c>
      <c r="F206" s="53">
        <f ca="1">Transect5!H68</f>
        <v>0</v>
      </c>
      <c r="G206" s="53">
        <f t="shared" ca="1" si="24"/>
        <v>0</v>
      </c>
      <c r="H206" s="50">
        <f t="shared" ca="1" si="25"/>
        <v>0</v>
      </c>
      <c r="I206" s="50">
        <f t="shared" ca="1" si="26"/>
        <v>0</v>
      </c>
      <c r="J206" s="50">
        <f t="shared" ca="1" si="27"/>
        <v>0</v>
      </c>
      <c r="K206" s="50">
        <f ca="1">IF(G206=0,0,-1*((G206/G141)*(LN(G206/G141))))</f>
        <v>0</v>
      </c>
      <c r="L206" s="153">
        <f ca="1">IF(G206=0,0,(G206/G141)^2)</f>
        <v>0</v>
      </c>
    </row>
    <row r="207" spans="1:12">
      <c r="A207" s="143" t="s">
        <v>203</v>
      </c>
      <c r="B207" s="53">
        <f ca="1">Transect1!H69</f>
        <v>0</v>
      </c>
      <c r="C207" s="53">
        <f ca="1">'Transect 2'!H69</f>
        <v>0</v>
      </c>
      <c r="D207" s="53">
        <f ca="1">'Transect 3'!H69</f>
        <v>0</v>
      </c>
      <c r="E207" s="53">
        <f ca="1">'Transect 4'!H69</f>
        <v>0</v>
      </c>
      <c r="F207" s="53">
        <f ca="1">Transect5!H69</f>
        <v>0</v>
      </c>
      <c r="G207" s="53">
        <f t="shared" ca="1" si="24"/>
        <v>0</v>
      </c>
      <c r="H207" s="50">
        <f t="shared" ca="1" si="25"/>
        <v>0</v>
      </c>
      <c r="I207" s="50">
        <f t="shared" ca="1" si="26"/>
        <v>0</v>
      </c>
      <c r="J207" s="50">
        <f t="shared" ca="1" si="27"/>
        <v>0</v>
      </c>
      <c r="K207" s="50">
        <f ca="1">IF(G207=0,0,-1*((G207/G141)*(LN(G207/G141))))</f>
        <v>0</v>
      </c>
      <c r="L207" s="153">
        <f ca="1">IF(G207=0,0,(G207/G141)^2)</f>
        <v>0</v>
      </c>
    </row>
    <row r="208" spans="1:12">
      <c r="A208" s="143" t="s">
        <v>205</v>
      </c>
      <c r="B208" s="53">
        <f ca="1">Transect1!H70</f>
        <v>3</v>
      </c>
      <c r="C208" s="53">
        <f ca="1">'Transect 2'!H70</f>
        <v>12</v>
      </c>
      <c r="D208" s="53">
        <f ca="1">'Transect 3'!H70</f>
        <v>6</v>
      </c>
      <c r="E208" s="53">
        <f ca="1">'Transect 4'!H70</f>
        <v>19</v>
      </c>
      <c r="F208" s="53">
        <f ca="1">Transect5!H70</f>
        <v>8</v>
      </c>
      <c r="G208" s="53">
        <f t="shared" ca="1" si="24"/>
        <v>48</v>
      </c>
      <c r="H208" s="50">
        <f t="shared" ca="1" si="25"/>
        <v>9.6</v>
      </c>
      <c r="I208" s="50">
        <f t="shared" ca="1" si="26"/>
        <v>6.1886993787063203</v>
      </c>
      <c r="J208" s="50">
        <f t="shared" ca="1" si="27"/>
        <v>2.7676705006196092</v>
      </c>
      <c r="K208" s="50">
        <f ca="1">IF(G208=0,0,-1*((G208/G141)*(LN(G208/G141))))</f>
        <v>0.18920386797332367</v>
      </c>
      <c r="L208" s="153">
        <f ca="1">IF(G208=0,0,(G208/G141)^2)</f>
        <v>5.1633260425257262E-3</v>
      </c>
    </row>
    <row r="209" spans="1:12">
      <c r="A209" s="143" t="s">
        <v>206</v>
      </c>
      <c r="B209" s="53">
        <f ca="1">Transect1!H71</f>
        <v>0</v>
      </c>
      <c r="C209" s="53">
        <f ca="1">'Transect 2'!H71</f>
        <v>0</v>
      </c>
      <c r="D209" s="53">
        <f ca="1">'Transect 3'!H71</f>
        <v>0</v>
      </c>
      <c r="E209" s="53">
        <f ca="1">'Transect 4'!H71</f>
        <v>3</v>
      </c>
      <c r="F209" s="53">
        <f ca="1">Transect5!H71</f>
        <v>0</v>
      </c>
      <c r="G209" s="53">
        <f t="shared" ca="1" si="24"/>
        <v>3</v>
      </c>
      <c r="H209" s="50">
        <f t="shared" ca="1" si="25"/>
        <v>0.6</v>
      </c>
      <c r="I209" s="50">
        <f t="shared" ca="1" si="26"/>
        <v>1.3416407864998738</v>
      </c>
      <c r="J209" s="50">
        <f t="shared" ca="1" si="27"/>
        <v>0.6</v>
      </c>
      <c r="K209" s="50">
        <f ca="1">IF(G209=0,0,-1*((G209/G141)*(LN(G209/G141))))</f>
        <v>2.4276987506894623E-2</v>
      </c>
      <c r="L209" s="153">
        <f ca="1">IF(G209=0,0,(G209/G141)^2)</f>
        <v>2.0169242353616118E-5</v>
      </c>
    </row>
    <row r="210" spans="1:12">
      <c r="A210" s="143" t="s">
        <v>208</v>
      </c>
      <c r="B210" s="53">
        <f ca="1">Transect1!H72</f>
        <v>0</v>
      </c>
      <c r="C210" s="53">
        <f ca="1">'Transect 2'!H72</f>
        <v>0</v>
      </c>
      <c r="D210" s="53">
        <f ca="1">'Transect 3'!H72</f>
        <v>0</v>
      </c>
      <c r="E210" s="53">
        <f ca="1">'Transect 4'!H72</f>
        <v>0</v>
      </c>
      <c r="F210" s="53">
        <f ca="1">Transect5!H72</f>
        <v>0</v>
      </c>
      <c r="G210" s="53">
        <f t="shared" ca="1" si="24"/>
        <v>0</v>
      </c>
      <c r="H210" s="50">
        <f t="shared" ca="1" si="25"/>
        <v>0</v>
      </c>
      <c r="I210" s="50">
        <f t="shared" ca="1" si="26"/>
        <v>0</v>
      </c>
      <c r="J210" s="50">
        <f t="shared" ca="1" si="27"/>
        <v>0</v>
      </c>
      <c r="K210" s="50">
        <f ca="1">IF(G210=0,0,-1*((G210/G141)*(LN(G210/G141))))</f>
        <v>0</v>
      </c>
      <c r="L210" s="153">
        <f ca="1">IF(G210=0,0,(G210/G141)^2)</f>
        <v>0</v>
      </c>
    </row>
    <row r="211" spans="1:12">
      <c r="A211" s="144" t="s">
        <v>352</v>
      </c>
      <c r="B211" s="51"/>
      <c r="C211" s="51"/>
      <c r="D211" s="51"/>
      <c r="E211" s="51"/>
      <c r="F211" s="51"/>
      <c r="G211" s="51"/>
      <c r="H211" s="51"/>
      <c r="I211" s="51"/>
      <c r="J211" s="51"/>
      <c r="K211" s="52">
        <f ca="1">SUM(K212:K223)</f>
        <v>0</v>
      </c>
      <c r="L211" s="154">
        <f ca="1">1-SUM(L212:L223)</f>
        <v>1</v>
      </c>
    </row>
    <row r="212" spans="1:12">
      <c r="A212" s="143" t="s">
        <v>210</v>
      </c>
      <c r="B212" s="53">
        <f ca="1">Transect1!H74</f>
        <v>0</v>
      </c>
      <c r="C212" s="53">
        <f ca="1">'Transect 2'!H74</f>
        <v>0</v>
      </c>
      <c r="D212" s="53">
        <f ca="1">'Transect 3'!H74</f>
        <v>0</v>
      </c>
      <c r="E212" s="53">
        <f ca="1">'Transect 4'!H74</f>
        <v>0</v>
      </c>
      <c r="F212" s="53">
        <f ca="1">Transect5!H74</f>
        <v>0</v>
      </c>
      <c r="G212" s="53">
        <f t="shared" ref="G212:G223" ca="1" si="28">SUM(B212:F212)</f>
        <v>0</v>
      </c>
      <c r="H212" s="50">
        <f t="shared" ref="H212:H223" ca="1" si="29">AVERAGE(B212:F212)</f>
        <v>0</v>
      </c>
      <c r="I212" s="50">
        <f t="shared" ref="I212:I223" ca="1" si="30">STDEV(B212:F212)</f>
        <v>0</v>
      </c>
      <c r="J212" s="50">
        <f t="shared" ref="J212:J223" ca="1" si="31">I212/SQRT(5)</f>
        <v>0</v>
      </c>
      <c r="K212" s="50">
        <f ca="1">IF(G212=0,0,-1*((G212/G142)*(LN(G212/G142))))</f>
        <v>0</v>
      </c>
      <c r="L212" s="153">
        <f ca="1">IF(G212=0,0,(G212/G142)^2)</f>
        <v>0</v>
      </c>
    </row>
    <row r="213" spans="1:12">
      <c r="A213" s="143" t="s">
        <v>212</v>
      </c>
      <c r="B213" s="53">
        <f ca="1">Transect1!H75</f>
        <v>0</v>
      </c>
      <c r="C213" s="53">
        <f ca="1">'Transect 2'!H75</f>
        <v>0</v>
      </c>
      <c r="D213" s="53">
        <f ca="1">'Transect 3'!H75</f>
        <v>0</v>
      </c>
      <c r="E213" s="53">
        <f ca="1">'Transect 4'!H75</f>
        <v>0</v>
      </c>
      <c r="F213" s="53">
        <f ca="1">Transect5!H75</f>
        <v>0</v>
      </c>
      <c r="G213" s="53">
        <f t="shared" ca="1" si="28"/>
        <v>0</v>
      </c>
      <c r="H213" s="50">
        <f t="shared" ca="1" si="29"/>
        <v>0</v>
      </c>
      <c r="I213" s="50">
        <f t="shared" ca="1" si="30"/>
        <v>0</v>
      </c>
      <c r="J213" s="50">
        <f t="shared" ca="1" si="31"/>
        <v>0</v>
      </c>
      <c r="K213" s="50">
        <f ca="1">IF(G213=0,0,-1*((G213/G142)*(LN(G213/G142))))</f>
        <v>0</v>
      </c>
      <c r="L213" s="153">
        <f ca="1">IF(G213=0,0,(G213/G142)^2)</f>
        <v>0</v>
      </c>
    </row>
    <row r="214" spans="1:12">
      <c r="A214" s="143" t="s">
        <v>214</v>
      </c>
      <c r="B214" s="53">
        <f ca="1">Transect1!H76</f>
        <v>0</v>
      </c>
      <c r="C214" s="53">
        <f ca="1">'Transect 2'!H76</f>
        <v>0</v>
      </c>
      <c r="D214" s="53">
        <f ca="1">'Transect 3'!H76</f>
        <v>0</v>
      </c>
      <c r="E214" s="53">
        <f ca="1">'Transect 4'!H76</f>
        <v>0</v>
      </c>
      <c r="F214" s="53">
        <f ca="1">Transect5!H76</f>
        <v>0</v>
      </c>
      <c r="G214" s="53">
        <f t="shared" ca="1" si="28"/>
        <v>0</v>
      </c>
      <c r="H214" s="50">
        <f t="shared" ca="1" si="29"/>
        <v>0</v>
      </c>
      <c r="I214" s="50">
        <f t="shared" ca="1" si="30"/>
        <v>0</v>
      </c>
      <c r="J214" s="50">
        <f t="shared" ca="1" si="31"/>
        <v>0</v>
      </c>
      <c r="K214" s="50">
        <f ca="1">IF(G214=0,0,-1*((G214/G142)*(LN(G214/G142))))</f>
        <v>0</v>
      </c>
      <c r="L214" s="153">
        <f ca="1">IF(G214=0,0,(G214/G142)^2)</f>
        <v>0</v>
      </c>
    </row>
    <row r="215" spans="1:12">
      <c r="A215" s="143" t="s">
        <v>216</v>
      </c>
      <c r="B215" s="53">
        <f ca="1">Transect1!H77</f>
        <v>0</v>
      </c>
      <c r="C215" s="53">
        <f ca="1">'Transect 2'!H77</f>
        <v>0</v>
      </c>
      <c r="D215" s="53">
        <f ca="1">'Transect 3'!H77</f>
        <v>0</v>
      </c>
      <c r="E215" s="53">
        <f ca="1">'Transect 4'!H77</f>
        <v>0</v>
      </c>
      <c r="F215" s="53">
        <f ca="1">Transect5!H77</f>
        <v>0</v>
      </c>
      <c r="G215" s="53">
        <f t="shared" ca="1" si="28"/>
        <v>0</v>
      </c>
      <c r="H215" s="50">
        <f t="shared" ca="1" si="29"/>
        <v>0</v>
      </c>
      <c r="I215" s="50">
        <f t="shared" ca="1" si="30"/>
        <v>0</v>
      </c>
      <c r="J215" s="50">
        <f t="shared" ca="1" si="31"/>
        <v>0</v>
      </c>
      <c r="K215" s="50">
        <f ca="1">IF(G215=0,0,-1*((G215/G142)*(LN(G215/G142))))</f>
        <v>0</v>
      </c>
      <c r="L215" s="153">
        <f ca="1">IF(G215=0,0,(G215/G142)^2)</f>
        <v>0</v>
      </c>
    </row>
    <row r="216" spans="1:12">
      <c r="A216" s="143" t="s">
        <v>218</v>
      </c>
      <c r="B216" s="53">
        <f ca="1">Transect1!H78</f>
        <v>0</v>
      </c>
      <c r="C216" s="53">
        <f ca="1">'Transect 2'!H78</f>
        <v>0</v>
      </c>
      <c r="D216" s="53">
        <f ca="1">'Transect 3'!H78</f>
        <v>0</v>
      </c>
      <c r="E216" s="53">
        <f ca="1">'Transect 4'!H78</f>
        <v>0</v>
      </c>
      <c r="F216" s="53">
        <f ca="1">Transect5!H78</f>
        <v>0</v>
      </c>
      <c r="G216" s="53">
        <f t="shared" ca="1" si="28"/>
        <v>0</v>
      </c>
      <c r="H216" s="50">
        <f t="shared" ca="1" si="29"/>
        <v>0</v>
      </c>
      <c r="I216" s="50">
        <f t="shared" ca="1" si="30"/>
        <v>0</v>
      </c>
      <c r="J216" s="50">
        <f t="shared" ca="1" si="31"/>
        <v>0</v>
      </c>
      <c r="K216" s="50">
        <f ca="1">IF(G216=0,0,-1*((G216/G142)*(LN(G216/G142))))</f>
        <v>0</v>
      </c>
      <c r="L216" s="153">
        <f ca="1">IF(G216=0,0,(G216/G142)^2)</f>
        <v>0</v>
      </c>
    </row>
    <row r="217" spans="1:12">
      <c r="A217" s="143" t="s">
        <v>220</v>
      </c>
      <c r="B217" s="53">
        <f ca="1">Transect1!H79</f>
        <v>0</v>
      </c>
      <c r="C217" s="53">
        <f ca="1">'Transect 2'!H79</f>
        <v>0</v>
      </c>
      <c r="D217" s="53">
        <f ca="1">'Transect 3'!H79</f>
        <v>0</v>
      </c>
      <c r="E217" s="53">
        <f ca="1">'Transect 4'!H79</f>
        <v>0</v>
      </c>
      <c r="F217" s="53">
        <f ca="1">Transect5!H79</f>
        <v>0</v>
      </c>
      <c r="G217" s="53">
        <f t="shared" ca="1" si="28"/>
        <v>0</v>
      </c>
      <c r="H217" s="50">
        <f t="shared" ca="1" si="29"/>
        <v>0</v>
      </c>
      <c r="I217" s="50">
        <f t="shared" ca="1" si="30"/>
        <v>0</v>
      </c>
      <c r="J217" s="50">
        <f t="shared" ca="1" si="31"/>
        <v>0</v>
      </c>
      <c r="K217" s="50">
        <f ca="1">IF(G217=0,0,-1*((G217/G142)*(LN(G217/G142))))</f>
        <v>0</v>
      </c>
      <c r="L217" s="153">
        <f ca="1">IF(G217=0,0,(G217/G142)^2)</f>
        <v>0</v>
      </c>
    </row>
    <row r="218" spans="1:12">
      <c r="A218" s="143" t="s">
        <v>414</v>
      </c>
      <c r="B218" s="53">
        <f ca="1">Transect1!H80</f>
        <v>0</v>
      </c>
      <c r="C218" s="53">
        <f ca="1">'Transect 2'!H80</f>
        <v>0</v>
      </c>
      <c r="D218" s="53">
        <f ca="1">'Transect 3'!H80</f>
        <v>0</v>
      </c>
      <c r="E218" s="53">
        <f ca="1">'Transect 4'!H80</f>
        <v>0</v>
      </c>
      <c r="F218" s="53">
        <f ca="1">Transect5!H80</f>
        <v>0</v>
      </c>
      <c r="G218" s="53">
        <f t="shared" ca="1" si="28"/>
        <v>0</v>
      </c>
      <c r="H218" s="50">
        <f t="shared" ca="1" si="29"/>
        <v>0</v>
      </c>
      <c r="I218" s="50">
        <f t="shared" ca="1" si="30"/>
        <v>0</v>
      </c>
      <c r="J218" s="50">
        <f t="shared" ca="1" si="31"/>
        <v>0</v>
      </c>
      <c r="K218" s="50">
        <f ca="1">IF(G218=0,0,-1*((G218/G142)*(LN(G218/G142))))</f>
        <v>0</v>
      </c>
      <c r="L218" s="153">
        <f ca="1">IF(G218=0,0,(G218/G142)^2)</f>
        <v>0</v>
      </c>
    </row>
    <row r="219" spans="1:12">
      <c r="A219" s="143" t="s">
        <v>224</v>
      </c>
      <c r="B219" s="53">
        <f ca="1">Transect1!H81</f>
        <v>0</v>
      </c>
      <c r="C219" s="53">
        <f ca="1">'Transect 2'!H81</f>
        <v>0</v>
      </c>
      <c r="D219" s="53">
        <f ca="1">'Transect 3'!H81</f>
        <v>0</v>
      </c>
      <c r="E219" s="53">
        <f ca="1">'Transect 4'!H81</f>
        <v>0</v>
      </c>
      <c r="F219" s="53">
        <f ca="1">Transect5!H81</f>
        <v>0</v>
      </c>
      <c r="G219" s="53">
        <f t="shared" ca="1" si="28"/>
        <v>0</v>
      </c>
      <c r="H219" s="50">
        <f t="shared" ca="1" si="29"/>
        <v>0</v>
      </c>
      <c r="I219" s="50">
        <f t="shared" ca="1" si="30"/>
        <v>0</v>
      </c>
      <c r="J219" s="50">
        <f t="shared" ca="1" si="31"/>
        <v>0</v>
      </c>
      <c r="K219" s="50">
        <f ca="1">IF(G219=0,0,-1*((G219/G142)*(LN(G219/G142))))</f>
        <v>0</v>
      </c>
      <c r="L219" s="153">
        <f ca="1">IF(G219=0,0,(G219/G142)^2)</f>
        <v>0</v>
      </c>
    </row>
    <row r="220" spans="1:12">
      <c r="A220" s="143" t="s">
        <v>226</v>
      </c>
      <c r="B220" s="53">
        <f ca="1">Transect1!H82</f>
        <v>0</v>
      </c>
      <c r="C220" s="53">
        <f ca="1">'Transect 2'!H82</f>
        <v>0</v>
      </c>
      <c r="D220" s="53">
        <f ca="1">'Transect 3'!H82</f>
        <v>0</v>
      </c>
      <c r="E220" s="53">
        <f ca="1">'Transect 4'!H82</f>
        <v>0</v>
      </c>
      <c r="F220" s="53">
        <f ca="1">Transect5!H82</f>
        <v>0</v>
      </c>
      <c r="G220" s="53">
        <f t="shared" ca="1" si="28"/>
        <v>0</v>
      </c>
      <c r="H220" s="50">
        <f t="shared" ca="1" si="29"/>
        <v>0</v>
      </c>
      <c r="I220" s="50">
        <f t="shared" ca="1" si="30"/>
        <v>0</v>
      </c>
      <c r="J220" s="50">
        <f t="shared" ca="1" si="31"/>
        <v>0</v>
      </c>
      <c r="K220" s="50">
        <f ca="1">IF(G220=0,0,-1*((G220/G142)*(LN(G220/G142))))</f>
        <v>0</v>
      </c>
      <c r="L220" s="153">
        <f ca="1">IF(G220=0,0,(G220/G142)^2)</f>
        <v>0</v>
      </c>
    </row>
    <row r="221" spans="1:12">
      <c r="A221" s="143" t="s">
        <v>228</v>
      </c>
      <c r="B221" s="53">
        <f ca="1">Transect1!H83</f>
        <v>0</v>
      </c>
      <c r="C221" s="53">
        <f ca="1">'Transect 2'!H83</f>
        <v>0</v>
      </c>
      <c r="D221" s="53">
        <f ca="1">'Transect 3'!H83</f>
        <v>0</v>
      </c>
      <c r="E221" s="53">
        <f ca="1">'Transect 4'!H83</f>
        <v>0</v>
      </c>
      <c r="F221" s="53">
        <f ca="1">Transect5!H83</f>
        <v>0</v>
      </c>
      <c r="G221" s="53">
        <f t="shared" ca="1" si="28"/>
        <v>0</v>
      </c>
      <c r="H221" s="50">
        <f t="shared" ca="1" si="29"/>
        <v>0</v>
      </c>
      <c r="I221" s="50">
        <f t="shared" ca="1" si="30"/>
        <v>0</v>
      </c>
      <c r="J221" s="50">
        <f t="shared" ca="1" si="31"/>
        <v>0</v>
      </c>
      <c r="K221" s="50">
        <f ca="1">IF(G221=0,0,-1*((G221/G142)*(LN(G221/G142))))</f>
        <v>0</v>
      </c>
      <c r="L221" s="153">
        <f ca="1">IF(G221=0,0,(G221/G142)^2)</f>
        <v>0</v>
      </c>
    </row>
    <row r="222" spans="1:12">
      <c r="A222" s="143" t="s">
        <v>230</v>
      </c>
      <c r="B222" s="53">
        <f ca="1">Transect1!H84</f>
        <v>0</v>
      </c>
      <c r="C222" s="53">
        <f ca="1">'Transect 2'!H84</f>
        <v>0</v>
      </c>
      <c r="D222" s="53">
        <f ca="1">'Transect 3'!H84</f>
        <v>0</v>
      </c>
      <c r="E222" s="53">
        <f ca="1">'Transect 4'!H84</f>
        <v>0</v>
      </c>
      <c r="F222" s="53">
        <f ca="1">Transect5!H84</f>
        <v>0</v>
      </c>
      <c r="G222" s="53">
        <f t="shared" ca="1" si="28"/>
        <v>0</v>
      </c>
      <c r="H222" s="50">
        <f t="shared" ca="1" si="29"/>
        <v>0</v>
      </c>
      <c r="I222" s="50">
        <f t="shared" ca="1" si="30"/>
        <v>0</v>
      </c>
      <c r="J222" s="50">
        <f t="shared" ca="1" si="31"/>
        <v>0</v>
      </c>
      <c r="K222" s="50">
        <f ca="1">IF(G222=0,0,-1*((G222/G142)*(LN(G222/G142))))</f>
        <v>0</v>
      </c>
      <c r="L222" s="153">
        <f ca="1">IF(G222=0,0,(G222/G142)^2)</f>
        <v>0</v>
      </c>
    </row>
    <row r="223" spans="1:12">
      <c r="A223" s="143" t="s">
        <v>232</v>
      </c>
      <c r="B223" s="53">
        <f ca="1">Transect1!H85</f>
        <v>0</v>
      </c>
      <c r="C223" s="53">
        <f ca="1">'Transect 2'!H85</f>
        <v>0</v>
      </c>
      <c r="D223" s="53">
        <f ca="1">'Transect 3'!H85</f>
        <v>0</v>
      </c>
      <c r="E223" s="53">
        <f ca="1">'Transect 4'!H85</f>
        <v>0</v>
      </c>
      <c r="F223" s="53">
        <f ca="1">Transect5!H85</f>
        <v>0</v>
      </c>
      <c r="G223" s="53">
        <f t="shared" ca="1" si="28"/>
        <v>0</v>
      </c>
      <c r="H223" s="50">
        <f t="shared" ca="1" si="29"/>
        <v>0</v>
      </c>
      <c r="I223" s="50">
        <f t="shared" ca="1" si="30"/>
        <v>0</v>
      </c>
      <c r="J223" s="50">
        <f t="shared" ca="1" si="31"/>
        <v>0</v>
      </c>
      <c r="K223" s="50">
        <f ca="1">IF(G223=0,0,-1*((G223/G142)*(LN(G223/G142))))</f>
        <v>0</v>
      </c>
      <c r="L223" s="153">
        <f ca="1">IF(G223=0,0,(G223/G142)^2)</f>
        <v>0</v>
      </c>
    </row>
    <row r="224" spans="1:12">
      <c r="A224" s="144" t="s">
        <v>353</v>
      </c>
      <c r="B224" s="51"/>
      <c r="C224" s="51"/>
      <c r="D224" s="51"/>
      <c r="E224" s="51"/>
      <c r="F224" s="51"/>
      <c r="G224" s="51"/>
      <c r="H224" s="51"/>
      <c r="I224" s="51"/>
      <c r="J224" s="51"/>
      <c r="K224" s="52">
        <f ca="1">SUM(K225:K245)</f>
        <v>0</v>
      </c>
      <c r="L224" s="154">
        <f ca="1">1-SUM(L225:L245)</f>
        <v>1</v>
      </c>
    </row>
    <row r="225" spans="1:12">
      <c r="A225" s="143" t="s">
        <v>234</v>
      </c>
      <c r="B225" s="53">
        <f ca="1">Transect1!H87</f>
        <v>0</v>
      </c>
      <c r="C225" s="53">
        <f ca="1">'Transect 2'!H87</f>
        <v>0</v>
      </c>
      <c r="D225" s="53">
        <f ca="1">'Transect 3'!H87</f>
        <v>0</v>
      </c>
      <c r="E225" s="53">
        <f ca="1">'Transect 4'!H87</f>
        <v>0</v>
      </c>
      <c r="F225" s="53">
        <f ca="1">Transect5!H87</f>
        <v>0</v>
      </c>
      <c r="G225" s="53">
        <f t="shared" ref="G225:G245" ca="1" si="32">SUM(B225:F225)</f>
        <v>0</v>
      </c>
      <c r="H225" s="50">
        <f t="shared" ref="H225:H245" ca="1" si="33">AVERAGE(B225:F225)</f>
        <v>0</v>
      </c>
      <c r="I225" s="50">
        <f t="shared" ref="I225:I245" ca="1" si="34">STDEV(B225:F225)</f>
        <v>0</v>
      </c>
      <c r="J225" s="50">
        <f t="shared" ref="J225:J245" ca="1" si="35">I225/SQRT(5)</f>
        <v>0</v>
      </c>
      <c r="K225" s="50">
        <f ca="1">IF(G225=0,0,-1*((G225/G143)*(LN(G225/G143))))</f>
        <v>0</v>
      </c>
      <c r="L225" s="153">
        <f ca="1">IF(G225=0,0,(G225/G143)^2)</f>
        <v>0</v>
      </c>
    </row>
    <row r="226" spans="1:12">
      <c r="A226" s="143" t="s">
        <v>236</v>
      </c>
      <c r="B226" s="53">
        <f ca="1">Transect1!H88</f>
        <v>0</v>
      </c>
      <c r="C226" s="53">
        <f ca="1">'Transect 2'!H88</f>
        <v>0</v>
      </c>
      <c r="D226" s="53">
        <f ca="1">'Transect 3'!H88</f>
        <v>0</v>
      </c>
      <c r="E226" s="53">
        <f ca="1">'Transect 4'!H88</f>
        <v>0</v>
      </c>
      <c r="F226" s="53">
        <f ca="1">Transect5!H88</f>
        <v>0</v>
      </c>
      <c r="G226" s="53">
        <f t="shared" ca="1" si="32"/>
        <v>0</v>
      </c>
      <c r="H226" s="50">
        <f t="shared" ca="1" si="33"/>
        <v>0</v>
      </c>
      <c r="I226" s="50">
        <f t="shared" ca="1" si="34"/>
        <v>0</v>
      </c>
      <c r="J226" s="50">
        <f t="shared" ca="1" si="35"/>
        <v>0</v>
      </c>
      <c r="K226" s="50">
        <f ca="1">IF(G226=0,0,-1*((G226/G143)*(LN(G226/G143))))</f>
        <v>0</v>
      </c>
      <c r="L226" s="153">
        <f ca="1">IF(G226=0,0,(G226/G143)^2)</f>
        <v>0</v>
      </c>
    </row>
    <row r="227" spans="1:12">
      <c r="A227" s="143" t="s">
        <v>415</v>
      </c>
      <c r="B227" s="53">
        <f ca="1">Transect1!H89</f>
        <v>0</v>
      </c>
      <c r="C227" s="53">
        <f ca="1">'Transect 2'!H89</f>
        <v>0</v>
      </c>
      <c r="D227" s="53">
        <f ca="1">'Transect 3'!H89</f>
        <v>0</v>
      </c>
      <c r="E227" s="53">
        <f ca="1">'Transect 4'!H89</f>
        <v>0</v>
      </c>
      <c r="F227" s="53">
        <f ca="1">Transect5!H89</f>
        <v>0</v>
      </c>
      <c r="G227" s="53">
        <f t="shared" ca="1" si="32"/>
        <v>0</v>
      </c>
      <c r="H227" s="50">
        <f t="shared" ca="1" si="33"/>
        <v>0</v>
      </c>
      <c r="I227" s="50">
        <f t="shared" ca="1" si="34"/>
        <v>0</v>
      </c>
      <c r="J227" s="50">
        <f t="shared" ca="1" si="35"/>
        <v>0</v>
      </c>
      <c r="K227" s="50">
        <f ca="1">IF(G227=0,0,-1*((G227/G143)*(LN(G227/G143))))</f>
        <v>0</v>
      </c>
      <c r="L227" s="153">
        <f ca="1">IF(G227=0,0,(G227/G143)^2)</f>
        <v>0</v>
      </c>
    </row>
    <row r="228" spans="1:12">
      <c r="A228" s="143" t="s">
        <v>240</v>
      </c>
      <c r="B228" s="53">
        <f ca="1">Transect1!H90</f>
        <v>0</v>
      </c>
      <c r="C228" s="53">
        <f ca="1">'Transect 2'!H90</f>
        <v>0</v>
      </c>
      <c r="D228" s="53">
        <f ca="1">'Transect 3'!H90</f>
        <v>0</v>
      </c>
      <c r="E228" s="53">
        <f ca="1">'Transect 4'!H90</f>
        <v>0</v>
      </c>
      <c r="F228" s="53">
        <f ca="1">Transect5!H90</f>
        <v>0</v>
      </c>
      <c r="G228" s="53">
        <f t="shared" ca="1" si="32"/>
        <v>0</v>
      </c>
      <c r="H228" s="50">
        <f t="shared" ca="1" si="33"/>
        <v>0</v>
      </c>
      <c r="I228" s="50">
        <f t="shared" ca="1" si="34"/>
        <v>0</v>
      </c>
      <c r="J228" s="50">
        <f t="shared" ca="1" si="35"/>
        <v>0</v>
      </c>
      <c r="K228" s="50">
        <f ca="1">IF(G228=0,0,-1*((G228/G143)*(LN(G228/G143))))</f>
        <v>0</v>
      </c>
      <c r="L228" s="153">
        <f ca="1">IF(G228=0,0,(G228/G143)^2)</f>
        <v>0</v>
      </c>
    </row>
    <row r="229" spans="1:12">
      <c r="A229" s="143" t="s">
        <v>242</v>
      </c>
      <c r="B229" s="53">
        <f ca="1">Transect1!H91</f>
        <v>0</v>
      </c>
      <c r="C229" s="53">
        <f ca="1">'Transect 2'!H91</f>
        <v>0</v>
      </c>
      <c r="D229" s="53">
        <f ca="1">'Transect 3'!H91</f>
        <v>0</v>
      </c>
      <c r="E229" s="53">
        <f ca="1">'Transect 4'!H91</f>
        <v>0</v>
      </c>
      <c r="F229" s="53">
        <f ca="1">Transect5!H91</f>
        <v>0</v>
      </c>
      <c r="G229" s="53">
        <f t="shared" ca="1" si="32"/>
        <v>0</v>
      </c>
      <c r="H229" s="50">
        <f t="shared" ca="1" si="33"/>
        <v>0</v>
      </c>
      <c r="I229" s="50">
        <f t="shared" ca="1" si="34"/>
        <v>0</v>
      </c>
      <c r="J229" s="50">
        <f t="shared" ca="1" si="35"/>
        <v>0</v>
      </c>
      <c r="K229" s="50">
        <f ca="1">IF(G229=0,0,-1*((G229/G143)*(LN(G229/G143))))</f>
        <v>0</v>
      </c>
      <c r="L229" s="153">
        <f ca="1">IF(G229=0,0,(G229/G143)^2)</f>
        <v>0</v>
      </c>
    </row>
    <row r="230" spans="1:12">
      <c r="A230" s="143" t="s">
        <v>244</v>
      </c>
      <c r="B230" s="53">
        <f ca="1">Transect1!H92</f>
        <v>0</v>
      </c>
      <c r="C230" s="53">
        <f ca="1">'Transect 2'!H92</f>
        <v>0</v>
      </c>
      <c r="D230" s="53">
        <f ca="1">'Transect 3'!H92</f>
        <v>0</v>
      </c>
      <c r="E230" s="53">
        <f ca="1">'Transect 4'!H92</f>
        <v>0</v>
      </c>
      <c r="F230" s="53">
        <f ca="1">Transect5!H92</f>
        <v>0</v>
      </c>
      <c r="G230" s="53">
        <f t="shared" ca="1" si="32"/>
        <v>0</v>
      </c>
      <c r="H230" s="50">
        <f t="shared" ca="1" si="33"/>
        <v>0</v>
      </c>
      <c r="I230" s="50">
        <f t="shared" ca="1" si="34"/>
        <v>0</v>
      </c>
      <c r="J230" s="50">
        <f t="shared" ca="1" si="35"/>
        <v>0</v>
      </c>
      <c r="K230" s="50">
        <f ca="1">IF(G230=0,0,-1*((G230/G143)*(LN(G230/G143))))</f>
        <v>0</v>
      </c>
      <c r="L230" s="153">
        <f ca="1">IF(G230=0,0,(G230/G143)^2)</f>
        <v>0</v>
      </c>
    </row>
    <row r="231" spans="1:12">
      <c r="A231" s="143" t="s">
        <v>246</v>
      </c>
      <c r="B231" s="53">
        <f ca="1">Transect1!H93</f>
        <v>0</v>
      </c>
      <c r="C231" s="53">
        <f ca="1">'Transect 2'!H93</f>
        <v>0</v>
      </c>
      <c r="D231" s="53">
        <f ca="1">'Transect 3'!H93</f>
        <v>0</v>
      </c>
      <c r="E231" s="53">
        <f ca="1">'Transect 4'!H93</f>
        <v>0</v>
      </c>
      <c r="F231" s="53">
        <f ca="1">Transect5!H93</f>
        <v>0</v>
      </c>
      <c r="G231" s="53">
        <f t="shared" ca="1" si="32"/>
        <v>0</v>
      </c>
      <c r="H231" s="50">
        <f t="shared" ca="1" si="33"/>
        <v>0</v>
      </c>
      <c r="I231" s="50">
        <f t="shared" ca="1" si="34"/>
        <v>0</v>
      </c>
      <c r="J231" s="50">
        <f t="shared" ca="1" si="35"/>
        <v>0</v>
      </c>
      <c r="K231" s="50">
        <f ca="1">IF(G231=0,0,-1*((G231/G143)*(LN(G231/G143))))</f>
        <v>0</v>
      </c>
      <c r="L231" s="153">
        <f ca="1">IF(G231=0,0,(G231/G143)^2)</f>
        <v>0</v>
      </c>
    </row>
    <row r="232" spans="1:12">
      <c r="A232" s="143" t="s">
        <v>248</v>
      </c>
      <c r="B232" s="53">
        <f ca="1">Transect1!H94</f>
        <v>0</v>
      </c>
      <c r="C232" s="53">
        <f ca="1">'Transect 2'!H94</f>
        <v>0</v>
      </c>
      <c r="D232" s="53">
        <f ca="1">'Transect 3'!H94</f>
        <v>0</v>
      </c>
      <c r="E232" s="53">
        <f ca="1">'Transect 4'!H94</f>
        <v>0</v>
      </c>
      <c r="F232" s="53">
        <f ca="1">Transect5!H94</f>
        <v>0</v>
      </c>
      <c r="G232" s="53">
        <f t="shared" ca="1" si="32"/>
        <v>0</v>
      </c>
      <c r="H232" s="50">
        <f t="shared" ca="1" si="33"/>
        <v>0</v>
      </c>
      <c r="I232" s="50">
        <f t="shared" ca="1" si="34"/>
        <v>0</v>
      </c>
      <c r="J232" s="50">
        <f t="shared" ca="1" si="35"/>
        <v>0</v>
      </c>
      <c r="K232" s="50">
        <f ca="1">IF(G232=0,0,-1*((G232/G143)*(LN(G232/G143))))</f>
        <v>0</v>
      </c>
      <c r="L232" s="153">
        <f ca="1">IF(G232=0,0,(G232/G143)^2)</f>
        <v>0</v>
      </c>
    </row>
    <row r="233" spans="1:12">
      <c r="A233" s="143" t="s">
        <v>250</v>
      </c>
      <c r="B233" s="53">
        <f ca="1">Transect1!H95</f>
        <v>0</v>
      </c>
      <c r="C233" s="53">
        <f ca="1">'Transect 2'!H95</f>
        <v>0</v>
      </c>
      <c r="D233" s="53">
        <f ca="1">'Transect 3'!H95</f>
        <v>0</v>
      </c>
      <c r="E233" s="53">
        <f ca="1">'Transect 4'!H95</f>
        <v>0</v>
      </c>
      <c r="F233" s="53">
        <f ca="1">Transect5!H95</f>
        <v>0</v>
      </c>
      <c r="G233" s="53">
        <f t="shared" ca="1" si="32"/>
        <v>0</v>
      </c>
      <c r="H233" s="50">
        <f t="shared" ca="1" si="33"/>
        <v>0</v>
      </c>
      <c r="I233" s="50">
        <f t="shared" ca="1" si="34"/>
        <v>0</v>
      </c>
      <c r="J233" s="50">
        <f t="shared" ca="1" si="35"/>
        <v>0</v>
      </c>
      <c r="K233" s="50">
        <f ca="1">IF(G233=0,0,-1*((G233/G143)*(LN(G233/G143))))</f>
        <v>0</v>
      </c>
      <c r="L233" s="153">
        <f ca="1">IF(G233=0,0,(G233/G143)^2)</f>
        <v>0</v>
      </c>
    </row>
    <row r="234" spans="1:12">
      <c r="A234" s="143" t="s">
        <v>252</v>
      </c>
      <c r="B234" s="53">
        <f ca="1">Transect1!H96</f>
        <v>0</v>
      </c>
      <c r="C234" s="53">
        <f ca="1">'Transect 2'!H96</f>
        <v>0</v>
      </c>
      <c r="D234" s="53">
        <f ca="1">'Transect 3'!H96</f>
        <v>0</v>
      </c>
      <c r="E234" s="53">
        <f ca="1">'Transect 4'!H96</f>
        <v>0</v>
      </c>
      <c r="F234" s="53">
        <f ca="1">Transect5!H96</f>
        <v>0</v>
      </c>
      <c r="G234" s="53">
        <f t="shared" ca="1" si="32"/>
        <v>0</v>
      </c>
      <c r="H234" s="50">
        <f t="shared" ca="1" si="33"/>
        <v>0</v>
      </c>
      <c r="I234" s="50">
        <f t="shared" ca="1" si="34"/>
        <v>0</v>
      </c>
      <c r="J234" s="50">
        <f t="shared" ca="1" si="35"/>
        <v>0</v>
      </c>
      <c r="K234" s="50">
        <f ca="1">IF(G234=0,0,-1*((G234/G143)*(LN(G234/G143))))</f>
        <v>0</v>
      </c>
      <c r="L234" s="153">
        <f ca="1">IF(G234=0,0,(G234/G143)^2)</f>
        <v>0</v>
      </c>
    </row>
    <row r="235" spans="1:12">
      <c r="A235" s="143" t="s">
        <v>254</v>
      </c>
      <c r="B235" s="53">
        <f ca="1">Transect1!H97</f>
        <v>0</v>
      </c>
      <c r="C235" s="53">
        <f ca="1">'Transect 2'!H97</f>
        <v>0</v>
      </c>
      <c r="D235" s="53">
        <f ca="1">'Transect 3'!H97</f>
        <v>0</v>
      </c>
      <c r="E235" s="53">
        <f ca="1">'Transect 4'!H97</f>
        <v>0</v>
      </c>
      <c r="F235" s="53">
        <f ca="1">Transect5!H97</f>
        <v>0</v>
      </c>
      <c r="G235" s="53">
        <f t="shared" ca="1" si="32"/>
        <v>0</v>
      </c>
      <c r="H235" s="50">
        <f t="shared" ca="1" si="33"/>
        <v>0</v>
      </c>
      <c r="I235" s="50">
        <f t="shared" ca="1" si="34"/>
        <v>0</v>
      </c>
      <c r="J235" s="50">
        <f t="shared" ca="1" si="35"/>
        <v>0</v>
      </c>
      <c r="K235" s="50">
        <f ca="1">IF(G235=0,0,-1*((G235/G143)*(LN(G235/G143))))</f>
        <v>0</v>
      </c>
      <c r="L235" s="153">
        <f ca="1">IF(G235=0,0,(G235/G143)^2)</f>
        <v>0</v>
      </c>
    </row>
    <row r="236" spans="1:12">
      <c r="A236" s="143" t="s">
        <v>256</v>
      </c>
      <c r="B236" s="53">
        <f ca="1">Transect1!H98</f>
        <v>0</v>
      </c>
      <c r="C236" s="53">
        <f ca="1">'Transect 2'!H98</f>
        <v>0</v>
      </c>
      <c r="D236" s="53">
        <f ca="1">'Transect 3'!H98</f>
        <v>0</v>
      </c>
      <c r="E236" s="53">
        <f ca="1">'Transect 4'!H98</f>
        <v>0</v>
      </c>
      <c r="F236" s="53">
        <f ca="1">Transect5!H98</f>
        <v>0</v>
      </c>
      <c r="G236" s="53">
        <f t="shared" ca="1" si="32"/>
        <v>0</v>
      </c>
      <c r="H236" s="50">
        <f t="shared" ca="1" si="33"/>
        <v>0</v>
      </c>
      <c r="I236" s="50">
        <f t="shared" ca="1" si="34"/>
        <v>0</v>
      </c>
      <c r="J236" s="50">
        <f t="shared" ca="1" si="35"/>
        <v>0</v>
      </c>
      <c r="K236" s="50">
        <f ca="1">IF(G236=0,0,-1*((G236/G143)*(LN(G236/G143))))</f>
        <v>0</v>
      </c>
      <c r="L236" s="153">
        <f ca="1">IF(G236=0,0,(G236/G143)^2)</f>
        <v>0</v>
      </c>
    </row>
    <row r="237" spans="1:12">
      <c r="A237" s="143" t="s">
        <v>258</v>
      </c>
      <c r="B237" s="53">
        <f ca="1">Transect1!H99</f>
        <v>0</v>
      </c>
      <c r="C237" s="53">
        <f ca="1">'Transect 2'!H99</f>
        <v>0</v>
      </c>
      <c r="D237" s="53">
        <f ca="1">'Transect 3'!H99</f>
        <v>0</v>
      </c>
      <c r="E237" s="53">
        <f ca="1">'Transect 4'!H99</f>
        <v>0</v>
      </c>
      <c r="F237" s="53">
        <f ca="1">Transect5!H99</f>
        <v>0</v>
      </c>
      <c r="G237" s="53">
        <f t="shared" ca="1" si="32"/>
        <v>0</v>
      </c>
      <c r="H237" s="50">
        <f t="shared" ca="1" si="33"/>
        <v>0</v>
      </c>
      <c r="I237" s="50">
        <f t="shared" ca="1" si="34"/>
        <v>0</v>
      </c>
      <c r="J237" s="50">
        <f t="shared" ca="1" si="35"/>
        <v>0</v>
      </c>
      <c r="K237" s="50">
        <f ca="1">IF(G237=0,0,-1*((G237/G143)*(LN(G237/G143))))</f>
        <v>0</v>
      </c>
      <c r="L237" s="153">
        <f ca="1">IF(G237=0,0,(G237/G143)^2)</f>
        <v>0</v>
      </c>
    </row>
    <row r="238" spans="1:12">
      <c r="A238" s="143" t="s">
        <v>260</v>
      </c>
      <c r="B238" s="53">
        <f ca="1">Transect1!H100</f>
        <v>0</v>
      </c>
      <c r="C238" s="53">
        <f ca="1">'Transect 2'!H100</f>
        <v>0</v>
      </c>
      <c r="D238" s="53">
        <f ca="1">'Transect 3'!H100</f>
        <v>0</v>
      </c>
      <c r="E238" s="53">
        <f ca="1">'Transect 4'!H100</f>
        <v>0</v>
      </c>
      <c r="F238" s="53">
        <f ca="1">Transect5!H100</f>
        <v>0</v>
      </c>
      <c r="G238" s="53">
        <f t="shared" ca="1" si="32"/>
        <v>0</v>
      </c>
      <c r="H238" s="50">
        <f t="shared" ca="1" si="33"/>
        <v>0</v>
      </c>
      <c r="I238" s="50">
        <f t="shared" ca="1" si="34"/>
        <v>0</v>
      </c>
      <c r="J238" s="50">
        <f t="shared" ca="1" si="35"/>
        <v>0</v>
      </c>
      <c r="K238" s="50">
        <f ca="1">IF(G238=0,0,-1*((G238/G143)*(LN(G238/G143))))</f>
        <v>0</v>
      </c>
      <c r="L238" s="153">
        <f ca="1">IF(G238=0,0,(G238/G143)^2)</f>
        <v>0</v>
      </c>
    </row>
    <row r="239" spans="1:12">
      <c r="A239" s="143" t="s">
        <v>262</v>
      </c>
      <c r="B239" s="53">
        <f ca="1">Transect1!H101</f>
        <v>0</v>
      </c>
      <c r="C239" s="53">
        <f ca="1">'Transect 2'!H101</f>
        <v>0</v>
      </c>
      <c r="D239" s="53">
        <f ca="1">'Transect 3'!H101</f>
        <v>0</v>
      </c>
      <c r="E239" s="53">
        <f ca="1">'Transect 4'!H101</f>
        <v>0</v>
      </c>
      <c r="F239" s="53">
        <f ca="1">Transect5!H101</f>
        <v>0</v>
      </c>
      <c r="G239" s="53">
        <f t="shared" ca="1" si="32"/>
        <v>0</v>
      </c>
      <c r="H239" s="50">
        <f t="shared" ca="1" si="33"/>
        <v>0</v>
      </c>
      <c r="I239" s="50">
        <f t="shared" ca="1" si="34"/>
        <v>0</v>
      </c>
      <c r="J239" s="50">
        <f t="shared" ca="1" si="35"/>
        <v>0</v>
      </c>
      <c r="K239" s="50">
        <f ca="1">IF(G239=0,0,-1*((G239/G143)*(LN(G239/G143))))</f>
        <v>0</v>
      </c>
      <c r="L239" s="153">
        <f ca="1">IF(G239=0,0,(G239/G143)^2)</f>
        <v>0</v>
      </c>
    </row>
    <row r="240" spans="1:12">
      <c r="A240" s="143" t="s">
        <v>264</v>
      </c>
      <c r="B240" s="53">
        <f ca="1">Transect1!H102</f>
        <v>0</v>
      </c>
      <c r="C240" s="53">
        <f ca="1">'Transect 2'!H102</f>
        <v>0</v>
      </c>
      <c r="D240" s="53">
        <f ca="1">'Transect 3'!H102</f>
        <v>0</v>
      </c>
      <c r="E240" s="53">
        <f ca="1">'Transect 4'!H102</f>
        <v>0</v>
      </c>
      <c r="F240" s="53">
        <f ca="1">Transect5!H102</f>
        <v>0</v>
      </c>
      <c r="G240" s="53">
        <f t="shared" ca="1" si="32"/>
        <v>0</v>
      </c>
      <c r="H240" s="50">
        <f t="shared" ca="1" si="33"/>
        <v>0</v>
      </c>
      <c r="I240" s="50">
        <f t="shared" ca="1" si="34"/>
        <v>0</v>
      </c>
      <c r="J240" s="50">
        <f t="shared" ca="1" si="35"/>
        <v>0</v>
      </c>
      <c r="K240" s="50">
        <f ca="1">IF(G240=0,0,-1*((G240/G143)*(LN(G240/G143))))</f>
        <v>0</v>
      </c>
      <c r="L240" s="153">
        <f ca="1">IF(G240=0,0,(G240/G143)^2)</f>
        <v>0</v>
      </c>
    </row>
    <row r="241" spans="1:12">
      <c r="A241" s="143" t="s">
        <v>266</v>
      </c>
      <c r="B241" s="53">
        <f ca="1">Transect1!H103</f>
        <v>0</v>
      </c>
      <c r="C241" s="53">
        <f ca="1">'Transect 2'!H103</f>
        <v>0</v>
      </c>
      <c r="D241" s="53">
        <f ca="1">'Transect 3'!H103</f>
        <v>0</v>
      </c>
      <c r="E241" s="53">
        <f ca="1">'Transect 4'!H103</f>
        <v>0</v>
      </c>
      <c r="F241" s="53">
        <f ca="1">Transect5!H103</f>
        <v>0</v>
      </c>
      <c r="G241" s="53">
        <f t="shared" ca="1" si="32"/>
        <v>0</v>
      </c>
      <c r="H241" s="50">
        <f t="shared" ca="1" si="33"/>
        <v>0</v>
      </c>
      <c r="I241" s="50">
        <f t="shared" ca="1" si="34"/>
        <v>0</v>
      </c>
      <c r="J241" s="50">
        <f t="shared" ca="1" si="35"/>
        <v>0</v>
      </c>
      <c r="K241" s="50">
        <f ca="1">IF(G241=0,0,-1*((G241/G143)*(LN(G241/G143))))</f>
        <v>0</v>
      </c>
      <c r="L241" s="153">
        <f ca="1">IF(G241=0,0,(G241/G143)^2)</f>
        <v>0</v>
      </c>
    </row>
    <row r="242" spans="1:12">
      <c r="A242" s="143" t="s">
        <v>268</v>
      </c>
      <c r="B242" s="53">
        <f ca="1">Transect1!H104</f>
        <v>0</v>
      </c>
      <c r="C242" s="53">
        <f ca="1">'Transect 2'!H104</f>
        <v>0</v>
      </c>
      <c r="D242" s="53">
        <f ca="1">'Transect 3'!H104</f>
        <v>0</v>
      </c>
      <c r="E242" s="53">
        <f ca="1">'Transect 4'!H104</f>
        <v>0</v>
      </c>
      <c r="F242" s="53">
        <f ca="1">Transect5!H104</f>
        <v>0</v>
      </c>
      <c r="G242" s="53">
        <f t="shared" ca="1" si="32"/>
        <v>0</v>
      </c>
      <c r="H242" s="50">
        <f t="shared" ca="1" si="33"/>
        <v>0</v>
      </c>
      <c r="I242" s="50">
        <f t="shared" ca="1" si="34"/>
        <v>0</v>
      </c>
      <c r="J242" s="50">
        <f t="shared" ca="1" si="35"/>
        <v>0</v>
      </c>
      <c r="K242" s="50">
        <f ca="1">IF(G242=0,0,-1*((G242/G143)*(LN(G242/G143))))</f>
        <v>0</v>
      </c>
      <c r="L242" s="153">
        <f ca="1">IF(G242=0,0,(G242/G143)^2)</f>
        <v>0</v>
      </c>
    </row>
    <row r="243" spans="1:12">
      <c r="A243" s="143" t="s">
        <v>270</v>
      </c>
      <c r="B243" s="53">
        <f ca="1">Transect1!H105</f>
        <v>0</v>
      </c>
      <c r="C243" s="53">
        <f ca="1">'Transect 2'!H105</f>
        <v>0</v>
      </c>
      <c r="D243" s="53">
        <f ca="1">'Transect 3'!H105</f>
        <v>0</v>
      </c>
      <c r="E243" s="53">
        <f ca="1">'Transect 4'!H105</f>
        <v>0</v>
      </c>
      <c r="F243" s="53">
        <f ca="1">Transect5!H105</f>
        <v>0</v>
      </c>
      <c r="G243" s="53">
        <f t="shared" ca="1" si="32"/>
        <v>0</v>
      </c>
      <c r="H243" s="50">
        <f t="shared" ca="1" si="33"/>
        <v>0</v>
      </c>
      <c r="I243" s="50">
        <f t="shared" ca="1" si="34"/>
        <v>0</v>
      </c>
      <c r="J243" s="50">
        <f t="shared" ca="1" si="35"/>
        <v>0</v>
      </c>
      <c r="K243" s="50">
        <f ca="1">IF(G243=0,0,-1*((G243/G143)*(LN(G243/G143))))</f>
        <v>0</v>
      </c>
      <c r="L243" s="153">
        <f ca="1">IF(G243=0,0,(G243/G143)^2)</f>
        <v>0</v>
      </c>
    </row>
    <row r="244" spans="1:12">
      <c r="A244" s="143" t="s">
        <v>272</v>
      </c>
      <c r="B244" s="53">
        <f ca="1">Transect1!H106</f>
        <v>0</v>
      </c>
      <c r="C244" s="53">
        <f ca="1">'Transect 2'!H106</f>
        <v>0</v>
      </c>
      <c r="D244" s="53">
        <f ca="1">'Transect 3'!H106</f>
        <v>0</v>
      </c>
      <c r="E244" s="53">
        <f ca="1">'Transect 4'!H106</f>
        <v>0</v>
      </c>
      <c r="F244" s="53">
        <f ca="1">Transect5!H106</f>
        <v>0</v>
      </c>
      <c r="G244" s="53">
        <f t="shared" ca="1" si="32"/>
        <v>0</v>
      </c>
      <c r="H244" s="50">
        <f t="shared" ca="1" si="33"/>
        <v>0</v>
      </c>
      <c r="I244" s="50">
        <f t="shared" ca="1" si="34"/>
        <v>0</v>
      </c>
      <c r="J244" s="50">
        <f t="shared" ca="1" si="35"/>
        <v>0</v>
      </c>
      <c r="K244" s="50">
        <f ca="1">IF(G244=0,0,-1*((G244/G143)*(LN(G244/G143))))</f>
        <v>0</v>
      </c>
      <c r="L244" s="153">
        <f ca="1">IF(G244=0,0,(G244/G143)^2)</f>
        <v>0</v>
      </c>
    </row>
    <row r="245" spans="1:12">
      <c r="A245" s="143" t="s">
        <v>274</v>
      </c>
      <c r="B245" s="53">
        <f ca="1">Transect1!H107</f>
        <v>0</v>
      </c>
      <c r="C245" s="53">
        <f ca="1">'Transect 2'!H107</f>
        <v>0</v>
      </c>
      <c r="D245" s="53">
        <f ca="1">'Transect 3'!H107</f>
        <v>0</v>
      </c>
      <c r="E245" s="53">
        <f ca="1">'Transect 4'!H107</f>
        <v>0</v>
      </c>
      <c r="F245" s="53">
        <f ca="1">Transect5!H107</f>
        <v>0</v>
      </c>
      <c r="G245" s="53">
        <f t="shared" ca="1" si="32"/>
        <v>0</v>
      </c>
      <c r="H245" s="50">
        <f t="shared" ca="1" si="33"/>
        <v>0</v>
      </c>
      <c r="I245" s="50">
        <f t="shared" ca="1" si="34"/>
        <v>0</v>
      </c>
      <c r="J245" s="50">
        <f t="shared" ca="1" si="35"/>
        <v>0</v>
      </c>
      <c r="K245" s="50">
        <f ca="1">IF(G245=0,0,-1*((G245/G143)*(LN(G245/G143))))</f>
        <v>0</v>
      </c>
      <c r="L245" s="153">
        <f ca="1">IF(G245=0,0,(G245/G143)^2)</f>
        <v>0</v>
      </c>
    </row>
    <row r="246" spans="1:12">
      <c r="A246" s="144" t="s">
        <v>354</v>
      </c>
      <c r="B246" s="51"/>
      <c r="C246" s="51"/>
      <c r="D246" s="51"/>
      <c r="E246" s="51"/>
      <c r="F246" s="51"/>
      <c r="G246" s="51"/>
      <c r="H246" s="51"/>
      <c r="I246" s="51"/>
      <c r="J246" s="51"/>
      <c r="K246" s="52">
        <f ca="1">SUM(K247:K249)</f>
        <v>0</v>
      </c>
      <c r="L246" s="154">
        <f ca="1">1-SUM(L247:L249)</f>
        <v>0</v>
      </c>
    </row>
    <row r="247" spans="1:12">
      <c r="A247" s="143" t="s">
        <v>276</v>
      </c>
      <c r="B247" s="53">
        <f ca="1">Transect1!H109</f>
        <v>0</v>
      </c>
      <c r="C247" s="53">
        <f ca="1">'Transect 2'!H109</f>
        <v>0</v>
      </c>
      <c r="D247" s="53">
        <f ca="1">'Transect 3'!H109</f>
        <v>0</v>
      </c>
      <c r="E247" s="53">
        <f ca="1">'Transect 4'!H109</f>
        <v>0</v>
      </c>
      <c r="F247" s="53">
        <f ca="1">Transect5!H109</f>
        <v>0</v>
      </c>
      <c r="G247" s="53">
        <f ca="1">SUM(B247:F247)</f>
        <v>0</v>
      </c>
      <c r="H247" s="50">
        <f ca="1">AVERAGE(B247:F247)</f>
        <v>0</v>
      </c>
      <c r="I247" s="50">
        <f ca="1">STDEV(B247:F247)</f>
        <v>0</v>
      </c>
      <c r="J247" s="50">
        <f ca="1">I247/SQRT(5)</f>
        <v>0</v>
      </c>
      <c r="K247" s="50">
        <f ca="1">IF(G247=0,0,-1*((G247/G144)*(LN(G247/G144))))</f>
        <v>0</v>
      </c>
      <c r="L247" s="153">
        <f ca="1">IF(G247=0,0,(G247/G144)^2)</f>
        <v>0</v>
      </c>
    </row>
    <row r="248" spans="1:12">
      <c r="A248" s="143" t="s">
        <v>278</v>
      </c>
      <c r="B248" s="53">
        <f ca="1">Transect1!H110</f>
        <v>3</v>
      </c>
      <c r="C248" s="53">
        <f ca="1">'Transect 2'!H110</f>
        <v>2</v>
      </c>
      <c r="D248" s="53">
        <f ca="1">'Transect 3'!H110</f>
        <v>0</v>
      </c>
      <c r="E248" s="53">
        <f ca="1">'Transect 4'!H110</f>
        <v>4</v>
      </c>
      <c r="F248" s="53">
        <f ca="1">Transect5!H110</f>
        <v>8</v>
      </c>
      <c r="G248" s="53">
        <f ca="1">SUM(B248:F248)</f>
        <v>17</v>
      </c>
      <c r="H248" s="50">
        <f ca="1">AVERAGE(B248:F248)</f>
        <v>3.4</v>
      </c>
      <c r="I248" s="50">
        <f ca="1">STDEV(B248:F248)</f>
        <v>2.9664793948382653</v>
      </c>
      <c r="J248" s="50">
        <f ca="1">I248/SQRT(5)</f>
        <v>1.3266499161421599</v>
      </c>
      <c r="K248" s="50">
        <f ca="1">IF(G248=0,0,-1*((G248/G144)*(LN(G248/G144))))</f>
        <v>0</v>
      </c>
      <c r="L248" s="153">
        <f ca="1">IF(G248=0,0,(G248/G144)^2)</f>
        <v>1</v>
      </c>
    </row>
    <row r="249" spans="1:12">
      <c r="A249" s="143" t="s">
        <v>279</v>
      </c>
      <c r="B249" s="53">
        <f ca="1">Transect1!H111</f>
        <v>0</v>
      </c>
      <c r="C249" s="53">
        <f ca="1">'Transect 2'!H111</f>
        <v>0</v>
      </c>
      <c r="D249" s="53">
        <f ca="1">'Transect 3'!H111</f>
        <v>0</v>
      </c>
      <c r="E249" s="53">
        <f ca="1">'Transect 4'!H111</f>
        <v>0</v>
      </c>
      <c r="F249" s="53">
        <f ca="1">Transect5!H111</f>
        <v>0</v>
      </c>
      <c r="G249" s="53">
        <f ca="1">SUM(B249:F249)</f>
        <v>0</v>
      </c>
      <c r="H249" s="50">
        <f ca="1">AVERAGE(B249:F249)</f>
        <v>0</v>
      </c>
      <c r="I249" s="50">
        <f ca="1">STDEV(B249:F249)</f>
        <v>0</v>
      </c>
      <c r="J249" s="50">
        <f ca="1">I249/SQRT(5)</f>
        <v>0</v>
      </c>
      <c r="K249" s="50">
        <f ca="1">IF(G249=0,0,-1*((G249/G144)*(LN(G249/G144))))</f>
        <v>0</v>
      </c>
      <c r="L249" s="153">
        <f ca="1">IF(G249=0,0,(G249/G144)^2)</f>
        <v>0</v>
      </c>
    </row>
    <row r="250" spans="1:12">
      <c r="A250" s="144" t="s">
        <v>355</v>
      </c>
      <c r="B250" s="51"/>
      <c r="C250" s="51"/>
      <c r="D250" s="51"/>
      <c r="E250" s="51"/>
      <c r="F250" s="51"/>
      <c r="G250" s="51"/>
      <c r="H250" s="51"/>
      <c r="I250" s="51"/>
      <c r="J250" s="51"/>
      <c r="K250" s="52">
        <f ca="1">SUM(K251:K251)</f>
        <v>0</v>
      </c>
      <c r="L250" s="154">
        <f ca="1">1-SUM(L251:L251)</f>
        <v>0</v>
      </c>
    </row>
    <row r="251" spans="1:12">
      <c r="A251" s="143" t="s">
        <v>281</v>
      </c>
      <c r="B251" s="53">
        <f ca="1">Transect1!H113</f>
        <v>62</v>
      </c>
      <c r="C251" s="53">
        <f ca="1">'Transect 2'!H113</f>
        <v>60</v>
      </c>
      <c r="D251" s="53">
        <f ca="1">'Transect 3'!H113</f>
        <v>59</v>
      </c>
      <c r="E251" s="53">
        <f ca="1">'Transect 4'!H113</f>
        <v>54</v>
      </c>
      <c r="F251" s="53">
        <f ca="1">Transect5!H113</f>
        <v>76</v>
      </c>
      <c r="G251" s="53">
        <f ca="1">SUM(B251:F251)</f>
        <v>311</v>
      </c>
      <c r="H251" s="50">
        <f ca="1">AVERAGE(B251:F251)</f>
        <v>62.2</v>
      </c>
      <c r="I251" s="50">
        <f ca="1">STDEV(B251:F251)</f>
        <v>8.2583291288250198</v>
      </c>
      <c r="J251" s="50">
        <f ca="1">I251/SQRT(5)</f>
        <v>3.6932370625238722</v>
      </c>
      <c r="K251" s="50">
        <f ca="1">IF(G251=0,0,-1*((G251/G145)*(LN(G251/G145))))</f>
        <v>0</v>
      </c>
      <c r="L251" s="153">
        <f ca="1">IF(G251=0,0,(G251/G145)^2)</f>
        <v>1</v>
      </c>
    </row>
    <row r="252" spans="1:12">
      <c r="A252" s="144" t="s">
        <v>356</v>
      </c>
      <c r="B252" s="51"/>
      <c r="C252" s="51"/>
      <c r="D252" s="51"/>
      <c r="E252" s="51"/>
      <c r="F252" s="51"/>
      <c r="G252" s="51"/>
      <c r="H252" s="51"/>
      <c r="I252" s="51"/>
      <c r="J252" s="51"/>
      <c r="K252" s="52">
        <f ca="1">SUM(K253:K253)</f>
        <v>0</v>
      </c>
      <c r="L252" s="154">
        <f ca="1">1-SUM(L253:L253)</f>
        <v>1</v>
      </c>
    </row>
    <row r="253" spans="1:12">
      <c r="A253" s="143" t="s">
        <v>416</v>
      </c>
      <c r="B253" s="53">
        <f ca="1">Transect1!H115</f>
        <v>0</v>
      </c>
      <c r="C253" s="53">
        <f ca="1">'Transect 2'!H115</f>
        <v>0</v>
      </c>
      <c r="D253" s="53">
        <f ca="1">'Transect 3'!H115</f>
        <v>0</v>
      </c>
      <c r="E253" s="53">
        <f ca="1">'Transect 4'!H115</f>
        <v>0</v>
      </c>
      <c r="F253" s="53">
        <f ca="1">Transect5!H115</f>
        <v>0</v>
      </c>
      <c r="G253" s="53">
        <f ca="1">SUM(B253:F253)</f>
        <v>0</v>
      </c>
      <c r="H253" s="50">
        <f ca="1">AVERAGE(B253:F253)</f>
        <v>0</v>
      </c>
      <c r="I253" s="50">
        <f ca="1">STDEV(B253:F253)</f>
        <v>0</v>
      </c>
      <c r="J253" s="50">
        <f ca="1">I253/SQRT(5)</f>
        <v>0</v>
      </c>
      <c r="K253" s="50">
        <f ca="1">IF(G253=0,0,-1*((G253/G146)*(LN(G253/G146))))</f>
        <v>0</v>
      </c>
      <c r="L253" s="153">
        <f ca="1">IF(G253=0,0,(G253/G146)^2)</f>
        <v>0</v>
      </c>
    </row>
    <row r="254" spans="1:12">
      <c r="A254" s="144" t="s">
        <v>357</v>
      </c>
      <c r="B254" s="51"/>
      <c r="C254" s="51"/>
      <c r="D254" s="51"/>
      <c r="E254" s="51"/>
      <c r="F254" s="51"/>
      <c r="G254" s="51"/>
      <c r="H254" s="51"/>
      <c r="I254" s="51"/>
      <c r="J254" s="51"/>
      <c r="K254" s="52">
        <f ca="1">SUM(K255:K255)</f>
        <v>0</v>
      </c>
      <c r="L254" s="154">
        <f ca="1">1-SUM(L255:L255)</f>
        <v>0</v>
      </c>
    </row>
    <row r="255" spans="1:12">
      <c r="A255" s="143" t="s">
        <v>283</v>
      </c>
      <c r="B255" s="53">
        <f ca="1">Transect1!H117</f>
        <v>19</v>
      </c>
      <c r="C255" s="53">
        <f ca="1">'Transect 2'!H117</f>
        <v>13</v>
      </c>
      <c r="D255" s="53">
        <f ca="1">'Transect 3'!H117</f>
        <v>7</v>
      </c>
      <c r="E255" s="53">
        <f ca="1">'Transect 4'!H117</f>
        <v>7</v>
      </c>
      <c r="F255" s="53">
        <f ca="1">Transect5!H117</f>
        <v>5</v>
      </c>
      <c r="G255" s="53">
        <f ca="1">SUM(B255:F255)</f>
        <v>51</v>
      </c>
      <c r="H255" s="50">
        <f ca="1">AVERAGE(B255:F255)</f>
        <v>10.199999999999999</v>
      </c>
      <c r="I255" s="50">
        <f ca="1">STDEV(B255:F255)</f>
        <v>5.7619441163551723</v>
      </c>
      <c r="J255" s="50">
        <f ca="1">I255/SQRT(5)</f>
        <v>2.5768197453450243</v>
      </c>
      <c r="K255" s="50">
        <f ca="1">IF(G255=0,0,-1*((G255/G147)*(LN(G255/G147))))</f>
        <v>0</v>
      </c>
      <c r="L255" s="153">
        <f ca="1">IF(G255=0,0,(G255/G147)^2)</f>
        <v>1</v>
      </c>
    </row>
    <row r="256" spans="1:12">
      <c r="A256" s="144" t="s">
        <v>358</v>
      </c>
      <c r="B256" s="51"/>
      <c r="C256" s="51"/>
      <c r="D256" s="51"/>
      <c r="E256" s="51"/>
      <c r="F256" s="51"/>
      <c r="G256" s="51"/>
      <c r="H256" s="51"/>
      <c r="I256" s="51"/>
      <c r="J256" s="51"/>
      <c r="K256" s="52">
        <f ca="1">SUM(K257:K257)</f>
        <v>0</v>
      </c>
      <c r="L256" s="154">
        <f ca="1">1-SUM(L257:L257)</f>
        <v>1</v>
      </c>
    </row>
    <row r="257" spans="1:12">
      <c r="A257" s="143" t="s">
        <v>284</v>
      </c>
      <c r="B257" s="53">
        <f ca="1">Transect1!H119</f>
        <v>0</v>
      </c>
      <c r="C257" s="53">
        <f ca="1">'Transect 2'!H119</f>
        <v>0</v>
      </c>
      <c r="D257" s="53">
        <f ca="1">'Transect 3'!H119</f>
        <v>0</v>
      </c>
      <c r="E257" s="53">
        <f ca="1">'Transect 4'!H119</f>
        <v>0</v>
      </c>
      <c r="F257" s="53">
        <f ca="1">Transect5!H119</f>
        <v>0</v>
      </c>
      <c r="G257" s="53">
        <f ca="1">SUM(B257:F257)</f>
        <v>0</v>
      </c>
      <c r="H257" s="50">
        <f ca="1">AVERAGE(B257:F257)</f>
        <v>0</v>
      </c>
      <c r="I257" s="50">
        <f ca="1">STDEV(B257:F257)</f>
        <v>0</v>
      </c>
      <c r="J257" s="50">
        <f ca="1">I257/SQRT(5)</f>
        <v>0</v>
      </c>
      <c r="K257" s="50">
        <f ca="1">IF(G257=0,0,-1*((G257/G148)*(LN(G257/G148))))</f>
        <v>0</v>
      </c>
      <c r="L257" s="153">
        <f ca="1">IF(G257=0,0,(G257/G148)^2)</f>
        <v>0</v>
      </c>
    </row>
    <row r="258" spans="1:12">
      <c r="A258" s="144" t="s">
        <v>359</v>
      </c>
      <c r="B258" s="51"/>
      <c r="C258" s="51"/>
      <c r="D258" s="51"/>
      <c r="E258" s="51"/>
      <c r="F258" s="51"/>
      <c r="G258" s="51"/>
      <c r="H258" s="51"/>
      <c r="I258" s="51"/>
      <c r="J258" s="51"/>
      <c r="K258" s="52">
        <f ca="1">SUM(K259:K259)</f>
        <v>0</v>
      </c>
      <c r="L258" s="154">
        <f ca="1">1-SUM(L259:L259)</f>
        <v>0</v>
      </c>
    </row>
    <row r="259" spans="1:12">
      <c r="A259" s="143" t="s">
        <v>286</v>
      </c>
      <c r="B259" s="53">
        <f ca="1">Transect1!H121</f>
        <v>61</v>
      </c>
      <c r="C259" s="53">
        <f ca="1">'Transect 2'!H121</f>
        <v>22</v>
      </c>
      <c r="D259" s="53">
        <f ca="1">'Transect 3'!H121</f>
        <v>41</v>
      </c>
      <c r="E259" s="53">
        <f ca="1">'Transect 4'!H121</f>
        <v>34</v>
      </c>
      <c r="F259" s="53">
        <f ca="1">Transect5!H121</f>
        <v>44</v>
      </c>
      <c r="G259" s="53">
        <f ca="1">SUM(B259:F259)</f>
        <v>202</v>
      </c>
      <c r="H259" s="50">
        <f ca="1">AVERAGE(B259:F259)</f>
        <v>40.4</v>
      </c>
      <c r="I259" s="50">
        <f ca="1">STDEV(B259:F259)</f>
        <v>14.293355099485913</v>
      </c>
      <c r="J259" s="50">
        <f ca="1">I259/SQRT(5)</f>
        <v>6.3921827257987536</v>
      </c>
      <c r="K259" s="50">
        <f ca="1">IF(G259=0,0,-1*((G259/G149)*(LN(G259/G149))))</f>
        <v>0</v>
      </c>
      <c r="L259" s="153">
        <f ca="1">IF(G259=0,0,(G259/G149)^2)</f>
        <v>1</v>
      </c>
    </row>
    <row r="260" spans="1:12">
      <c r="A260" s="144" t="s">
        <v>360</v>
      </c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150"/>
    </row>
    <row r="261" spans="1:12">
      <c r="A261" s="143" t="s">
        <v>417</v>
      </c>
      <c r="B261" s="53">
        <f ca="1">Transect1!H123</f>
        <v>1</v>
      </c>
      <c r="C261" s="53">
        <f ca="1">'Transect 2'!H123</f>
        <v>0</v>
      </c>
      <c r="D261" s="53">
        <f ca="1">'Transect 3'!H123</f>
        <v>0</v>
      </c>
      <c r="E261" s="53">
        <f ca="1">'Transect 4'!H123</f>
        <v>0</v>
      </c>
      <c r="F261" s="53">
        <f ca="1">Transect5!H123</f>
        <v>0</v>
      </c>
      <c r="G261" s="53">
        <f ca="1">SUM(B261:F261)</f>
        <v>1</v>
      </c>
      <c r="H261" s="50">
        <f ca="1">AVERAGE(B261:F261)</f>
        <v>0.2</v>
      </c>
      <c r="I261" s="50">
        <f ca="1">STDEV(B261:F261)</f>
        <v>0.44721359549995793</v>
      </c>
      <c r="J261" s="50">
        <f ca="1">I261/SQRT(5)</f>
        <v>0.19999999999999998</v>
      </c>
      <c r="K261" s="50"/>
      <c r="L261" s="153">
        <f ca="1">IF(G261=0,0,(G261/G150)^2)</f>
        <v>1</v>
      </c>
    </row>
    <row r="262" spans="1:12">
      <c r="A262" s="143" t="s">
        <v>418</v>
      </c>
      <c r="B262" s="53">
        <f ca="1">Transect1!H124</f>
        <v>0</v>
      </c>
      <c r="C262" s="53">
        <f ca="1">'Transect 2'!H124</f>
        <v>0</v>
      </c>
      <c r="D262" s="53">
        <f ca="1">'Transect 3'!H124</f>
        <v>0</v>
      </c>
      <c r="E262" s="53">
        <f ca="1">'Transect 4'!H124</f>
        <v>0</v>
      </c>
      <c r="F262" s="53">
        <f ca="1">Transect5!H124</f>
        <v>0</v>
      </c>
      <c r="G262" s="53">
        <f ca="1">SUM(B262:F262)</f>
        <v>0</v>
      </c>
      <c r="H262" s="50">
        <f ca="1">AVERAGE(B262:F262)</f>
        <v>0</v>
      </c>
      <c r="I262" s="50">
        <f ca="1">STDEV(B262:F262)</f>
        <v>0</v>
      </c>
      <c r="J262" s="50">
        <f ca="1">I262/SQRT(5)</f>
        <v>0</v>
      </c>
      <c r="K262" s="50"/>
      <c r="L262" s="153">
        <f ca="1">IF(G262=0,0,(G262/G150)^2)</f>
        <v>0</v>
      </c>
    </row>
    <row r="263" spans="1:12">
      <c r="A263" s="143" t="s">
        <v>419</v>
      </c>
      <c r="B263" s="53">
        <f ca="1">Transect1!H125</f>
        <v>0</v>
      </c>
      <c r="C263" s="53">
        <f ca="1">'Transect 2'!H125</f>
        <v>0</v>
      </c>
      <c r="D263" s="53">
        <f ca="1">'Transect 3'!H125</f>
        <v>0</v>
      </c>
      <c r="E263" s="53">
        <f ca="1">'Transect 4'!H125</f>
        <v>0</v>
      </c>
      <c r="F263" s="53">
        <f ca="1">Transect5!H125</f>
        <v>0</v>
      </c>
      <c r="G263" s="53">
        <f ca="1">SUM(B263:F263)</f>
        <v>0</v>
      </c>
      <c r="H263" s="50">
        <f ca="1">AVERAGE(B263:F263)</f>
        <v>0</v>
      </c>
      <c r="I263" s="50">
        <f ca="1">STDEV(B263:F263)</f>
        <v>0</v>
      </c>
      <c r="J263" s="50">
        <f ca="1">I263/SQRT(5)</f>
        <v>0</v>
      </c>
      <c r="K263" s="50"/>
      <c r="L263" s="153">
        <f ca="1">IF(G263=0,0,(G263/G150)^2)</f>
        <v>0</v>
      </c>
    </row>
    <row r="264" spans="1:12">
      <c r="A264" s="143"/>
      <c r="L264" s="148"/>
    </row>
    <row r="265" spans="1:12">
      <c r="A265" s="140" t="s">
        <v>426</v>
      </c>
      <c r="G265" s="47" t="s">
        <v>423</v>
      </c>
      <c r="H265" s="47" t="s">
        <v>409</v>
      </c>
      <c r="I265" s="47" t="s">
        <v>410</v>
      </c>
      <c r="J265" s="47" t="s">
        <v>411</v>
      </c>
      <c r="L265" s="148"/>
    </row>
    <row r="266" spans="1:12">
      <c r="A266" s="142" t="s">
        <v>363</v>
      </c>
      <c r="B266" s="54">
        <f ca="1">Transect1!B29</f>
        <v>0</v>
      </c>
      <c r="C266" s="54">
        <f ca="1">'Transect 2'!B29</f>
        <v>0</v>
      </c>
      <c r="D266" s="54">
        <f ca="1">'Transect 3'!B29</f>
        <v>0</v>
      </c>
      <c r="E266" s="54">
        <f ca="1">'Transect 4'!B29</f>
        <v>0</v>
      </c>
      <c r="F266" s="54">
        <f ca="1">Transect5!B29</f>
        <v>0</v>
      </c>
      <c r="G266" s="54">
        <f ca="1">SUM(B266:F266)</f>
        <v>0</v>
      </c>
      <c r="H266" s="52">
        <f ca="1">AVERAGE(B266:F266)</f>
        <v>0</v>
      </c>
      <c r="I266" s="52">
        <f ca="1">STDEV(B266:F266)</f>
        <v>0</v>
      </c>
      <c r="J266" s="52">
        <f ca="1">I266/SQRT(5)</f>
        <v>0</v>
      </c>
      <c r="K266" s="51"/>
      <c r="L266" s="150"/>
    </row>
    <row r="267" spans="1:12">
      <c r="A267" s="140" t="s">
        <v>427</v>
      </c>
      <c r="L267" s="148"/>
    </row>
    <row r="268" spans="1:12">
      <c r="A268" s="142" t="s">
        <v>363</v>
      </c>
      <c r="B268" s="54">
        <f ca="1">Transect1!B31</f>
        <v>0</v>
      </c>
      <c r="C268" s="54">
        <f ca="1">'Transect 2'!B31</f>
        <v>0</v>
      </c>
      <c r="D268" s="54">
        <f ca="1">'Transect 3'!B31</f>
        <v>0</v>
      </c>
      <c r="E268" s="54">
        <f ca="1">'Transect 4'!B31</f>
        <v>0</v>
      </c>
      <c r="F268" s="54">
        <f ca="1">Transect5!B31</f>
        <v>0</v>
      </c>
      <c r="G268" s="54">
        <f ca="1">SUM(B268:F268)</f>
        <v>0</v>
      </c>
      <c r="H268" s="52">
        <f ca="1">AVERAGE(B268:F268)</f>
        <v>0</v>
      </c>
      <c r="I268" s="52">
        <f ca="1">STDEV(B268:F268)</f>
        <v>0</v>
      </c>
      <c r="J268" s="52">
        <f ca="1">I268/SQRT(5)</f>
        <v>0</v>
      </c>
      <c r="K268" s="51"/>
      <c r="L268" s="150"/>
    </row>
    <row r="269" spans="1:12" ht="15" thickBot="1">
      <c r="A269" s="143"/>
      <c r="L269" s="148"/>
    </row>
    <row r="270" spans="1:12" ht="15" thickTop="1">
      <c r="A270" s="139" t="s">
        <v>428</v>
      </c>
      <c r="B270" s="62">
        <f ca="1">SUM(B271:B279)</f>
        <v>1.3049931833392574</v>
      </c>
      <c r="C270" s="62">
        <f ca="1">SUM(C271:C279)</f>
        <v>1.0492559351087607</v>
      </c>
      <c r="D270" s="62">
        <f ca="1">SUM(D271:D279)</f>
        <v>1.0569036494787745</v>
      </c>
      <c r="E270" s="62">
        <f ca="1">SUM(E271:E279)</f>
        <v>1.073152117068884</v>
      </c>
      <c r="F270" s="62">
        <f ca="1">SUM(F271:F279)</f>
        <v>1.2114723177778013</v>
      </c>
      <c r="G270" s="56"/>
      <c r="H270" s="56"/>
      <c r="I270" s="56"/>
      <c r="J270" s="56"/>
      <c r="K270" s="56"/>
      <c r="L270" s="147"/>
    </row>
    <row r="271" spans="1:12">
      <c r="A271" s="143" t="s">
        <v>351</v>
      </c>
      <c r="B271" s="50">
        <f ca="1">IF(B141=0,0,-1*((B141/B9)*(LN(B141/B9))))</f>
        <v>0.3646524004884612</v>
      </c>
      <c r="C271" s="50">
        <f ca="1">IF(C141=0,0,-1*((C141/C9)*(LN(C141/C9))))</f>
        <v>0.30050607383952432</v>
      </c>
      <c r="D271" s="50">
        <f ca="1">IF(D141=0,0,-1*((D141/D9)*(LN(D141/D9))))</f>
        <v>0.31952851650853803</v>
      </c>
      <c r="E271" s="50">
        <f ca="1">IF(E141=0,0,-1*((E141/E9)*(LN(E141/E9))))</f>
        <v>0.30452537295258258</v>
      </c>
      <c r="F271" s="50">
        <f ca="1">IF(F141=0,0,-1*((F141/F9)*(LN(F141/F9))))</f>
        <v>0.35534630807418149</v>
      </c>
      <c r="L271" s="148"/>
    </row>
    <row r="272" spans="1:12">
      <c r="A272" s="143" t="s">
        <v>352</v>
      </c>
      <c r="B272" s="50">
        <f ca="1">IF(B142=0,0,-1*((B142/B9)*(LN(B142/B9))))</f>
        <v>0</v>
      </c>
      <c r="C272" s="50">
        <f ca="1">IF(C142=0,0,-1*((C142/C9)*(LN(C142/C9))))</f>
        <v>0</v>
      </c>
      <c r="D272" s="50">
        <f ca="1">IF(D142=0,0,-1*((D142/D9)*(LN(D142/D9))))</f>
        <v>0</v>
      </c>
      <c r="E272" s="50">
        <f ca="1">IF(E142=0,0,-1*((E142/E9)*(LN(E142/E9))))</f>
        <v>0</v>
      </c>
      <c r="F272" s="50">
        <f ca="1">IF(F142=0,0,-1*((F142/F9)*(LN(F142/F9))))</f>
        <v>0</v>
      </c>
      <c r="L272" s="148"/>
    </row>
    <row r="273" spans="1:12">
      <c r="A273" s="143" t="s">
        <v>353</v>
      </c>
      <c r="B273" s="50">
        <f ca="1">IF(B143=0,0,-1*((B143/B9)*(LN(B143/B9))))</f>
        <v>0</v>
      </c>
      <c r="C273" s="50">
        <f ca="1">IF(C143=0,0,-1*((C143/C9)*(LN(C143/C9))))</f>
        <v>0</v>
      </c>
      <c r="D273" s="50">
        <f ca="1">IF(D143=0,0,-1*((D143/D9)*(LN(D143/D9))))</f>
        <v>0</v>
      </c>
      <c r="E273" s="50">
        <f ca="1">IF(E143=0,0,-1*((E143/E9)*(LN(E143/E9))))</f>
        <v>0</v>
      </c>
      <c r="F273" s="50">
        <f ca="1">IF(F143=0,0,-1*((F143/F9)*(LN(F143/F9))))</f>
        <v>0</v>
      </c>
      <c r="L273" s="148"/>
    </row>
    <row r="274" spans="1:12">
      <c r="A274" s="143" t="s">
        <v>354</v>
      </c>
      <c r="B274" s="50">
        <f ca="1">IF(B144=0,0,-1*((B144/B9)*(LN(B144/B9))))</f>
        <v>5.3239043467428901E-2</v>
      </c>
      <c r="C274" s="50">
        <f ca="1">IF(C144=0,0,-1*((C144/C9)*(LN(C144/C9))))</f>
        <v>3.8626509898418412E-2</v>
      </c>
      <c r="D274" s="50">
        <f ca="1">IF(D144=0,0,-1*((D144/D9)*(LN(D144/D9))))</f>
        <v>0</v>
      </c>
      <c r="E274" s="50">
        <f ca="1">IF(E144=0,0,-1*((E144/E9)*(LN(E144/E9))))</f>
        <v>6.61626649078777E-2</v>
      </c>
      <c r="F274" s="50">
        <f ca="1">IF(F144=0,0,-1*((F144/F9)*(LN(F144/F9))))</f>
        <v>0.11014462003783713</v>
      </c>
      <c r="L274" s="148"/>
    </row>
    <row r="275" spans="1:12">
      <c r="A275" s="143" t="s">
        <v>355</v>
      </c>
      <c r="B275" s="50">
        <f ca="1">IF(B145=0,0,-1*((B145/B9)*(LN(B145/B9))))</f>
        <v>0.34618372573500483</v>
      </c>
      <c r="C275" s="50">
        <f ca="1">IF(C145=0,0,-1*((C145/C9)*(LN(C145/C9))))</f>
        <v>0.342507925353635</v>
      </c>
      <c r="D275" s="50">
        <f ca="1">IF(D145=0,0,-1*((D145/D9)*(LN(D145/D9))))</f>
        <v>0.34076593985374037</v>
      </c>
      <c r="E275" s="50">
        <f ca="1">IF(E145=0,0,-1*((E145/E9)*(LN(E145/E9))))</f>
        <v>0.33101500420036201</v>
      </c>
      <c r="F275" s="50">
        <f ca="1">IF(F145=0,0,-1*((F145/F9)*(LN(F145/F9))))</f>
        <v>0.36198118358307829</v>
      </c>
      <c r="L275" s="148"/>
    </row>
    <row r="276" spans="1:12">
      <c r="A276" s="143" t="s">
        <v>356</v>
      </c>
      <c r="B276" s="50">
        <f ca="1">IF(B146=0,0,-1*((B146/B9)*(LN(B146/B9))))</f>
        <v>0</v>
      </c>
      <c r="C276" s="50">
        <f ca="1">IF(C146=0,0,-1*((C146/C9)*(LN(C146/C9))))</f>
        <v>0</v>
      </c>
      <c r="D276" s="50">
        <f ca="1">IF(D146=0,0,-1*((D146/D9)*(LN(D146/D9))))</f>
        <v>0</v>
      </c>
      <c r="E276" s="50">
        <f ca="1">IF(E146=0,0,-1*((E146/E9)*(LN(E146/E9))))</f>
        <v>0</v>
      </c>
      <c r="F276" s="50">
        <f ca="1">IF(F146=0,0,-1*((F146/F9)*(LN(F146/F9))))</f>
        <v>0</v>
      </c>
      <c r="L276" s="148"/>
    </row>
    <row r="277" spans="1:12">
      <c r="A277" s="143" t="s">
        <v>357</v>
      </c>
      <c r="B277" s="50">
        <f ca="1">IF(B147=0,0,-1*((B147/B9)*(LN(B147/B9))))</f>
        <v>0.19633439529585173</v>
      </c>
      <c r="C277" s="50">
        <f ca="1">IF(C147=0,0,-1*((C147/C9)*(LN(C147/C9))))</f>
        <v>0.1537386011408369</v>
      </c>
      <c r="D277" s="50">
        <f ca="1">IF(D147=0,0,-1*((D147/D9)*(LN(D147/D9))))</f>
        <v>0.10011542152659413</v>
      </c>
      <c r="E277" s="50">
        <f ca="1">IF(E147=0,0,-1*((E147/E9)*(LN(E147/E9))))</f>
        <v>0.10011542152659413</v>
      </c>
      <c r="F277" s="50">
        <f ca="1">IF(F147=0,0,-1*((F147/F9)*(LN(F147/F9))))</f>
        <v>7.824046010856292E-2</v>
      </c>
      <c r="L277" s="148"/>
    </row>
    <row r="278" spans="1:12">
      <c r="A278" s="143" t="s">
        <v>358</v>
      </c>
      <c r="B278" s="50">
        <f ca="1">IF(B148=0,0,-1*((B148/B9)*(LN(B148/B9))))</f>
        <v>0</v>
      </c>
      <c r="C278" s="50">
        <f ca="1">IF(C148=0,0,-1*((C148/C9)*(LN(C148/C9))))</f>
        <v>0</v>
      </c>
      <c r="D278" s="50">
        <f ca="1">IF(D148=0,0,-1*((D148/D9)*(LN(D148/D9))))</f>
        <v>0</v>
      </c>
      <c r="E278" s="50">
        <f ca="1">IF(E148=0,0,-1*((E148/E9)*(LN(E148/E9))))</f>
        <v>0</v>
      </c>
      <c r="F278" s="50">
        <f ca="1">IF(F148=0,0,-1*((F148/F9)*(LN(F148/F9))))</f>
        <v>0</v>
      </c>
      <c r="L278" s="148"/>
    </row>
    <row r="279" spans="1:12">
      <c r="A279" s="143" t="s">
        <v>359</v>
      </c>
      <c r="B279" s="50">
        <f ca="1">IF(B149=0,0,-1*((B149/B9)*(LN(B149/B9))))</f>
        <v>0.34458361835251078</v>
      </c>
      <c r="C279" s="50">
        <f ca="1">IF(C149=0,0,-1*((C149/C9)*(LN(C149/C9))))</f>
        <v>0.21387682487634591</v>
      </c>
      <c r="D279" s="50">
        <f ca="1">IF(D149=0,0,-1*((D149/D9)*(LN(D149/D9))))</f>
        <v>0.29649377158990192</v>
      </c>
      <c r="E279" s="50">
        <f ca="1">IF(E149=0,0,-1*((E149/E9)*(LN(E149/E9))))</f>
        <v>0.27133365348146754</v>
      </c>
      <c r="F279" s="50">
        <f ca="1">IF(F149=0,0,-1*((F149/F9)*(LN(F149/F9))))</f>
        <v>0.30575974597414141</v>
      </c>
      <c r="L279" s="148"/>
    </row>
    <row r="280" spans="1:12" ht="15" thickBot="1">
      <c r="A280" s="145" t="s">
        <v>360</v>
      </c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149"/>
    </row>
    <row r="281" spans="1:12" ht="15" thickTop="1">
      <c r="A281" s="139" t="s">
        <v>429</v>
      </c>
      <c r="B281" s="62">
        <f ca="1">1-SUM(B282:B290)</f>
        <v>0.69756939404203155</v>
      </c>
      <c r="C281" s="62">
        <f ca="1">1-SUM(C282:C290)</f>
        <v>0.55734400000000006</v>
      </c>
      <c r="D281" s="62">
        <f ca="1">1-SUM(D282:D290)</f>
        <v>0.58944000000000007</v>
      </c>
      <c r="E281" s="62">
        <f ca="1">1-SUM(E282:E290)</f>
        <v>0.56899200000000005</v>
      </c>
      <c r="F281" s="62">
        <f ca="1">1-SUM(F282:F290)</f>
        <v>0.65615999999999997</v>
      </c>
      <c r="G281" s="56"/>
      <c r="H281" s="56"/>
      <c r="I281" s="56"/>
      <c r="J281" s="56"/>
      <c r="K281" s="56"/>
      <c r="L281" s="147"/>
    </row>
    <row r="282" spans="1:12">
      <c r="A282" s="143" t="s">
        <v>351</v>
      </c>
      <c r="B282" s="50">
        <f ca="1">IF(B141=0,0,(B141/B9)^2)</f>
        <v>0.17444879921291589</v>
      </c>
      <c r="C282" s="50">
        <f ca="1">IF(C141=0,0,(C141/C9)^2)</f>
        <v>0.37454399999999999</v>
      </c>
      <c r="D282" s="50">
        <f ca="1">IF(D141=0,0,(D141/D9)^2)</f>
        <v>0.32718399999999992</v>
      </c>
      <c r="E282" s="50">
        <f ca="1">IF(E141=0,0,(E141/E9)^2)</f>
        <v>0.36481599999999997</v>
      </c>
      <c r="F282" s="50">
        <f ca="1">IF(F141=0,0,(F141/F9)^2)</f>
        <v>0.21902400000000002</v>
      </c>
      <c r="L282" s="148"/>
    </row>
    <row r="283" spans="1:12">
      <c r="A283" s="143" t="s">
        <v>352</v>
      </c>
      <c r="B283" s="50">
        <f ca="1">IF(B142=0,0,(B142/B9)^2)</f>
        <v>0</v>
      </c>
      <c r="C283" s="50">
        <f ca="1">IF(C142=0,0,(C142/C9)^2)</f>
        <v>0</v>
      </c>
      <c r="D283" s="50">
        <f ca="1">IF(D142=0,0,(D142/D9)^2)</f>
        <v>0</v>
      </c>
      <c r="E283" s="50">
        <f ca="1">IF(E142=0,0,(E142/E9)^2)</f>
        <v>0</v>
      </c>
      <c r="F283" s="50">
        <f ca="1">IF(F142=0,0,(F142/F9)^2)</f>
        <v>0</v>
      </c>
      <c r="L283" s="148"/>
    </row>
    <row r="284" spans="1:12">
      <c r="A284" s="143" t="s">
        <v>353</v>
      </c>
      <c r="B284" s="50">
        <f ca="1">IF(B143=0,0,(B143/B9)^2)</f>
        <v>0</v>
      </c>
      <c r="C284" s="50">
        <f ca="1">IF(C143=0,0,(C143/C9)^2)</f>
        <v>0</v>
      </c>
      <c r="D284" s="50">
        <f ca="1">IF(D143=0,0,(D143/D9)^2)</f>
        <v>0</v>
      </c>
      <c r="E284" s="50">
        <f ca="1">IF(E143=0,0,(E143/E9)^2)</f>
        <v>0</v>
      </c>
      <c r="F284" s="50">
        <f ca="1">IF(F143=0,0,(F143/F9)^2)</f>
        <v>0</v>
      </c>
      <c r="L284" s="148"/>
    </row>
    <row r="285" spans="1:12">
      <c r="A285" s="143" t="s">
        <v>354</v>
      </c>
      <c r="B285" s="50">
        <f ca="1">IF(B144=0,0,(B144/B9)^2)</f>
        <v>1.451589490492089E-4</v>
      </c>
      <c r="C285" s="50">
        <f ca="1">IF(C144=0,0,(C144/C9)^2)</f>
        <v>6.3999999999999997E-5</v>
      </c>
      <c r="D285" s="50">
        <f ca="1">IF(D144=0,0,(D144/D9)^2)</f>
        <v>0</v>
      </c>
      <c r="E285" s="50">
        <f ca="1">IF(E144=0,0,(E144/E9)^2)</f>
        <v>2.5599999999999999E-4</v>
      </c>
      <c r="F285" s="50">
        <f ca="1">IF(F144=0,0,(F144/F9)^2)</f>
        <v>1.024E-3</v>
      </c>
      <c r="L285" s="148"/>
    </row>
    <row r="286" spans="1:12">
      <c r="A286" s="143" t="s">
        <v>355</v>
      </c>
      <c r="B286" s="50">
        <f ca="1">IF(B145=0,0,(B145/B9)^2)</f>
        <v>6.1999000016128764E-2</v>
      </c>
      <c r="C286" s="50">
        <f ca="1">IF(C145=0,0,(C145/C9)^2)</f>
        <v>5.7599999999999998E-2</v>
      </c>
      <c r="D286" s="50">
        <f ca="1">IF(D145=0,0,(D145/D9)^2)</f>
        <v>5.5695999999999996E-2</v>
      </c>
      <c r="E286" s="50">
        <f ca="1">IF(E145=0,0,(E145/E9)^2)</f>
        <v>4.6655999999999996E-2</v>
      </c>
      <c r="F286" s="50">
        <f ca="1">IF(F145=0,0,(F145/F9)^2)</f>
        <v>9.2415999999999998E-2</v>
      </c>
      <c r="L286" s="148"/>
    </row>
    <row r="287" spans="1:12">
      <c r="A287" s="143" t="s">
        <v>356</v>
      </c>
      <c r="B287" s="50">
        <f ca="1">IF(B146=0,0,(B146/B9)^2)</f>
        <v>0</v>
      </c>
      <c r="C287" s="50">
        <f ca="1">IF(C146=0,0,(C146/C9)^2)</f>
        <v>0</v>
      </c>
      <c r="D287" s="50">
        <f ca="1">IF(D146=0,0,(D146/D9)^2)</f>
        <v>0</v>
      </c>
      <c r="E287" s="50">
        <f ca="1">IF(E146=0,0,(E146/E9)^2)</f>
        <v>0</v>
      </c>
      <c r="F287" s="50">
        <f ca="1">IF(F146=0,0,(F146/F9)^2)</f>
        <v>0</v>
      </c>
      <c r="L287" s="148"/>
    </row>
    <row r="288" spans="1:12">
      <c r="A288" s="143" t="s">
        <v>357</v>
      </c>
      <c r="B288" s="50">
        <f ca="1">IF(B147=0,0,(B147/B9)^2)</f>
        <v>5.8224867340849352E-3</v>
      </c>
      <c r="C288" s="50">
        <f ca="1">IF(C147=0,0,(C147/C9)^2)</f>
        <v>2.7039999999999998E-3</v>
      </c>
      <c r="D288" s="50">
        <f ca="1">IF(D147=0,0,(D147/D9)^2)</f>
        <v>7.8400000000000008E-4</v>
      </c>
      <c r="E288" s="50">
        <f ca="1">IF(E147=0,0,(E147/E9)^2)</f>
        <v>7.8400000000000008E-4</v>
      </c>
      <c r="F288" s="50">
        <f ca="1">IF(F147=0,0,(F147/F9)^2)</f>
        <v>4.0000000000000002E-4</v>
      </c>
      <c r="L288" s="148"/>
    </row>
    <row r="289" spans="1:12">
      <c r="A289" s="143" t="s">
        <v>358</v>
      </c>
      <c r="B289" s="50">
        <f ca="1">IF(B148=0,0,(B148/B9)^2)</f>
        <v>0</v>
      </c>
      <c r="C289" s="50">
        <f ca="1">IF(C148=0,0,(C148/C9)^2)</f>
        <v>0</v>
      </c>
      <c r="D289" s="50">
        <f ca="1">IF(D148=0,0,(D148/D9)^2)</f>
        <v>0</v>
      </c>
      <c r="E289" s="50">
        <f ca="1">IF(E148=0,0,(E148/E9)^2)</f>
        <v>0</v>
      </c>
      <c r="F289" s="50">
        <f ca="1">IF(F148=0,0,(F148/F9)^2)</f>
        <v>0</v>
      </c>
      <c r="L289" s="148"/>
    </row>
    <row r="290" spans="1:12">
      <c r="A290" s="143" t="s">
        <v>359</v>
      </c>
      <c r="B290" s="50">
        <f ca="1">IF(B149=0,0,(B149/B9)^2)</f>
        <v>6.0015161045789578E-2</v>
      </c>
      <c r="C290" s="50">
        <f ca="1">IF(C149=0,0,(C149/C9)^2)</f>
        <v>7.7439999999999991E-3</v>
      </c>
      <c r="D290" s="50">
        <f ca="1">IF(D149=0,0,(D149/D9)^2)</f>
        <v>2.6896000000000003E-2</v>
      </c>
      <c r="E290" s="50">
        <f ca="1">IF(E149=0,0,(E149/E9)^2)</f>
        <v>1.8496000000000002E-2</v>
      </c>
      <c r="F290" s="50">
        <f ca="1">IF(F149=0,0,(F149/F9)^2)</f>
        <v>3.0975999999999997E-2</v>
      </c>
      <c r="L290" s="148"/>
    </row>
    <row r="291" spans="1:12" ht="15" thickBot="1">
      <c r="A291" s="145" t="s">
        <v>360</v>
      </c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149"/>
    </row>
    <row r="292" spans="1:12" ht="15" thickTop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Transect1_raw</vt:lpstr>
      <vt:lpstr>Transect 2_raw</vt:lpstr>
      <vt:lpstr>Transect 3_raw</vt:lpstr>
      <vt:lpstr>Transect 4_raw</vt:lpstr>
      <vt:lpstr>Transect5_raw</vt:lpstr>
      <vt:lpstr>Transect1_imgsummary</vt:lpstr>
      <vt:lpstr>Transect 2_imgsummary</vt:lpstr>
      <vt:lpstr>Transect 3_imgsummary</vt:lpstr>
      <vt:lpstr>Transect 4_imgsummary</vt:lpstr>
      <vt:lpstr>Transect5_imgsummary</vt:lpstr>
      <vt:lpstr>Transect 1_%cover</vt:lpstr>
      <vt:lpstr>Transect 2_%cover</vt:lpstr>
      <vt:lpstr>Transect 3_%cover</vt:lpstr>
      <vt:lpstr>Transect1_%cover</vt:lpstr>
      <vt:lpstr>Transect 4_%cover</vt:lpstr>
      <vt:lpstr>Transect5_%cover</vt:lpstr>
      <vt:lpstr>Transect1</vt:lpstr>
      <vt:lpstr>Transect 2</vt:lpstr>
      <vt:lpstr>Transect 3</vt:lpstr>
      <vt:lpstr>Transect 4</vt:lpstr>
      <vt:lpstr>Transect5</vt:lpstr>
      <vt:lpstr>Transect1_archive</vt:lpstr>
      <vt:lpstr>Transect 2_archive</vt:lpstr>
      <vt:lpstr>Transect 3_archive</vt:lpstr>
      <vt:lpstr>Transect 4_archive</vt:lpstr>
      <vt:lpstr>Transect5_archive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JEFF HEMMINGER</cp:lastModifiedBy>
  <dcterms:created xsi:type="dcterms:W3CDTF">2013-07-17T04:55:26Z</dcterms:created>
  <dcterms:modified xsi:type="dcterms:W3CDTF">2015-03-13T05:28:23Z</dcterms:modified>
</cp:coreProperties>
</file>