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ing\Finance-Model\documents\"/>
    </mc:Choice>
  </mc:AlternateContent>
  <xr:revisionPtr revIDLastSave="0" documentId="13_ncr:1_{52F0C78B-23C7-4B62-B3BB-70CD44CE3B2B}" xr6:coauthVersionLast="47" xr6:coauthVersionMax="47" xr10:uidLastSave="{00000000-0000-0000-0000-000000000000}"/>
  <bookViews>
    <workbookView xWindow="-33650" yWindow="1520" windowWidth="31390" windowHeight="19290" xr2:uid="{00000000-000D-0000-FFFF-FFFF00000000}"/>
  </bookViews>
  <sheets>
    <sheet name="backlog" sheetId="1" r:id="rId1"/>
    <sheet name="pipeline" sheetId="3" r:id="rId2"/>
    <sheet name="Projections" sheetId="2" r:id="rId3"/>
  </sheets>
  <definedNames>
    <definedName name="Cash_beginning">#REF!</definedName>
    <definedName name="Cash_minimum">#REF!</definedName>
    <definedName name="Company_name">#REF!</definedName>
    <definedName name="_xlnm.Print_Area" localSheetId="0">backlog!$E$1:$N$17</definedName>
    <definedName name="Start_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3" l="1"/>
  <c r="I21" i="3"/>
  <c r="K21" i="3" s="1"/>
  <c r="S20" i="3"/>
  <c r="S19" i="3"/>
  <c r="K19" i="3"/>
  <c r="J19" i="3"/>
  <c r="I19" i="3"/>
  <c r="I20" i="3" s="1"/>
  <c r="AD18" i="3"/>
  <c r="AC18" i="3"/>
  <c r="S18" i="3"/>
  <c r="K18" i="3"/>
  <c r="AB18" i="3" s="1"/>
  <c r="J18" i="3"/>
  <c r="T17" i="3"/>
  <c r="S17" i="3"/>
  <c r="AA17" i="3" s="1"/>
  <c r="AD16" i="3"/>
  <c r="T16" i="3"/>
  <c r="S16" i="3"/>
  <c r="AC16" i="3" s="1"/>
  <c r="T15" i="3"/>
  <c r="S15" i="3"/>
  <c r="Z15" i="3" s="1"/>
  <c r="AD14" i="3"/>
  <c r="T14" i="3"/>
  <c r="S14" i="3"/>
  <c r="AC14" i="3" s="1"/>
  <c r="AD13" i="3"/>
  <c r="AC13" i="3"/>
  <c r="AB13" i="3"/>
  <c r="AA13" i="3"/>
  <c r="Z13" i="3"/>
  <c r="Y13" i="3"/>
  <c r="X13" i="3"/>
  <c r="T13" i="3"/>
  <c r="S13" i="3"/>
  <c r="W13" i="3" s="1"/>
  <c r="AF13" i="3" s="1"/>
  <c r="AD12" i="3"/>
  <c r="T12" i="3"/>
  <c r="S12" i="3"/>
  <c r="AC12" i="3" s="1"/>
  <c r="T11" i="3"/>
  <c r="S11" i="3"/>
  <c r="AD11" i="3" s="1"/>
  <c r="AD10" i="3"/>
  <c r="T10" i="3"/>
  <c r="S10" i="3"/>
  <c r="AC10" i="3" s="1"/>
  <c r="T9" i="3"/>
  <c r="S9" i="3"/>
  <c r="AC9" i="3" s="1"/>
  <c r="AD8" i="3"/>
  <c r="T8" i="3"/>
  <c r="S8" i="3"/>
  <c r="AC8" i="3" s="1"/>
  <c r="AD7" i="3"/>
  <c r="AC7" i="3"/>
  <c r="AB7" i="3"/>
  <c r="AA7" i="3"/>
  <c r="T7" i="3"/>
  <c r="S7" i="3"/>
  <c r="Z7" i="3" s="1"/>
  <c r="AD6" i="3"/>
  <c r="T6" i="3"/>
  <c r="S6" i="3"/>
  <c r="AC6" i="3" s="1"/>
  <c r="T5" i="3"/>
  <c r="S5" i="3"/>
  <c r="AA5" i="3" s="1"/>
  <c r="AD4" i="3"/>
  <c r="T4" i="3"/>
  <c r="S4" i="3"/>
  <c r="AC4" i="3" s="1"/>
  <c r="U3" i="3"/>
  <c r="T3" i="3"/>
  <c r="S3" i="3"/>
  <c r="AD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T2" i="3"/>
  <c r="S2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V13" i="2"/>
  <c r="K6" i="2"/>
  <c r="J6" i="2"/>
  <c r="E5" i="2"/>
  <c r="F5" i="2" s="1"/>
  <c r="G5" i="2" s="1"/>
  <c r="H5" i="2" s="1"/>
  <c r="I5" i="2" s="1"/>
  <c r="J5" i="2" s="1"/>
  <c r="K5" i="2" s="1"/>
  <c r="AA17" i="1"/>
  <c r="Z17" i="1"/>
  <c r="Y17" i="1"/>
  <c r="X17" i="1"/>
  <c r="W17" i="1"/>
  <c r="AB17" i="1" s="1"/>
  <c r="Y21" i="3" l="1"/>
  <c r="X21" i="3"/>
  <c r="W21" i="3"/>
  <c r="T21" i="3"/>
  <c r="Z11" i="3"/>
  <c r="W3" i="3"/>
  <c r="AD5" i="3"/>
  <c r="AA11" i="3"/>
  <c r="X3" i="3"/>
  <c r="AB11" i="3"/>
  <c r="Y3" i="3"/>
  <c r="AC11" i="3"/>
  <c r="AD17" i="3"/>
  <c r="AA3" i="3"/>
  <c r="AA15" i="3"/>
  <c r="AD19" i="3"/>
  <c r="AC19" i="3"/>
  <c r="AB19" i="3"/>
  <c r="AD2" i="3"/>
  <c r="AC2" i="3"/>
  <c r="AB2" i="3"/>
  <c r="AA2" i="3"/>
  <c r="Z2" i="3"/>
  <c r="Y2" i="3"/>
  <c r="X2" i="3"/>
  <c r="W2" i="3"/>
  <c r="W5" i="3"/>
  <c r="X19" i="3"/>
  <c r="Z5" i="3"/>
  <c r="W11" i="3"/>
  <c r="W17" i="3"/>
  <c r="X11" i="3"/>
  <c r="Z19" i="3"/>
  <c r="AB5" i="3"/>
  <c r="Y11" i="3"/>
  <c r="AA19" i="3"/>
  <c r="AC5" i="3"/>
  <c r="AB17" i="3"/>
  <c r="AC17" i="3"/>
  <c r="W9" i="3"/>
  <c r="AC3" i="3"/>
  <c r="Z9" i="3"/>
  <c r="W7" i="3"/>
  <c r="AF7" i="3" s="1"/>
  <c r="AD9" i="3"/>
  <c r="AB15" i="3"/>
  <c r="X7" i="3"/>
  <c r="AC15" i="3"/>
  <c r="J21" i="3"/>
  <c r="AD21" i="3" s="1"/>
  <c r="Y7" i="3"/>
  <c r="AD15" i="3"/>
  <c r="T19" i="3"/>
  <c r="X5" i="3"/>
  <c r="W19" i="3"/>
  <c r="Y5" i="3"/>
  <c r="Y19" i="3"/>
  <c r="X17" i="3"/>
  <c r="Y17" i="3"/>
  <c r="Z17" i="3"/>
  <c r="Z3" i="3"/>
  <c r="X9" i="3"/>
  <c r="AB3" i="3"/>
  <c r="Y9" i="3"/>
  <c r="W15" i="3"/>
  <c r="X15" i="3"/>
  <c r="AA9" i="3"/>
  <c r="Y15" i="3"/>
  <c r="AB9" i="3"/>
  <c r="K20" i="3"/>
  <c r="J20" i="3"/>
  <c r="W4" i="3"/>
  <c r="W6" i="3"/>
  <c r="W8" i="3"/>
  <c r="W10" i="3"/>
  <c r="W12" i="3"/>
  <c r="W14" i="3"/>
  <c r="W16" i="3"/>
  <c r="T18" i="3"/>
  <c r="X4" i="3"/>
  <c r="X6" i="3"/>
  <c r="X8" i="3"/>
  <c r="X10" i="3"/>
  <c r="X12" i="3"/>
  <c r="X14" i="3"/>
  <c r="X16" i="3"/>
  <c r="W18" i="3"/>
  <c r="Y4" i="3"/>
  <c r="Y6" i="3"/>
  <c r="Y8" i="3"/>
  <c r="Y10" i="3"/>
  <c r="Y12" i="3"/>
  <c r="Y14" i="3"/>
  <c r="Y16" i="3"/>
  <c r="X18" i="3"/>
  <c r="Z4" i="3"/>
  <c r="Z6" i="3"/>
  <c r="Z8" i="3"/>
  <c r="Z10" i="3"/>
  <c r="Z12" i="3"/>
  <c r="Z14" i="3"/>
  <c r="Z16" i="3"/>
  <c r="Y18" i="3"/>
  <c r="AA4" i="3"/>
  <c r="AA6" i="3"/>
  <c r="AA8" i="3"/>
  <c r="AA10" i="3"/>
  <c r="AA12" i="3"/>
  <c r="AA14" i="3"/>
  <c r="AA16" i="3"/>
  <c r="Z18" i="3"/>
  <c r="AB4" i="3"/>
  <c r="AB6" i="3"/>
  <c r="AB8" i="3"/>
  <c r="AB10" i="3"/>
  <c r="AB12" i="3"/>
  <c r="AB14" i="3"/>
  <c r="AB16" i="3"/>
  <c r="AA18" i="3"/>
  <c r="I6" i="2"/>
  <c r="AF19" i="3" l="1"/>
  <c r="AF14" i="3"/>
  <c r="AF12" i="3"/>
  <c r="AF15" i="3"/>
  <c r="AF18" i="3"/>
  <c r="AF17" i="3"/>
  <c r="AF3" i="3"/>
  <c r="AF5" i="3"/>
  <c r="AF2" i="3"/>
  <c r="AF8" i="3"/>
  <c r="Z21" i="3"/>
  <c r="AF6" i="3"/>
  <c r="AA21" i="3"/>
  <c r="AF4" i="3"/>
  <c r="AB21" i="3"/>
  <c r="AC21" i="3"/>
  <c r="AF9" i="3"/>
  <c r="AF11" i="3"/>
  <c r="AF21" i="3"/>
  <c r="AF10" i="3"/>
  <c r="T20" i="3"/>
  <c r="AD20" i="3"/>
  <c r="AA20" i="3"/>
  <c r="Y20" i="3"/>
  <c r="X20" i="3"/>
  <c r="AB20" i="3"/>
  <c r="Z20" i="3"/>
  <c r="AC20" i="3"/>
  <c r="W20" i="3"/>
  <c r="Y13" i="1"/>
  <c r="AF20" i="3" l="1"/>
  <c r="V15" i="1"/>
  <c r="Z16" i="1"/>
  <c r="Y16" i="1"/>
  <c r="X16" i="1"/>
  <c r="W16" i="1"/>
  <c r="AA15" i="1" l="1"/>
  <c r="Z15" i="1"/>
  <c r="Y15" i="1"/>
  <c r="X15" i="1"/>
  <c r="W15" i="1"/>
  <c r="Z12" i="1"/>
  <c r="G6" i="2" l="1"/>
  <c r="H6" i="2"/>
  <c r="Y14" i="1"/>
  <c r="Q14" i="1"/>
  <c r="Y11" i="1"/>
  <c r="Y10" i="1"/>
  <c r="X7" i="1"/>
  <c r="X6" i="1"/>
  <c r="W3" i="1"/>
  <c r="W2" i="1"/>
  <c r="Q4" i="1"/>
  <c r="F6" i="2" l="1"/>
  <c r="W4" i="1"/>
  <c r="X4" i="1" s="1"/>
  <c r="H7" i="2" l="1"/>
  <c r="I7" i="2"/>
  <c r="J7" i="2"/>
  <c r="F7" i="2"/>
  <c r="D7" i="2"/>
  <c r="E7" i="2"/>
  <c r="K7" i="2"/>
  <c r="G7" i="2"/>
  <c r="Q6" i="1"/>
  <c r="W5" i="1" l="1"/>
  <c r="D6" i="2" s="1"/>
  <c r="Q5" i="1"/>
  <c r="X5" i="1" l="1"/>
  <c r="Q3" i="1"/>
  <c r="E6" i="2" l="1"/>
  <c r="Q2" i="1"/>
  <c r="I8" i="2" l="1"/>
  <c r="I9" i="2" s="1"/>
  <c r="H8" i="2"/>
  <c r="H9" i="2" s="1"/>
  <c r="G8" i="2"/>
  <c r="G9" i="2" s="1"/>
  <c r="F8" i="2"/>
  <c r="F9" i="2" s="1"/>
  <c r="D8" i="2"/>
  <c r="D9" i="2" s="1"/>
  <c r="D12" i="2" s="1"/>
  <c r="E8" i="2" l="1"/>
  <c r="E9" i="2" s="1"/>
  <c r="K8" i="2"/>
  <c r="K9" i="2" s="1"/>
  <c r="J8" i="2"/>
  <c r="J9" i="2" s="1"/>
</calcChain>
</file>

<file path=xl/sharedStrings.xml><?xml version="1.0" encoding="utf-8"?>
<sst xmlns="http://schemas.openxmlformats.org/spreadsheetml/2006/main" count="371" uniqueCount="133">
  <si>
    <t>Training</t>
  </si>
  <si>
    <t>Services</t>
  </si>
  <si>
    <t>FFP</t>
  </si>
  <si>
    <t>Gov't</t>
  </si>
  <si>
    <t>Sub</t>
  </si>
  <si>
    <t>Prime</t>
  </si>
  <si>
    <t>NAVOSH</t>
  </si>
  <si>
    <t>R202-XXX</t>
  </si>
  <si>
    <t>NAVFAC</t>
  </si>
  <si>
    <t>L302-XXX</t>
  </si>
  <si>
    <t>GSA</t>
  </si>
  <si>
    <t xml:space="preserve">Prime </t>
  </si>
  <si>
    <t>EPA</t>
  </si>
  <si>
    <t>CECOS</t>
  </si>
  <si>
    <t>C100-XXX</t>
  </si>
  <si>
    <t>AirForce</t>
  </si>
  <si>
    <t>Fence to Fence Services - Moody AFB</t>
  </si>
  <si>
    <t>A601-XXX</t>
  </si>
  <si>
    <t>Fence to Fence Services - Seymour Johnson AFB</t>
  </si>
  <si>
    <t>A301-XXX</t>
  </si>
  <si>
    <t>Bhate</t>
  </si>
  <si>
    <t>AFCGSA1.001</t>
  </si>
  <si>
    <t>Revenue</t>
  </si>
  <si>
    <t>Prime/Sub</t>
  </si>
  <si>
    <t>Client/Agency</t>
  </si>
  <si>
    <t>Gov't/Comm</t>
  </si>
  <si>
    <t>Prime Kt #</t>
  </si>
  <si>
    <t>Division</t>
  </si>
  <si>
    <t>Contract Number</t>
  </si>
  <si>
    <t>Begin Date</t>
  </si>
  <si>
    <t>End Date</t>
  </si>
  <si>
    <t>Hazardous Substance Incident Response Management (HSIRM) Training</t>
  </si>
  <si>
    <t>Regional Hazardous Waste Management Services For Naval District Washington</t>
  </si>
  <si>
    <t>NASA Johnson Environmental Support Team (JEST)</t>
  </si>
  <si>
    <t>80JSC018A0012</t>
  </si>
  <si>
    <t>NASA</t>
  </si>
  <si>
    <t>CTA</t>
  </si>
  <si>
    <t>BhateZapataJV</t>
  </si>
  <si>
    <t>Customer</t>
  </si>
  <si>
    <t>TBD</t>
  </si>
  <si>
    <t>Anticipated Award Date</t>
  </si>
  <si>
    <t>Air Force</t>
  </si>
  <si>
    <t>Navy CECOS</t>
  </si>
  <si>
    <t>Environmental Response Training Program (SB)</t>
  </si>
  <si>
    <t>Environmental Response Training Program (LB)</t>
  </si>
  <si>
    <t>N00244-19-D-0012</t>
  </si>
  <si>
    <t>Fence-to-Fence Environmental Services at Joint Base Langley/Eustis, Joint-Base Andrews, MD; Dover AFB, DE</t>
  </si>
  <si>
    <t xml:space="preserve"> N40080-20-D-0006</t>
  </si>
  <si>
    <t>N40080-20-D-0006</t>
  </si>
  <si>
    <t>N00189-20-D-0002</t>
  </si>
  <si>
    <t>Fence-to-Fence Environmental Services at Dyess, Goodfellow, and Laughlin</t>
  </si>
  <si>
    <t>Fence-to-Fence Environmental Services at Scott and McConnell AFB</t>
  </si>
  <si>
    <t>A801-XXX</t>
  </si>
  <si>
    <t>AA-10-XXX</t>
  </si>
  <si>
    <t>K100-XXX</t>
  </si>
  <si>
    <t>HW Support Naval Oceangraphic-Stennis</t>
  </si>
  <si>
    <t>N6230620F0065</t>
  </si>
  <si>
    <t>47QRAA20D0056</t>
  </si>
  <si>
    <t>Navy Oceangraphic-Stennis</t>
  </si>
  <si>
    <t>A901-XXX</t>
  </si>
  <si>
    <t>Fence-to-Fence Environmental Services at Davis Monthan-Luke AFB</t>
  </si>
  <si>
    <t>NAVFAC Washington</t>
  </si>
  <si>
    <t>A700-XXX</t>
  </si>
  <si>
    <t>Incumbent</t>
  </si>
  <si>
    <t>Fence-to-Fence Environmental Services at Eglin/Tyndall/Hurlburt</t>
  </si>
  <si>
    <t>Incumbent 2014-2019</t>
  </si>
  <si>
    <t>Fence-to-Fence Environmental Services at JBLEAD and JBAB</t>
  </si>
  <si>
    <t>Incumbent since 2014</t>
  </si>
  <si>
    <t>Fence-to-Fence Environmental Services at Ellsworth, Minot, Offutt</t>
  </si>
  <si>
    <t>Fence-to-Fence Environmental Services at Malstrom, Mountain Home</t>
  </si>
  <si>
    <t xml:space="preserve">Fence-to-Fence Environmental Services at Peterson, Cheyenne Mt, Schriever, USAFA </t>
  </si>
  <si>
    <t>Fence-to-Fence Environmental Services at Scott, Mconnel</t>
  </si>
  <si>
    <t>Fence-to-Fence Environmental Services at Whiteman</t>
  </si>
  <si>
    <t>Fence-to-Fence Environmental Services at Barksdale, Columbus</t>
  </si>
  <si>
    <t>Fence-to-Fence Environmental Services at Davis Monthan, Luke</t>
  </si>
  <si>
    <t>Fence-to-Fence Environmental Services at Dyess, Goodfellow and Laughlin</t>
  </si>
  <si>
    <t>Fence-to-Fence Environmental Services at Vandenburg</t>
  </si>
  <si>
    <t>E200-XXX</t>
  </si>
  <si>
    <t>68HERH21A0007</t>
  </si>
  <si>
    <t>M601-XXX</t>
  </si>
  <si>
    <t>Lakehurst HAZMAT Support</t>
  </si>
  <si>
    <t>FA44822F024</t>
  </si>
  <si>
    <t>AA12-XXX</t>
  </si>
  <si>
    <t>JBMDL, Hanscom, Rome Labs, New Boston F2F</t>
  </si>
  <si>
    <t>W912DR22C0008</t>
  </si>
  <si>
    <t>USACE</t>
  </si>
  <si>
    <t>AA11-XXX</t>
  </si>
  <si>
    <t>Fence to Fence Services - JBAB</t>
  </si>
  <si>
    <t>FFP/T&amp;M</t>
  </si>
  <si>
    <t>G100-XXX**</t>
  </si>
  <si>
    <t>Environmental Training &amp; Course Development For The Civil Engineer Corps Officers School (CECOS) Environmental Training Division, Port Hueneme, Ca**</t>
  </si>
  <si>
    <t>NASA Johnson Environmental Support Team (JEST)**</t>
  </si>
  <si>
    <t>N0024423D0005</t>
  </si>
  <si>
    <t>WIP</t>
  </si>
  <si>
    <t>Pipeline</t>
  </si>
  <si>
    <t>Grand</t>
  </si>
  <si>
    <t>New Opportunities</t>
  </si>
  <si>
    <t>Environmental Response Training Program (SB) follow-on</t>
  </si>
  <si>
    <t>Hazardous Waste Management</t>
  </si>
  <si>
    <t>RCRA Training</t>
  </si>
  <si>
    <t>Fence to Fence</t>
  </si>
  <si>
    <t>Spill Response</t>
  </si>
  <si>
    <t>Hazardous Materials Management</t>
  </si>
  <si>
    <t>Opp 1</t>
  </si>
  <si>
    <t>Opp 2</t>
  </si>
  <si>
    <t>Opp 3</t>
  </si>
  <si>
    <t>Market</t>
  </si>
  <si>
    <t>TAM</t>
  </si>
  <si>
    <t>Total</t>
  </si>
  <si>
    <t>Environmental Compliance</t>
  </si>
  <si>
    <t>link</t>
  </si>
  <si>
    <t>pk</t>
  </si>
  <si>
    <t>charge_code</t>
  </si>
  <si>
    <t>category</t>
  </si>
  <si>
    <t>name</t>
  </si>
  <si>
    <t>contract_number</t>
  </si>
  <si>
    <t>division</t>
  </si>
  <si>
    <t>prime_contract_number</t>
  </si>
  <si>
    <t>award_date</t>
  </si>
  <si>
    <t>start_date</t>
  </si>
  <si>
    <t>gov_com</t>
  </si>
  <si>
    <t>agency</t>
  </si>
  <si>
    <t>prime_sub</t>
  </si>
  <si>
    <t>prime</t>
  </si>
  <si>
    <t>revenue</t>
  </si>
  <si>
    <t>backlog</t>
  </si>
  <si>
    <t>contract_type</t>
  </si>
  <si>
    <t>cut</t>
  </si>
  <si>
    <t>end_date</t>
  </si>
  <si>
    <t>army corp</t>
  </si>
  <si>
    <t>fense to fense</t>
  </si>
  <si>
    <t>bhate</t>
  </si>
  <si>
    <t>Naval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</si>
</sst>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#\-###"/>
    <numFmt numFmtId="165" formatCode="m/d/yyyy;@"/>
    <numFmt numFmtId="166" formatCode="&quot;$&quot;#,##0"/>
    <numFmt numFmtId="167" formatCode="&quot;$&quot;0,,&quot;M&quot;"/>
    <numFmt numFmtId="168" formatCode="&quot;$&quot;#,##0,,&quot;M&quot;"/>
    <numFmt numFmtId="169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4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indexed="64"/>
      </bottom>
      <diagonal/>
    </border>
    <border>
      <left/>
      <right style="medium">
        <color auto="1"/>
      </right>
      <top style="thick">
        <color auto="1"/>
      </top>
      <bottom style="medium">
        <color indexed="64"/>
      </bottom>
      <diagonal/>
    </border>
    <border>
      <left style="medium">
        <color auto="1"/>
      </left>
      <right/>
      <top style="thick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8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14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0" applyNumberFormat="1"/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1" fontId="4" fillId="0" borderId="18" xfId="0" applyNumberFormat="1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10" fillId="0" borderId="27" xfId="0" applyFont="1" applyBorder="1"/>
    <xf numFmtId="0" fontId="10" fillId="0" borderId="31" xfId="0" applyFont="1" applyBorder="1"/>
    <xf numFmtId="166" fontId="0" fillId="0" borderId="32" xfId="0" applyNumberFormat="1" applyBorder="1"/>
    <xf numFmtId="166" fontId="0" fillId="0" borderId="33" xfId="0" applyNumberFormat="1" applyBorder="1"/>
    <xf numFmtId="0" fontId="0" fillId="2" borderId="28" xfId="0" applyFill="1" applyBorder="1"/>
    <xf numFmtId="0" fontId="10" fillId="2" borderId="29" xfId="0" applyFont="1" applyFill="1" applyBorder="1"/>
    <xf numFmtId="0" fontId="10" fillId="2" borderId="30" xfId="0" applyFont="1" applyFill="1" applyBorder="1"/>
    <xf numFmtId="0" fontId="10" fillId="0" borderId="34" xfId="0" applyFont="1" applyBorder="1"/>
    <xf numFmtId="166" fontId="0" fillId="0" borderId="35" xfId="0" applyNumberFormat="1" applyBorder="1"/>
    <xf numFmtId="0" fontId="10" fillId="0" borderId="13" xfId="0" applyFont="1" applyBorder="1"/>
    <xf numFmtId="166" fontId="0" fillId="0" borderId="11" xfId="0" applyNumberFormat="1" applyBorder="1"/>
    <xf numFmtId="166" fontId="0" fillId="0" borderId="12" xfId="0" applyNumberFormat="1" applyBorder="1"/>
    <xf numFmtId="0" fontId="0" fillId="0" borderId="13" xfId="0" applyBorder="1"/>
    <xf numFmtId="0" fontId="0" fillId="0" borderId="36" xfId="0" applyBorder="1"/>
    <xf numFmtId="0" fontId="0" fillId="0" borderId="37" xfId="0" applyBorder="1"/>
    <xf numFmtId="0" fontId="10" fillId="2" borderId="39" xfId="0" applyFont="1" applyFill="1" applyBorder="1"/>
    <xf numFmtId="0" fontId="10" fillId="2" borderId="40" xfId="0" applyFont="1" applyFill="1" applyBorder="1" applyAlignment="1">
      <alignment horizontal="center" vertical="center"/>
    </xf>
    <xf numFmtId="167" fontId="0" fillId="0" borderId="38" xfId="0" applyNumberFormat="1" applyBorder="1"/>
    <xf numFmtId="168" fontId="0" fillId="0" borderId="38" xfId="0" applyNumberFormat="1" applyBorder="1"/>
    <xf numFmtId="168" fontId="0" fillId="0" borderId="0" xfId="0" applyNumberFormat="1"/>
    <xf numFmtId="168" fontId="0" fillId="0" borderId="41" xfId="0" applyNumberFormat="1" applyBorder="1"/>
    <xf numFmtId="0" fontId="4" fillId="0" borderId="5" xfId="0" applyFont="1" applyBorder="1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169" fontId="0" fillId="0" borderId="0" xfId="0" applyNumberFormat="1"/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0" fillId="0" borderId="0" xfId="1" applyFont="1" applyFill="1" applyAlignment="1">
      <alignment vertical="center"/>
    </xf>
    <xf numFmtId="4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23" xfId="0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44" fontId="9" fillId="0" borderId="1" xfId="1" applyFont="1" applyFill="1" applyBorder="1" applyAlignment="1">
      <alignment horizontal="center" vertical="center"/>
    </xf>
    <xf numFmtId="44" fontId="9" fillId="0" borderId="0" xfId="1" applyFont="1" applyFill="1" applyAlignment="1">
      <alignment vertical="center"/>
    </xf>
    <xf numFmtId="14" fontId="9" fillId="0" borderId="1" xfId="0" applyNumberFormat="1" applyFont="1" applyBorder="1" applyAlignment="1">
      <alignment horizontal="center" vertical="center"/>
    </xf>
    <xf numFmtId="44" fontId="0" fillId="0" borderId="1" xfId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horizontal="center" vertical="center" wrapText="1"/>
    </xf>
    <xf numFmtId="1" fontId="0" fillId="0" borderId="23" xfId="0" applyNumberForma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44" fontId="0" fillId="0" borderId="23" xfId="1" applyFont="1" applyFill="1" applyBorder="1" applyAlignment="1">
      <alignment vertical="center"/>
    </xf>
    <xf numFmtId="14" fontId="0" fillId="0" borderId="23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4" fontId="0" fillId="0" borderId="11" xfId="1" applyFont="1" applyFill="1" applyBorder="1" applyAlignment="1">
      <alignment vertical="center"/>
    </xf>
    <xf numFmtId="14" fontId="0" fillId="0" borderId="11" xfId="0" applyNumberFormat="1" applyBorder="1" applyAlignment="1">
      <alignment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44" fontId="0" fillId="4" borderId="1" xfId="1" applyFont="1" applyFill="1" applyBorder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164" fontId="0" fillId="4" borderId="0" xfId="0" applyNumberFormat="1" applyFill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165" fontId="11" fillId="5" borderId="22" xfId="0" applyNumberFormat="1" applyFont="1" applyFill="1" applyBorder="1" applyAlignment="1">
      <alignment horizontal="center" vertical="center"/>
    </xf>
    <xf numFmtId="165" fontId="11" fillId="5" borderId="1" xfId="0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vertical="center"/>
    </xf>
    <xf numFmtId="165" fontId="11" fillId="6" borderId="1" xfId="0" applyNumberFormat="1" applyFont="1" applyFill="1" applyBorder="1" applyAlignment="1">
      <alignment horizontal="center" vertical="center"/>
    </xf>
    <xf numFmtId="44" fontId="0" fillId="5" borderId="23" xfId="1" applyFont="1" applyFill="1" applyBorder="1" applyAlignment="1">
      <alignment vertical="center"/>
    </xf>
    <xf numFmtId="165" fontId="0" fillId="5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</cellXfs>
  <cellStyles count="6">
    <cellStyle name="Comma 2" xfId="2" xr:uid="{00000000-0005-0000-0000-000000000000}"/>
    <cellStyle name="Currency" xfId="1" builtinId="4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HazTrain Revenue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Projections!$C$6</c:f>
              <c:strCache>
                <c:ptCount val="1"/>
                <c:pt idx="0">
                  <c:v>WIP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A4A-41B0-B3D1-8A6B1D8EEE6E}"/>
              </c:ext>
            </c:extLst>
          </c:dPt>
          <c:dLbls>
            <c:numFmt formatCode="&quot;$&quot;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Projections!$D$5:$I$5</c:f>
              <c:numCache>
                <c:formatCode>General</c:formatCode>
                <c:ptCount val="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</c:numCache>
            </c:numRef>
          </c:cat>
          <c:val>
            <c:numRef>
              <c:f>Projections!$D$6:$I$6</c:f>
              <c:numCache>
                <c:formatCode>"$"#,##0</c:formatCode>
                <c:ptCount val="6"/>
                <c:pt idx="0">
                  <c:v>12230505.57</c:v>
                </c:pt>
                <c:pt idx="1">
                  <c:v>12468321.234999999</c:v>
                </c:pt>
                <c:pt idx="2">
                  <c:v>8432666.7033333331</c:v>
                </c:pt>
                <c:pt idx="3">
                  <c:v>7487696.9350000005</c:v>
                </c:pt>
                <c:pt idx="4">
                  <c:v>4228222.2</c:v>
                </c:pt>
                <c:pt idx="5">
                  <c:v>1974790.1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A-41B0-B3D1-8A6B1D8EEE6E}"/>
            </c:ext>
          </c:extLst>
        </c:ser>
        <c:ser>
          <c:idx val="1"/>
          <c:order val="1"/>
          <c:tx>
            <c:strRef>
              <c:f>Projections!$C$7</c:f>
              <c:strCache>
                <c:ptCount val="1"/>
                <c:pt idx="0">
                  <c:v>Pipeline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&quot;$&quot;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Projections!$D$5:$I$5</c:f>
              <c:numCache>
                <c:formatCode>General</c:formatCode>
                <c:ptCount val="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</c:numCache>
            </c:numRef>
          </c:cat>
          <c:val>
            <c:numRef>
              <c:f>Projections!$D$7:$I$7</c:f>
              <c:numCache>
                <c:formatCode>"$"#,##0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A-41B0-B3D1-8A6B1D8EEE6E}"/>
            </c:ext>
          </c:extLst>
        </c:ser>
        <c:ser>
          <c:idx val="2"/>
          <c:order val="2"/>
          <c:tx>
            <c:strRef>
              <c:f>Projections!$C$8</c:f>
              <c:strCache>
                <c:ptCount val="1"/>
                <c:pt idx="0">
                  <c:v>New Opportunities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Projections!$D$5:$I$5</c:f>
              <c:numCache>
                <c:formatCode>General</c:formatCode>
                <c:ptCount val="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</c:numCache>
            </c:numRef>
          </c:cat>
          <c:val>
            <c:numRef>
              <c:f>Projections!$D$8:$I$8</c:f>
              <c:numCache>
                <c:formatCode>"$"#,##0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A-41B0-B3D1-8A6B1D8E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02707919"/>
        <c:axId val="1902704559"/>
      </c:barChart>
      <c:lineChart>
        <c:grouping val="standard"/>
        <c:varyColors val="0"/>
        <c:ser>
          <c:idx val="3"/>
          <c:order val="3"/>
          <c:tx>
            <c:strRef>
              <c:f>Projections!$C$9</c:f>
              <c:strCache>
                <c:ptCount val="1"/>
                <c:pt idx="0">
                  <c:v>Grand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&quot;$&quot;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Projections!$D$5:$I$5</c:f>
              <c:numCache>
                <c:formatCode>General</c:formatCode>
                <c:ptCount val="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</c:numCache>
            </c:numRef>
          </c:cat>
          <c:val>
            <c:numRef>
              <c:f>Projections!$D$9:$I$9</c:f>
              <c:numCache>
                <c:formatCode>"$"#,##0</c:formatCode>
                <c:ptCount val="6"/>
                <c:pt idx="0">
                  <c:v>12230505.57</c:v>
                </c:pt>
                <c:pt idx="1">
                  <c:v>12468321.234999999</c:v>
                </c:pt>
                <c:pt idx="2">
                  <c:v>8432666.7033333331</c:v>
                </c:pt>
                <c:pt idx="3">
                  <c:v>7487696.9350000005</c:v>
                </c:pt>
                <c:pt idx="4">
                  <c:v>4228222.2</c:v>
                </c:pt>
                <c:pt idx="5">
                  <c:v>1974790.1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A-41B0-B3D1-8A6B1D8E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707919"/>
        <c:axId val="1902704559"/>
      </c:lineChart>
      <c:catAx>
        <c:axId val="19027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04559"/>
        <c:crosses val="autoZero"/>
        <c:auto val="1"/>
        <c:lblAlgn val="ctr"/>
        <c:lblOffset val="100"/>
        <c:noMultiLvlLbl val="0"/>
      </c:catAx>
      <c:valAx>
        <c:axId val="19027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0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365124</xdr:colOff>
      <xdr:row>18</xdr:row>
      <xdr:rowOff>88900</xdr:rowOff>
    </xdr:from>
    <xdr:to>
      <xdr:col>11</xdr:col>
      <xdr:colOff>317499</xdr:colOff>
      <xdr:row>44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5E8B7-34E2-BD24-ACEA-17698B2FB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8"/>
  <sheetViews>
    <sheetView tabSelected="1" zoomScale="85" zoomScaleNormal="85" workbookViewId="0">
      <pane xSplit="3" ySplit="1" topLeftCell="E2" activePane="bottomRight" state="frozen"/>
      <selection pane="topRight" activeCell="B1" sqref="B1"/>
      <selection pane="bottomLeft" activeCell="A4" sqref="A4"/>
      <selection pane="bottomRight" activeCell="I31" sqref="I31:I32"/>
    </sheetView>
  </sheetViews>
  <sheetFormatPr defaultColWidth="8.90625" defaultRowHeight="14.5" x14ac:dyDescent="0.35"/>
  <cols>
    <col min="3" max="3" width="19.7265625" style="1" bestFit="1" customWidth="1"/>
    <col min="4" max="4" width="16.81640625" style="1" bestFit="1" customWidth="1"/>
    <col min="5" max="5" width="91.6328125" style="1" customWidth="1"/>
    <col min="6" max="6" width="18.36328125" style="1" bestFit="1" customWidth="1"/>
    <col min="7" max="7" width="8.36328125" style="4" bestFit="1" customWidth="1"/>
    <col min="8" max="8" width="14.36328125" style="3" bestFit="1" customWidth="1"/>
    <col min="9" max="9" width="12.54296875" style="3" bestFit="1" customWidth="1"/>
    <col min="10" max="10" width="10.1796875" style="3" bestFit="1" customWidth="1"/>
    <col min="11" max="11" width="10.54296875" style="3" bestFit="1" customWidth="1"/>
    <col min="12" max="12" width="11.54296875" style="1" bestFit="1" customWidth="1"/>
    <col min="13" max="13" width="28.453125" bestFit="1" customWidth="1"/>
    <col min="14" max="14" width="6.6328125" bestFit="1" customWidth="1"/>
    <col min="15" max="15" width="14.6328125" bestFit="1" customWidth="1"/>
    <col min="16" max="16" width="9.453125" bestFit="1" customWidth="1"/>
    <col min="17" max="17" width="26.08984375" style="2" bestFit="1" customWidth="1"/>
    <col min="18" max="18" width="13.54296875" style="1" bestFit="1" customWidth="1"/>
    <col min="19" max="19" width="17.6328125" style="1" bestFit="1" customWidth="1"/>
    <col min="20" max="20" width="28.1796875" customWidth="1"/>
    <col min="21" max="21" width="10.1796875" customWidth="1"/>
    <col min="22" max="22" width="16.36328125" customWidth="1"/>
    <col min="23" max="23" width="19.6328125" customWidth="1"/>
    <col min="24" max="24" width="17.6328125" bestFit="1" customWidth="1"/>
    <col min="25" max="27" width="16.54296875" bestFit="1" customWidth="1"/>
    <col min="28" max="28" width="21.54296875" customWidth="1"/>
    <col min="29" max="29" width="15.6328125" bestFit="1" customWidth="1"/>
    <col min="30" max="30" width="16.90625" style="10" bestFit="1" customWidth="1"/>
    <col min="32" max="32" width="15" bestFit="1" customWidth="1"/>
  </cols>
  <sheetData>
    <row r="1" spans="1:30" s="50" customFormat="1" ht="32" thickTop="1" thickBot="1" x14ac:dyDescent="0.4">
      <c r="A1" s="50" t="s">
        <v>111</v>
      </c>
      <c r="B1" s="50" t="s">
        <v>110</v>
      </c>
      <c r="C1" s="41" t="s">
        <v>112</v>
      </c>
      <c r="D1" s="16" t="s">
        <v>113</v>
      </c>
      <c r="E1" s="110" t="s">
        <v>114</v>
      </c>
      <c r="F1" s="43" t="s">
        <v>115</v>
      </c>
      <c r="G1" s="44" t="s">
        <v>116</v>
      </c>
      <c r="H1" s="42" t="s">
        <v>117</v>
      </c>
      <c r="I1" s="42" t="s">
        <v>118</v>
      </c>
      <c r="J1" s="42" t="s">
        <v>119</v>
      </c>
      <c r="K1" s="42" t="s">
        <v>128</v>
      </c>
      <c r="L1" s="42" t="s">
        <v>120</v>
      </c>
      <c r="M1" s="42" t="s">
        <v>121</v>
      </c>
      <c r="N1" s="42" t="s">
        <v>122</v>
      </c>
      <c r="O1" s="45" t="s">
        <v>123</v>
      </c>
      <c r="P1" s="46" t="s">
        <v>124</v>
      </c>
      <c r="Q1" s="39" t="s">
        <v>125</v>
      </c>
      <c r="R1" s="38" t="s">
        <v>126</v>
      </c>
      <c r="S1" s="38" t="s">
        <v>127</v>
      </c>
      <c r="T1" s="38" t="s">
        <v>127</v>
      </c>
      <c r="U1" s="38" t="s">
        <v>127</v>
      </c>
      <c r="V1" s="47">
        <v>2022</v>
      </c>
      <c r="W1" s="47">
        <v>2023</v>
      </c>
      <c r="X1" s="47">
        <v>2024</v>
      </c>
      <c r="Y1" s="48">
        <v>2025</v>
      </c>
      <c r="Z1" s="48">
        <v>2026</v>
      </c>
      <c r="AA1" s="48">
        <v>2027</v>
      </c>
      <c r="AB1" s="48">
        <v>2028</v>
      </c>
      <c r="AC1" s="49">
        <v>2029</v>
      </c>
      <c r="AD1" s="49">
        <v>2030</v>
      </c>
    </row>
    <row r="2" spans="1:30" s="61" customFormat="1" ht="15.5" x14ac:dyDescent="0.35">
      <c r="A2" s="61">
        <v>1</v>
      </c>
      <c r="C2" s="51" t="s">
        <v>19</v>
      </c>
      <c r="D2" s="52" t="s">
        <v>93</v>
      </c>
      <c r="E2" s="53" t="s">
        <v>18</v>
      </c>
      <c r="F2" s="54"/>
      <c r="G2" s="55" t="s">
        <v>1</v>
      </c>
      <c r="H2" s="54"/>
      <c r="I2" s="56"/>
      <c r="J2" s="56">
        <v>43191</v>
      </c>
      <c r="K2" s="56">
        <v>45016</v>
      </c>
      <c r="L2" s="54" t="s">
        <v>3</v>
      </c>
      <c r="M2" s="54" t="s">
        <v>15</v>
      </c>
      <c r="N2" s="54" t="s">
        <v>4</v>
      </c>
      <c r="O2" s="54" t="s">
        <v>37</v>
      </c>
      <c r="P2" s="54" t="s">
        <v>3</v>
      </c>
      <c r="Q2" s="57">
        <f>90000*5</f>
        <v>450000</v>
      </c>
      <c r="R2" s="54" t="s">
        <v>2</v>
      </c>
      <c r="S2" s="54"/>
      <c r="T2" s="58">
        <v>43191</v>
      </c>
      <c r="U2" s="58">
        <v>45016</v>
      </c>
      <c r="V2" s="57">
        <v>85000</v>
      </c>
      <c r="W2" s="57">
        <f>V2/12*3</f>
        <v>21250</v>
      </c>
      <c r="X2" s="57"/>
      <c r="Y2" s="57"/>
      <c r="Z2" s="59"/>
      <c r="AA2" s="59"/>
      <c r="AB2" s="59"/>
      <c r="AC2" s="59"/>
      <c r="AD2" s="60"/>
    </row>
    <row r="3" spans="1:30" s="61" customFormat="1" ht="15.5" x14ac:dyDescent="0.35">
      <c r="A3" s="61">
        <f>A2+1</f>
        <v>2</v>
      </c>
      <c r="C3" s="51" t="s">
        <v>17</v>
      </c>
      <c r="D3" s="52" t="s">
        <v>93</v>
      </c>
      <c r="E3" s="53" t="s">
        <v>16</v>
      </c>
      <c r="F3" s="54"/>
      <c r="G3" s="55" t="s">
        <v>1</v>
      </c>
      <c r="H3" s="62"/>
      <c r="I3" s="56"/>
      <c r="J3" s="56">
        <v>43191</v>
      </c>
      <c r="K3" s="56">
        <v>45016</v>
      </c>
      <c r="L3" s="54" t="s">
        <v>3</v>
      </c>
      <c r="M3" s="54" t="s">
        <v>15</v>
      </c>
      <c r="N3" s="54" t="s">
        <v>4</v>
      </c>
      <c r="O3" s="54" t="s">
        <v>37</v>
      </c>
      <c r="P3" s="54" t="s">
        <v>3</v>
      </c>
      <c r="Q3" s="57">
        <f>95000*5</f>
        <v>475000</v>
      </c>
      <c r="R3" s="54" t="s">
        <v>2</v>
      </c>
      <c r="S3" s="54"/>
      <c r="T3" s="58">
        <v>43191</v>
      </c>
      <c r="U3" s="58">
        <v>45016</v>
      </c>
      <c r="V3" s="57">
        <v>92000</v>
      </c>
      <c r="W3" s="57">
        <f>V3/12*3</f>
        <v>23000</v>
      </c>
      <c r="X3" s="57"/>
      <c r="Y3" s="57"/>
      <c r="Z3" s="59"/>
      <c r="AA3" s="59"/>
      <c r="AB3" s="59"/>
      <c r="AC3" s="59"/>
      <c r="AD3" s="60"/>
    </row>
    <row r="4" spans="1:30" s="61" customFormat="1" thickTop="1" thickBot="1" x14ac:dyDescent="0.35">
      <c r="A4" s="61">
        <f t="shared" ref="A4:A17" si="0">A3+1</f>
        <v>3</v>
      </c>
      <c r="C4" s="51" t="s">
        <v>59</v>
      </c>
      <c r="D4" s="52" t="s">
        <v>93</v>
      </c>
      <c r="E4" s="95" t="s">
        <v>60</v>
      </c>
      <c r="F4" s="54"/>
      <c r="G4" s="63" t="s">
        <v>1</v>
      </c>
      <c r="H4" s="64" t="s">
        <v>21</v>
      </c>
      <c r="I4" s="65">
        <v>43647</v>
      </c>
      <c r="J4" s="56">
        <v>43663</v>
      </c>
      <c r="K4" s="56">
        <v>45473</v>
      </c>
      <c r="L4" s="54" t="s">
        <v>3</v>
      </c>
      <c r="M4" s="54" t="s">
        <v>15</v>
      </c>
      <c r="N4" s="54" t="s">
        <v>4</v>
      </c>
      <c r="O4" s="54" t="s">
        <v>20</v>
      </c>
      <c r="P4" s="54" t="s">
        <v>10</v>
      </c>
      <c r="Q4" s="57">
        <f>95034+(4*104000)</f>
        <v>511034</v>
      </c>
      <c r="R4" s="54" t="s">
        <v>2</v>
      </c>
      <c r="S4" s="54"/>
      <c r="T4" s="58">
        <v>43659</v>
      </c>
      <c r="U4" s="58">
        <v>45473</v>
      </c>
      <c r="V4" s="57">
        <v>103966</v>
      </c>
      <c r="W4" s="57">
        <f>V4</f>
        <v>103966</v>
      </c>
      <c r="X4" s="57">
        <f>W4/12*6</f>
        <v>51983</v>
      </c>
      <c r="Y4" s="57"/>
      <c r="Z4" s="59"/>
      <c r="AA4" s="59"/>
      <c r="AB4" s="59"/>
      <c r="AC4" s="59"/>
      <c r="AD4" s="60"/>
    </row>
    <row r="5" spans="1:30" s="61" customFormat="1" ht="15.5" x14ac:dyDescent="0.35">
      <c r="A5" s="61">
        <f t="shared" si="0"/>
        <v>4</v>
      </c>
      <c r="C5" s="51" t="s">
        <v>52</v>
      </c>
      <c r="D5" s="52" t="s">
        <v>93</v>
      </c>
      <c r="E5" s="95" t="s">
        <v>50</v>
      </c>
      <c r="F5" s="54"/>
      <c r="G5" s="63" t="s">
        <v>1</v>
      </c>
      <c r="H5" s="64" t="s">
        <v>21</v>
      </c>
      <c r="I5" s="65">
        <v>43631</v>
      </c>
      <c r="J5" s="56">
        <v>43631</v>
      </c>
      <c r="K5" s="56">
        <v>45457</v>
      </c>
      <c r="L5" s="54" t="s">
        <v>3</v>
      </c>
      <c r="M5" s="54" t="s">
        <v>15</v>
      </c>
      <c r="N5" s="54" t="s">
        <v>4</v>
      </c>
      <c r="O5" s="54" t="s">
        <v>20</v>
      </c>
      <c r="P5" s="54" t="s">
        <v>10</v>
      </c>
      <c r="Q5" s="57">
        <f>225000*5</f>
        <v>1125000</v>
      </c>
      <c r="R5" s="54" t="s">
        <v>2</v>
      </c>
      <c r="S5" s="54"/>
      <c r="T5" s="58">
        <v>43631</v>
      </c>
      <c r="U5" s="58">
        <v>45457</v>
      </c>
      <c r="V5" s="57">
        <v>225000</v>
      </c>
      <c r="W5" s="57">
        <f>V5</f>
        <v>225000</v>
      </c>
      <c r="X5" s="57">
        <f>W5/12*6</f>
        <v>112500</v>
      </c>
      <c r="Y5" s="57"/>
      <c r="Z5" s="59"/>
      <c r="AA5" s="59"/>
      <c r="AB5" s="59"/>
      <c r="AC5" s="59"/>
      <c r="AD5" s="60"/>
    </row>
    <row r="6" spans="1:30" s="61" customFormat="1" ht="15.5" x14ac:dyDescent="0.35">
      <c r="A6" s="61">
        <f t="shared" si="0"/>
        <v>5</v>
      </c>
      <c r="C6" s="51" t="s">
        <v>53</v>
      </c>
      <c r="D6" s="52" t="s">
        <v>93</v>
      </c>
      <c r="E6" s="95" t="s">
        <v>51</v>
      </c>
      <c r="F6" s="54"/>
      <c r="G6" s="63" t="s">
        <v>1</v>
      </c>
      <c r="H6" s="64" t="s">
        <v>21</v>
      </c>
      <c r="I6" s="65">
        <v>43709</v>
      </c>
      <c r="J6" s="56">
        <v>43709</v>
      </c>
      <c r="K6" s="56">
        <v>45350</v>
      </c>
      <c r="L6" s="54" t="s">
        <v>3</v>
      </c>
      <c r="M6" s="54" t="s">
        <v>15</v>
      </c>
      <c r="N6" s="54" t="s">
        <v>4</v>
      </c>
      <c r="O6" s="54" t="s">
        <v>20</v>
      </c>
      <c r="P6" s="54" t="s">
        <v>10</v>
      </c>
      <c r="Q6" s="57">
        <f>85000+(4*171000)</f>
        <v>769000</v>
      </c>
      <c r="R6" s="54" t="s">
        <v>2</v>
      </c>
      <c r="S6" s="54"/>
      <c r="T6" s="58">
        <v>43709</v>
      </c>
      <c r="U6" s="58">
        <v>45350</v>
      </c>
      <c r="V6" s="57">
        <v>171000</v>
      </c>
      <c r="W6" s="57">
        <v>171000</v>
      </c>
      <c r="X6" s="57">
        <f>W6/12*2</f>
        <v>28500</v>
      </c>
      <c r="Y6" s="57"/>
      <c r="Z6" s="59"/>
      <c r="AA6" s="59"/>
      <c r="AB6" s="59"/>
      <c r="AC6" s="59"/>
      <c r="AD6" s="60"/>
    </row>
    <row r="7" spans="1:30" s="6" customFormat="1" ht="29" x14ac:dyDescent="0.35">
      <c r="A7" s="61">
        <f t="shared" si="0"/>
        <v>6</v>
      </c>
      <c r="B7" s="61"/>
      <c r="C7" s="51" t="s">
        <v>62</v>
      </c>
      <c r="D7" s="52" t="s">
        <v>93</v>
      </c>
      <c r="E7" s="53" t="s">
        <v>46</v>
      </c>
      <c r="F7" s="54"/>
      <c r="G7" s="63" t="s">
        <v>1</v>
      </c>
      <c r="H7" s="64" t="s">
        <v>21</v>
      </c>
      <c r="I7" s="65">
        <v>43636</v>
      </c>
      <c r="J7" s="56">
        <v>43642</v>
      </c>
      <c r="K7" s="56">
        <v>45468</v>
      </c>
      <c r="L7" s="54" t="s">
        <v>3</v>
      </c>
      <c r="M7" s="54" t="s">
        <v>15</v>
      </c>
      <c r="N7" s="54" t="s">
        <v>4</v>
      </c>
      <c r="O7" s="54" t="s">
        <v>20</v>
      </c>
      <c r="P7" s="54" t="s">
        <v>10</v>
      </c>
      <c r="Q7" s="57">
        <v>3550000</v>
      </c>
      <c r="R7" s="54" t="s">
        <v>2</v>
      </c>
      <c r="S7" s="54"/>
      <c r="T7" s="58">
        <v>43642</v>
      </c>
      <c r="U7" s="58">
        <v>45468</v>
      </c>
      <c r="V7" s="57">
        <v>1348428.25</v>
      </c>
      <c r="W7" s="57">
        <v>1348428.25</v>
      </c>
      <c r="X7" s="57">
        <f>W7/12*6</f>
        <v>674214.125</v>
      </c>
      <c r="Y7" s="57"/>
      <c r="Z7" s="59"/>
      <c r="AA7" s="59"/>
      <c r="AB7" s="59"/>
      <c r="AC7" s="59"/>
      <c r="AD7" s="60"/>
    </row>
    <row r="8" spans="1:30" s="6" customFormat="1" ht="29" x14ac:dyDescent="0.35">
      <c r="A8" s="61">
        <f t="shared" si="0"/>
        <v>7</v>
      </c>
      <c r="B8" s="61"/>
      <c r="C8" s="66" t="s">
        <v>14</v>
      </c>
      <c r="D8" s="52" t="s">
        <v>93</v>
      </c>
      <c r="E8" s="95" t="s">
        <v>90</v>
      </c>
      <c r="F8" s="107" t="s">
        <v>45</v>
      </c>
      <c r="G8" s="100" t="s">
        <v>0</v>
      </c>
      <c r="H8" s="105"/>
      <c r="I8" s="102">
        <v>43684</v>
      </c>
      <c r="J8" s="102">
        <v>43685</v>
      </c>
      <c r="K8" s="102">
        <v>44998</v>
      </c>
      <c r="L8" s="54" t="s">
        <v>3</v>
      </c>
      <c r="M8" s="54" t="s">
        <v>13</v>
      </c>
      <c r="N8" s="54" t="s">
        <v>5</v>
      </c>
      <c r="O8" s="54"/>
      <c r="P8" s="54" t="s">
        <v>3</v>
      </c>
      <c r="Q8" s="57">
        <v>6243077</v>
      </c>
      <c r="R8" s="54" t="s">
        <v>2</v>
      </c>
      <c r="S8" s="54" t="s">
        <v>2</v>
      </c>
      <c r="T8" s="58">
        <v>43685</v>
      </c>
      <c r="U8" s="58">
        <v>44780</v>
      </c>
      <c r="V8" s="57">
        <v>1838191</v>
      </c>
      <c r="W8" s="67">
        <v>700000</v>
      </c>
      <c r="X8" s="67">
        <v>400000</v>
      </c>
      <c r="Y8" s="67"/>
      <c r="Z8" s="68"/>
      <c r="AA8" s="68"/>
      <c r="AB8" s="59"/>
      <c r="AC8" s="59"/>
      <c r="AD8" s="60"/>
    </row>
    <row r="9" spans="1:30" s="61" customFormat="1" ht="15.5" x14ac:dyDescent="0.35">
      <c r="A9" s="61">
        <f t="shared" si="0"/>
        <v>8</v>
      </c>
      <c r="C9" s="51" t="s">
        <v>89</v>
      </c>
      <c r="D9" s="52" t="s">
        <v>93</v>
      </c>
      <c r="E9" s="95" t="s">
        <v>33</v>
      </c>
      <c r="F9" s="107" t="s">
        <v>34</v>
      </c>
      <c r="G9" s="55" t="s">
        <v>1</v>
      </c>
      <c r="H9" s="54" t="s">
        <v>34</v>
      </c>
      <c r="I9" s="56">
        <v>43282</v>
      </c>
      <c r="J9" s="56">
        <v>43344</v>
      </c>
      <c r="K9" s="56">
        <v>45169</v>
      </c>
      <c r="L9" s="54" t="s">
        <v>3</v>
      </c>
      <c r="M9" s="54" t="s">
        <v>35</v>
      </c>
      <c r="N9" s="54" t="s">
        <v>36</v>
      </c>
      <c r="O9" s="54"/>
      <c r="P9" s="54" t="s">
        <v>3</v>
      </c>
      <c r="Q9" s="57">
        <v>5100870</v>
      </c>
      <c r="R9" s="54" t="s">
        <v>88</v>
      </c>
      <c r="S9" s="54"/>
      <c r="T9" s="58">
        <v>43344</v>
      </c>
      <c r="U9" s="69">
        <v>45535</v>
      </c>
      <c r="V9" s="70">
        <v>1000000</v>
      </c>
      <c r="W9" s="67">
        <v>1000000</v>
      </c>
      <c r="X9" s="67">
        <v>700000</v>
      </c>
      <c r="Y9" s="57"/>
      <c r="Z9" s="59"/>
      <c r="AA9" s="59"/>
      <c r="AB9" s="59"/>
      <c r="AC9" s="59"/>
      <c r="AD9" s="60"/>
    </row>
    <row r="10" spans="1:30" s="6" customFormat="1" ht="15.5" x14ac:dyDescent="0.35">
      <c r="A10" s="61">
        <f t="shared" si="0"/>
        <v>9</v>
      </c>
      <c r="B10" s="61"/>
      <c r="C10" s="51" t="s">
        <v>9</v>
      </c>
      <c r="D10" s="52" t="s">
        <v>93</v>
      </c>
      <c r="E10" s="95" t="s">
        <v>32</v>
      </c>
      <c r="F10" s="107" t="s">
        <v>47</v>
      </c>
      <c r="G10" s="55" t="s">
        <v>1</v>
      </c>
      <c r="H10" s="71" t="s">
        <v>48</v>
      </c>
      <c r="I10" s="56">
        <v>43492</v>
      </c>
      <c r="J10" s="56">
        <v>43862</v>
      </c>
      <c r="K10" s="56">
        <v>45688</v>
      </c>
      <c r="L10" s="54" t="s">
        <v>3</v>
      </c>
      <c r="M10" s="54" t="s">
        <v>8</v>
      </c>
      <c r="N10" s="54" t="s">
        <v>5</v>
      </c>
      <c r="O10" s="54"/>
      <c r="P10" s="54" t="s">
        <v>3</v>
      </c>
      <c r="Q10" s="57">
        <v>9743180.0999999996</v>
      </c>
      <c r="R10" s="54" t="s">
        <v>2</v>
      </c>
      <c r="S10" s="54"/>
      <c r="T10" s="58">
        <v>43862</v>
      </c>
      <c r="U10" s="58">
        <v>45688</v>
      </c>
      <c r="V10" s="70">
        <v>1943282.21</v>
      </c>
      <c r="W10" s="70">
        <v>1949101.08</v>
      </c>
      <c r="X10" s="70">
        <v>1953517.92</v>
      </c>
      <c r="Y10" s="70">
        <f>X10/12*1</f>
        <v>162793.16</v>
      </c>
      <c r="Z10" s="59"/>
      <c r="AA10" s="59"/>
      <c r="AB10" s="59"/>
      <c r="AC10" s="59"/>
      <c r="AD10" s="60"/>
    </row>
    <row r="11" spans="1:30" s="6" customFormat="1" ht="15.5" x14ac:dyDescent="0.35">
      <c r="A11" s="61">
        <f t="shared" si="0"/>
        <v>10</v>
      </c>
      <c r="B11" s="61"/>
      <c r="C11" s="51" t="s">
        <v>7</v>
      </c>
      <c r="D11" s="52" t="s">
        <v>93</v>
      </c>
      <c r="E11" s="95" t="s">
        <v>31</v>
      </c>
      <c r="F11" s="107" t="s">
        <v>49</v>
      </c>
      <c r="G11" s="100" t="s">
        <v>0</v>
      </c>
      <c r="H11" s="101" t="s">
        <v>49</v>
      </c>
      <c r="I11" s="102">
        <v>43770</v>
      </c>
      <c r="J11" s="102">
        <v>43770</v>
      </c>
      <c r="K11" s="102">
        <v>45777</v>
      </c>
      <c r="L11" s="99" t="s">
        <v>3</v>
      </c>
      <c r="M11" s="99" t="s">
        <v>6</v>
      </c>
      <c r="N11" s="99" t="s">
        <v>5</v>
      </c>
      <c r="O11" s="99"/>
      <c r="P11" s="99" t="s">
        <v>3</v>
      </c>
      <c r="Q11" s="96">
        <v>3571886.19</v>
      </c>
      <c r="R11" s="54" t="s">
        <v>2</v>
      </c>
      <c r="S11" s="54"/>
      <c r="T11" s="58">
        <v>43770</v>
      </c>
      <c r="U11" s="58">
        <v>45767</v>
      </c>
      <c r="V11" s="70">
        <v>601375.18999999994</v>
      </c>
      <c r="W11" s="70">
        <v>639031.03</v>
      </c>
      <c r="X11" s="70">
        <v>679690.21</v>
      </c>
      <c r="Y11" s="70">
        <f>X11/12*4</f>
        <v>226563.40333333332</v>
      </c>
      <c r="Z11" s="59"/>
      <c r="AA11" s="59"/>
      <c r="AB11" s="59"/>
      <c r="AC11" s="59"/>
      <c r="AD11" s="60"/>
    </row>
    <row r="12" spans="1:30" s="6" customFormat="1" ht="15.5" x14ac:dyDescent="0.35">
      <c r="A12" s="61">
        <f t="shared" si="0"/>
        <v>11</v>
      </c>
      <c r="B12" s="61"/>
      <c r="C12" s="51" t="s">
        <v>77</v>
      </c>
      <c r="D12" s="52" t="s">
        <v>93</v>
      </c>
      <c r="E12" s="95" t="s">
        <v>43</v>
      </c>
      <c r="F12" s="108" t="s">
        <v>78</v>
      </c>
      <c r="G12" s="55" t="s">
        <v>0</v>
      </c>
      <c r="H12" s="71" t="s">
        <v>57</v>
      </c>
      <c r="I12" s="56">
        <v>44301</v>
      </c>
      <c r="J12" s="56">
        <v>44302</v>
      </c>
      <c r="K12" s="56">
        <v>46127</v>
      </c>
      <c r="L12" s="54" t="s">
        <v>3</v>
      </c>
      <c r="M12" s="72" t="s">
        <v>12</v>
      </c>
      <c r="N12" s="54" t="s">
        <v>5</v>
      </c>
      <c r="O12" s="73"/>
      <c r="P12" s="54" t="s">
        <v>3</v>
      </c>
      <c r="Q12" s="70">
        <v>3037919.65</v>
      </c>
      <c r="R12" s="54" t="s">
        <v>2</v>
      </c>
      <c r="S12" s="54"/>
      <c r="T12" s="74">
        <v>44302</v>
      </c>
      <c r="U12" s="74">
        <v>46127</v>
      </c>
      <c r="V12" s="70">
        <v>587168.36</v>
      </c>
      <c r="W12" s="70">
        <v>605870.11</v>
      </c>
      <c r="X12" s="70">
        <v>625219.78</v>
      </c>
      <c r="Y12" s="70">
        <v>644702.93999999994</v>
      </c>
      <c r="Z12" s="59">
        <f>Y12*0.25</f>
        <v>161175.73499999999</v>
      </c>
      <c r="AA12" s="59"/>
      <c r="AB12" s="59"/>
      <c r="AC12" s="59"/>
      <c r="AD12" s="60"/>
    </row>
    <row r="13" spans="1:30" s="6" customFormat="1" ht="15.5" x14ac:dyDescent="0.35">
      <c r="A13" s="61">
        <f t="shared" si="0"/>
        <v>12</v>
      </c>
      <c r="B13" s="61"/>
      <c r="C13" s="51" t="s">
        <v>86</v>
      </c>
      <c r="D13" s="52" t="s">
        <v>93</v>
      </c>
      <c r="E13" s="95" t="s">
        <v>87</v>
      </c>
      <c r="F13" s="64"/>
      <c r="G13" s="63" t="s">
        <v>1</v>
      </c>
      <c r="H13" s="64" t="s">
        <v>21</v>
      </c>
      <c r="I13" s="111">
        <v>43709</v>
      </c>
      <c r="J13" s="112">
        <v>43709</v>
      </c>
      <c r="K13" s="114">
        <v>45838</v>
      </c>
      <c r="L13" s="54" t="s">
        <v>3</v>
      </c>
      <c r="M13" s="54" t="s">
        <v>15</v>
      </c>
      <c r="N13" s="54" t="s">
        <v>4</v>
      </c>
      <c r="O13" s="54" t="s">
        <v>20</v>
      </c>
      <c r="P13" s="54" t="s">
        <v>10</v>
      </c>
      <c r="Q13" s="70">
        <v>450475</v>
      </c>
      <c r="R13" s="54" t="s">
        <v>2</v>
      </c>
      <c r="S13" s="54"/>
      <c r="T13" s="74">
        <v>44372</v>
      </c>
      <c r="U13" s="74">
        <v>45832</v>
      </c>
      <c r="V13" s="70"/>
      <c r="W13" s="113">
        <v>129125</v>
      </c>
      <c r="X13" s="113">
        <v>131750</v>
      </c>
      <c r="Y13" s="113">
        <f>133600/2</f>
        <v>66800</v>
      </c>
      <c r="Z13" s="59"/>
      <c r="AA13" s="59"/>
      <c r="AB13" s="59"/>
      <c r="AC13" s="59"/>
      <c r="AD13" s="60"/>
    </row>
    <row r="14" spans="1:30" s="6" customFormat="1" ht="15.5" x14ac:dyDescent="0.35">
      <c r="A14" s="61">
        <f t="shared" si="0"/>
        <v>13</v>
      </c>
      <c r="B14" s="61"/>
      <c r="C14" s="51" t="s">
        <v>54</v>
      </c>
      <c r="D14" s="52" t="s">
        <v>93</v>
      </c>
      <c r="E14" s="53" t="s">
        <v>55</v>
      </c>
      <c r="F14" s="108" t="s">
        <v>56</v>
      </c>
      <c r="G14" s="55" t="s">
        <v>1</v>
      </c>
      <c r="H14" s="71" t="s">
        <v>57</v>
      </c>
      <c r="I14" s="56">
        <v>44105</v>
      </c>
      <c r="J14" s="56">
        <v>44105</v>
      </c>
      <c r="K14" s="56">
        <v>45930</v>
      </c>
      <c r="L14" s="54" t="s">
        <v>3</v>
      </c>
      <c r="M14" s="72" t="s">
        <v>58</v>
      </c>
      <c r="N14" s="54" t="s">
        <v>5</v>
      </c>
      <c r="O14" s="73"/>
      <c r="P14" s="54" t="s">
        <v>3</v>
      </c>
      <c r="Q14" s="70">
        <f>105600+108768+112031+115392+118854</f>
        <v>560645</v>
      </c>
      <c r="R14" s="54" t="s">
        <v>2</v>
      </c>
      <c r="S14" s="54"/>
      <c r="T14" s="74">
        <v>44105</v>
      </c>
      <c r="U14" s="74">
        <v>45930</v>
      </c>
      <c r="V14" s="70">
        <v>108768</v>
      </c>
      <c r="W14" s="70">
        <v>112031</v>
      </c>
      <c r="X14" s="70">
        <v>115392</v>
      </c>
      <c r="Y14" s="70">
        <f>X14/12*9</f>
        <v>86544</v>
      </c>
      <c r="Z14" s="59"/>
      <c r="AA14" s="59"/>
      <c r="AB14" s="59"/>
      <c r="AC14" s="59"/>
      <c r="AD14" s="60"/>
    </row>
    <row r="15" spans="1:30" s="6" customFormat="1" ht="15.5" x14ac:dyDescent="0.35">
      <c r="A15" s="61">
        <f t="shared" si="0"/>
        <v>14</v>
      </c>
      <c r="B15" s="61"/>
      <c r="C15" s="51" t="s">
        <v>79</v>
      </c>
      <c r="D15" s="52" t="s">
        <v>93</v>
      </c>
      <c r="E15" s="53" t="s">
        <v>80</v>
      </c>
      <c r="F15" s="108" t="s">
        <v>81</v>
      </c>
      <c r="G15" s="55" t="s">
        <v>1</v>
      </c>
      <c r="H15" s="71" t="s">
        <v>57</v>
      </c>
      <c r="I15" s="116">
        <v>44784</v>
      </c>
      <c r="J15" s="116">
        <v>44805</v>
      </c>
      <c r="K15" s="117">
        <v>46446</v>
      </c>
      <c r="L15" s="54" t="s">
        <v>3</v>
      </c>
      <c r="M15" s="72" t="s">
        <v>41</v>
      </c>
      <c r="N15" s="54" t="s">
        <v>5</v>
      </c>
      <c r="O15" s="73"/>
      <c r="P15" s="54" t="s">
        <v>3</v>
      </c>
      <c r="Q15" s="70">
        <v>545712</v>
      </c>
      <c r="R15" s="54" t="s">
        <v>2</v>
      </c>
      <c r="S15" s="54"/>
      <c r="T15" s="74">
        <v>44805</v>
      </c>
      <c r="U15" s="74">
        <v>46446</v>
      </c>
      <c r="V15" s="70">
        <f>9250*4</f>
        <v>37000</v>
      </c>
      <c r="W15" s="70">
        <f>(9250*2)+(9620*10)</f>
        <v>114700</v>
      </c>
      <c r="X15" s="70">
        <f>(9620*2)+(10005*10)</f>
        <v>119290</v>
      </c>
      <c r="Y15" s="70">
        <f>(10005*2)+(10*10405)</f>
        <v>124060</v>
      </c>
      <c r="Z15" s="59">
        <f>(2*10405)+(10*10821)</f>
        <v>129020</v>
      </c>
      <c r="AA15" s="59">
        <f>2*10821</f>
        <v>21642</v>
      </c>
      <c r="AB15" s="59"/>
      <c r="AC15" s="59"/>
      <c r="AD15" s="60"/>
    </row>
    <row r="16" spans="1:30" s="6" customFormat="1" ht="15.5" x14ac:dyDescent="0.35">
      <c r="A16" s="61">
        <f t="shared" si="0"/>
        <v>15</v>
      </c>
      <c r="B16" s="61"/>
      <c r="C16" s="75" t="s">
        <v>82</v>
      </c>
      <c r="D16" s="52" t="s">
        <v>93</v>
      </c>
      <c r="E16" s="76" t="s">
        <v>83</v>
      </c>
      <c r="F16" s="108" t="s">
        <v>84</v>
      </c>
      <c r="G16" s="77" t="s">
        <v>1</v>
      </c>
      <c r="H16" s="78" t="s">
        <v>57</v>
      </c>
      <c r="I16" s="79">
        <v>44593</v>
      </c>
      <c r="J16" s="79">
        <v>44621</v>
      </c>
      <c r="K16" s="79">
        <v>46418</v>
      </c>
      <c r="L16" s="62" t="s">
        <v>3</v>
      </c>
      <c r="M16" s="80" t="s">
        <v>85</v>
      </c>
      <c r="N16" s="62" t="s">
        <v>5</v>
      </c>
      <c r="O16" s="81"/>
      <c r="P16" s="62" t="s">
        <v>3</v>
      </c>
      <c r="Q16" s="82">
        <v>15534355.34</v>
      </c>
      <c r="R16" s="62" t="s">
        <v>2</v>
      </c>
      <c r="S16" s="62"/>
      <c r="T16" s="83">
        <v>44621</v>
      </c>
      <c r="U16" s="83">
        <v>46418</v>
      </c>
      <c r="V16" s="82">
        <v>2814083.92</v>
      </c>
      <c r="W16" s="82">
        <f>2085330+1027883</f>
        <v>3113213</v>
      </c>
      <c r="X16" s="115">
        <f>920478+2006206</f>
        <v>2926684</v>
      </c>
      <c r="Y16" s="82">
        <f>2154957+1016666</f>
        <v>3171623</v>
      </c>
      <c r="Z16" s="59">
        <f>1000891+2247030</f>
        <v>3247921</v>
      </c>
      <c r="AA16" s="59">
        <v>257000</v>
      </c>
      <c r="AB16" s="59"/>
      <c r="AC16" s="59"/>
      <c r="AD16" s="60"/>
    </row>
    <row r="17" spans="1:30" s="6" customFormat="1" ht="29" x14ac:dyDescent="0.35">
      <c r="A17" s="61">
        <f t="shared" si="0"/>
        <v>16</v>
      </c>
      <c r="B17" s="61">
        <v>7</v>
      </c>
      <c r="C17" s="84"/>
      <c r="D17" s="52" t="s">
        <v>93</v>
      </c>
      <c r="E17" s="106" t="s">
        <v>90</v>
      </c>
      <c r="F17" s="109" t="s">
        <v>92</v>
      </c>
      <c r="G17" s="86" t="s">
        <v>1</v>
      </c>
      <c r="H17" s="87"/>
      <c r="I17" s="79">
        <v>45061</v>
      </c>
      <c r="J17" s="79">
        <v>45108</v>
      </c>
      <c r="K17" s="79">
        <v>46934</v>
      </c>
      <c r="L17" s="85" t="s">
        <v>3</v>
      </c>
      <c r="M17" s="85" t="s">
        <v>42</v>
      </c>
      <c r="N17" s="85" t="s">
        <v>5</v>
      </c>
      <c r="O17" s="85"/>
      <c r="P17" s="85" t="s">
        <v>3</v>
      </c>
      <c r="Q17" s="88">
        <v>19747901</v>
      </c>
      <c r="R17" s="85" t="s">
        <v>2</v>
      </c>
      <c r="S17" s="85" t="s">
        <v>2</v>
      </c>
      <c r="T17" s="89">
        <v>45108</v>
      </c>
      <c r="U17" s="89">
        <v>46934</v>
      </c>
      <c r="V17" s="88">
        <v>3000000</v>
      </c>
      <c r="W17" s="88">
        <f>Q17/5/2</f>
        <v>1974790.1</v>
      </c>
      <c r="X17" s="88">
        <f>Q17/5</f>
        <v>3949580.2</v>
      </c>
      <c r="Y17" s="88">
        <f>Q17/5</f>
        <v>3949580.2</v>
      </c>
      <c r="Z17" s="88">
        <f>Q17/5</f>
        <v>3949580.2</v>
      </c>
      <c r="AA17" s="88">
        <f>Q17/5</f>
        <v>3949580.2</v>
      </c>
      <c r="AB17" s="88">
        <f>W17</f>
        <v>1974790.1</v>
      </c>
      <c r="AC17" s="59"/>
      <c r="AD17" s="60"/>
    </row>
    <row r="18" spans="1:30" x14ac:dyDescent="0.35">
      <c r="C18"/>
      <c r="D18"/>
      <c r="E18"/>
      <c r="F18"/>
      <c r="G18"/>
      <c r="H18" s="1"/>
      <c r="I18" s="1"/>
      <c r="J18" s="1"/>
      <c r="K18" s="1"/>
    </row>
    <row r="19" spans="1:30" x14ac:dyDescent="0.35">
      <c r="C19"/>
      <c r="D19"/>
      <c r="E19"/>
      <c r="F19"/>
      <c r="G19"/>
      <c r="H19" s="1"/>
      <c r="I19" s="1"/>
      <c r="J19" s="1"/>
      <c r="K19" s="1"/>
    </row>
    <row r="20" spans="1:30" x14ac:dyDescent="0.35">
      <c r="C20"/>
      <c r="D20"/>
      <c r="E20"/>
      <c r="F20"/>
      <c r="G20"/>
      <c r="H20" s="1"/>
      <c r="I20" s="1"/>
      <c r="J20" s="1"/>
      <c r="K20" s="1"/>
    </row>
    <row r="21" spans="1:30" x14ac:dyDescent="0.35">
      <c r="C21"/>
      <c r="D21"/>
      <c r="E21"/>
      <c r="F21"/>
      <c r="G21"/>
      <c r="H21" s="1"/>
      <c r="I21" s="1"/>
      <c r="J21" s="1"/>
      <c r="K21" s="1"/>
    </row>
    <row r="22" spans="1:30" x14ac:dyDescent="0.35">
      <c r="C22"/>
      <c r="D22"/>
      <c r="E22"/>
      <c r="F22"/>
      <c r="G22"/>
      <c r="H22" s="1"/>
      <c r="I22" s="1"/>
      <c r="J22" s="1"/>
      <c r="K22" s="1"/>
    </row>
    <row r="23" spans="1:30" x14ac:dyDescent="0.35">
      <c r="C23"/>
      <c r="D23"/>
      <c r="E23"/>
      <c r="F23"/>
      <c r="G23"/>
      <c r="H23" s="1"/>
      <c r="I23" s="1"/>
      <c r="J23" s="1"/>
      <c r="K23" s="1"/>
    </row>
    <row r="24" spans="1:30" x14ac:dyDescent="0.35">
      <c r="C24"/>
      <c r="D24"/>
      <c r="E24"/>
      <c r="F24"/>
      <c r="G24"/>
      <c r="H24" s="1"/>
      <c r="I24" s="1"/>
      <c r="J24" s="1"/>
      <c r="K24" s="1"/>
    </row>
    <row r="25" spans="1:30" x14ac:dyDescent="0.35">
      <c r="C25"/>
      <c r="D25"/>
      <c r="E25"/>
      <c r="F25"/>
      <c r="G25"/>
      <c r="H25" s="1"/>
      <c r="I25" s="1"/>
      <c r="J25" s="1"/>
      <c r="K25" s="1"/>
    </row>
    <row r="26" spans="1:30" x14ac:dyDescent="0.35">
      <c r="C26"/>
      <c r="D26"/>
      <c r="E26" s="76" t="s">
        <v>83</v>
      </c>
      <c r="F26" t="s">
        <v>129</v>
      </c>
      <c r="G26"/>
      <c r="H26" s="1"/>
      <c r="I26" s="1"/>
      <c r="J26" s="1"/>
      <c r="K26" s="1"/>
    </row>
    <row r="27" spans="1:30" x14ac:dyDescent="0.35">
      <c r="C27"/>
      <c r="D27"/>
      <c r="E27" t="s">
        <v>130</v>
      </c>
      <c r="F27" t="s">
        <v>131</v>
      </c>
      <c r="G27"/>
      <c r="H27" s="1"/>
      <c r="I27" s="1"/>
      <c r="J27" s="1"/>
      <c r="K27" s="1"/>
    </row>
    <row r="28" spans="1:30" x14ac:dyDescent="0.35">
      <c r="C28"/>
      <c r="D28"/>
      <c r="E28" t="s">
        <v>132</v>
      </c>
      <c r="F28">
        <v>9</v>
      </c>
      <c r="G28"/>
      <c r="H28" s="1"/>
      <c r="I28" s="1"/>
      <c r="J28" s="1"/>
      <c r="K28" s="1"/>
    </row>
    <row r="29" spans="1:30" x14ac:dyDescent="0.35">
      <c r="C29"/>
      <c r="D29"/>
      <c r="E29" t="s">
        <v>12</v>
      </c>
      <c r="F29">
        <v>11</v>
      </c>
      <c r="G29"/>
      <c r="H29" s="1"/>
      <c r="I29" s="1"/>
      <c r="J29" s="1"/>
      <c r="K29" s="1"/>
    </row>
    <row r="30" spans="1:30" x14ac:dyDescent="0.35">
      <c r="C30"/>
      <c r="D30"/>
      <c r="E30"/>
      <c r="F30"/>
      <c r="G30"/>
      <c r="H30" s="1"/>
      <c r="I30" s="1"/>
      <c r="J30" s="1"/>
      <c r="K30" s="1"/>
    </row>
    <row r="31" spans="1:30" x14ac:dyDescent="0.35">
      <c r="C31"/>
      <c r="D31"/>
      <c r="E31"/>
      <c r="F31"/>
      <c r="G31"/>
      <c r="H31" s="1"/>
      <c r="I31" s="1"/>
      <c r="J31" s="1"/>
      <c r="K31" s="1"/>
    </row>
    <row r="32" spans="1:30" x14ac:dyDescent="0.35">
      <c r="C32"/>
      <c r="D32"/>
      <c r="E32"/>
      <c r="F32"/>
      <c r="G32"/>
      <c r="H32" s="1"/>
      <c r="I32" s="1"/>
      <c r="J32" s="1"/>
      <c r="K32" s="1"/>
    </row>
    <row r="33" spans="3:11" x14ac:dyDescent="0.35">
      <c r="C33"/>
      <c r="D33"/>
      <c r="E33"/>
      <c r="F33"/>
      <c r="G33"/>
      <c r="H33" s="1"/>
      <c r="I33" s="1"/>
      <c r="J33" s="1"/>
      <c r="K33" s="1"/>
    </row>
    <row r="34" spans="3:11" x14ac:dyDescent="0.35">
      <c r="C34"/>
      <c r="D34"/>
      <c r="E34"/>
      <c r="F34"/>
      <c r="G34"/>
      <c r="H34" s="1"/>
      <c r="I34" s="1"/>
      <c r="J34" s="1"/>
      <c r="K34" s="1"/>
    </row>
    <row r="35" spans="3:11" x14ac:dyDescent="0.35">
      <c r="C35"/>
      <c r="D35"/>
      <c r="E35"/>
      <c r="F35"/>
      <c r="G35"/>
      <c r="H35" s="1"/>
      <c r="I35" s="1"/>
      <c r="J35" s="1"/>
      <c r="K35" s="1"/>
    </row>
    <row r="36" spans="3:11" x14ac:dyDescent="0.35">
      <c r="C36"/>
      <c r="D36"/>
      <c r="E36"/>
      <c r="F36"/>
      <c r="G36"/>
      <c r="H36" s="1"/>
      <c r="I36" s="1"/>
      <c r="J36" s="1"/>
      <c r="K36" s="1"/>
    </row>
    <row r="37" spans="3:11" x14ac:dyDescent="0.35">
      <c r="C37"/>
      <c r="D37"/>
      <c r="E37"/>
      <c r="F37"/>
      <c r="G37"/>
      <c r="H37" s="1"/>
      <c r="I37" s="1"/>
      <c r="J37" s="1"/>
      <c r="K37" s="1"/>
    </row>
    <row r="38" spans="3:11" x14ac:dyDescent="0.35">
      <c r="C38"/>
      <c r="D38"/>
      <c r="E38"/>
      <c r="F38"/>
      <c r="G38"/>
      <c r="H38" s="1"/>
      <c r="I38" s="1"/>
      <c r="J38" s="1"/>
      <c r="K38" s="1"/>
    </row>
    <row r="39" spans="3:11" x14ac:dyDescent="0.35">
      <c r="C39"/>
      <c r="D39"/>
      <c r="E39"/>
      <c r="F39"/>
      <c r="G39"/>
      <c r="H39" s="1"/>
      <c r="I39" s="1"/>
      <c r="J39" s="1"/>
      <c r="K39" s="1"/>
    </row>
    <row r="40" spans="3:11" x14ac:dyDescent="0.35">
      <c r="C40"/>
      <c r="D40"/>
      <c r="E40"/>
      <c r="F40"/>
      <c r="G40"/>
      <c r="H40" s="1"/>
      <c r="I40" s="1"/>
      <c r="J40" s="1"/>
      <c r="K40" s="1"/>
    </row>
    <row r="41" spans="3:11" x14ac:dyDescent="0.35">
      <c r="C41"/>
      <c r="D41"/>
      <c r="E41"/>
      <c r="F41"/>
      <c r="G41"/>
      <c r="H41" s="1"/>
      <c r="I41" s="1"/>
      <c r="J41" s="1"/>
      <c r="K41" s="1"/>
    </row>
    <row r="42" spans="3:11" x14ac:dyDescent="0.35">
      <c r="C42"/>
      <c r="D42"/>
      <c r="E42"/>
      <c r="F42"/>
      <c r="G42"/>
      <c r="H42" s="1"/>
      <c r="I42" s="1"/>
      <c r="J42" s="1"/>
      <c r="K42" s="1"/>
    </row>
    <row r="43" spans="3:11" x14ac:dyDescent="0.35">
      <c r="C43"/>
      <c r="D43"/>
      <c r="E43"/>
      <c r="F43"/>
      <c r="G43"/>
      <c r="H43" s="1"/>
      <c r="I43" s="1"/>
      <c r="J43" s="1"/>
      <c r="K43" s="1"/>
    </row>
    <row r="44" spans="3:11" x14ac:dyDescent="0.35">
      <c r="C44"/>
      <c r="D44"/>
      <c r="E44"/>
      <c r="F44"/>
      <c r="G44"/>
      <c r="H44" s="1"/>
      <c r="I44" s="1"/>
      <c r="J44" s="1"/>
      <c r="K44" s="1"/>
    </row>
    <row r="45" spans="3:11" x14ac:dyDescent="0.35">
      <c r="C45"/>
      <c r="D45"/>
      <c r="E45"/>
      <c r="F45"/>
      <c r="G45"/>
      <c r="H45" s="1"/>
      <c r="I45" s="1"/>
      <c r="J45" s="1"/>
      <c r="K45" s="1"/>
    </row>
    <row r="46" spans="3:11" x14ac:dyDescent="0.35">
      <c r="C46"/>
      <c r="D46"/>
      <c r="E46"/>
      <c r="F46"/>
      <c r="G46"/>
      <c r="H46" s="1"/>
      <c r="I46" s="1"/>
      <c r="J46" s="1"/>
      <c r="K46" s="1"/>
    </row>
    <row r="47" spans="3:11" x14ac:dyDescent="0.35">
      <c r="C47"/>
      <c r="D47"/>
      <c r="E47"/>
      <c r="F47"/>
      <c r="G47"/>
      <c r="H47" s="1"/>
      <c r="I47" s="1"/>
      <c r="J47" s="1"/>
      <c r="K47" s="1"/>
    </row>
    <row r="48" spans="3:11" x14ac:dyDescent="0.35">
      <c r="C48"/>
      <c r="D48"/>
      <c r="E48"/>
      <c r="F48"/>
      <c r="G48"/>
      <c r="H48" s="1"/>
      <c r="I48" s="1"/>
      <c r="J48" s="1"/>
      <c r="K48" s="1"/>
    </row>
    <row r="49" spans="3:11" x14ac:dyDescent="0.35">
      <c r="C49"/>
      <c r="D49"/>
      <c r="E49"/>
      <c r="F49"/>
      <c r="G49"/>
      <c r="H49" s="1"/>
      <c r="I49" s="1"/>
      <c r="J49" s="1"/>
      <c r="K49" s="1"/>
    </row>
    <row r="50" spans="3:11" x14ac:dyDescent="0.35">
      <c r="C50"/>
      <c r="D50"/>
      <c r="E50"/>
      <c r="F50"/>
      <c r="G50"/>
      <c r="H50" s="1"/>
      <c r="I50" s="1"/>
      <c r="J50" s="1"/>
      <c r="K50" s="1"/>
    </row>
    <row r="51" spans="3:11" x14ac:dyDescent="0.35">
      <c r="C51"/>
      <c r="D51"/>
      <c r="E51"/>
      <c r="F51"/>
      <c r="G51"/>
      <c r="H51" s="1"/>
      <c r="I51" s="1"/>
      <c r="J51" s="1"/>
      <c r="K51" s="1"/>
    </row>
    <row r="52" spans="3:11" x14ac:dyDescent="0.35">
      <c r="C52"/>
      <c r="D52"/>
      <c r="E52"/>
      <c r="F52"/>
      <c r="G52"/>
      <c r="H52" s="1"/>
      <c r="I52" s="1"/>
      <c r="J52" s="1"/>
      <c r="K52" s="1"/>
    </row>
    <row r="53" spans="3:11" x14ac:dyDescent="0.35">
      <c r="C53"/>
      <c r="D53"/>
      <c r="E53"/>
      <c r="F53"/>
      <c r="G53"/>
      <c r="H53" s="1"/>
      <c r="I53" s="1"/>
      <c r="J53" s="1"/>
      <c r="K53" s="1"/>
    </row>
    <row r="54" spans="3:11" x14ac:dyDescent="0.35">
      <c r="C54"/>
      <c r="D54"/>
      <c r="E54"/>
      <c r="F54"/>
      <c r="G54"/>
      <c r="H54" s="1"/>
      <c r="I54" s="1"/>
      <c r="J54" s="1"/>
      <c r="K54" s="1"/>
    </row>
    <row r="55" spans="3:11" x14ac:dyDescent="0.35">
      <c r="C55"/>
      <c r="D55"/>
      <c r="E55"/>
      <c r="F55"/>
      <c r="G55"/>
      <c r="H55" s="1"/>
      <c r="I55" s="1"/>
      <c r="J55" s="1"/>
      <c r="K55" s="1"/>
    </row>
    <row r="56" spans="3:11" x14ac:dyDescent="0.35">
      <c r="C56"/>
      <c r="D56"/>
      <c r="E56"/>
      <c r="F56"/>
      <c r="G56"/>
      <c r="H56" s="1"/>
      <c r="I56" s="1"/>
      <c r="J56" s="1"/>
      <c r="K56" s="1"/>
    </row>
    <row r="57" spans="3:11" x14ac:dyDescent="0.35">
      <c r="C57"/>
      <c r="D57"/>
      <c r="E57"/>
      <c r="F57"/>
      <c r="G57"/>
    </row>
    <row r="58" spans="3:11" x14ac:dyDescent="0.35">
      <c r="C58"/>
      <c r="D58"/>
      <c r="E58"/>
      <c r="F58"/>
      <c r="G58"/>
    </row>
  </sheetData>
  <printOptions gridLines="1"/>
  <pageMargins left="0.26" right="0.17" top="0.17" bottom="0.17" header="0.16" footer="0.17"/>
  <pageSetup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9840-99E4-456E-A359-4DE85D2D8470}">
  <dimension ref="A1:AF21"/>
  <sheetViews>
    <sheetView workbookViewId="0">
      <selection activeCell="E1" sqref="E1"/>
    </sheetView>
  </sheetViews>
  <sheetFormatPr defaultRowHeight="14.5" x14ac:dyDescent="0.35"/>
  <cols>
    <col min="3" max="3" width="27.81640625" customWidth="1"/>
    <col min="5" max="5" width="74.7265625" customWidth="1"/>
  </cols>
  <sheetData>
    <row r="1" spans="1:32" s="6" customFormat="1" ht="63" thickTop="1" thickBot="1" x14ac:dyDescent="0.4">
      <c r="C1" s="41"/>
      <c r="D1" s="16"/>
      <c r="E1" s="11" t="s">
        <v>38</v>
      </c>
      <c r="F1" s="12" t="s">
        <v>28</v>
      </c>
      <c r="G1" s="13" t="s">
        <v>27</v>
      </c>
      <c r="H1" s="11" t="s">
        <v>26</v>
      </c>
      <c r="I1" s="11" t="s">
        <v>40</v>
      </c>
      <c r="J1" s="11" t="s">
        <v>29</v>
      </c>
      <c r="K1" s="11" t="s">
        <v>30</v>
      </c>
      <c r="L1" s="11" t="s">
        <v>25</v>
      </c>
      <c r="M1" s="11" t="s">
        <v>24</v>
      </c>
      <c r="N1" s="11" t="s">
        <v>23</v>
      </c>
      <c r="O1" s="14" t="s">
        <v>5</v>
      </c>
      <c r="P1" s="15" t="s">
        <v>22</v>
      </c>
      <c r="Q1"/>
      <c r="R1"/>
      <c r="S1"/>
      <c r="U1" s="8"/>
      <c r="V1" s="7"/>
      <c r="W1" s="59"/>
      <c r="X1" s="59"/>
      <c r="Y1" s="7"/>
      <c r="AD1" s="9"/>
    </row>
    <row r="2" spans="1:32" s="6" customFormat="1" x14ac:dyDescent="0.35">
      <c r="A2" s="6">
        <v>100</v>
      </c>
      <c r="B2" s="103">
        <v>11</v>
      </c>
      <c r="C2" s="104"/>
      <c r="D2" s="104" t="s">
        <v>94</v>
      </c>
      <c r="E2" s="95" t="s">
        <v>44</v>
      </c>
      <c r="F2" s="5" t="s">
        <v>39</v>
      </c>
      <c r="G2" s="90" t="s">
        <v>0</v>
      </c>
      <c r="H2" s="64"/>
      <c r="I2" s="56">
        <v>45170</v>
      </c>
      <c r="J2" s="56">
        <v>45200</v>
      </c>
      <c r="K2" s="56">
        <v>47026</v>
      </c>
      <c r="L2" s="64" t="s">
        <v>3</v>
      </c>
      <c r="M2" s="64" t="s">
        <v>12</v>
      </c>
      <c r="N2" s="64" t="s">
        <v>11</v>
      </c>
      <c r="O2" s="64"/>
      <c r="P2" s="64"/>
      <c r="Q2" s="59">
        <v>12000000</v>
      </c>
      <c r="R2" s="93">
        <v>0.2</v>
      </c>
      <c r="S2" s="94">
        <f t="shared" ref="S2" si="0">Q2*R2</f>
        <v>2400000</v>
      </c>
      <c r="T2" s="6">
        <f>(K2-J2)/364</f>
        <v>5.0164835164835164</v>
      </c>
      <c r="V2" s="7"/>
      <c r="W2" s="59">
        <f>IF(OR(YEAR($K2)&lt;W$1,YEAR($J2)&gt;W$1),0,IF(YEAR($J2)=W$1,13-MONTH($J2),IF(YEAR($K2)=W$1,MONTH($K2),12)))*($S2/12)/($K2-$J2)*364</f>
        <v>0</v>
      </c>
      <c r="X2" s="59">
        <f t="shared" ref="X2:AD21" si="1">IF(OR(YEAR($K2)&lt;X$1,YEAR($J2)&gt;X$1),0,IF(YEAR($J2)=X$1,13-MONTH($J2),IF(YEAR($K2)=X$1,MONTH($K2),12)))*($S2/12)/($K2-$J2)*364</f>
        <v>0</v>
      </c>
      <c r="Y2" s="7">
        <f t="shared" si="1"/>
        <v>0</v>
      </c>
      <c r="Z2" s="7">
        <f t="shared" si="1"/>
        <v>0</v>
      </c>
      <c r="AA2" s="7">
        <f t="shared" si="1"/>
        <v>0</v>
      </c>
      <c r="AB2" s="7">
        <f t="shared" si="1"/>
        <v>0</v>
      </c>
      <c r="AC2" s="7">
        <f t="shared" si="1"/>
        <v>0</v>
      </c>
      <c r="AD2" s="7">
        <f t="shared" si="1"/>
        <v>0</v>
      </c>
      <c r="AF2" s="9">
        <f>SUM(W2:AD2)</f>
        <v>0</v>
      </c>
    </row>
    <row r="3" spans="1:32" s="6" customFormat="1" x14ac:dyDescent="0.35">
      <c r="A3" s="6">
        <f>A2+1</f>
        <v>101</v>
      </c>
      <c r="B3" s="6">
        <v>8</v>
      </c>
      <c r="C3" s="5" t="s">
        <v>63</v>
      </c>
      <c r="D3" s="5" t="s">
        <v>94</v>
      </c>
      <c r="E3" s="95" t="s">
        <v>91</v>
      </c>
      <c r="F3" s="54" t="s">
        <v>39</v>
      </c>
      <c r="G3" s="55" t="s">
        <v>1</v>
      </c>
      <c r="H3" s="54"/>
      <c r="I3" s="56">
        <v>45474</v>
      </c>
      <c r="J3" s="56">
        <v>45536</v>
      </c>
      <c r="K3" s="56">
        <v>47361</v>
      </c>
      <c r="L3" s="54" t="s">
        <v>3</v>
      </c>
      <c r="M3" s="54" t="s">
        <v>35</v>
      </c>
      <c r="N3" s="54" t="s">
        <v>36</v>
      </c>
      <c r="O3" s="54"/>
      <c r="P3" s="54" t="s">
        <v>3</v>
      </c>
      <c r="Q3" s="57">
        <v>5100870</v>
      </c>
      <c r="R3" s="93">
        <v>0.75</v>
      </c>
      <c r="S3" s="94">
        <f>Q3*R3</f>
        <v>3825652.5</v>
      </c>
      <c r="T3" s="6">
        <f t="shared" ref="T3:T21" si="2">(K3-J3)/364</f>
        <v>5.0137362637362637</v>
      </c>
      <c r="U3" s="6">
        <f>MONTH(I3)</f>
        <v>7</v>
      </c>
      <c r="V3" s="7"/>
      <c r="W3" s="59">
        <f t="shared" ref="W3:AD21" si="3">IF(OR(YEAR($K3)&lt;W$1,YEAR($J3)&gt;W$1),0,IF(YEAR($J3)=W$1,13-MONTH($J3),IF(YEAR($K3)=W$1,MONTH($K3),12)))*($S3/12)/($K3-$J3)*364</f>
        <v>0</v>
      </c>
      <c r="X3" s="59">
        <f t="shared" si="1"/>
        <v>0</v>
      </c>
      <c r="Y3" s="7">
        <f t="shared" si="1"/>
        <v>0</v>
      </c>
      <c r="Z3" s="7">
        <f t="shared" si="1"/>
        <v>0</v>
      </c>
      <c r="AA3" s="7">
        <f t="shared" si="1"/>
        <v>0</v>
      </c>
      <c r="AB3" s="7">
        <f t="shared" si="1"/>
        <v>0</v>
      </c>
      <c r="AC3" s="7">
        <f t="shared" si="1"/>
        <v>0</v>
      </c>
      <c r="AD3" s="7">
        <f t="shared" si="1"/>
        <v>0</v>
      </c>
      <c r="AF3" s="9">
        <f>SUM(W3:AD3)</f>
        <v>0</v>
      </c>
    </row>
    <row r="4" spans="1:32" s="6" customFormat="1" ht="43.5" x14ac:dyDescent="0.35">
      <c r="A4" s="6">
        <f t="shared" ref="A4:A21" si="4">A3+1</f>
        <v>102</v>
      </c>
      <c r="C4" s="91" t="s">
        <v>65</v>
      </c>
      <c r="D4" s="5" t="s">
        <v>94</v>
      </c>
      <c r="E4" s="53" t="s">
        <v>64</v>
      </c>
      <c r="F4" s="5" t="s">
        <v>39</v>
      </c>
      <c r="G4" s="90" t="s">
        <v>1</v>
      </c>
      <c r="H4" s="64"/>
      <c r="I4" s="56">
        <v>45352</v>
      </c>
      <c r="J4" s="56">
        <v>45383</v>
      </c>
      <c r="K4" s="56">
        <v>47208</v>
      </c>
      <c r="L4" s="64" t="s">
        <v>3</v>
      </c>
      <c r="M4" s="64" t="s">
        <v>41</v>
      </c>
      <c r="N4" s="64" t="s">
        <v>5</v>
      </c>
      <c r="O4" s="64"/>
      <c r="P4" s="64" t="s">
        <v>3</v>
      </c>
      <c r="Q4" s="59">
        <v>8000000</v>
      </c>
      <c r="R4" s="93">
        <v>0.5</v>
      </c>
      <c r="S4" s="94">
        <f>Q4*R4</f>
        <v>4000000</v>
      </c>
      <c r="T4" s="6">
        <f t="shared" si="2"/>
        <v>5.0137362637362637</v>
      </c>
      <c r="V4" s="7"/>
      <c r="W4" s="59">
        <f t="shared" si="3"/>
        <v>0</v>
      </c>
      <c r="X4" s="59">
        <f t="shared" si="1"/>
        <v>0</v>
      </c>
      <c r="Y4" s="7">
        <f t="shared" si="1"/>
        <v>0</v>
      </c>
      <c r="Z4" s="7">
        <f t="shared" si="1"/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F4" s="9">
        <f t="shared" ref="AF4:AF18" si="5">SUM(W4:AD4)</f>
        <v>0</v>
      </c>
    </row>
    <row r="5" spans="1:32" s="6" customFormat="1" ht="43.5" x14ac:dyDescent="0.35">
      <c r="A5" s="6">
        <f t="shared" si="4"/>
        <v>103</v>
      </c>
      <c r="B5" s="6">
        <v>12</v>
      </c>
      <c r="C5" s="91" t="s">
        <v>67</v>
      </c>
      <c r="D5" s="5" t="s">
        <v>94</v>
      </c>
      <c r="E5" s="95" t="s">
        <v>66</v>
      </c>
      <c r="F5" s="5" t="s">
        <v>39</v>
      </c>
      <c r="G5" s="90" t="s">
        <v>1</v>
      </c>
      <c r="H5" s="64"/>
      <c r="I5" s="56">
        <v>45444</v>
      </c>
      <c r="J5" s="56">
        <v>45474</v>
      </c>
      <c r="K5" s="56">
        <v>47299</v>
      </c>
      <c r="L5" s="64" t="s">
        <v>3</v>
      </c>
      <c r="M5" s="64" t="s">
        <v>41</v>
      </c>
      <c r="N5" s="64" t="s">
        <v>5</v>
      </c>
      <c r="O5" s="64"/>
      <c r="P5" s="64" t="s">
        <v>3</v>
      </c>
      <c r="Q5" s="59">
        <v>17000000</v>
      </c>
      <c r="R5" s="93">
        <v>0.75</v>
      </c>
      <c r="S5" s="94">
        <f t="shared" ref="S5:S21" si="6">Q5*R5</f>
        <v>12750000</v>
      </c>
      <c r="T5" s="6">
        <f t="shared" si="2"/>
        <v>5.0137362637362637</v>
      </c>
      <c r="V5" s="7"/>
      <c r="W5" s="59">
        <f t="shared" si="3"/>
        <v>0</v>
      </c>
      <c r="X5" s="59">
        <f t="shared" si="1"/>
        <v>0</v>
      </c>
      <c r="Y5" s="7">
        <f t="shared" si="1"/>
        <v>0</v>
      </c>
      <c r="Z5" s="7">
        <f t="shared" si="1"/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F5" s="9">
        <f t="shared" si="5"/>
        <v>0</v>
      </c>
    </row>
    <row r="6" spans="1:32" s="6" customFormat="1" ht="29" x14ac:dyDescent="0.35">
      <c r="A6" s="6">
        <f t="shared" si="4"/>
        <v>104</v>
      </c>
      <c r="C6" s="5"/>
      <c r="D6" s="5" t="s">
        <v>94</v>
      </c>
      <c r="E6" s="53" t="s">
        <v>68</v>
      </c>
      <c r="F6" s="5" t="s">
        <v>39</v>
      </c>
      <c r="G6" s="90" t="s">
        <v>1</v>
      </c>
      <c r="H6" s="64"/>
      <c r="I6" s="56">
        <v>45444</v>
      </c>
      <c r="J6" s="56">
        <v>45474</v>
      </c>
      <c r="K6" s="56">
        <v>47299</v>
      </c>
      <c r="L6" s="64" t="s">
        <v>3</v>
      </c>
      <c r="M6" s="64" t="s">
        <v>41</v>
      </c>
      <c r="N6" s="64" t="s">
        <v>5</v>
      </c>
      <c r="O6" s="64"/>
      <c r="P6" s="64" t="s">
        <v>3</v>
      </c>
      <c r="Q6" s="59">
        <v>5500000</v>
      </c>
      <c r="R6" s="93">
        <v>0.25</v>
      </c>
      <c r="S6" s="94">
        <f t="shared" si="6"/>
        <v>1375000</v>
      </c>
      <c r="T6" s="6">
        <f t="shared" si="2"/>
        <v>5.0137362637362637</v>
      </c>
      <c r="V6" s="7"/>
      <c r="W6" s="59">
        <f t="shared" si="3"/>
        <v>0</v>
      </c>
      <c r="X6" s="59">
        <f t="shared" si="1"/>
        <v>0</v>
      </c>
      <c r="Y6" s="7">
        <f t="shared" si="1"/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F6" s="9">
        <f t="shared" si="5"/>
        <v>0</v>
      </c>
    </row>
    <row r="7" spans="1:32" s="6" customFormat="1" ht="145" x14ac:dyDescent="0.35">
      <c r="A7" s="6">
        <f t="shared" si="4"/>
        <v>105</v>
      </c>
      <c r="C7" s="5"/>
      <c r="D7" s="5" t="s">
        <v>94</v>
      </c>
      <c r="E7" s="53" t="s">
        <v>69</v>
      </c>
      <c r="F7" s="5" t="s">
        <v>39</v>
      </c>
      <c r="G7" s="90" t="s">
        <v>1</v>
      </c>
      <c r="H7" s="64"/>
      <c r="I7" s="56">
        <v>45444</v>
      </c>
      <c r="J7" s="56">
        <v>45474</v>
      </c>
      <c r="K7" s="56">
        <v>47299</v>
      </c>
      <c r="L7" s="64" t="s">
        <v>3</v>
      </c>
      <c r="M7" s="64" t="s">
        <v>41</v>
      </c>
      <c r="N7" s="64" t="s">
        <v>5</v>
      </c>
      <c r="O7" s="64"/>
      <c r="P7" s="64" t="s">
        <v>3</v>
      </c>
      <c r="Q7" s="59">
        <v>3000000</v>
      </c>
      <c r="R7" s="93">
        <v>0.25</v>
      </c>
      <c r="S7" s="94">
        <f t="shared" si="6"/>
        <v>750000</v>
      </c>
      <c r="T7" s="6">
        <f t="shared" si="2"/>
        <v>5.0137362637362637</v>
      </c>
      <c r="V7" s="7"/>
      <c r="W7" s="59">
        <f t="shared" si="3"/>
        <v>0</v>
      </c>
      <c r="X7" s="59">
        <f t="shared" si="1"/>
        <v>0</v>
      </c>
      <c r="Y7" s="7">
        <f t="shared" si="1"/>
        <v>0</v>
      </c>
      <c r="Z7" s="7">
        <f t="shared" si="1"/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F7" s="9">
        <f t="shared" si="5"/>
        <v>0</v>
      </c>
    </row>
    <row r="8" spans="1:32" s="6" customFormat="1" ht="159.5" x14ac:dyDescent="0.35">
      <c r="A8" s="6">
        <f t="shared" si="4"/>
        <v>106</v>
      </c>
      <c r="C8" s="5"/>
      <c r="D8" s="5" t="s">
        <v>94</v>
      </c>
      <c r="E8" s="53" t="s">
        <v>70</v>
      </c>
      <c r="F8" s="5" t="s">
        <v>39</v>
      </c>
      <c r="G8" s="90" t="s">
        <v>1</v>
      </c>
      <c r="H8" s="64"/>
      <c r="I8" s="56">
        <v>45444</v>
      </c>
      <c r="J8" s="56">
        <v>45474</v>
      </c>
      <c r="K8" s="56">
        <v>47299</v>
      </c>
      <c r="L8" s="64" t="s">
        <v>3</v>
      </c>
      <c r="M8" s="64" t="s">
        <v>41</v>
      </c>
      <c r="N8" s="64" t="s">
        <v>5</v>
      </c>
      <c r="O8" s="64"/>
      <c r="P8" s="64" t="s">
        <v>3</v>
      </c>
      <c r="Q8" s="59">
        <v>4000000</v>
      </c>
      <c r="R8" s="93">
        <v>0.25</v>
      </c>
      <c r="S8" s="94">
        <f t="shared" si="6"/>
        <v>1000000</v>
      </c>
      <c r="T8" s="6">
        <f t="shared" si="2"/>
        <v>5.0137362637362637</v>
      </c>
      <c r="V8" s="7"/>
      <c r="W8" s="59">
        <f t="shared" si="3"/>
        <v>0</v>
      </c>
      <c r="X8" s="59">
        <f t="shared" si="1"/>
        <v>0</v>
      </c>
      <c r="Y8" s="7">
        <f t="shared" si="1"/>
        <v>0</v>
      </c>
      <c r="Z8" s="7">
        <f t="shared" si="1"/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F8" s="9">
        <f t="shared" si="5"/>
        <v>0</v>
      </c>
    </row>
    <row r="9" spans="1:32" s="6" customFormat="1" ht="101.5" x14ac:dyDescent="0.35">
      <c r="A9" s="6">
        <f t="shared" si="4"/>
        <v>107</v>
      </c>
      <c r="B9" s="6">
        <v>5</v>
      </c>
      <c r="C9" s="5" t="s">
        <v>63</v>
      </c>
      <c r="D9" s="5" t="s">
        <v>94</v>
      </c>
      <c r="E9" s="95" t="s">
        <v>71</v>
      </c>
      <c r="F9" s="5" t="s">
        <v>39</v>
      </c>
      <c r="G9" s="90" t="s">
        <v>1</v>
      </c>
      <c r="H9" s="64"/>
      <c r="I9" s="65">
        <v>45323</v>
      </c>
      <c r="J9" s="56">
        <v>45352</v>
      </c>
      <c r="K9" s="56">
        <v>47177</v>
      </c>
      <c r="L9" s="54" t="s">
        <v>3</v>
      </c>
      <c r="M9" s="54" t="s">
        <v>15</v>
      </c>
      <c r="N9" s="54" t="s">
        <v>5</v>
      </c>
      <c r="O9" s="54"/>
      <c r="P9" s="54" t="s">
        <v>3</v>
      </c>
      <c r="Q9" s="57">
        <v>6000000</v>
      </c>
      <c r="R9" s="93">
        <v>0.75</v>
      </c>
      <c r="S9" s="94">
        <f t="shared" si="6"/>
        <v>4500000</v>
      </c>
      <c r="T9" s="6">
        <f t="shared" si="2"/>
        <v>5.0137362637362637</v>
      </c>
      <c r="V9" s="7"/>
      <c r="W9" s="59">
        <f t="shared" si="3"/>
        <v>0</v>
      </c>
      <c r="X9" s="59">
        <f t="shared" si="1"/>
        <v>0</v>
      </c>
      <c r="Y9" s="7">
        <f t="shared" si="1"/>
        <v>0</v>
      </c>
      <c r="Z9" s="7">
        <f t="shared" si="1"/>
        <v>0</v>
      </c>
      <c r="AA9" s="7">
        <f t="shared" si="1"/>
        <v>0</v>
      </c>
      <c r="AB9" s="7">
        <f t="shared" si="1"/>
        <v>0</v>
      </c>
      <c r="AC9" s="7">
        <f t="shared" si="1"/>
        <v>0</v>
      </c>
      <c r="AD9" s="7">
        <f t="shared" si="1"/>
        <v>0</v>
      </c>
      <c r="AF9" s="9">
        <f t="shared" si="5"/>
        <v>0</v>
      </c>
    </row>
    <row r="10" spans="1:32" s="6" customFormat="1" ht="116" x14ac:dyDescent="0.35">
      <c r="A10" s="6">
        <f t="shared" si="4"/>
        <v>108</v>
      </c>
      <c r="C10" s="5"/>
      <c r="D10" s="5" t="s">
        <v>94</v>
      </c>
      <c r="E10" s="53" t="s">
        <v>72</v>
      </c>
      <c r="F10" s="5" t="s">
        <v>39</v>
      </c>
      <c r="G10" s="90" t="s">
        <v>1</v>
      </c>
      <c r="H10" s="64"/>
      <c r="I10" s="56">
        <v>45444</v>
      </c>
      <c r="J10" s="56">
        <v>45474</v>
      </c>
      <c r="K10" s="56">
        <v>47299</v>
      </c>
      <c r="L10" s="64" t="s">
        <v>3</v>
      </c>
      <c r="M10" s="64" t="s">
        <v>41</v>
      </c>
      <c r="N10" s="64" t="s">
        <v>5</v>
      </c>
      <c r="O10" s="64"/>
      <c r="P10" s="64" t="s">
        <v>3</v>
      </c>
      <c r="Q10" s="59">
        <v>2000000</v>
      </c>
      <c r="R10" s="93">
        <v>0.25</v>
      </c>
      <c r="S10" s="94">
        <f t="shared" si="6"/>
        <v>500000</v>
      </c>
      <c r="T10" s="6">
        <f t="shared" si="2"/>
        <v>5.0137362637362637</v>
      </c>
      <c r="V10" s="7"/>
      <c r="W10" s="59">
        <f t="shared" si="3"/>
        <v>0</v>
      </c>
      <c r="X10" s="59">
        <f t="shared" si="1"/>
        <v>0</v>
      </c>
      <c r="Y10" s="7">
        <f t="shared" si="1"/>
        <v>0</v>
      </c>
      <c r="Z10" s="7">
        <f t="shared" si="1"/>
        <v>0</v>
      </c>
      <c r="AA10" s="7">
        <f t="shared" si="1"/>
        <v>0</v>
      </c>
      <c r="AB10" s="7">
        <f t="shared" si="1"/>
        <v>0</v>
      </c>
      <c r="AC10" s="7">
        <f t="shared" si="1"/>
        <v>0</v>
      </c>
      <c r="AD10" s="7">
        <f t="shared" si="1"/>
        <v>0</v>
      </c>
      <c r="AF10" s="9">
        <f t="shared" si="5"/>
        <v>0</v>
      </c>
    </row>
    <row r="11" spans="1:32" s="6" customFormat="1" x14ac:dyDescent="0.35">
      <c r="A11" s="6">
        <f t="shared" si="4"/>
        <v>109</v>
      </c>
      <c r="C11" s="5"/>
      <c r="D11" s="5" t="s">
        <v>94</v>
      </c>
      <c r="E11" s="53" t="s">
        <v>73</v>
      </c>
      <c r="F11" s="5" t="s">
        <v>39</v>
      </c>
      <c r="G11" s="90" t="s">
        <v>1</v>
      </c>
      <c r="H11" s="64"/>
      <c r="I11" s="56">
        <v>45444</v>
      </c>
      <c r="J11" s="56">
        <v>45474</v>
      </c>
      <c r="K11" s="56">
        <v>47299</v>
      </c>
      <c r="L11" s="64" t="s">
        <v>3</v>
      </c>
      <c r="M11" s="64" t="s">
        <v>41</v>
      </c>
      <c r="N11" s="64" t="s">
        <v>5</v>
      </c>
      <c r="O11" s="64"/>
      <c r="P11" s="64" t="s">
        <v>3</v>
      </c>
      <c r="Q11" s="59">
        <v>3500000</v>
      </c>
      <c r="R11" s="93">
        <v>0.25</v>
      </c>
      <c r="S11" s="94">
        <f t="shared" si="6"/>
        <v>875000</v>
      </c>
      <c r="T11" s="6">
        <f t="shared" si="2"/>
        <v>5.0137362637362637</v>
      </c>
      <c r="V11" s="7"/>
      <c r="W11" s="59">
        <f t="shared" si="3"/>
        <v>0</v>
      </c>
      <c r="X11" s="59">
        <f t="shared" si="1"/>
        <v>0</v>
      </c>
      <c r="Y11" s="7">
        <f t="shared" si="1"/>
        <v>0</v>
      </c>
      <c r="Z11" s="7">
        <f t="shared" si="1"/>
        <v>0</v>
      </c>
      <c r="AA11" s="7">
        <f t="shared" si="1"/>
        <v>0</v>
      </c>
      <c r="AB11" s="7">
        <f t="shared" si="1"/>
        <v>0</v>
      </c>
      <c r="AC11" s="7">
        <f t="shared" si="1"/>
        <v>0</v>
      </c>
      <c r="AD11" s="7">
        <f t="shared" si="1"/>
        <v>0</v>
      </c>
      <c r="AF11" s="9">
        <f t="shared" si="5"/>
        <v>0</v>
      </c>
    </row>
    <row r="12" spans="1:32" s="6" customFormat="1" x14ac:dyDescent="0.35">
      <c r="A12" s="6">
        <f t="shared" si="4"/>
        <v>110</v>
      </c>
      <c r="B12" s="6">
        <v>3</v>
      </c>
      <c r="C12" s="5" t="s">
        <v>63</v>
      </c>
      <c r="D12" s="5" t="s">
        <v>94</v>
      </c>
      <c r="E12" s="95" t="s">
        <v>74</v>
      </c>
      <c r="F12" s="5" t="s">
        <v>39</v>
      </c>
      <c r="G12" s="90" t="s">
        <v>1</v>
      </c>
      <c r="H12" s="64"/>
      <c r="I12" s="65">
        <v>45444</v>
      </c>
      <c r="J12" s="56">
        <v>45474</v>
      </c>
      <c r="K12" s="56">
        <v>47299</v>
      </c>
      <c r="L12" s="54" t="s">
        <v>3</v>
      </c>
      <c r="M12" s="54" t="s">
        <v>15</v>
      </c>
      <c r="N12" s="54" t="s">
        <v>5</v>
      </c>
      <c r="O12" s="54"/>
      <c r="P12" s="54" t="s">
        <v>3</v>
      </c>
      <c r="Q12" s="57">
        <v>4500000</v>
      </c>
      <c r="R12" s="93">
        <v>0.75</v>
      </c>
      <c r="S12" s="94">
        <f t="shared" si="6"/>
        <v>3375000</v>
      </c>
      <c r="T12" s="6">
        <f t="shared" si="2"/>
        <v>5.0137362637362637</v>
      </c>
      <c r="V12" s="7"/>
      <c r="W12" s="59">
        <f t="shared" si="3"/>
        <v>0</v>
      </c>
      <c r="X12" s="59">
        <f t="shared" si="1"/>
        <v>0</v>
      </c>
      <c r="Y12" s="7">
        <f t="shared" si="1"/>
        <v>0</v>
      </c>
      <c r="Z12" s="7">
        <f t="shared" si="1"/>
        <v>0</v>
      </c>
      <c r="AA12" s="7">
        <f t="shared" si="1"/>
        <v>0</v>
      </c>
      <c r="AB12" s="7">
        <f t="shared" si="1"/>
        <v>0</v>
      </c>
      <c r="AC12" s="7">
        <f t="shared" si="1"/>
        <v>0</v>
      </c>
      <c r="AD12" s="7">
        <f t="shared" si="1"/>
        <v>0</v>
      </c>
      <c r="AF12" s="9">
        <f t="shared" si="5"/>
        <v>0</v>
      </c>
    </row>
    <row r="13" spans="1:32" s="6" customFormat="1" x14ac:dyDescent="0.35">
      <c r="A13" s="6">
        <f t="shared" si="4"/>
        <v>111</v>
      </c>
      <c r="B13" s="6">
        <v>4</v>
      </c>
      <c r="C13" s="5" t="s">
        <v>63</v>
      </c>
      <c r="D13" s="5" t="s">
        <v>94</v>
      </c>
      <c r="E13" s="95" t="s">
        <v>75</v>
      </c>
      <c r="F13" s="5" t="s">
        <v>39</v>
      </c>
      <c r="G13" s="90" t="s">
        <v>1</v>
      </c>
      <c r="H13" s="64"/>
      <c r="I13" s="65">
        <v>45444</v>
      </c>
      <c r="J13" s="56">
        <v>45458</v>
      </c>
      <c r="K13" s="56">
        <v>47283</v>
      </c>
      <c r="L13" s="54" t="s">
        <v>3</v>
      </c>
      <c r="M13" s="54" t="s">
        <v>15</v>
      </c>
      <c r="N13" s="54" t="s">
        <v>5</v>
      </c>
      <c r="O13" s="54"/>
      <c r="P13" s="54" t="s">
        <v>10</v>
      </c>
      <c r="Q13" s="57">
        <v>6000000</v>
      </c>
      <c r="R13" s="93">
        <v>0.75</v>
      </c>
      <c r="S13" s="94">
        <f t="shared" si="6"/>
        <v>4500000</v>
      </c>
      <c r="T13" s="6">
        <f t="shared" si="2"/>
        <v>5.0137362637362637</v>
      </c>
      <c r="V13" s="7"/>
      <c r="W13" s="59">
        <f t="shared" si="3"/>
        <v>0</v>
      </c>
      <c r="X13" s="59">
        <f t="shared" si="1"/>
        <v>0</v>
      </c>
      <c r="Y13" s="7">
        <f t="shared" si="1"/>
        <v>0</v>
      </c>
      <c r="Z13" s="7">
        <f t="shared" si="1"/>
        <v>0</v>
      </c>
      <c r="AA13" s="7">
        <f t="shared" si="1"/>
        <v>0</v>
      </c>
      <c r="AB13" s="7">
        <f t="shared" si="1"/>
        <v>0</v>
      </c>
      <c r="AC13" s="7">
        <f t="shared" si="1"/>
        <v>0</v>
      </c>
      <c r="AD13" s="7">
        <f t="shared" si="1"/>
        <v>0</v>
      </c>
      <c r="AF13" s="9">
        <f t="shared" si="5"/>
        <v>0</v>
      </c>
    </row>
    <row r="14" spans="1:32" s="6" customFormat="1" x14ac:dyDescent="0.35">
      <c r="A14" s="6">
        <f t="shared" si="4"/>
        <v>112</v>
      </c>
      <c r="C14" s="5"/>
      <c r="D14" s="5" t="s">
        <v>94</v>
      </c>
      <c r="E14" s="53" t="s">
        <v>76</v>
      </c>
      <c r="F14" s="5" t="s">
        <v>39</v>
      </c>
      <c r="G14" s="90" t="s">
        <v>1</v>
      </c>
      <c r="H14" s="64"/>
      <c r="I14" s="65">
        <v>45444</v>
      </c>
      <c r="J14" s="56">
        <v>45474</v>
      </c>
      <c r="K14" s="56">
        <v>47299</v>
      </c>
      <c r="L14" s="54" t="s">
        <v>3</v>
      </c>
      <c r="M14" s="54" t="s">
        <v>15</v>
      </c>
      <c r="N14" s="54" t="s">
        <v>5</v>
      </c>
      <c r="O14" s="54"/>
      <c r="P14" s="54" t="s">
        <v>3</v>
      </c>
      <c r="Q14" s="57">
        <v>5000000</v>
      </c>
      <c r="R14" s="93">
        <v>0.25</v>
      </c>
      <c r="S14" s="94">
        <f t="shared" si="6"/>
        <v>1250000</v>
      </c>
      <c r="T14" s="6">
        <f t="shared" si="2"/>
        <v>5.0137362637362637</v>
      </c>
      <c r="V14" s="7"/>
      <c r="W14" s="7">
        <f t="shared" si="3"/>
        <v>0</v>
      </c>
      <c r="X14" s="7">
        <f t="shared" si="1"/>
        <v>0</v>
      </c>
      <c r="Y14" s="7">
        <f t="shared" si="1"/>
        <v>0</v>
      </c>
      <c r="Z14" s="7">
        <f t="shared" si="1"/>
        <v>0</v>
      </c>
      <c r="AA14" s="7">
        <f t="shared" si="1"/>
        <v>0</v>
      </c>
      <c r="AB14" s="7">
        <f t="shared" si="1"/>
        <v>0</v>
      </c>
      <c r="AC14" s="7">
        <f t="shared" si="1"/>
        <v>0</v>
      </c>
      <c r="AD14" s="7">
        <f t="shared" si="1"/>
        <v>0</v>
      </c>
      <c r="AF14" s="9">
        <f t="shared" si="5"/>
        <v>0</v>
      </c>
    </row>
    <row r="15" spans="1:32" s="6" customFormat="1" x14ac:dyDescent="0.35">
      <c r="A15" s="6">
        <f t="shared" si="4"/>
        <v>113</v>
      </c>
      <c r="B15" s="6">
        <v>9</v>
      </c>
      <c r="C15" s="5"/>
      <c r="D15" s="5" t="s">
        <v>94</v>
      </c>
      <c r="E15" s="95" t="s">
        <v>32</v>
      </c>
      <c r="F15" s="5" t="s">
        <v>39</v>
      </c>
      <c r="G15" s="90" t="s">
        <v>1</v>
      </c>
      <c r="H15" s="64"/>
      <c r="I15" s="56">
        <v>45658</v>
      </c>
      <c r="J15" s="56">
        <v>45689</v>
      </c>
      <c r="K15" s="56">
        <v>47514</v>
      </c>
      <c r="L15" s="64" t="s">
        <v>3</v>
      </c>
      <c r="M15" s="64" t="s">
        <v>61</v>
      </c>
      <c r="N15" s="64" t="s">
        <v>5</v>
      </c>
      <c r="O15" s="64"/>
      <c r="P15" s="64" t="s">
        <v>3</v>
      </c>
      <c r="Q15" s="57">
        <v>10500000</v>
      </c>
      <c r="R15" s="93">
        <v>0.75</v>
      </c>
      <c r="S15" s="94">
        <f t="shared" si="6"/>
        <v>7875000</v>
      </c>
      <c r="T15" s="6">
        <f t="shared" si="2"/>
        <v>5.0137362637362637</v>
      </c>
      <c r="V15" s="7"/>
      <c r="W15" s="7">
        <f t="shared" si="3"/>
        <v>0</v>
      </c>
      <c r="X15" s="7">
        <f t="shared" si="1"/>
        <v>0</v>
      </c>
      <c r="Y15" s="7">
        <f t="shared" si="1"/>
        <v>0</v>
      </c>
      <c r="Z15" s="7">
        <f t="shared" si="1"/>
        <v>0</v>
      </c>
      <c r="AA15" s="7">
        <f t="shared" si="1"/>
        <v>0</v>
      </c>
      <c r="AB15" s="7">
        <f t="shared" si="1"/>
        <v>0</v>
      </c>
      <c r="AC15" s="7">
        <f t="shared" si="1"/>
        <v>0</v>
      </c>
      <c r="AD15" s="7">
        <f t="shared" si="1"/>
        <v>0</v>
      </c>
      <c r="AF15" s="9">
        <f t="shared" si="5"/>
        <v>0</v>
      </c>
    </row>
    <row r="16" spans="1:32" s="6" customFormat="1" x14ac:dyDescent="0.35">
      <c r="A16" s="6">
        <f t="shared" si="4"/>
        <v>114</v>
      </c>
      <c r="C16" s="5"/>
      <c r="D16" s="5"/>
      <c r="E16" s="53" t="s">
        <v>97</v>
      </c>
      <c r="F16" s="5" t="s">
        <v>39</v>
      </c>
      <c r="G16" s="90" t="s">
        <v>1</v>
      </c>
      <c r="H16" s="64"/>
      <c r="I16" s="56">
        <v>46127</v>
      </c>
      <c r="J16" s="56">
        <v>46143</v>
      </c>
      <c r="K16" s="56">
        <v>47968</v>
      </c>
      <c r="L16" s="64"/>
      <c r="M16" s="54" t="s">
        <v>3</v>
      </c>
      <c r="N16" s="72" t="s">
        <v>12</v>
      </c>
      <c r="O16" s="54" t="s">
        <v>5</v>
      </c>
      <c r="P16" s="73"/>
      <c r="Q16" s="70">
        <v>3037919.65</v>
      </c>
      <c r="R16" s="93">
        <v>0.75</v>
      </c>
      <c r="S16" s="94">
        <f t="shared" si="6"/>
        <v>2278439.7374999998</v>
      </c>
      <c r="T16" s="6">
        <f t="shared" si="2"/>
        <v>5.0137362637362637</v>
      </c>
      <c r="V16" s="7"/>
      <c r="W16" s="7">
        <f t="shared" si="3"/>
        <v>0</v>
      </c>
      <c r="X16" s="7">
        <f t="shared" si="3"/>
        <v>0</v>
      </c>
      <c r="Y16" s="7">
        <f t="shared" si="3"/>
        <v>0</v>
      </c>
      <c r="Z16" s="7">
        <f t="shared" si="3"/>
        <v>0</v>
      </c>
      <c r="AA16" s="7">
        <f t="shared" si="3"/>
        <v>0</v>
      </c>
      <c r="AB16" s="7">
        <f t="shared" si="3"/>
        <v>0</v>
      </c>
      <c r="AC16" s="7">
        <f t="shared" si="3"/>
        <v>0</v>
      </c>
      <c r="AD16" s="7">
        <f t="shared" si="3"/>
        <v>0</v>
      </c>
      <c r="AF16" s="9"/>
    </row>
    <row r="17" spans="1:32" s="6" customFormat="1" x14ac:dyDescent="0.35">
      <c r="A17" s="6">
        <f t="shared" si="4"/>
        <v>115</v>
      </c>
      <c r="B17" s="6">
        <v>10</v>
      </c>
      <c r="C17" s="5"/>
      <c r="D17" s="5" t="s">
        <v>94</v>
      </c>
      <c r="E17" s="95" t="s">
        <v>31</v>
      </c>
      <c r="F17" s="5" t="s">
        <v>39</v>
      </c>
      <c r="G17" s="90" t="s">
        <v>0</v>
      </c>
      <c r="H17" s="64"/>
      <c r="I17" s="56">
        <v>45748</v>
      </c>
      <c r="J17" s="56">
        <v>45778</v>
      </c>
      <c r="K17" s="56">
        <v>47603</v>
      </c>
      <c r="L17" s="64" t="s">
        <v>3</v>
      </c>
      <c r="M17" s="64" t="s">
        <v>6</v>
      </c>
      <c r="N17" s="64" t="s">
        <v>5</v>
      </c>
      <c r="O17" s="64"/>
      <c r="P17" s="64" t="s">
        <v>3</v>
      </c>
      <c r="Q17" s="96">
        <v>4000000</v>
      </c>
      <c r="R17" s="97">
        <v>0.75</v>
      </c>
      <c r="S17" s="98">
        <f t="shared" si="6"/>
        <v>3000000</v>
      </c>
      <c r="T17" s="6">
        <f t="shared" si="2"/>
        <v>5.0137362637362637</v>
      </c>
      <c r="V17" s="7"/>
      <c r="W17" s="7">
        <f t="shared" si="3"/>
        <v>0</v>
      </c>
      <c r="X17" s="7">
        <f t="shared" si="1"/>
        <v>0</v>
      </c>
      <c r="Y17" s="7">
        <f t="shared" si="1"/>
        <v>0</v>
      </c>
      <c r="Z17" s="7">
        <f t="shared" si="1"/>
        <v>0</v>
      </c>
      <c r="AA17" s="7">
        <f t="shared" si="1"/>
        <v>0</v>
      </c>
      <c r="AB17" s="7">
        <f t="shared" si="1"/>
        <v>0</v>
      </c>
      <c r="AC17" s="7">
        <f t="shared" si="1"/>
        <v>0</v>
      </c>
      <c r="AD17" s="7">
        <f t="shared" si="1"/>
        <v>0</v>
      </c>
      <c r="AF17" s="9">
        <f t="shared" si="5"/>
        <v>0</v>
      </c>
    </row>
    <row r="18" spans="1:32" s="6" customFormat="1" x14ac:dyDescent="0.35">
      <c r="A18" s="6">
        <f t="shared" si="4"/>
        <v>116</v>
      </c>
      <c r="C18" s="92"/>
      <c r="D18" s="5" t="s">
        <v>96</v>
      </c>
      <c r="E18" s="53" t="s">
        <v>103</v>
      </c>
      <c r="F18" s="5"/>
      <c r="G18" s="90"/>
      <c r="H18" s="64"/>
      <c r="I18" s="56">
        <v>45536</v>
      </c>
      <c r="J18" s="56">
        <f t="shared" ref="J18:J21" si="7">I18</f>
        <v>45536</v>
      </c>
      <c r="K18" s="56">
        <f>EDATE(I18,60)</f>
        <v>47362</v>
      </c>
      <c r="L18" s="64" t="s">
        <v>3</v>
      </c>
      <c r="M18" s="64"/>
      <c r="N18" s="64" t="s">
        <v>5</v>
      </c>
      <c r="O18" s="64"/>
      <c r="P18" s="64"/>
      <c r="Q18" s="57">
        <v>10000000</v>
      </c>
      <c r="R18" s="93">
        <v>0.25</v>
      </c>
      <c r="S18" s="94">
        <f t="shared" si="6"/>
        <v>2500000</v>
      </c>
      <c r="T18" s="6">
        <f t="shared" si="2"/>
        <v>5.0164835164835164</v>
      </c>
      <c r="V18" s="7"/>
      <c r="W18" s="7">
        <f t="shared" si="3"/>
        <v>0</v>
      </c>
      <c r="X18" s="7">
        <f t="shared" si="1"/>
        <v>0</v>
      </c>
      <c r="Y18" s="7">
        <f t="shared" si="1"/>
        <v>0</v>
      </c>
      <c r="Z18" s="7">
        <f t="shared" si="1"/>
        <v>0</v>
      </c>
      <c r="AA18" s="7">
        <f t="shared" si="1"/>
        <v>0</v>
      </c>
      <c r="AB18" s="7">
        <f t="shared" si="1"/>
        <v>0</v>
      </c>
      <c r="AC18" s="7">
        <f t="shared" si="1"/>
        <v>0</v>
      </c>
      <c r="AD18" s="7">
        <f t="shared" si="1"/>
        <v>0</v>
      </c>
      <c r="AF18" s="9">
        <f t="shared" si="5"/>
        <v>0</v>
      </c>
    </row>
    <row r="19" spans="1:32" s="6" customFormat="1" x14ac:dyDescent="0.35">
      <c r="A19" s="6">
        <f t="shared" si="4"/>
        <v>117</v>
      </c>
      <c r="C19" s="5"/>
      <c r="D19" s="5" t="s">
        <v>96</v>
      </c>
      <c r="E19" s="53" t="s">
        <v>104</v>
      </c>
      <c r="F19" s="5"/>
      <c r="G19" s="90"/>
      <c r="H19" s="64"/>
      <c r="I19" s="56">
        <f>EDATE(I18,6)</f>
        <v>45717</v>
      </c>
      <c r="J19" s="56">
        <f t="shared" si="7"/>
        <v>45717</v>
      </c>
      <c r="K19" s="56">
        <f t="shared" ref="K19:K21" si="8">EDATE(I19,60)</f>
        <v>47543</v>
      </c>
      <c r="L19" s="64" t="s">
        <v>3</v>
      </c>
      <c r="M19" s="64"/>
      <c r="N19" s="64" t="s">
        <v>5</v>
      </c>
      <c r="O19" s="64"/>
      <c r="P19" s="64"/>
      <c r="Q19" s="57">
        <v>10000000</v>
      </c>
      <c r="R19" s="93">
        <v>0.25</v>
      </c>
      <c r="S19" s="94">
        <f t="shared" si="6"/>
        <v>2500000</v>
      </c>
      <c r="T19" s="6">
        <f t="shared" si="2"/>
        <v>5.0164835164835164</v>
      </c>
      <c r="V19" s="7"/>
      <c r="W19" s="7">
        <f t="shared" si="3"/>
        <v>0</v>
      </c>
      <c r="X19" s="7">
        <f t="shared" si="1"/>
        <v>0</v>
      </c>
      <c r="Y19" s="7">
        <f t="shared" si="1"/>
        <v>0</v>
      </c>
      <c r="Z19" s="7">
        <f t="shared" si="1"/>
        <v>0</v>
      </c>
      <c r="AA19" s="7">
        <f t="shared" si="1"/>
        <v>0</v>
      </c>
      <c r="AB19" s="7">
        <f t="shared" si="1"/>
        <v>0</v>
      </c>
      <c r="AC19" s="7">
        <f t="shared" si="1"/>
        <v>0</v>
      </c>
      <c r="AD19" s="7">
        <f t="shared" si="1"/>
        <v>0</v>
      </c>
      <c r="AF19" s="9">
        <f t="shared" ref="AF19:AF21" si="9">SUM(W19:AD19)</f>
        <v>0</v>
      </c>
    </row>
    <row r="20" spans="1:32" s="6" customFormat="1" x14ac:dyDescent="0.35">
      <c r="A20" s="6">
        <f t="shared" si="4"/>
        <v>118</v>
      </c>
      <c r="C20" s="5"/>
      <c r="D20" s="5" t="s">
        <v>96</v>
      </c>
      <c r="E20" s="53" t="s">
        <v>105</v>
      </c>
      <c r="F20" s="5"/>
      <c r="G20" s="90"/>
      <c r="H20" s="64"/>
      <c r="I20" s="56">
        <f t="shared" ref="I20" si="10">EDATE(I19,6)</f>
        <v>45901</v>
      </c>
      <c r="J20" s="56">
        <f t="shared" si="7"/>
        <v>45901</v>
      </c>
      <c r="K20" s="56">
        <f t="shared" si="8"/>
        <v>47727</v>
      </c>
      <c r="L20" s="64" t="s">
        <v>3</v>
      </c>
      <c r="M20" s="64"/>
      <c r="N20" s="64" t="s">
        <v>5</v>
      </c>
      <c r="O20" s="64"/>
      <c r="P20" s="64"/>
      <c r="Q20" s="57">
        <v>10000000</v>
      </c>
      <c r="R20" s="93">
        <v>0.3</v>
      </c>
      <c r="S20" s="94">
        <f t="shared" si="6"/>
        <v>3000000</v>
      </c>
      <c r="T20" s="6">
        <f t="shared" si="2"/>
        <v>5.0164835164835164</v>
      </c>
      <c r="V20" s="7"/>
      <c r="W20" s="7">
        <f t="shared" si="3"/>
        <v>0</v>
      </c>
      <c r="X20" s="7">
        <f t="shared" si="1"/>
        <v>0</v>
      </c>
      <c r="Y20" s="7">
        <f t="shared" si="1"/>
        <v>0</v>
      </c>
      <c r="Z20" s="7">
        <f t="shared" si="1"/>
        <v>0</v>
      </c>
      <c r="AA20" s="7">
        <f t="shared" si="1"/>
        <v>0</v>
      </c>
      <c r="AB20" s="7">
        <f t="shared" si="1"/>
        <v>0</v>
      </c>
      <c r="AC20" s="7">
        <f t="shared" si="1"/>
        <v>0</v>
      </c>
      <c r="AD20" s="7">
        <f t="shared" si="1"/>
        <v>0</v>
      </c>
      <c r="AF20" s="9">
        <f t="shared" si="9"/>
        <v>0</v>
      </c>
    </row>
    <row r="21" spans="1:32" s="6" customFormat="1" x14ac:dyDescent="0.35">
      <c r="A21" s="6">
        <f t="shared" si="4"/>
        <v>119</v>
      </c>
      <c r="C21" s="5"/>
      <c r="D21" s="5" t="s">
        <v>96</v>
      </c>
      <c r="E21" s="53"/>
      <c r="F21" s="5"/>
      <c r="G21" s="90"/>
      <c r="H21" s="64"/>
      <c r="I21" s="56">
        <f>EDATE(I20,3)</f>
        <v>45992</v>
      </c>
      <c r="J21" s="56">
        <f t="shared" si="7"/>
        <v>45992</v>
      </c>
      <c r="K21" s="56">
        <f t="shared" si="8"/>
        <v>47818</v>
      </c>
      <c r="L21" s="64" t="s">
        <v>3</v>
      </c>
      <c r="M21" s="64"/>
      <c r="N21" s="64" t="s">
        <v>5</v>
      </c>
      <c r="O21" s="64"/>
      <c r="P21" s="64"/>
      <c r="Q21" s="57">
        <v>10000000</v>
      </c>
      <c r="R21" s="93">
        <v>0.3</v>
      </c>
      <c r="S21" s="94">
        <f t="shared" si="6"/>
        <v>3000000</v>
      </c>
      <c r="T21" s="6">
        <f t="shared" si="2"/>
        <v>5.0164835164835164</v>
      </c>
      <c r="V21" s="7"/>
      <c r="W21" s="7">
        <f t="shared" si="3"/>
        <v>0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</v>
      </c>
      <c r="AB21" s="7">
        <f t="shared" si="1"/>
        <v>0</v>
      </c>
      <c r="AC21" s="7">
        <f t="shared" si="1"/>
        <v>0</v>
      </c>
      <c r="AD21" s="7">
        <f t="shared" si="1"/>
        <v>0</v>
      </c>
      <c r="AF21" s="9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EE36-DD96-4660-AF0B-077425CDF7A4}">
  <dimension ref="C4:V13"/>
  <sheetViews>
    <sheetView workbookViewId="0">
      <selection activeCell="N19" sqref="N19"/>
    </sheetView>
  </sheetViews>
  <sheetFormatPr defaultRowHeight="14.5" x14ac:dyDescent="0.35"/>
  <cols>
    <col min="3" max="3" width="16.81640625" bestFit="1" customWidth="1"/>
    <col min="4" max="4" width="12.26953125" bestFit="1" customWidth="1"/>
    <col min="5" max="11" width="10.7265625" bestFit="1" customWidth="1"/>
    <col min="21" max="21" width="30" bestFit="1" customWidth="1"/>
    <col min="22" max="22" width="8" bestFit="1" customWidth="1"/>
  </cols>
  <sheetData>
    <row r="4" spans="3:22" ht="15" thickBot="1" x14ac:dyDescent="0.4"/>
    <row r="5" spans="3:22" ht="15" thickBot="1" x14ac:dyDescent="0.4">
      <c r="C5" s="21"/>
      <c r="D5" s="22">
        <v>2023</v>
      </c>
      <c r="E5" s="22">
        <f t="shared" ref="E5:K5" si="0">D5+1</f>
        <v>2024</v>
      </c>
      <c r="F5" s="22">
        <f t="shared" si="0"/>
        <v>2025</v>
      </c>
      <c r="G5" s="22">
        <f t="shared" si="0"/>
        <v>2026</v>
      </c>
      <c r="H5" s="22">
        <f t="shared" si="0"/>
        <v>2027</v>
      </c>
      <c r="I5" s="22">
        <f t="shared" si="0"/>
        <v>2028</v>
      </c>
      <c r="J5" s="22">
        <f t="shared" si="0"/>
        <v>2029</v>
      </c>
      <c r="K5" s="23">
        <f t="shared" si="0"/>
        <v>2030</v>
      </c>
    </row>
    <row r="6" spans="3:22" ht="15.5" thickTop="1" thickBot="1" x14ac:dyDescent="0.4">
      <c r="C6" s="18" t="s">
        <v>93</v>
      </c>
      <c r="D6" s="19">
        <f>SUMIF(backlog!$D$2:$D$17,Projections!$C6,backlog!W$2:W$17)</f>
        <v>12230505.57</v>
      </c>
      <c r="E6" s="19">
        <f>SUMIF(backlog!$D$2:$D$17,Projections!$C6,backlog!X$2:X$17)</f>
        <v>12468321.234999999</v>
      </c>
      <c r="F6" s="19">
        <f>SUMIF(backlog!$D$2:$D$17,Projections!$C6,backlog!Y$2:Y$17)</f>
        <v>8432666.7033333331</v>
      </c>
      <c r="G6" s="19">
        <f>SUMIF(backlog!$D$2:$D$17,Projections!$C6,backlog!Z$2:Z$17)</f>
        <v>7487696.9350000005</v>
      </c>
      <c r="H6" s="19">
        <f>SUMIF(backlog!$D$2:$D$17,Projections!$C6,backlog!AA$2:AA$17)</f>
        <v>4228222.2</v>
      </c>
      <c r="I6" s="19">
        <f>SUMIF(backlog!$D$2:$D$17,Projections!$C6,backlog!AB$2:AB$17)</f>
        <v>1974790.1</v>
      </c>
      <c r="J6" s="19">
        <f>SUMIF(backlog!$D$2:$D$17,Projections!$C6,backlog!AC$2:AC$17)</f>
        <v>0</v>
      </c>
      <c r="K6" s="20">
        <f>SUMIF(backlog!$D$2:$D$17,Projections!$C6,backlog!AD$2:AD$17)</f>
        <v>0</v>
      </c>
      <c r="U6" s="32" t="s">
        <v>106</v>
      </c>
      <c r="V6" s="33" t="s">
        <v>107</v>
      </c>
    </row>
    <row r="7" spans="3:22" ht="15" thickTop="1" x14ac:dyDescent="0.35">
      <c r="C7" s="26" t="s">
        <v>94</v>
      </c>
      <c r="D7" s="27">
        <f>SUMIF(backlog!$D$2:$D$17,Projections!$C7,backlog!W$2:W$17)</f>
        <v>0</v>
      </c>
      <c r="E7" s="27">
        <f>SUMIF(backlog!$D$2:$D$17,Projections!$C7,backlog!X$2:X$17)</f>
        <v>0</v>
      </c>
      <c r="F7" s="27">
        <f>SUMIF(backlog!$D$2:$D$17,Projections!$C7,backlog!Y$2:Y$17)</f>
        <v>0</v>
      </c>
      <c r="G7" s="27">
        <f>SUMIF(backlog!$D$2:$D$17,Projections!$C7,backlog!Z$2:Z$17)</f>
        <v>0</v>
      </c>
      <c r="H7" s="27">
        <f>SUMIF(backlog!$D$2:$D$17,Projections!$C7,backlog!AA$2:AA$17)</f>
        <v>0</v>
      </c>
      <c r="I7" s="27">
        <f>SUMIF(backlog!$D$2:$D$17,Projections!$C7,backlog!AB$2:AB$17)</f>
        <v>0</v>
      </c>
      <c r="J7" s="27">
        <f>SUMIF(backlog!$D$2:$D$17,Projections!$C7,backlog!AC$2:AC$17)</f>
        <v>0</v>
      </c>
      <c r="K7" s="28">
        <f>SUMIF(backlog!$D$2:$D$17,Projections!$C7,backlog!AD$2:AD$17)</f>
        <v>0</v>
      </c>
      <c r="U7" s="31" t="s">
        <v>98</v>
      </c>
      <c r="V7" s="35">
        <v>5800000000</v>
      </c>
    </row>
    <row r="8" spans="3:22" ht="15" thickBot="1" x14ac:dyDescent="0.4">
      <c r="C8" s="17" t="s">
        <v>96</v>
      </c>
      <c r="D8" s="27">
        <f>SUMIF(backlog!$D$2:$D$17,Projections!$C8,backlog!W$2:W$17)</f>
        <v>0</v>
      </c>
      <c r="E8" s="27">
        <f>SUMIF(backlog!$D$2:$D$17,Projections!$C8,backlog!X$2:X$17)</f>
        <v>0</v>
      </c>
      <c r="F8" s="27">
        <f>SUMIF(backlog!$D$2:$D$17,Projections!$C8,backlog!Y$2:Y$17)</f>
        <v>0</v>
      </c>
      <c r="G8" s="27">
        <f>SUMIF(backlog!$D$2:$D$17,Projections!$C8,backlog!Z$2:Z$17)</f>
        <v>0</v>
      </c>
      <c r="H8" s="27">
        <f>SUMIF(backlog!$D$2:$D$17,Projections!$C8,backlog!AA$2:AA$17)</f>
        <v>0</v>
      </c>
      <c r="I8" s="27">
        <f>SUMIF(backlog!$D$2:$D$17,Projections!$C8,backlog!AB$2:AB$17)</f>
        <v>0</v>
      </c>
      <c r="J8" s="27">
        <f>SUMIF(backlog!$D$2:$D$17,Projections!$C8,backlog!AC$2:AC$17)</f>
        <v>0</v>
      </c>
      <c r="K8" s="27">
        <f>SUMIF(backlog!$D$2:$D$17,Projections!$C8,backlog!AD$2:AD$17)</f>
        <v>0</v>
      </c>
      <c r="U8" s="29" t="s">
        <v>99</v>
      </c>
      <c r="V8" s="34">
        <v>275000000</v>
      </c>
    </row>
    <row r="9" spans="3:22" ht="15.5" thickTop="1" thickBot="1" x14ac:dyDescent="0.4">
      <c r="C9" s="24" t="s">
        <v>95</v>
      </c>
      <c r="D9" s="25">
        <f>D6+D7+D8</f>
        <v>12230505.57</v>
      </c>
      <c r="E9" s="25">
        <f t="shared" ref="E9:K9" si="1">E6+E7+E8</f>
        <v>12468321.234999999</v>
      </c>
      <c r="F9" s="25">
        <f t="shared" si="1"/>
        <v>8432666.7033333331</v>
      </c>
      <c r="G9" s="25">
        <f t="shared" si="1"/>
        <v>7487696.9350000005</v>
      </c>
      <c r="H9" s="25">
        <f t="shared" si="1"/>
        <v>4228222.2</v>
      </c>
      <c r="I9" s="25">
        <f t="shared" si="1"/>
        <v>1974790.1</v>
      </c>
      <c r="J9" s="25">
        <f t="shared" si="1"/>
        <v>0</v>
      </c>
      <c r="K9" s="25">
        <f t="shared" si="1"/>
        <v>0</v>
      </c>
      <c r="U9" s="29" t="s">
        <v>109</v>
      </c>
      <c r="V9" s="35">
        <v>323000000</v>
      </c>
    </row>
    <row r="10" spans="3:22" x14ac:dyDescent="0.35">
      <c r="U10" s="29" t="s">
        <v>100</v>
      </c>
      <c r="V10" s="35">
        <v>801000000</v>
      </c>
    </row>
    <row r="11" spans="3:22" x14ac:dyDescent="0.35">
      <c r="U11" s="29" t="s">
        <v>101</v>
      </c>
      <c r="V11" s="35">
        <v>303000000</v>
      </c>
    </row>
    <row r="12" spans="3:22" ht="15" thickBot="1" x14ac:dyDescent="0.4">
      <c r="D12" s="40">
        <f>D9/12</f>
        <v>1019208.7975</v>
      </c>
      <c r="U12" s="30" t="s">
        <v>102</v>
      </c>
      <c r="V12" s="37">
        <v>720000000</v>
      </c>
    </row>
    <row r="13" spans="3:22" x14ac:dyDescent="0.35">
      <c r="U13" t="s">
        <v>108</v>
      </c>
      <c r="V13" s="36">
        <f>SUM(V7:V12)</f>
        <v>8222000000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backlog</vt:lpstr>
      <vt:lpstr>pipeline</vt:lpstr>
      <vt:lpstr>Projections</vt:lpstr>
      <vt:lpstr>backlog!Print_Area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Roszita</dc:creator>
  <cp:lastModifiedBy>Jeff Monroe</cp:lastModifiedBy>
  <cp:lastPrinted>2016-08-30T17:26:41Z</cp:lastPrinted>
  <dcterms:created xsi:type="dcterms:W3CDTF">2016-08-17T15:21:59Z</dcterms:created>
  <dcterms:modified xsi:type="dcterms:W3CDTF">2023-08-08T22:37:30Z</dcterms:modified>
</cp:coreProperties>
</file>